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2" documentId="13_ncr:1_{7F6A1EA4-D8E0-4D5F-BCC7-8EB2973EDA9F}" xr6:coauthVersionLast="47" xr6:coauthVersionMax="47" xr10:uidLastSave="{B2B5059B-5DF0-4231-818A-346FA482B2EA}"/>
  <bookViews>
    <workbookView xWindow="-25410" yWindow="-4583" windowWidth="25365" windowHeight="14790" tabRatio="888" xr2:uid="{00000000-000D-0000-FFFF-FFFF00000000}"/>
  </bookViews>
  <sheets>
    <sheet name="Cover Page" sheetId="67" r:id="rId1"/>
    <sheet name="ToC" sheetId="100" r:id="rId2"/>
    <sheet name="Formatting and References" sheetId="101" r:id="rId3"/>
    <sheet name="1-DRR Corrected" sheetId="1" r:id="rId4"/>
    <sheet name="1-DRR Original" sheetId="142" r:id="rId5"/>
    <sheet name="2-True-upDRR Corrected" sheetId="47" r:id="rId6"/>
    <sheet name="2-True-upDRR Original" sheetId="143" r:id="rId7"/>
    <sheet name="3-ATA Corrected" sheetId="108" r:id="rId8"/>
    <sheet name="3-ATA Original" sheetId="144" r:id="rId9"/>
    <sheet name="4-WholesaleRates" sheetId="106" r:id="rId10"/>
    <sheet name="5-CostofCap-3" sheetId="70" r:id="rId11"/>
    <sheet name="5-CostofCap-4" sheetId="71" r:id="rId12"/>
    <sheet name="6-PlantJurisdiction" sheetId="135" r:id="rId13"/>
    <sheet name="6-PlantJurisdiction_Original" sheetId="151" r:id="rId14"/>
    <sheet name="7-PlantInService Corrected" sheetId="136" r:id="rId15"/>
    <sheet name="7-PlantInService Original" sheetId="147" r:id="rId16"/>
    <sheet name="8-DemandForAllocation Corrected" sheetId="105" r:id="rId17"/>
    <sheet name="8-DemandForAllocation Original" sheetId="146" r:id="rId18"/>
    <sheet name="9-WholesaleRevenues Corrected" sheetId="104" r:id="rId19"/>
    <sheet name="9-WholesaleRevenues Original" sheetId="145" r:id="rId20"/>
    <sheet name="10-AccDep Corrected" sheetId="137" r:id="rId21"/>
    <sheet name="10-AccDep Original" sheetId="148" r:id="rId22"/>
    <sheet name="11-Depreciation Updated" sheetId="138" r:id="rId23"/>
    <sheet name="11-Depreciation Original" sheetId="149" r:id="rId24"/>
    <sheet name="12-DepRates" sheetId="78" r:id="rId25"/>
    <sheet name="13-WorkCap" sheetId="79" r:id="rId26"/>
    <sheet name="13-WorkCap Original" sheetId="154" r:id="rId27"/>
    <sheet name="14-ADIT" sheetId="80" r:id="rId28"/>
    <sheet name="14-ADIT Original" sheetId="152" r:id="rId29"/>
    <sheet name="15-LossFactors" sheetId="109" r:id="rId30"/>
    <sheet name="16-UnfundedReserves" sheetId="141" r:id="rId31"/>
    <sheet name="16-UnfundedReserves_Original" sheetId="150" r:id="rId32"/>
    <sheet name="17-RegAssets-1" sheetId="83" r:id="rId33"/>
    <sheet name="17-RegAssets-1 Original" sheetId="156" r:id="rId34"/>
    <sheet name="17-RegAssets-2" sheetId="139" r:id="rId35"/>
    <sheet name="17-RegAssets-2 Original" sheetId="155" r:id="rId36"/>
    <sheet name="17-RegAssets-3" sheetId="140" r:id="rId37"/>
    <sheet name="18-OandM" sheetId="84" r:id="rId38"/>
    <sheet name="19-AandG_Original" sheetId="158" r:id="rId39"/>
    <sheet name="19-AandG" sheetId="85" r:id="rId40"/>
    <sheet name="20-RevenueCredits" sheetId="86" r:id="rId41"/>
    <sheet name="21-CoO" sheetId="125" r:id="rId42"/>
    <sheet name="22-TaxRates" sheetId="88" r:id="rId43"/>
    <sheet name="23-CustServCharge" sheetId="126" r:id="rId44"/>
    <sheet name="24-Allocators" sheetId="90" r:id="rId45"/>
    <sheet name="24-Allocators Original" sheetId="157" r:id="rId46"/>
    <sheet name="25-RevenueFeeFactors" sheetId="91"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s>
  <definedNames>
    <definedName name="\a" localSheetId="30">#REF!</definedName>
    <definedName name="\a" localSheetId="31">#REF!</definedName>
    <definedName name="\a" localSheetId="34">#REF!</definedName>
    <definedName name="\a" localSheetId="35">#REF!</definedName>
    <definedName name="\a" localSheetId="36">#REF!</definedName>
    <definedName name="\a" localSheetId="12">#REF!</definedName>
    <definedName name="\a" localSheetId="13">#REF!</definedName>
    <definedName name="\a">#REF!</definedName>
    <definedName name="\b" localSheetId="30">#REF!</definedName>
    <definedName name="\b" localSheetId="31">#REF!</definedName>
    <definedName name="\b" localSheetId="12">#REF!</definedName>
    <definedName name="\b" localSheetId="13">#REF!</definedName>
    <definedName name="\b">#REF!</definedName>
    <definedName name="\x" localSheetId="30">#REF!</definedName>
    <definedName name="\x" localSheetId="31">#REF!</definedName>
    <definedName name="\x" localSheetId="12">#REF!</definedName>
    <definedName name="\x" localSheetId="13">#REF!</definedName>
    <definedName name="\x">#REF!</definedName>
    <definedName name="_________________H1" localSheetId="26">{"'Metretek HTML'!$A$7:$W$42"}</definedName>
    <definedName name="_________________H1" localSheetId="28">{"'Metretek HTML'!$A$7:$W$42"}</definedName>
    <definedName name="_________________H1" localSheetId="33">{"'Metretek HTML'!$A$7:$W$42"}</definedName>
    <definedName name="_________________H1" localSheetId="35">{"'Metretek HTML'!$A$7:$W$42"}</definedName>
    <definedName name="_________________H1" localSheetId="45">{"'Metretek HTML'!$A$7:$W$42"}</definedName>
    <definedName name="_________________H1" localSheetId="13">{"'Metretek HTML'!$A$7:$W$42"}</definedName>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 localSheetId="26">{"'Metretek HTML'!$A$7:$W$42"}</definedName>
    <definedName name="______H1" localSheetId="28">{"'Metretek HTML'!$A$7:$W$42"}</definedName>
    <definedName name="______H1" localSheetId="33">{"'Metretek HTML'!$A$7:$W$42"}</definedName>
    <definedName name="______H1" localSheetId="35">{"'Metretek HTML'!$A$7:$W$42"}</definedName>
    <definedName name="______H1" localSheetId="45">{"'Metretek HTML'!$A$7:$W$42"}</definedName>
    <definedName name="______H1" localSheetId="13">{"'Metretek HTML'!$A$7:$W$42"}</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 localSheetId="26">{"'Metretek HTML'!$A$7:$W$42"}</definedName>
    <definedName name="_____H1" localSheetId="28">{"'Metretek HTML'!$A$7:$W$42"}</definedName>
    <definedName name="_____H1" localSheetId="33">{"'Metretek HTML'!$A$7:$W$42"}</definedName>
    <definedName name="_____H1" localSheetId="35">{"'Metretek HTML'!$A$7:$W$42"}</definedName>
    <definedName name="_____H1" localSheetId="45">{"'Metretek HTML'!$A$7:$W$42"}</definedName>
    <definedName name="_____H1" localSheetId="13">{"'Metretek HTML'!$A$7:$W$42"}</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 localSheetId="26">{"'Metretek HTML'!$A$7:$W$42"}</definedName>
    <definedName name="____H1" localSheetId="28">{"'Metretek HTML'!$A$7:$W$42"}</definedName>
    <definedName name="____H1" localSheetId="33">{"'Metretek HTML'!$A$7:$W$42"}</definedName>
    <definedName name="____H1" localSheetId="35">{"'Metretek HTML'!$A$7:$W$42"}</definedName>
    <definedName name="____H1" localSheetId="45">{"'Metretek HTML'!$A$7:$W$42"}</definedName>
    <definedName name="____H1" localSheetId="13">{"'Metretek HTML'!$A$7:$W$42"}</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 localSheetId="26">{"'Metretek HTML'!$A$7:$W$42"}</definedName>
    <definedName name="___H1" localSheetId="28">{"'Metretek HTML'!$A$7:$W$42"}</definedName>
    <definedName name="___H1" localSheetId="33">{"'Metretek HTML'!$A$7:$W$42"}</definedName>
    <definedName name="___H1" localSheetId="35">{"'Metretek HTML'!$A$7:$W$42"}</definedName>
    <definedName name="___H1" localSheetId="45">{"'Metretek HTML'!$A$7:$W$42"}</definedName>
    <definedName name="___H1" localSheetId="13">{"'Metretek HTML'!$A$7:$W$42"}</definedName>
    <definedName name="___H1">{"'Metretek HTML'!$A$7:$W$42"}</definedName>
    <definedName name="___huh2" localSheetId="26" hidden="1">{#N/A,#N/A,FALSE,"Dist Rev at PR ";#N/A,#N/A,FALSE,"Spec";#N/A,#N/A,FALSE,"Res";#N/A,#N/A,FALSE,"Small L&amp;P";#N/A,#N/A,FALSE,"Medium L&amp;P";#N/A,#N/A,FALSE,"E-19";#N/A,#N/A,FALSE,"E-20";#N/A,#N/A,FALSE,"Strtlts &amp; Standby";#N/A,#N/A,FALSE,"A-RTP";#N/A,#N/A,FALSE,"2003mixeduse"}</definedName>
    <definedName name="___huh2" localSheetId="28" hidden="1">{#N/A,#N/A,FALSE,"Dist Rev at PR ";#N/A,#N/A,FALSE,"Spec";#N/A,#N/A,FALSE,"Res";#N/A,#N/A,FALSE,"Small L&amp;P";#N/A,#N/A,FALSE,"Medium L&amp;P";#N/A,#N/A,FALSE,"E-19";#N/A,#N/A,FALSE,"E-20";#N/A,#N/A,FALSE,"Strtlts &amp; Standby";#N/A,#N/A,FALSE,"A-RTP";#N/A,#N/A,FALSE,"2003mixeduse"}</definedName>
    <definedName name="___huh2" localSheetId="30" hidden="1">{#N/A,#N/A,FALSE,"Dist Rev at PR ";#N/A,#N/A,FALSE,"Spec";#N/A,#N/A,FALSE,"Res";#N/A,#N/A,FALSE,"Small L&amp;P";#N/A,#N/A,FALSE,"Medium L&amp;P";#N/A,#N/A,FALSE,"E-19";#N/A,#N/A,FALSE,"E-20";#N/A,#N/A,FALSE,"Strtlts &amp; Standby";#N/A,#N/A,FALSE,"A-RTP";#N/A,#N/A,FALSE,"2003mixeduse"}</definedName>
    <definedName name="___huh2" localSheetId="31" hidden="1">{#N/A,#N/A,FALSE,"Dist Rev at PR ";#N/A,#N/A,FALSE,"Spec";#N/A,#N/A,FALSE,"Res";#N/A,#N/A,FALSE,"Small L&amp;P";#N/A,#N/A,FALSE,"Medium L&amp;P";#N/A,#N/A,FALSE,"E-19";#N/A,#N/A,FALSE,"E-20";#N/A,#N/A,FALSE,"Strtlts &amp; Standby";#N/A,#N/A,FALSE,"A-RTP";#N/A,#N/A,FALSE,"2003mixeduse"}</definedName>
    <definedName name="___huh2" localSheetId="33" hidden="1">{#N/A,#N/A,FALSE,"Dist Rev at PR ";#N/A,#N/A,FALSE,"Spec";#N/A,#N/A,FALSE,"Res";#N/A,#N/A,FALSE,"Small L&amp;P";#N/A,#N/A,FALSE,"Medium L&amp;P";#N/A,#N/A,FALSE,"E-19";#N/A,#N/A,FALSE,"E-20";#N/A,#N/A,FALSE,"Strtlts &amp; Standby";#N/A,#N/A,FALSE,"A-RTP";#N/A,#N/A,FALSE,"2003mixeduse"}</definedName>
    <definedName name="___huh2" localSheetId="34" hidden="1">{#N/A,#N/A,FALSE,"Dist Rev at PR ";#N/A,#N/A,FALSE,"Spec";#N/A,#N/A,FALSE,"Res";#N/A,#N/A,FALSE,"Small L&amp;P";#N/A,#N/A,FALSE,"Medium L&amp;P";#N/A,#N/A,FALSE,"E-19";#N/A,#N/A,FALSE,"E-20";#N/A,#N/A,FALSE,"Strtlts &amp; Standby";#N/A,#N/A,FALSE,"A-RTP";#N/A,#N/A,FALSE,"2003mixeduse"}</definedName>
    <definedName name="___huh2" localSheetId="35" hidden="1">{#N/A,#N/A,FALSE,"Dist Rev at PR ";#N/A,#N/A,FALSE,"Spec";#N/A,#N/A,FALSE,"Res";#N/A,#N/A,FALSE,"Small L&amp;P";#N/A,#N/A,FALSE,"Medium L&amp;P";#N/A,#N/A,FALSE,"E-19";#N/A,#N/A,FALSE,"E-20";#N/A,#N/A,FALSE,"Strtlts &amp; Standby";#N/A,#N/A,FALSE,"A-RTP";#N/A,#N/A,FALSE,"2003mixeduse"}</definedName>
    <definedName name="___huh2" localSheetId="36" hidden="1">{#N/A,#N/A,FALSE,"Dist Rev at PR ";#N/A,#N/A,FALSE,"Spec";#N/A,#N/A,FALSE,"Res";#N/A,#N/A,FALSE,"Small L&amp;P";#N/A,#N/A,FALSE,"Medium L&amp;P";#N/A,#N/A,FALSE,"E-19";#N/A,#N/A,FALSE,"E-20";#N/A,#N/A,FALSE,"Strtlts &amp; Standby";#N/A,#N/A,FALSE,"A-RTP";#N/A,#N/A,FALSE,"2003mixeduse"}</definedName>
    <definedName name="___huh2" localSheetId="45" hidden="1">{#N/A,#N/A,FALSE,"Dist Rev at PR ";#N/A,#N/A,FALSE,"Spec";#N/A,#N/A,FALSE,"Res";#N/A,#N/A,FALSE,"Small L&amp;P";#N/A,#N/A,FALSE,"Medium L&amp;P";#N/A,#N/A,FALSE,"E-19";#N/A,#N/A,FALSE,"E-20";#N/A,#N/A,FALSE,"Strtlts &amp; Standby";#N/A,#N/A,FALSE,"A-RTP";#N/A,#N/A,FALSE,"2003mixeduse"}</definedName>
    <definedName name="___huh2" localSheetId="12" hidden="1">{#N/A,#N/A,FALSE,"Dist Rev at PR ";#N/A,#N/A,FALSE,"Spec";#N/A,#N/A,FALSE,"Res";#N/A,#N/A,FALSE,"Small L&amp;P";#N/A,#N/A,FALSE,"Medium L&amp;P";#N/A,#N/A,FALSE,"E-19";#N/A,#N/A,FALSE,"E-20";#N/A,#N/A,FALSE,"Strtlts &amp; Standby";#N/A,#N/A,FALSE,"A-RTP";#N/A,#N/A,FALSE,"2003mixeduse"}</definedName>
    <definedName name="___huh2" localSheetId="13" hidden="1">{#N/A,#N/A,FALSE,"Dist Rev at PR ";#N/A,#N/A,FALSE,"Spec";#N/A,#N/A,FALSE,"Res";#N/A,#N/A,FALSE,"Small L&amp;P";#N/A,#N/A,FALSE,"Medium L&amp;P";#N/A,#N/A,FALSE,"E-19";#N/A,#N/A,FALSE,"E-20";#N/A,#N/A,FALSE,"Strtlts &amp; Standby";#N/A,#N/A,FALSE,"A-RTP";#N/A,#N/A,FALSE,"2003mixeduse"}</definedName>
    <definedName name="___huh2" hidden="1">{#N/A,#N/A,FALSE,"Dist Rev at PR ";#N/A,#N/A,FALSE,"Spec";#N/A,#N/A,FALSE,"Res";#N/A,#N/A,FALSE,"Small L&amp;P";#N/A,#N/A,FALSE,"Medium L&amp;P";#N/A,#N/A,FALSE,"E-19";#N/A,#N/A,FALSE,"E-20";#N/A,#N/A,FALSE,"Strtlts &amp; Standby";#N/A,#N/A,FALSE,"A-RTP";#N/A,#N/A,FALSE,"2003mixeduse"}</definedName>
    <definedName name="___OFF2">'[3]DPLG-APRIL2001-TRANSCHECKOUT'!$AC$2:$AC$10</definedName>
    <definedName name="___PPP1">'[3]DPLG-APRIL2001-TRANSCHECKOUT'!$A$1:$D$27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10" hidden="1">#REF!</definedName>
    <definedName name="__123Graph_A" hidden="1">[4]Sheet3!#REF!</definedName>
    <definedName name="__123Graph_A1991" hidden="1">[4]Sheet3!#REF!</definedName>
    <definedName name="__123Graph_A1992" hidden="1">[4]Sheet3!#REF!</definedName>
    <definedName name="__123Graph_A1993" hidden="1">[4]Sheet3!#REF!</definedName>
    <definedName name="__123Graph_A1994" hidden="1">[4]Sheet3!#REF!</definedName>
    <definedName name="__123Graph_A1995" hidden="1">[4]Sheet3!#REF!</definedName>
    <definedName name="__123Graph_A1996" hidden="1">[4]Sheet3!#REF!</definedName>
    <definedName name="__123Graph_ABAR" hidden="1">[4]Sheet3!#REF!</definedName>
    <definedName name="__123Graph_AGRAPH" localSheetId="10" hidden="1">#REF!</definedName>
    <definedName name="__123Graph_AGRS" localSheetId="10" hidden="1">#REF!</definedName>
    <definedName name="__123Graph_B" localSheetId="10" hidden="1">#REF!</definedName>
    <definedName name="__123Graph_B" hidden="1">[4]Sheet3!#REF!</definedName>
    <definedName name="__123Graph_B1991" hidden="1">[4]Sheet3!#REF!</definedName>
    <definedName name="__123Graph_B1992" hidden="1">[4]Sheet3!#REF!</definedName>
    <definedName name="__123Graph_B1993" hidden="1">[4]Sheet3!#REF!</definedName>
    <definedName name="__123Graph_B1994" hidden="1">[4]Sheet3!#REF!</definedName>
    <definedName name="__123Graph_B1995" hidden="1">[4]Sheet3!#REF!</definedName>
    <definedName name="__123Graph_B1996" hidden="1">[4]Sheet3!#REF!</definedName>
    <definedName name="__123Graph_BBAR" hidden="1">[4]Sheet3!#REF!</definedName>
    <definedName name="__123Graph_BGRAPH" localSheetId="10" hidden="1">#REF!</definedName>
    <definedName name="__123Graph_BGRS" localSheetId="10" hidden="1">#REF!</definedName>
    <definedName name="__123Graph_C" localSheetId="10" hidden="1">#REF!</definedName>
    <definedName name="__123Graph_C" hidden="1">'[5]AL2 151'!#REF!</definedName>
    <definedName name="__123Graph_CBAR" hidden="1">[4]Sheet3!#REF!</definedName>
    <definedName name="__123Graph_CGRAPH" localSheetId="10" hidden="1">#REF!</definedName>
    <definedName name="__123Graph_CGRS" localSheetId="10" hidden="1">#REF!</definedName>
    <definedName name="__123Graph_D" hidden="1">'[5]AL2 151'!#REF!</definedName>
    <definedName name="__123Graph_DBAR" hidden="1">[4]Sheet3!#REF!</definedName>
    <definedName name="__123Graph_DGRAPH" localSheetId="10" hidden="1">#REF!</definedName>
    <definedName name="__123Graph_DGRS" localSheetId="10" hidden="1">#REF!</definedName>
    <definedName name="__123Graph_E" hidden="1">'[5]AL2 151'!#REF!</definedName>
    <definedName name="__123Graph_EBAR" hidden="1">[4]Sheet3!#REF!</definedName>
    <definedName name="__123Graph_F" hidden="1">'[5]AL2 151'!#REF!</definedName>
    <definedName name="__123Graph_FBAR" hidden="1">[4]Sheet3!#REF!</definedName>
    <definedName name="__123Graph_LBL_A" localSheetId="10" hidden="1">#REF!</definedName>
    <definedName name="__123Graph_LBL_EGRAPH" localSheetId="10" hidden="1">#REF!</definedName>
    <definedName name="__123Graph_LBL_EGRS" localSheetId="10" hidden="1">#REF!</definedName>
    <definedName name="__123Graph_X" localSheetId="10" hidden="1">#REF!</definedName>
    <definedName name="__123Graph_X" hidden="1">[4]Sheet3!#REF!</definedName>
    <definedName name="__123Graph_X1991" hidden="1">[4]Sheet3!#REF!</definedName>
    <definedName name="__123Graph_X1992" hidden="1">[4]Sheet3!#REF!</definedName>
    <definedName name="__123Graph_X1993" hidden="1">[4]Sheet3!#REF!</definedName>
    <definedName name="__123Graph_X1994" hidden="1">[4]Sheet3!#REF!</definedName>
    <definedName name="__123Graph_X1995" hidden="1">[4]Sheet3!#REF!</definedName>
    <definedName name="__123Graph_X1996" hidden="1">[4]Sheet3!#REF!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foo1" localSheetId="2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28"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30"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3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33"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34"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3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3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4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1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13"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2" localSheetId="26"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28"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3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3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33"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34"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3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36"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4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1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13"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3" localSheetId="26" hidden="1">{#N/A,#N/A,FALSE,"Res - Unadj";#N/A,#N/A,FALSE,"Small L&amp;P";#N/A,#N/A,FALSE,"Medium L&amp;P";#N/A,#N/A,FALSE,"E-19";#N/A,#N/A,FALSE,"E-20";#N/A,#N/A,FALSE,"A-RTP";#N/A,#N/A,FALSE,"Strtlts &amp; Standby";#N/A,#N/A,FALSE,"AG";#N/A,#N/A,FALSE,"2001mixeduse"}</definedName>
    <definedName name="__foo3" localSheetId="28" hidden="1">{#N/A,#N/A,FALSE,"Res - Unadj";#N/A,#N/A,FALSE,"Small L&amp;P";#N/A,#N/A,FALSE,"Medium L&amp;P";#N/A,#N/A,FALSE,"E-19";#N/A,#N/A,FALSE,"E-20";#N/A,#N/A,FALSE,"A-RTP";#N/A,#N/A,FALSE,"Strtlts &amp; Standby";#N/A,#N/A,FALSE,"AG";#N/A,#N/A,FALSE,"2001mixeduse"}</definedName>
    <definedName name="__foo3" localSheetId="30" hidden="1">{#N/A,#N/A,FALSE,"Res - Unadj";#N/A,#N/A,FALSE,"Small L&amp;P";#N/A,#N/A,FALSE,"Medium L&amp;P";#N/A,#N/A,FALSE,"E-19";#N/A,#N/A,FALSE,"E-20";#N/A,#N/A,FALSE,"A-RTP";#N/A,#N/A,FALSE,"Strtlts &amp; Standby";#N/A,#N/A,FALSE,"AG";#N/A,#N/A,FALSE,"2001mixeduse"}</definedName>
    <definedName name="__foo3" localSheetId="31" hidden="1">{#N/A,#N/A,FALSE,"Res - Unadj";#N/A,#N/A,FALSE,"Small L&amp;P";#N/A,#N/A,FALSE,"Medium L&amp;P";#N/A,#N/A,FALSE,"E-19";#N/A,#N/A,FALSE,"E-20";#N/A,#N/A,FALSE,"A-RTP";#N/A,#N/A,FALSE,"Strtlts &amp; Standby";#N/A,#N/A,FALSE,"AG";#N/A,#N/A,FALSE,"2001mixeduse"}</definedName>
    <definedName name="__foo3" localSheetId="33" hidden="1">{#N/A,#N/A,FALSE,"Res - Unadj";#N/A,#N/A,FALSE,"Small L&amp;P";#N/A,#N/A,FALSE,"Medium L&amp;P";#N/A,#N/A,FALSE,"E-19";#N/A,#N/A,FALSE,"E-20";#N/A,#N/A,FALSE,"A-RTP";#N/A,#N/A,FALSE,"Strtlts &amp; Standby";#N/A,#N/A,FALSE,"AG";#N/A,#N/A,FALSE,"2001mixeduse"}</definedName>
    <definedName name="__foo3" localSheetId="34" hidden="1">{#N/A,#N/A,FALSE,"Res - Unadj";#N/A,#N/A,FALSE,"Small L&amp;P";#N/A,#N/A,FALSE,"Medium L&amp;P";#N/A,#N/A,FALSE,"E-19";#N/A,#N/A,FALSE,"E-20";#N/A,#N/A,FALSE,"A-RTP";#N/A,#N/A,FALSE,"Strtlts &amp; Standby";#N/A,#N/A,FALSE,"AG";#N/A,#N/A,FALSE,"2001mixeduse"}</definedName>
    <definedName name="__foo3" localSheetId="35" hidden="1">{#N/A,#N/A,FALSE,"Res - Unadj";#N/A,#N/A,FALSE,"Small L&amp;P";#N/A,#N/A,FALSE,"Medium L&amp;P";#N/A,#N/A,FALSE,"E-19";#N/A,#N/A,FALSE,"E-20";#N/A,#N/A,FALSE,"A-RTP";#N/A,#N/A,FALSE,"Strtlts &amp; Standby";#N/A,#N/A,FALSE,"AG";#N/A,#N/A,FALSE,"2001mixeduse"}</definedName>
    <definedName name="__foo3" localSheetId="36" hidden="1">{#N/A,#N/A,FALSE,"Res - Unadj";#N/A,#N/A,FALSE,"Small L&amp;P";#N/A,#N/A,FALSE,"Medium L&amp;P";#N/A,#N/A,FALSE,"E-19";#N/A,#N/A,FALSE,"E-20";#N/A,#N/A,FALSE,"A-RTP";#N/A,#N/A,FALSE,"Strtlts &amp; Standby";#N/A,#N/A,FALSE,"AG";#N/A,#N/A,FALSE,"2001mixeduse"}</definedName>
    <definedName name="__foo3" localSheetId="45" hidden="1">{#N/A,#N/A,FALSE,"Res - Unadj";#N/A,#N/A,FALSE,"Small L&amp;P";#N/A,#N/A,FALSE,"Medium L&amp;P";#N/A,#N/A,FALSE,"E-19";#N/A,#N/A,FALSE,"E-20";#N/A,#N/A,FALSE,"A-RTP";#N/A,#N/A,FALSE,"Strtlts &amp; Standby";#N/A,#N/A,FALSE,"AG";#N/A,#N/A,FALSE,"2001mixeduse"}</definedName>
    <definedName name="__foo3" localSheetId="12" hidden="1">{#N/A,#N/A,FALSE,"Res - Unadj";#N/A,#N/A,FALSE,"Small L&amp;P";#N/A,#N/A,FALSE,"Medium L&amp;P";#N/A,#N/A,FALSE,"E-19";#N/A,#N/A,FALSE,"E-20";#N/A,#N/A,FALSE,"A-RTP";#N/A,#N/A,FALSE,"Strtlts &amp; Standby";#N/A,#N/A,FALSE,"AG";#N/A,#N/A,FALSE,"2001mixeduse"}</definedName>
    <definedName name="__foo3" localSheetId="13" hidden="1">{#N/A,#N/A,FALSE,"Res - Unadj";#N/A,#N/A,FALSE,"Small L&amp;P";#N/A,#N/A,FALSE,"Medium L&amp;P";#N/A,#N/A,FALSE,"E-19";#N/A,#N/A,FALSE,"E-20";#N/A,#N/A,FALSE,"A-RTP";#N/A,#N/A,FALSE,"Strtlts &amp; Standby";#N/A,#N/A,FALSE,"AG";#N/A,#N/A,FALSE,"2001mixeduse"}</definedName>
    <definedName name="__foo3" hidden="1">{#N/A,#N/A,FALSE,"Res - Unadj";#N/A,#N/A,FALSE,"Small L&amp;P";#N/A,#N/A,FALSE,"Medium L&amp;P";#N/A,#N/A,FALSE,"E-19";#N/A,#N/A,FALSE,"E-20";#N/A,#N/A,FALSE,"A-RTP";#N/A,#N/A,FALSE,"Strtlts &amp; Standby";#N/A,#N/A,FALSE,"AG";#N/A,#N/A,FALSE,"2001mixeduse"}</definedName>
    <definedName name="__foo4" localSheetId="26" hidden="1">{"Summary","1",FALSE,"Summary"}</definedName>
    <definedName name="__foo4" localSheetId="28" hidden="1">{"Summary","1",FALSE,"Summary"}</definedName>
    <definedName name="__foo4" localSheetId="30" hidden="1">{"Summary","1",FALSE,"Summary"}</definedName>
    <definedName name="__foo4" localSheetId="31" hidden="1">{"Summary","1",FALSE,"Summary"}</definedName>
    <definedName name="__foo4" localSheetId="33" hidden="1">{"Summary","1",FALSE,"Summary"}</definedName>
    <definedName name="__foo4" localSheetId="34" hidden="1">{"Summary","1",FALSE,"Summary"}</definedName>
    <definedName name="__foo4" localSheetId="35" hidden="1">{"Summary","1",FALSE,"Summary"}</definedName>
    <definedName name="__foo4" localSheetId="36" hidden="1">{"Summary","1",FALSE,"Summary"}</definedName>
    <definedName name="__foo4" localSheetId="45" hidden="1">{"Summary","1",FALSE,"Summary"}</definedName>
    <definedName name="__foo4" localSheetId="12" hidden="1">{"Summary","1",FALSE,"Summary"}</definedName>
    <definedName name="__foo4" localSheetId="13" hidden="1">{"Summary","1",FALSE,"Summary"}</definedName>
    <definedName name="__foo4" hidden="1">{"Summary","1",FALSE,"Summary"}</definedName>
    <definedName name="__FPMExcelClient_CellBasedFunctionStatus" localSheetId="39">"2_1_2_2_2_2"</definedName>
    <definedName name="__FPMExcelClient_CellBasedFunctionStatus" localSheetId="38">"2_1_2_2_2_2"</definedName>
    <definedName name="__H1" localSheetId="26">{"'Metretek HTML'!$A$7:$W$42"}</definedName>
    <definedName name="__H1" localSheetId="28">{"'Metretek HTML'!$A$7:$W$42"}</definedName>
    <definedName name="__H1" localSheetId="33">{"'Metretek HTML'!$A$7:$W$42"}</definedName>
    <definedName name="__H1" localSheetId="35">{"'Metretek HTML'!$A$7:$W$42"}</definedName>
    <definedName name="__H1" localSheetId="45">{"'Metretek HTML'!$A$7:$W$42"}</definedName>
    <definedName name="__H1" localSheetId="13">{"'Metretek HTML'!$A$7:$W$42"}</definedName>
    <definedName name="__H1">{"'Metretek HTML'!$A$7:$W$42"}</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localSheetId="26" hidden="1">{"assumptions",#N/A,FALSE,"Scenario 1";"valuation",#N/A,FALSE,"Scenario 1"}</definedName>
    <definedName name="__tet12" localSheetId="28" hidden="1">{"assumptions",#N/A,FALSE,"Scenario 1";"valuation",#N/A,FALSE,"Scenario 1"}</definedName>
    <definedName name="__tet12" localSheetId="33" hidden="1">{"assumptions",#N/A,FALSE,"Scenario 1";"valuation",#N/A,FALSE,"Scenario 1"}</definedName>
    <definedName name="__tet12" localSheetId="35" hidden="1">{"assumptions",#N/A,FALSE,"Scenario 1";"valuation",#N/A,FALSE,"Scenario 1"}</definedName>
    <definedName name="__tet12" localSheetId="45" hidden="1">{"assumptions",#N/A,FALSE,"Scenario 1";"valuation",#N/A,FALSE,"Scenario 1"}</definedName>
    <definedName name="__tet12" localSheetId="13" hidden="1">{"assumptions",#N/A,FALSE,"Scenario 1";"valuation",#N/A,FALSE,"Scenario 1"}</definedName>
    <definedName name="__tet12" hidden="1">{"assumptions",#N/A,FALSE,"Scenario 1";"valuation",#N/A,FALSE,"Scenario 1"}</definedName>
    <definedName name="__tet5" localSheetId="26" hidden="1">{"assumptions",#N/A,FALSE,"Scenario 1";"valuation",#N/A,FALSE,"Scenario 1"}</definedName>
    <definedName name="__tet5" localSheetId="28" hidden="1">{"assumptions",#N/A,FALSE,"Scenario 1";"valuation",#N/A,FALSE,"Scenario 1"}</definedName>
    <definedName name="__tet5" localSheetId="33" hidden="1">{"assumptions",#N/A,FALSE,"Scenario 1";"valuation",#N/A,FALSE,"Scenario 1"}</definedName>
    <definedName name="__tet5" localSheetId="35" hidden="1">{"assumptions",#N/A,FALSE,"Scenario 1";"valuation",#N/A,FALSE,"Scenario 1"}</definedName>
    <definedName name="__tet5" localSheetId="45" hidden="1">{"assumptions",#N/A,FALSE,"Scenario 1";"valuation",#N/A,FALSE,"Scenario 1"}</definedName>
    <definedName name="__tet5" localSheetId="13"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'[6]QRE Charts'!$D$223:$R$223</definedName>
    <definedName name="_10__123Graph_BQRE_S_BY_TYPE" hidden="1">'[2]QRE''s'!$D$100:$R$100</definedName>
    <definedName name="_11__123Graph_BCONTRACT_BY_B_U" hidden="1">'[6]QRE Charts'!$D$276:$Q$276</definedName>
    <definedName name="_11__123Graph_BSENS_COMPARISON" hidden="1">'[2]QRE Charts'!$E$366:$O$366</definedName>
    <definedName name="_12__123Graph_BQRE_S_BY_CO." hidden="1">'[6]QRE Charts'!$D$302:$R$302</definedName>
    <definedName name="_12__123Graph_BSUPPLIES_BY_B_U" hidden="1">'[2]QRE Charts'!$D$250:$Q$250</definedName>
    <definedName name="_123Graph_B.1" hidden="1">#REF!</definedName>
    <definedName name="_13__123Graph_BQRE_S_BY_TYPE" hidden="1">'[6]QRE''s'!$D$100:$R$100</definedName>
    <definedName name="_13__123Graph_BTAX_CREDIT" hidden="1">'[2]QRE Charts'!$E$332:$E$342</definedName>
    <definedName name="_14__123Graph_BSENS_COMPARISON" hidden="1">'[6]QRE Charts'!$E$366:$O$366</definedName>
    <definedName name="_14__123Graph_BWAGES_BY_B_U" hidden="1">'[2]QRE Charts'!$D$224:$R$224</definedName>
    <definedName name="_15__123Graph_BSUPPLIES_BY_B_U" hidden="1">'[6]QRE Charts'!$D$250:$Q$250</definedName>
    <definedName name="_15__123Graph_CCONTRACT_BY_B_U" hidden="1">'[2]QRE Charts'!$D$277:$Q$277</definedName>
    <definedName name="_16__123Graph_BTAX_CREDIT" hidden="1">'[6]QRE Charts'!$E$332:$E$342</definedName>
    <definedName name="_16__123Graph_CQRE_S_BY_CO." hidden="1">'[2]QRE Charts'!$D$303:$R$303</definedName>
    <definedName name="_17__123Graph_BWAGES_BY_B_U" hidden="1">'[6]QRE Charts'!$D$224:$R$224</definedName>
    <definedName name="_17__123Graph_CQRE_S_BY_TYPE" hidden="1">'[2]QRE''s'!$D$101:$R$101</definedName>
    <definedName name="_18__123Graph_CCONTRACT_BY_B_U" hidden="1">'[6]QRE Charts'!$D$277:$Q$277</definedName>
    <definedName name="_18__123Graph_CSENS_COMPARISON" hidden="1">'[2]QRE Charts'!$E$367:$O$367</definedName>
    <definedName name="_19__123Graph_CQRE_S_BY_CO." hidden="1">'[6]QRE Charts'!$D$303:$R$303</definedName>
    <definedName name="_19__123Graph_CSUPPLIES_BY_B_U" hidden="1">'[2]QRE Charts'!$D$251:$Q$251</definedName>
    <definedName name="_1E_1">#N/A</definedName>
    <definedName name="_1K" hidden="1">[7]Masterdata!#REF!</definedName>
    <definedName name="_2__123Graph_AQRE_S_BY_CO." hidden="1">'[2]QRE Charts'!$D$301:$R$301</definedName>
    <definedName name="_20__123Graph_CQRE_S_BY_TYPE" hidden="1">'[6]QRE''s'!$D$101:$R$101</definedName>
    <definedName name="_20__123Graph_CWAGES_BY_B_U" hidden="1">'[2]QRE Charts'!$D$225:$R$225</definedName>
    <definedName name="_21__123Graph_CSENS_COMPARISON" hidden="1">'[6]QRE Charts'!$E$367:$O$367</definedName>
    <definedName name="_21__123Graph_DCONTRACT_BY_B_U" hidden="1">'[2]QRE Charts'!$D$278:$Q$278</definedName>
    <definedName name="_22__123Graph_CSUPPLIES_BY_B_U" hidden="1">'[6]QRE Charts'!$D$251:$Q$251</definedName>
    <definedName name="_22__123Graph_DQRE_S_BY_CO." hidden="1">'[2]QRE Charts'!$D$304:$R$304</definedName>
    <definedName name="_23__123Graph_CWAGES_BY_B_U" hidden="1">'[6]QRE Charts'!$D$225:$R$225</definedName>
    <definedName name="_23__123Graph_DSUPPLIES_BY_B_U" hidden="1">'[2]QRE Charts'!$D$252:$Q$252</definedName>
    <definedName name="_24__123Graph_DCONTRACT_BY_B_U" hidden="1">'[6]QRE Charts'!$D$278:$Q$278</definedName>
    <definedName name="_24__123Graph_DWAGES_BY_B_U" hidden="1">'[2]QRE Charts'!$D$226:$R$226</definedName>
    <definedName name="_25__123Graph_DQRE_S_BY_CO." hidden="1">'[6]QRE Charts'!$D$304:$R$304</definedName>
    <definedName name="_25__123Graph_ECONTRACT_BY_B_U" hidden="1">'[2]QRE Charts'!$D$279:$Q$279</definedName>
    <definedName name="_26__123Graph_DSUPPLIES_BY_B_U" hidden="1">'[6]QRE Charts'!$D$252:$Q$252</definedName>
    <definedName name="_26__123Graph_EQRE_S_BY_CO." hidden="1">'[2]QRE Charts'!$D$305:$R$305</definedName>
    <definedName name="_27__123Graph_DWAGES_BY_B_U" hidden="1">'[6]QRE Charts'!$D$226:$R$226</definedName>
    <definedName name="_27__123Graph_ESUPPLIES_BY_B_U" hidden="1">'[2]QRE Charts'!$D$253:$Q$253</definedName>
    <definedName name="_28__123Graph_ECONTRACT_BY_B_U" hidden="1">'[6]QRE Charts'!$D$279:$Q$279</definedName>
    <definedName name="_28__123Graph_EWAGES_BY_B_U" hidden="1">'[2]QRE Charts'!$D$227:$R$227</definedName>
    <definedName name="_29__123Graph_EQRE_S_BY_CO." hidden="1">'[6]QRE Charts'!$D$305:$R$305</definedName>
    <definedName name="_29__123Graph_FCONTRACT_BY_B_U" hidden="1">'[2]QRE Charts'!$D$280:$Q$280</definedName>
    <definedName name="_2K" hidden="1">[7]Masterdata!#REF!</definedName>
    <definedName name="_2S" hidden="1">[7]Masterdata!#REF!</definedName>
    <definedName name="_3__123Graph_AQRE_S_BY_TYPE" hidden="1">'[2]QRE''s'!$D$99:$R$99</definedName>
    <definedName name="_30__123Graph_ESUPPLIES_BY_B_U" hidden="1">'[6]QRE Charts'!$D$253:$Q$253</definedName>
    <definedName name="_30__123Graph_FQRE_S_BY_CO." hidden="1">'[2]QRE Charts'!$D$306:$R$306</definedName>
    <definedName name="_31__123Graph_EWAGES_BY_B_U" hidden="1">'[6]QRE Charts'!$D$227:$R$227</definedName>
    <definedName name="_31__123Graph_FSUPPLIES_BY_B_U" hidden="1">'[2]QRE Charts'!$D$254:$Q$254</definedName>
    <definedName name="_31_Dec_00">#REF!</definedName>
    <definedName name="_31_Jan_01">#REF!</definedName>
    <definedName name="_32__123Graph_FCONTRACT_BY_B_U" hidden="1">'[6]QRE Charts'!$D$280:$Q$280</definedName>
    <definedName name="_32__123Graph_FWAGES_BY_B_U" hidden="1">'[2]QRE Charts'!$D$228:$R$228</definedName>
    <definedName name="_33__123Graph_FQRE_S_BY_CO." hidden="1">'[6]QRE Charts'!$D$306:$R$306</definedName>
    <definedName name="_33__123Graph_XCONTRACT_BY_B_U" hidden="1">'[2]QRE Charts'!$D$222:$R$222</definedName>
    <definedName name="_34__123Graph_FSUPPLIES_BY_B_U" hidden="1">'[6]QRE Charts'!$D$254:$Q$254</definedName>
    <definedName name="_34__123Graph_XQRE_S_BY_CO." hidden="1">'[2]QRE Charts'!$D$222:$R$222</definedName>
    <definedName name="_35__123Graph_FWAGES_BY_B_U" hidden="1">'[6]QRE Charts'!$D$228:$R$228</definedName>
    <definedName name="_35__123Graph_XQRE_S_BY_TYPE" hidden="1">'[2]QRE Charts'!$D$222:$R$222</definedName>
    <definedName name="_36__123Graph_XCONTRACT_BY_B_U" hidden="1">'[6]QRE Charts'!$D$222:$R$222</definedName>
    <definedName name="_36__123Graph_XSUPPLIES_BY_B_U" hidden="1">'[2]QRE Charts'!$D$222:$R$222</definedName>
    <definedName name="_37__123Graph_XQRE_S_BY_CO." hidden="1">'[6]QRE Charts'!$D$222:$R$222</definedName>
    <definedName name="_37__123Graph_XTAX_CREDIT" hidden="1">'[2]QRE Charts'!$C$332:$C$342</definedName>
    <definedName name="_38__123Graph_XQRE_S_BY_TYPE" hidden="1">'[6]QRE Charts'!$D$222:$R$222</definedName>
    <definedName name="_39__123Graph_XSUPPLIES_BY_B_U" hidden="1">'[6]QRE Charts'!$D$222:$R$222</definedName>
    <definedName name="_4__123Graph_ACONTRACT_BY_B_U" hidden="1">'[6]QRE Charts'!$D$275:$Q$275</definedName>
    <definedName name="_4__123Graph_ASENS_COMPARISON" hidden="1">'[2]QRE Charts'!$E$365:$O$365</definedName>
    <definedName name="_40__123Graph_XTAX_CREDIT" hidden="1">'[6]QRE Charts'!$C$332:$C$342</definedName>
    <definedName name="_4S" hidden="1">[7]Masterdata!#REF!</definedName>
    <definedName name="_5__123Graph_AQRE_S_BY_CO." hidden="1">'[6]QRE Charts'!$D$301:$R$301</definedName>
    <definedName name="_5__123Graph_ASUPPLIES_BY_B_U" hidden="1">'[2]QRE Charts'!$D$249:$Q$249</definedName>
    <definedName name="_6__123Graph_AQRE_S_BY_TYPE" hidden="1">'[6]QRE''s'!$D$99:$R$99</definedName>
    <definedName name="_6__123Graph_ATAX_CREDIT" hidden="1">'[2]QRE Charts'!$D$332:$D$342</definedName>
    <definedName name="_7__123Graph_ASENS_COMPARISON" hidden="1">'[6]QRE Charts'!$E$365:$O$365</definedName>
    <definedName name="_7__123Graph_AWAGES_BY_B_U" hidden="1">'[2]QRE Charts'!$D$223:$R$223</definedName>
    <definedName name="_8__123Graph_ASUPPLIES_BY_B_U" hidden="1">'[6]QRE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'[6]QRE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bdm.DA90C587C9374C5A8F37C549C9BCDD3D.edm" localSheetId="20" hidden="1">#REF!</definedName>
    <definedName name="_bdm.DA90C587C9374C5A8F37C549C9BCDD3D.edm" localSheetId="21" hidden="1">#REF!</definedName>
    <definedName name="_bdm.DA90C587C9374C5A8F37C549C9BCDD3D.edm" localSheetId="23" hidden="1">#REF!</definedName>
    <definedName name="_bdm.DA90C587C9374C5A8F37C549C9BCDD3D.edm" localSheetId="22" hidden="1">#REF!</definedName>
    <definedName name="_bdm.DA90C587C9374C5A8F37C549C9BCDD3D.edm" localSheetId="24" hidden="1">#REF!</definedName>
    <definedName name="_bdm.DA90C587C9374C5A8F37C549C9BCDD3D.edm" localSheetId="25" hidden="1">#REF!</definedName>
    <definedName name="_bdm.DA90C587C9374C5A8F37C549C9BCDD3D.edm" localSheetId="26" hidden="1">#REF!</definedName>
    <definedName name="_bdm.DA90C587C9374C5A8F37C549C9BCDD3D.edm" localSheetId="27" hidden="1">#REF!</definedName>
    <definedName name="_bdm.DA90C587C9374C5A8F37C549C9BCDD3D.edm" localSheetId="28" hidden="1">#REF!</definedName>
    <definedName name="_bdm.DA90C587C9374C5A8F37C549C9BCDD3D.edm" localSheetId="30" hidden="1">#REF!</definedName>
    <definedName name="_bdm.DA90C587C9374C5A8F37C549C9BCDD3D.edm" localSheetId="31" hidden="1">#REF!</definedName>
    <definedName name="_bdm.DA90C587C9374C5A8F37C549C9BCDD3D.edm" localSheetId="32" hidden="1">#REF!</definedName>
    <definedName name="_bdm.DA90C587C9374C5A8F37C549C9BCDD3D.edm" localSheetId="33" hidden="1">#REF!</definedName>
    <definedName name="_bdm.DA90C587C9374C5A8F37C549C9BCDD3D.edm" localSheetId="37" hidden="1">#REF!</definedName>
    <definedName name="_bdm.DA90C587C9374C5A8F37C549C9BCDD3D.edm" localSheetId="40" hidden="1">#REF!</definedName>
    <definedName name="_bdm.DA90C587C9374C5A8F37C549C9BCDD3D.edm" localSheetId="42" hidden="1">#REF!</definedName>
    <definedName name="_bdm.DA90C587C9374C5A8F37C549C9BCDD3D.edm" localSheetId="44" hidden="1">#REF!</definedName>
    <definedName name="_bdm.DA90C587C9374C5A8F37C549C9BCDD3D.edm" localSheetId="45" hidden="1">#REF!</definedName>
    <definedName name="_bdm.DA90C587C9374C5A8F37C549C9BCDD3D.edm" localSheetId="46" hidden="1">#REF!</definedName>
    <definedName name="_bdm.DA90C587C9374C5A8F37C549C9BCDD3D.edm" localSheetId="5" hidden="1">#REF!</definedName>
    <definedName name="_bdm.DA90C587C9374C5A8F37C549C9BCDD3D.edm" localSheetId="6" hidden="1">#REF!</definedName>
    <definedName name="_bdm.DA90C587C9374C5A8F37C549C9BCDD3D.edm" localSheetId="10" hidden="1">#REF!</definedName>
    <definedName name="_bdm.DA90C587C9374C5A8F37C549C9BCDD3D.edm" localSheetId="12" hidden="1">#REF!</definedName>
    <definedName name="_bdm.DA90C587C9374C5A8F37C549C9BCDD3D.edm" localSheetId="13" hidden="1">#REF!</definedName>
    <definedName name="_bdm.DA90C587C9374C5A8F37C549C9BCDD3D.edm" localSheetId="14" hidden="1">#REF!</definedName>
    <definedName name="_bdm.DA90C587C9374C5A8F37C549C9BCDD3D.edm" localSheetId="15" hidden="1">#REF!</definedName>
    <definedName name="_bdm.DA90C587C9374C5A8F37C549C9BCDD3D.edm" hidden="1">#REF!</definedName>
    <definedName name="_dat1111">[1]Sheet1!$G$2:$G$29</definedName>
    <definedName name="_Dist_Bin" hidden="1">#REF!</definedName>
    <definedName name="_Dist_Values" hidden="1">#REF!</definedName>
    <definedName name="_FEB01" localSheetId="26" hidden="1">{#N/A,#N/A,FALSE,"EMPPAY"}</definedName>
    <definedName name="_FEB01" localSheetId="28" hidden="1">{#N/A,#N/A,FALSE,"EMPPAY"}</definedName>
    <definedName name="_FEB01" localSheetId="33" hidden="1">{#N/A,#N/A,FALSE,"EMPPAY"}</definedName>
    <definedName name="_FEB01" localSheetId="35" hidden="1">{#N/A,#N/A,FALSE,"EMPPAY"}</definedName>
    <definedName name="_FEB01" localSheetId="45" hidden="1">{#N/A,#N/A,FALSE,"EMPPAY"}</definedName>
    <definedName name="_FEB01" localSheetId="13" hidden="1">{#N/A,#N/A,FALSE,"EMPPAY"}</definedName>
    <definedName name="_FEB01" hidden="1">{#N/A,#N/A,FALSE,"EMPPAY"}</definedName>
    <definedName name="_Fill" localSheetId="26" hidden="1">#REF!</definedName>
    <definedName name="_Fill" localSheetId="28" hidden="1">#REF!</definedName>
    <definedName name="_Fill" localSheetId="30" hidden="1">#REF!</definedName>
    <definedName name="_Fill" localSheetId="31" hidden="1">#REF!</definedName>
    <definedName name="_Fill" localSheetId="33" hidden="1">#REF!</definedName>
    <definedName name="_Fill" localSheetId="35" hidden="1">#REF!</definedName>
    <definedName name="_Fill" localSheetId="45" hidden="1">#REF!</definedName>
    <definedName name="_Fill" localSheetId="13" hidden="1">#REF!</definedName>
    <definedName name="_Fill" hidden="1">#REF!</definedName>
    <definedName name="_Fill.1" localSheetId="26" hidden="1">#REF!</definedName>
    <definedName name="_Fill.1" localSheetId="28" hidden="1">#REF!</definedName>
    <definedName name="_Fill.1" localSheetId="33" hidden="1">#REF!</definedName>
    <definedName name="_Fill.1" localSheetId="35" hidden="1">#REF!</definedName>
    <definedName name="_Fill.1" localSheetId="45" hidden="1">#REF!</definedName>
    <definedName name="_Fill.1" localSheetId="13" hidden="1">#REF!</definedName>
    <definedName name="_Fill.1" hidden="1">#REF!</definedName>
    <definedName name="_foo1" localSheetId="2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28"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30"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3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33"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34"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3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3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4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1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13"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2" localSheetId="26"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28"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3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3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33"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34"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3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36"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4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1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13"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3" localSheetId="26" hidden="1">{#N/A,#N/A,FALSE,"Res - Unadj";#N/A,#N/A,FALSE,"Small L&amp;P";#N/A,#N/A,FALSE,"Medium L&amp;P";#N/A,#N/A,FALSE,"E-19";#N/A,#N/A,FALSE,"E-20";#N/A,#N/A,FALSE,"A-RTP";#N/A,#N/A,FALSE,"Strtlts &amp; Standby";#N/A,#N/A,FALSE,"AG";#N/A,#N/A,FALSE,"2001mixeduse"}</definedName>
    <definedName name="_foo3" localSheetId="28" hidden="1">{#N/A,#N/A,FALSE,"Res - Unadj";#N/A,#N/A,FALSE,"Small L&amp;P";#N/A,#N/A,FALSE,"Medium L&amp;P";#N/A,#N/A,FALSE,"E-19";#N/A,#N/A,FALSE,"E-20";#N/A,#N/A,FALSE,"A-RTP";#N/A,#N/A,FALSE,"Strtlts &amp; Standby";#N/A,#N/A,FALSE,"AG";#N/A,#N/A,FALSE,"2001mixeduse"}</definedName>
    <definedName name="_foo3" localSheetId="30" hidden="1">{#N/A,#N/A,FALSE,"Res - Unadj";#N/A,#N/A,FALSE,"Small L&amp;P";#N/A,#N/A,FALSE,"Medium L&amp;P";#N/A,#N/A,FALSE,"E-19";#N/A,#N/A,FALSE,"E-20";#N/A,#N/A,FALSE,"A-RTP";#N/A,#N/A,FALSE,"Strtlts &amp; Standby";#N/A,#N/A,FALSE,"AG";#N/A,#N/A,FALSE,"2001mixeduse"}</definedName>
    <definedName name="_foo3" localSheetId="31" hidden="1">{#N/A,#N/A,FALSE,"Res - Unadj";#N/A,#N/A,FALSE,"Small L&amp;P";#N/A,#N/A,FALSE,"Medium L&amp;P";#N/A,#N/A,FALSE,"E-19";#N/A,#N/A,FALSE,"E-20";#N/A,#N/A,FALSE,"A-RTP";#N/A,#N/A,FALSE,"Strtlts &amp; Standby";#N/A,#N/A,FALSE,"AG";#N/A,#N/A,FALSE,"2001mixeduse"}</definedName>
    <definedName name="_foo3" localSheetId="33" hidden="1">{#N/A,#N/A,FALSE,"Res - Unadj";#N/A,#N/A,FALSE,"Small L&amp;P";#N/A,#N/A,FALSE,"Medium L&amp;P";#N/A,#N/A,FALSE,"E-19";#N/A,#N/A,FALSE,"E-20";#N/A,#N/A,FALSE,"A-RTP";#N/A,#N/A,FALSE,"Strtlts &amp; Standby";#N/A,#N/A,FALSE,"AG";#N/A,#N/A,FALSE,"2001mixeduse"}</definedName>
    <definedName name="_foo3" localSheetId="34" hidden="1">{#N/A,#N/A,FALSE,"Res - Unadj";#N/A,#N/A,FALSE,"Small L&amp;P";#N/A,#N/A,FALSE,"Medium L&amp;P";#N/A,#N/A,FALSE,"E-19";#N/A,#N/A,FALSE,"E-20";#N/A,#N/A,FALSE,"A-RTP";#N/A,#N/A,FALSE,"Strtlts &amp; Standby";#N/A,#N/A,FALSE,"AG";#N/A,#N/A,FALSE,"2001mixeduse"}</definedName>
    <definedName name="_foo3" localSheetId="35" hidden="1">{#N/A,#N/A,FALSE,"Res - Unadj";#N/A,#N/A,FALSE,"Small L&amp;P";#N/A,#N/A,FALSE,"Medium L&amp;P";#N/A,#N/A,FALSE,"E-19";#N/A,#N/A,FALSE,"E-20";#N/A,#N/A,FALSE,"A-RTP";#N/A,#N/A,FALSE,"Strtlts &amp; Standby";#N/A,#N/A,FALSE,"AG";#N/A,#N/A,FALSE,"2001mixeduse"}</definedName>
    <definedName name="_foo3" localSheetId="36" hidden="1">{#N/A,#N/A,FALSE,"Res - Unadj";#N/A,#N/A,FALSE,"Small L&amp;P";#N/A,#N/A,FALSE,"Medium L&amp;P";#N/A,#N/A,FALSE,"E-19";#N/A,#N/A,FALSE,"E-20";#N/A,#N/A,FALSE,"A-RTP";#N/A,#N/A,FALSE,"Strtlts &amp; Standby";#N/A,#N/A,FALSE,"AG";#N/A,#N/A,FALSE,"2001mixeduse"}</definedName>
    <definedName name="_foo3" localSheetId="45" hidden="1">{#N/A,#N/A,FALSE,"Res - Unadj";#N/A,#N/A,FALSE,"Small L&amp;P";#N/A,#N/A,FALSE,"Medium L&amp;P";#N/A,#N/A,FALSE,"E-19";#N/A,#N/A,FALSE,"E-20";#N/A,#N/A,FALSE,"A-RTP";#N/A,#N/A,FALSE,"Strtlts &amp; Standby";#N/A,#N/A,FALSE,"AG";#N/A,#N/A,FALSE,"2001mixeduse"}</definedName>
    <definedName name="_foo3" localSheetId="12" hidden="1">{#N/A,#N/A,FALSE,"Res - Unadj";#N/A,#N/A,FALSE,"Small L&amp;P";#N/A,#N/A,FALSE,"Medium L&amp;P";#N/A,#N/A,FALSE,"E-19";#N/A,#N/A,FALSE,"E-20";#N/A,#N/A,FALSE,"A-RTP";#N/A,#N/A,FALSE,"Strtlts &amp; Standby";#N/A,#N/A,FALSE,"AG";#N/A,#N/A,FALSE,"2001mixeduse"}</definedName>
    <definedName name="_foo3" localSheetId="13" hidden="1">{#N/A,#N/A,FALSE,"Res - Unadj";#N/A,#N/A,FALSE,"Small L&amp;P";#N/A,#N/A,FALSE,"Medium L&amp;P";#N/A,#N/A,FALSE,"E-19";#N/A,#N/A,FALSE,"E-20";#N/A,#N/A,FALSE,"A-RTP";#N/A,#N/A,FALSE,"Strtlts &amp; Standby";#N/A,#N/A,FALSE,"AG";#N/A,#N/A,FALSE,"2001mixeduse"}</definedName>
    <definedName name="_foo3" hidden="1">{#N/A,#N/A,FALSE,"Res - Unadj";#N/A,#N/A,FALSE,"Small L&amp;P";#N/A,#N/A,FALSE,"Medium L&amp;P";#N/A,#N/A,FALSE,"E-19";#N/A,#N/A,FALSE,"E-20";#N/A,#N/A,FALSE,"A-RTP";#N/A,#N/A,FALSE,"Strtlts &amp; Standby";#N/A,#N/A,FALSE,"AG";#N/A,#N/A,FALSE,"2001mixeduse"}</definedName>
    <definedName name="_foo4" localSheetId="26" hidden="1">{"Summary","1",FALSE,"Summary"}</definedName>
    <definedName name="_foo4" localSheetId="28" hidden="1">{"Summary","1",FALSE,"Summary"}</definedName>
    <definedName name="_foo4" localSheetId="30" hidden="1">{"Summary","1",FALSE,"Summary"}</definedName>
    <definedName name="_foo4" localSheetId="31" hidden="1">{"Summary","1",FALSE,"Summary"}</definedName>
    <definedName name="_foo4" localSheetId="33" hidden="1">{"Summary","1",FALSE,"Summary"}</definedName>
    <definedName name="_foo4" localSheetId="34" hidden="1">{"Summary","1",FALSE,"Summary"}</definedName>
    <definedName name="_foo4" localSheetId="35" hidden="1">{"Summary","1",FALSE,"Summary"}</definedName>
    <definedName name="_foo4" localSheetId="36" hidden="1">{"Summary","1",FALSE,"Summary"}</definedName>
    <definedName name="_foo4" localSheetId="45" hidden="1">{"Summary","1",FALSE,"Summary"}</definedName>
    <definedName name="_foo4" localSheetId="12" hidden="1">{"Summary","1",FALSE,"Summary"}</definedName>
    <definedName name="_foo4" localSheetId="13" hidden="1">{"Summary","1",FALSE,"Summary"}</definedName>
    <definedName name="_foo4" hidden="1">{"Summary","1",FALSE,"Summary"}</definedName>
    <definedName name="_H1" localSheetId="26">{"'Metretek HTML'!$A$7:$W$42"}</definedName>
    <definedName name="_H1" localSheetId="28">{"'Metretek HTML'!$A$7:$W$42"}</definedName>
    <definedName name="_H1" localSheetId="33">{"'Metretek HTML'!$A$7:$W$42"}</definedName>
    <definedName name="_H1" localSheetId="35">{"'Metretek HTML'!$A$7:$W$42"}</definedName>
    <definedName name="_H1" localSheetId="45">{"'Metretek HTML'!$A$7:$W$42"}</definedName>
    <definedName name="_H1" localSheetId="13">{"'Metretek HTML'!$A$7:$W$42"}</definedName>
    <definedName name="_H1">{"'Metretek HTML'!$A$7:$W$42"}</definedName>
    <definedName name="_huh2" localSheetId="26" hidden="1">{#N/A,#N/A,FALSE,"Dist Rev at PR ";#N/A,#N/A,FALSE,"Spec";#N/A,#N/A,FALSE,"Res";#N/A,#N/A,FALSE,"Small L&amp;P";#N/A,#N/A,FALSE,"Medium L&amp;P";#N/A,#N/A,FALSE,"E-19";#N/A,#N/A,FALSE,"E-20";#N/A,#N/A,FALSE,"Strtlts &amp; Standby";#N/A,#N/A,FALSE,"A-RTP";#N/A,#N/A,FALSE,"2003mixeduse"}</definedName>
    <definedName name="_huh2" localSheetId="28" hidden="1">{#N/A,#N/A,FALSE,"Dist Rev at PR ";#N/A,#N/A,FALSE,"Spec";#N/A,#N/A,FALSE,"Res";#N/A,#N/A,FALSE,"Small L&amp;P";#N/A,#N/A,FALSE,"Medium L&amp;P";#N/A,#N/A,FALSE,"E-19";#N/A,#N/A,FALSE,"E-20";#N/A,#N/A,FALSE,"Strtlts &amp; Standby";#N/A,#N/A,FALSE,"A-RTP";#N/A,#N/A,FALSE,"2003mixeduse"}</definedName>
    <definedName name="_huh2" localSheetId="30" hidden="1">{#N/A,#N/A,FALSE,"Dist Rev at PR ";#N/A,#N/A,FALSE,"Spec";#N/A,#N/A,FALSE,"Res";#N/A,#N/A,FALSE,"Small L&amp;P";#N/A,#N/A,FALSE,"Medium L&amp;P";#N/A,#N/A,FALSE,"E-19";#N/A,#N/A,FALSE,"E-20";#N/A,#N/A,FALSE,"Strtlts &amp; Standby";#N/A,#N/A,FALSE,"A-RTP";#N/A,#N/A,FALSE,"2003mixeduse"}</definedName>
    <definedName name="_huh2" localSheetId="31" hidden="1">{#N/A,#N/A,FALSE,"Dist Rev at PR ";#N/A,#N/A,FALSE,"Spec";#N/A,#N/A,FALSE,"Res";#N/A,#N/A,FALSE,"Small L&amp;P";#N/A,#N/A,FALSE,"Medium L&amp;P";#N/A,#N/A,FALSE,"E-19";#N/A,#N/A,FALSE,"E-20";#N/A,#N/A,FALSE,"Strtlts &amp; Standby";#N/A,#N/A,FALSE,"A-RTP";#N/A,#N/A,FALSE,"2003mixeduse"}</definedName>
    <definedName name="_huh2" localSheetId="33" hidden="1">{#N/A,#N/A,FALSE,"Dist Rev at PR ";#N/A,#N/A,FALSE,"Spec";#N/A,#N/A,FALSE,"Res";#N/A,#N/A,FALSE,"Small L&amp;P";#N/A,#N/A,FALSE,"Medium L&amp;P";#N/A,#N/A,FALSE,"E-19";#N/A,#N/A,FALSE,"E-20";#N/A,#N/A,FALSE,"Strtlts &amp; Standby";#N/A,#N/A,FALSE,"A-RTP";#N/A,#N/A,FALSE,"2003mixeduse"}</definedName>
    <definedName name="_huh2" localSheetId="34" hidden="1">{#N/A,#N/A,FALSE,"Dist Rev at PR ";#N/A,#N/A,FALSE,"Spec";#N/A,#N/A,FALSE,"Res";#N/A,#N/A,FALSE,"Small L&amp;P";#N/A,#N/A,FALSE,"Medium L&amp;P";#N/A,#N/A,FALSE,"E-19";#N/A,#N/A,FALSE,"E-20";#N/A,#N/A,FALSE,"Strtlts &amp; Standby";#N/A,#N/A,FALSE,"A-RTP";#N/A,#N/A,FALSE,"2003mixeduse"}</definedName>
    <definedName name="_huh2" localSheetId="35" hidden="1">{#N/A,#N/A,FALSE,"Dist Rev at PR ";#N/A,#N/A,FALSE,"Spec";#N/A,#N/A,FALSE,"Res";#N/A,#N/A,FALSE,"Small L&amp;P";#N/A,#N/A,FALSE,"Medium L&amp;P";#N/A,#N/A,FALSE,"E-19";#N/A,#N/A,FALSE,"E-20";#N/A,#N/A,FALSE,"Strtlts &amp; Standby";#N/A,#N/A,FALSE,"A-RTP";#N/A,#N/A,FALSE,"2003mixeduse"}</definedName>
    <definedName name="_huh2" localSheetId="36" hidden="1">{#N/A,#N/A,FALSE,"Dist Rev at PR ";#N/A,#N/A,FALSE,"Spec";#N/A,#N/A,FALSE,"Res";#N/A,#N/A,FALSE,"Small L&amp;P";#N/A,#N/A,FALSE,"Medium L&amp;P";#N/A,#N/A,FALSE,"E-19";#N/A,#N/A,FALSE,"E-20";#N/A,#N/A,FALSE,"Strtlts &amp; Standby";#N/A,#N/A,FALSE,"A-RTP";#N/A,#N/A,FALSE,"2003mixeduse"}</definedName>
    <definedName name="_huh2" localSheetId="45" hidden="1">{#N/A,#N/A,FALSE,"Dist Rev at PR ";#N/A,#N/A,FALSE,"Spec";#N/A,#N/A,FALSE,"Res";#N/A,#N/A,FALSE,"Small L&amp;P";#N/A,#N/A,FALSE,"Medium L&amp;P";#N/A,#N/A,FALSE,"E-19";#N/A,#N/A,FALSE,"E-20";#N/A,#N/A,FALSE,"Strtlts &amp; Standby";#N/A,#N/A,FALSE,"A-RTP";#N/A,#N/A,FALSE,"2003mixeduse"}</definedName>
    <definedName name="_huh2" localSheetId="12" hidden="1">{#N/A,#N/A,FALSE,"Dist Rev at PR ";#N/A,#N/A,FALSE,"Spec";#N/A,#N/A,FALSE,"Res";#N/A,#N/A,FALSE,"Small L&amp;P";#N/A,#N/A,FALSE,"Medium L&amp;P";#N/A,#N/A,FALSE,"E-19";#N/A,#N/A,FALSE,"E-20";#N/A,#N/A,FALSE,"Strtlts &amp; Standby";#N/A,#N/A,FALSE,"A-RTP";#N/A,#N/A,FALSE,"2003mixeduse"}</definedName>
    <definedName name="_huh2" localSheetId="13" hidden="1">{#N/A,#N/A,FALSE,"Dist Rev at PR ";#N/A,#N/A,FALSE,"Spec";#N/A,#N/A,FALSE,"Res";#N/A,#N/A,FALSE,"Small L&amp;P";#N/A,#N/A,FALSE,"Medium L&amp;P";#N/A,#N/A,FALSE,"E-19";#N/A,#N/A,FALSE,"E-20";#N/A,#N/A,FALSE,"Strtlts &amp; Standby";#N/A,#N/A,FALSE,"A-RTP";#N/A,#N/A,FALSE,"2003mixeduse"}</definedName>
    <definedName name="_huh2" hidden="1">{#N/A,#N/A,FALSE,"Dist Rev at PR ";#N/A,#N/A,FALSE,"Spec";#N/A,#N/A,FALSE,"Res";#N/A,#N/A,FALSE,"Small L&amp;P";#N/A,#N/A,FALSE,"Medium L&amp;P";#N/A,#N/A,FALSE,"E-19";#N/A,#N/A,FALSE,"E-20";#N/A,#N/A,FALSE,"Strtlts &amp; Standby";#N/A,#N/A,FALSE,"A-RTP";#N/A,#N/A,FALSE,"2003mixeduse"}</definedName>
    <definedName name="_JAN01" localSheetId="26" hidden="1">{#N/A,#N/A,FALSE,"EMPPAY"}</definedName>
    <definedName name="_JAN01" localSheetId="28" hidden="1">{#N/A,#N/A,FALSE,"EMPPAY"}</definedName>
    <definedName name="_JAN01" localSheetId="33" hidden="1">{#N/A,#N/A,FALSE,"EMPPAY"}</definedName>
    <definedName name="_JAN01" localSheetId="35" hidden="1">{#N/A,#N/A,FALSE,"EMPPAY"}</definedName>
    <definedName name="_JAN01" localSheetId="45" hidden="1">{#N/A,#N/A,FALSE,"EMPPAY"}</definedName>
    <definedName name="_JAN01" localSheetId="13" hidden="1">{#N/A,#N/A,FALSE,"EMPPAY"}</definedName>
    <definedName name="_JAN01" hidden="1">{#N/A,#N/A,FALSE,"EMPPAY"}</definedName>
    <definedName name="_JAN2001" localSheetId="26" hidden="1">{#N/A,#N/A,FALSE,"EMPPAY"}</definedName>
    <definedName name="_JAN2001" localSheetId="28" hidden="1">{#N/A,#N/A,FALSE,"EMPPAY"}</definedName>
    <definedName name="_JAN2001" localSheetId="33" hidden="1">{#N/A,#N/A,FALSE,"EMPPAY"}</definedName>
    <definedName name="_JAN2001" localSheetId="35" hidden="1">{#N/A,#N/A,FALSE,"EMPPAY"}</definedName>
    <definedName name="_JAN2001" localSheetId="45" hidden="1">{#N/A,#N/A,FALSE,"EMPPAY"}</definedName>
    <definedName name="_JAN2001" localSheetId="13" hidden="1">{#N/A,#N/A,FALSE,"EMPPAY"}</definedName>
    <definedName name="_JAN2001" hidden="1">{#N/A,#N/A,FALSE,"EMPPAY"}</definedName>
    <definedName name="_Key.1" hidden="1">#REF!</definedName>
    <definedName name="_Key1" localSheetId="20" hidden="1">#REF!</definedName>
    <definedName name="_Key1" localSheetId="21" hidden="1">#REF!</definedName>
    <definedName name="_Key1" localSheetId="23" hidden="1">#REF!</definedName>
    <definedName name="_Key1" localSheetId="22"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7" hidden="1">#REF!</definedName>
    <definedName name="_Key1" localSheetId="40" hidden="1">#REF!</definedName>
    <definedName name="_Key1" localSheetId="42" hidden="1">#REF!</definedName>
    <definedName name="_Key1" localSheetId="44" hidden="1">#REF!</definedName>
    <definedName name="_Key1" localSheetId="45" hidden="1">#REF!</definedName>
    <definedName name="_Key1" localSheetId="46" hidden="1">#REF!</definedName>
    <definedName name="_Key1" localSheetId="5" hidden="1">#REF!</definedName>
    <definedName name="_Key1" localSheetId="6" hidden="1">#REF!</definedName>
    <definedName name="_Key1" localSheetId="10"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hidden="1">#REF!</definedName>
    <definedName name="_Key2" localSheetId="20" hidden="1">#REF!</definedName>
    <definedName name="_Key2" localSheetId="21" hidden="1">#REF!</definedName>
    <definedName name="_Key2" localSheetId="23" hidden="1">#REF!</definedName>
    <definedName name="_Key2" localSheetId="22" hidden="1">#REF!</definedName>
    <definedName name="_Key2" localSheetId="24" hidden="1">#REF!</definedName>
    <definedName name="_Key2" localSheetId="25" hidden="1">#REF!</definedName>
    <definedName name="_Key2" localSheetId="26" hidden="1">#REF!</definedName>
    <definedName name="_Key2" localSheetId="27" hidden="1">#REF!</definedName>
    <definedName name="_Key2" localSheetId="28" hidden="1">#REF!</definedName>
    <definedName name="_Key2" localSheetId="30" hidden="1">#REF!</definedName>
    <definedName name="_Key2" localSheetId="31" hidden="1">#REF!</definedName>
    <definedName name="_Key2" localSheetId="32" hidden="1">#REF!</definedName>
    <definedName name="_Key2" localSheetId="33" hidden="1">#REF!</definedName>
    <definedName name="_Key2" localSheetId="34" hidden="1">#REF!</definedName>
    <definedName name="_Key2" localSheetId="35" hidden="1">#REF!</definedName>
    <definedName name="_Key2" localSheetId="37" hidden="1">#REF!</definedName>
    <definedName name="_Key2" localSheetId="40" hidden="1">#REF!</definedName>
    <definedName name="_Key2" localSheetId="42" hidden="1">#REF!</definedName>
    <definedName name="_Key2" localSheetId="44" hidden="1">#REF!</definedName>
    <definedName name="_Key2" localSheetId="45" hidden="1">#REF!</definedName>
    <definedName name="_Key2" localSheetId="46" hidden="1">#REF!</definedName>
    <definedName name="_Key2" localSheetId="5" hidden="1">#REF!</definedName>
    <definedName name="_Key2" localSheetId="6" hidden="1">#REF!</definedName>
    <definedName name="_Key2" localSheetId="10"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hidden="1">#REF!</definedName>
    <definedName name="_L2" localSheetId="26" hidden="1">{"PI_Data",#N/A,TRUE,"P&amp;I Data"}</definedName>
    <definedName name="_L2" localSheetId="28" hidden="1">{"PI_Data",#N/A,TRUE,"P&amp;I Data"}</definedName>
    <definedName name="_L2" localSheetId="30" hidden="1">{"PI_Data",#N/A,TRUE,"P&amp;I Data"}</definedName>
    <definedName name="_L2" localSheetId="31" hidden="1">{"PI_Data",#N/A,TRUE,"P&amp;I Data"}</definedName>
    <definedName name="_L2" localSheetId="33" hidden="1">{"PI_Data",#N/A,TRUE,"P&amp;I Data"}</definedName>
    <definedName name="_L2" localSheetId="34" hidden="1">{"PI_Data",#N/A,TRUE,"P&amp;I Data"}</definedName>
    <definedName name="_L2" localSheetId="35" hidden="1">{"PI_Data",#N/A,TRUE,"P&amp;I Data"}</definedName>
    <definedName name="_L2" localSheetId="36" hidden="1">{"PI_Data",#N/A,TRUE,"P&amp;I Data"}</definedName>
    <definedName name="_L2" localSheetId="45" hidden="1">{"PI_Data",#N/A,TRUE,"P&amp;I Data"}</definedName>
    <definedName name="_L2" localSheetId="12" hidden="1">{"PI_Data",#N/A,TRUE,"P&amp;I Data"}</definedName>
    <definedName name="_L2" localSheetId="13" hidden="1">{"PI_Data",#N/A,TRUE,"P&amp;I Data"}</definedName>
    <definedName name="_L2" hidden="1">{"PI_Data",#N/A,TRUE,"P&amp;I Data"}</definedName>
    <definedName name="_m2" localSheetId="26" hidden="1">{"PI_Data",#N/A,TRUE,"P&amp;I Data"}</definedName>
    <definedName name="_m2" localSheetId="28" hidden="1">{"PI_Data",#N/A,TRUE,"P&amp;I Data"}</definedName>
    <definedName name="_m2" localSheetId="30" hidden="1">{"PI_Data",#N/A,TRUE,"P&amp;I Data"}</definedName>
    <definedName name="_m2" localSheetId="31" hidden="1">{"PI_Data",#N/A,TRUE,"P&amp;I Data"}</definedName>
    <definedName name="_m2" localSheetId="33" hidden="1">{"PI_Data",#N/A,TRUE,"P&amp;I Data"}</definedName>
    <definedName name="_m2" localSheetId="34" hidden="1">{"PI_Data",#N/A,TRUE,"P&amp;I Data"}</definedName>
    <definedName name="_m2" localSheetId="35" hidden="1">{"PI_Data",#N/A,TRUE,"P&amp;I Data"}</definedName>
    <definedName name="_m2" localSheetId="36" hidden="1">{"PI_Data",#N/A,TRUE,"P&amp;I Data"}</definedName>
    <definedName name="_m2" localSheetId="45" hidden="1">{"PI_Data",#N/A,TRUE,"P&amp;I Data"}</definedName>
    <definedName name="_m2" localSheetId="12" hidden="1">{"PI_Data",#N/A,TRUE,"P&amp;I Data"}</definedName>
    <definedName name="_m2" localSheetId="13" hidden="1">{"PI_Data",#N/A,TRUE,"P&amp;I Data"}</definedName>
    <definedName name="_m2" hidden="1">{"PI_Data",#N/A,TRUE,"P&amp;I Data"}</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'[3]DPLG-APRIL2001-TRANSCHECKOUT'!$AC$2:$AC$10</definedName>
    <definedName name="_Order.1" hidden="1">255</definedName>
    <definedName name="_Order1">255</definedName>
    <definedName name="_Order2">255</definedName>
    <definedName name="_p2" localSheetId="26" hidden="1">{"PI_Data",#N/A,TRUE,"P&amp;I Data"}</definedName>
    <definedName name="_p2" localSheetId="28" hidden="1">{"PI_Data",#N/A,TRUE,"P&amp;I Data"}</definedName>
    <definedName name="_p2" localSheetId="30" hidden="1">{"PI_Data",#N/A,TRUE,"P&amp;I Data"}</definedName>
    <definedName name="_p2" localSheetId="31" hidden="1">{"PI_Data",#N/A,TRUE,"P&amp;I Data"}</definedName>
    <definedName name="_p2" localSheetId="33" hidden="1">{"PI_Data",#N/A,TRUE,"P&amp;I Data"}</definedName>
    <definedName name="_p2" localSheetId="34" hidden="1">{"PI_Data",#N/A,TRUE,"P&amp;I Data"}</definedName>
    <definedName name="_p2" localSheetId="35" hidden="1">{"PI_Data",#N/A,TRUE,"P&amp;I Data"}</definedName>
    <definedName name="_p2" localSheetId="36" hidden="1">{"PI_Data",#N/A,TRUE,"P&amp;I Data"}</definedName>
    <definedName name="_p2" localSheetId="45" hidden="1">{"PI_Data",#N/A,TRUE,"P&amp;I Data"}</definedName>
    <definedName name="_p2" localSheetId="12" hidden="1">{"PI_Data",#N/A,TRUE,"P&amp;I Data"}</definedName>
    <definedName name="_p2" localSheetId="13" hidden="1">{"PI_Data",#N/A,TRUE,"P&amp;I Data"}</definedName>
    <definedName name="_p2" hidden="1">{"PI_Data",#N/A,TRUE,"P&amp;I Data"}</definedName>
    <definedName name="_Parse_In" hidden="1">#REF!</definedName>
    <definedName name="_Parse_Out" hidden="1">#REF!</definedName>
    <definedName name="_PPP1">'[3]DPLG-APRIL2001-TRANSCHECKOUT'!$A$1:$D$27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localSheetId="26" hidden="1">{#N/A,#N/A,FALSE,"Monthly SAIFI";#N/A,#N/A,FALSE,"Yearly SAIFI";#N/A,#N/A,FALSE,"Monthly CAIDI";#N/A,#N/A,FALSE,"Yearly CAIDI";#N/A,#N/A,FALSE,"Monthly SAIDI";#N/A,#N/A,FALSE,"Yearly SAIDI";#N/A,#N/A,FALSE,"Monthly MAIFI";#N/A,#N/A,FALSE,"Yearly MAIFI";#N/A,#N/A,FALSE,"Monthly Cust &gt;=4 Int"}</definedName>
    <definedName name="_ryr56565" localSheetId="28" hidden="1">{#N/A,#N/A,FALSE,"Monthly SAIFI";#N/A,#N/A,FALSE,"Yearly SAIFI";#N/A,#N/A,FALSE,"Monthly CAIDI";#N/A,#N/A,FALSE,"Yearly CAIDI";#N/A,#N/A,FALSE,"Monthly SAIDI";#N/A,#N/A,FALSE,"Yearly SAIDI";#N/A,#N/A,FALSE,"Monthly MAIFI";#N/A,#N/A,FALSE,"Yearly MAIFI";#N/A,#N/A,FALSE,"Monthly Cust &gt;=4 Int"}</definedName>
    <definedName name="_ryr56565" localSheetId="33" hidden="1">{#N/A,#N/A,FALSE,"Monthly SAIFI";#N/A,#N/A,FALSE,"Yearly SAIFI";#N/A,#N/A,FALSE,"Monthly CAIDI";#N/A,#N/A,FALSE,"Yearly CAIDI";#N/A,#N/A,FALSE,"Monthly SAIDI";#N/A,#N/A,FALSE,"Yearly SAIDI";#N/A,#N/A,FALSE,"Monthly MAIFI";#N/A,#N/A,FALSE,"Yearly MAIFI";#N/A,#N/A,FALSE,"Monthly Cust &gt;=4 Int"}</definedName>
    <definedName name="_ryr56565" localSheetId="35" hidden="1">{#N/A,#N/A,FALSE,"Monthly SAIFI";#N/A,#N/A,FALSE,"Yearly SAIFI";#N/A,#N/A,FALSE,"Monthly CAIDI";#N/A,#N/A,FALSE,"Yearly CAIDI";#N/A,#N/A,FALSE,"Monthly SAIDI";#N/A,#N/A,FALSE,"Yearly SAIDI";#N/A,#N/A,FALSE,"Monthly MAIFI";#N/A,#N/A,FALSE,"Yearly MAIFI";#N/A,#N/A,FALSE,"Monthly Cust &gt;=4 Int"}</definedName>
    <definedName name="_ryr56565" localSheetId="45" hidden="1">{#N/A,#N/A,FALSE,"Monthly SAIFI";#N/A,#N/A,FALSE,"Yearly SAIFI";#N/A,#N/A,FALSE,"Monthly CAIDI";#N/A,#N/A,FALSE,"Yearly CAIDI";#N/A,#N/A,FALSE,"Monthly SAIDI";#N/A,#N/A,FALSE,"Yearly SAIDI";#N/A,#N/A,FALSE,"Monthly MAIFI";#N/A,#N/A,FALSE,"Yearly MAIFI";#N/A,#N/A,FALSE,"Monthly Cust &gt;=4 Int"}</definedName>
    <definedName name="_ryr56565" localSheetId="13"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20" hidden="1">#REF!</definedName>
    <definedName name="_Sort" localSheetId="21" hidden="1">#REF!</definedName>
    <definedName name="_Sort" localSheetId="23" hidden="1">#REF!</definedName>
    <definedName name="_Sort" localSheetId="22"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7" hidden="1">#REF!</definedName>
    <definedName name="_Sort" localSheetId="40" hidden="1">#REF!</definedName>
    <definedName name="_Sort" localSheetId="42" hidden="1">#REF!</definedName>
    <definedName name="_Sort" localSheetId="44" hidden="1">#REF!</definedName>
    <definedName name="_Sort" localSheetId="45" hidden="1">#REF!</definedName>
    <definedName name="_Sort" localSheetId="46" hidden="1">#REF!</definedName>
    <definedName name="_Sort" localSheetId="5" hidden="1">#REF!</definedName>
    <definedName name="_Sort" localSheetId="6" hidden="1">#REF!</definedName>
    <definedName name="_Sort" localSheetId="10"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hidden="1">#REF!</definedName>
    <definedName name="_Sort.1" hidden="1">#REF!</definedName>
    <definedName name="_sort2" hidden="1">#REF!</definedName>
    <definedName name="_t2" localSheetId="26" hidden="1">{"PI_Data",#N/A,TRUE,"P&amp;I Data"}</definedName>
    <definedName name="_t2" localSheetId="28" hidden="1">{"PI_Data",#N/A,TRUE,"P&amp;I Data"}</definedName>
    <definedName name="_t2" localSheetId="30" hidden="1">{"PI_Data",#N/A,TRUE,"P&amp;I Data"}</definedName>
    <definedName name="_t2" localSheetId="31" hidden="1">{"PI_Data",#N/A,TRUE,"P&amp;I Data"}</definedName>
    <definedName name="_t2" localSheetId="33" hidden="1">{"PI_Data",#N/A,TRUE,"P&amp;I Data"}</definedName>
    <definedName name="_t2" localSheetId="34" hidden="1">{"PI_Data",#N/A,TRUE,"P&amp;I Data"}</definedName>
    <definedName name="_t2" localSheetId="35" hidden="1">{"PI_Data",#N/A,TRUE,"P&amp;I Data"}</definedName>
    <definedName name="_t2" localSheetId="36" hidden="1">{"PI_Data",#N/A,TRUE,"P&amp;I Data"}</definedName>
    <definedName name="_t2" localSheetId="45" hidden="1">{"PI_Data",#N/A,TRUE,"P&amp;I Data"}</definedName>
    <definedName name="_t2" localSheetId="12" hidden="1">{"PI_Data",#N/A,TRUE,"P&amp;I Data"}</definedName>
    <definedName name="_t2" localSheetId="13" hidden="1">{"PI_Data",#N/A,TRUE,"P&amp;I Data"}</definedName>
    <definedName name="_t2" hidden="1">{"PI_Data",#N/A,TRUE,"P&amp;I Data"}</definedName>
    <definedName name="_Table1_Out" hidden="1">#REF!</definedName>
    <definedName name="_tet12" localSheetId="26" hidden="1">{"assumptions",#N/A,FALSE,"Scenario 1";"valuation",#N/A,FALSE,"Scenario 1"}</definedName>
    <definedName name="_tet12" localSheetId="28" hidden="1">{"assumptions",#N/A,FALSE,"Scenario 1";"valuation",#N/A,FALSE,"Scenario 1"}</definedName>
    <definedName name="_tet12" localSheetId="33" hidden="1">{"assumptions",#N/A,FALSE,"Scenario 1";"valuation",#N/A,FALSE,"Scenario 1"}</definedName>
    <definedName name="_tet12" localSheetId="35" hidden="1">{"assumptions",#N/A,FALSE,"Scenario 1";"valuation",#N/A,FALSE,"Scenario 1"}</definedName>
    <definedName name="_tet12" localSheetId="45" hidden="1">{"assumptions",#N/A,FALSE,"Scenario 1";"valuation",#N/A,FALSE,"Scenario 1"}</definedName>
    <definedName name="_tet12" localSheetId="13" hidden="1">{"assumptions",#N/A,FALSE,"Scenario 1";"valuation",#N/A,FALSE,"Scenario 1"}</definedName>
    <definedName name="_tet12" hidden="1">{"assumptions",#N/A,FALSE,"Scenario 1";"valuation",#N/A,FALSE,"Scenario 1"}</definedName>
    <definedName name="_tet5" localSheetId="26" hidden="1">{"assumptions",#N/A,FALSE,"Scenario 1";"valuation",#N/A,FALSE,"Scenario 1"}</definedName>
    <definedName name="_tet5" localSheetId="28" hidden="1">{"assumptions",#N/A,FALSE,"Scenario 1";"valuation",#N/A,FALSE,"Scenario 1"}</definedName>
    <definedName name="_tet5" localSheetId="33" hidden="1">{"assumptions",#N/A,FALSE,"Scenario 1";"valuation",#N/A,FALSE,"Scenario 1"}</definedName>
    <definedName name="_tet5" localSheetId="35" hidden="1">{"assumptions",#N/A,FALSE,"Scenario 1";"valuation",#N/A,FALSE,"Scenario 1"}</definedName>
    <definedName name="_tet5" localSheetId="45" hidden="1">{"assumptions",#N/A,FALSE,"Scenario 1";"valuation",#N/A,FALSE,"Scenario 1"}</definedName>
    <definedName name="_tet5" localSheetId="13"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 localSheetId="26" hidden="1">{#N/A,#N/A,FALSE,"CTC Summary - EOY";#N/A,#N/A,FALSE,"CTC Summary - Wtavg"}</definedName>
    <definedName name="a" localSheetId="28" hidden="1">{#N/A,#N/A,FALSE,"CTC Summary - EOY";#N/A,#N/A,FALSE,"CTC Summary - Wtavg"}</definedName>
    <definedName name="a" localSheetId="30" hidden="1">{#N/A,#N/A,FALSE,"CTC Summary - EOY";#N/A,#N/A,FALSE,"CTC Summary - Wtavg"}</definedName>
    <definedName name="a" localSheetId="31" hidden="1">{#N/A,#N/A,FALSE,"CTC Summary - EOY";#N/A,#N/A,FALSE,"CTC Summary - Wtavg"}</definedName>
    <definedName name="a" localSheetId="33" hidden="1">{#N/A,#N/A,FALSE,"CTC Summary - EOY";#N/A,#N/A,FALSE,"CTC Summary - Wtavg"}</definedName>
    <definedName name="a" localSheetId="34" hidden="1">{#N/A,#N/A,FALSE,"CTC Summary - EOY";#N/A,#N/A,FALSE,"CTC Summary - Wtavg"}</definedName>
    <definedName name="a" localSheetId="35" hidden="1">{#N/A,#N/A,FALSE,"CTC Summary - EOY";#N/A,#N/A,FALSE,"CTC Summary - Wtavg"}</definedName>
    <definedName name="a" localSheetId="36" hidden="1">{#N/A,#N/A,FALSE,"CTC Summary - EOY";#N/A,#N/A,FALSE,"CTC Summary - Wtavg"}</definedName>
    <definedName name="a" localSheetId="45" hidden="1">{#N/A,#N/A,FALSE,"CTC Summary - EOY";#N/A,#N/A,FALSE,"CTC Summary - Wtavg"}</definedName>
    <definedName name="a" localSheetId="12" hidden="1">{#N/A,#N/A,FALSE,"CTC Summary - EOY";#N/A,#N/A,FALSE,"CTC Summary - Wtavg"}</definedName>
    <definedName name="a" localSheetId="13" hidden="1">{#N/A,#N/A,FALSE,"CTC Summary - EOY";#N/A,#N/A,FALSE,"CTC Summary - Wtavg"}</definedName>
    <definedName name="a" hidden="1">{#N/A,#N/A,FALSE,"CTC Summary - EOY";#N/A,#N/A,FALSE,"CTC Summary - Wtavg"}</definedName>
    <definedName name="a.1" localSheetId="26" hidden="1">{"LBO Summary",#N/A,FALSE,"Summary"}</definedName>
    <definedName name="a.1" localSheetId="28" hidden="1">{"LBO Summary",#N/A,FALSE,"Summary"}</definedName>
    <definedName name="a.1" localSheetId="33" hidden="1">{"LBO Summary",#N/A,FALSE,"Summary"}</definedName>
    <definedName name="a.1" localSheetId="35" hidden="1">{"LBO Summary",#N/A,FALSE,"Summary"}</definedName>
    <definedName name="a.1" localSheetId="45" hidden="1">{"LBO Summary",#N/A,FALSE,"Summary"}</definedName>
    <definedName name="a.1" localSheetId="13" hidden="1">{"LBO Summary",#N/A,FALSE,"Summary"}</definedName>
    <definedName name="a.1" hidden="1">{"LBO Summary",#N/A,FALSE,"Summary"}</definedName>
    <definedName name="aaa" localSheetId="26" hidden="1">{#N/A,#N/A,FALSE,"O&amp;M by processes";#N/A,#N/A,FALSE,"Elec Act vs Bud";#N/A,#N/A,FALSE,"G&amp;A";#N/A,#N/A,FALSE,"BGS";#N/A,#N/A,FALSE,"Res Cost"}</definedName>
    <definedName name="aaa" localSheetId="28" hidden="1">{#N/A,#N/A,FALSE,"O&amp;M by processes";#N/A,#N/A,FALSE,"Elec Act vs Bud";#N/A,#N/A,FALSE,"G&amp;A";#N/A,#N/A,FALSE,"BGS";#N/A,#N/A,FALSE,"Res Cost"}</definedName>
    <definedName name="aaa" localSheetId="33" hidden="1">{#N/A,#N/A,FALSE,"O&amp;M by processes";#N/A,#N/A,FALSE,"Elec Act vs Bud";#N/A,#N/A,FALSE,"G&amp;A";#N/A,#N/A,FALSE,"BGS";#N/A,#N/A,FALSE,"Res Cost"}</definedName>
    <definedName name="aaa" localSheetId="35" hidden="1">{#N/A,#N/A,FALSE,"O&amp;M by processes";#N/A,#N/A,FALSE,"Elec Act vs Bud";#N/A,#N/A,FALSE,"G&amp;A";#N/A,#N/A,FALSE,"BGS";#N/A,#N/A,FALSE,"Res Cost"}</definedName>
    <definedName name="aaa" localSheetId="45" hidden="1">{#N/A,#N/A,FALSE,"O&amp;M by processes";#N/A,#N/A,FALSE,"Elec Act vs Bud";#N/A,#N/A,FALSE,"G&amp;A";#N/A,#N/A,FALSE,"BGS";#N/A,#N/A,FALSE,"Res Cost"}</definedName>
    <definedName name="aaa" localSheetId="13"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6" hidden="1">{#N/A,#N/A,FALSE,"O&amp;M by processes";#N/A,#N/A,FALSE,"Elec Act vs Bud";#N/A,#N/A,FALSE,"G&amp;A";#N/A,#N/A,FALSE,"BGS";#N/A,#N/A,FALSE,"Res Cost"}</definedName>
    <definedName name="aaaaaaaaaaaaaaa" localSheetId="28" hidden="1">{#N/A,#N/A,FALSE,"O&amp;M by processes";#N/A,#N/A,FALSE,"Elec Act vs Bud";#N/A,#N/A,FALSE,"G&amp;A";#N/A,#N/A,FALSE,"BGS";#N/A,#N/A,FALSE,"Res Cost"}</definedName>
    <definedName name="aaaaaaaaaaaaaaa" localSheetId="33" hidden="1">{#N/A,#N/A,FALSE,"O&amp;M by processes";#N/A,#N/A,FALSE,"Elec Act vs Bud";#N/A,#N/A,FALSE,"G&amp;A";#N/A,#N/A,FALSE,"BGS";#N/A,#N/A,FALSE,"Res Cost"}</definedName>
    <definedName name="aaaaaaaaaaaaaaa" localSheetId="35" hidden="1">{#N/A,#N/A,FALSE,"O&amp;M by processes";#N/A,#N/A,FALSE,"Elec Act vs Bud";#N/A,#N/A,FALSE,"G&amp;A";#N/A,#N/A,FALSE,"BGS";#N/A,#N/A,FALSE,"Res Cost"}</definedName>
    <definedName name="aaaaaaaaaaaaaaa" localSheetId="45" hidden="1">{#N/A,#N/A,FALSE,"O&amp;M by processes";#N/A,#N/A,FALSE,"Elec Act vs Bud";#N/A,#N/A,FALSE,"G&amp;A";#N/A,#N/A,FALSE,"BGS";#N/A,#N/A,FALSE,"Res Cost"}</definedName>
    <definedName name="aaaaaaaaaaaaaaa" localSheetId="13" hidden="1">{#N/A,#N/A,FALSE,"O&amp;M by processes";#N/A,#N/A,FALSE,"Elec Act vs Bud";#N/A,#N/A,FALSE,"G&amp;A";#N/A,#N/A,FALSE,"BGS";#N/A,#N/A,FALSE,"Res Cost"}</definedName>
    <definedName name="aaaaaaaaaaaaaaa" hidden="1">{#N/A,#N/A,FALSE,"O&amp;M by processes";#N/A,#N/A,FALSE,"Elec Act vs Bud";#N/A,#N/A,FALSE,"G&amp;A";#N/A,#N/A,FALSE,"BGS";#N/A,#N/A,FALSE,"Res Cost"}</definedName>
    <definedName name="AAB_Addin5">"AAB_Description for addin 5,Description for addin 5,Description for addin 5,Description for addin 5,Description for addin 5,Description for addin 5"</definedName>
    <definedName name="ab" localSheetId="26">{"'Metretek HTML'!$A$7:$W$42"}</definedName>
    <definedName name="ab" localSheetId="28">{"'Metretek HTML'!$A$7:$W$42"}</definedName>
    <definedName name="ab" localSheetId="33">{"'Metretek HTML'!$A$7:$W$42"}</definedName>
    <definedName name="ab" localSheetId="35">{"'Metretek HTML'!$A$7:$W$42"}</definedName>
    <definedName name="ab" localSheetId="45">{"'Metretek HTML'!$A$7:$W$42"}</definedName>
    <definedName name="ab" localSheetId="13">{"'Metretek HTML'!$A$7:$W$42"}</definedName>
    <definedName name="ab">{"'Metretek HTML'!$A$7:$W$42"}</definedName>
    <definedName name="above">OFFSET(!A1,-1,0)</definedName>
    <definedName name="AC_255">'[8]AC 255'!$A$1:$M$32</definedName>
    <definedName name="acc">#REF!</definedName>
    <definedName name="ACCELERATED2" localSheetId="26" hidden="1">{#N/A,#N/A,FALSE,"CTC Summary - EOY";#N/A,#N/A,FALSE,"CTC Summary - Wtavg"}</definedName>
    <definedName name="ACCELERATED2" localSheetId="28" hidden="1">{#N/A,#N/A,FALSE,"CTC Summary - EOY";#N/A,#N/A,FALSE,"CTC Summary - Wtavg"}</definedName>
    <definedName name="ACCELERATED2" localSheetId="30" hidden="1">{#N/A,#N/A,FALSE,"CTC Summary - EOY";#N/A,#N/A,FALSE,"CTC Summary - Wtavg"}</definedName>
    <definedName name="ACCELERATED2" localSheetId="31" hidden="1">{#N/A,#N/A,FALSE,"CTC Summary - EOY";#N/A,#N/A,FALSE,"CTC Summary - Wtavg"}</definedName>
    <definedName name="ACCELERATED2" localSheetId="33" hidden="1">{#N/A,#N/A,FALSE,"CTC Summary - EOY";#N/A,#N/A,FALSE,"CTC Summary - Wtavg"}</definedName>
    <definedName name="ACCELERATED2" localSheetId="34" hidden="1">{#N/A,#N/A,FALSE,"CTC Summary - EOY";#N/A,#N/A,FALSE,"CTC Summary - Wtavg"}</definedName>
    <definedName name="ACCELERATED2" localSheetId="35" hidden="1">{#N/A,#N/A,FALSE,"CTC Summary - EOY";#N/A,#N/A,FALSE,"CTC Summary - Wtavg"}</definedName>
    <definedName name="ACCELERATED2" localSheetId="36" hidden="1">{#N/A,#N/A,FALSE,"CTC Summary - EOY";#N/A,#N/A,FALSE,"CTC Summary - Wtavg"}</definedName>
    <definedName name="ACCELERATED2" localSheetId="45" hidden="1">{#N/A,#N/A,FALSE,"CTC Summary - EOY";#N/A,#N/A,FALSE,"CTC Summary - Wtavg"}</definedName>
    <definedName name="ACCELERATED2" localSheetId="12" hidden="1">{#N/A,#N/A,FALSE,"CTC Summary - EOY";#N/A,#N/A,FALSE,"CTC Summary - Wtavg"}</definedName>
    <definedName name="ACCELERATED2" localSheetId="13" hidden="1">{#N/A,#N/A,FALSE,"CTC Summary - EOY";#N/A,#N/A,FALSE,"CTC Summary - Wtavg"}</definedName>
    <definedName name="ACCELERATED2" hidden="1">{#N/A,#N/A,FALSE,"CTC Summary - EOY";#N/A,#N/A,FALSE,"CTC Summary - Wtavg"}</definedName>
    <definedName name="ACCELLERATED1X" localSheetId="26" hidden="1">{#N/A,#N/A,FALSE,"CTC Summary - EOY";#N/A,#N/A,FALSE,"CTC Summary - Wtavg"}</definedName>
    <definedName name="ACCELLERATED1X" localSheetId="28" hidden="1">{#N/A,#N/A,FALSE,"CTC Summary - EOY";#N/A,#N/A,FALSE,"CTC Summary - Wtavg"}</definedName>
    <definedName name="ACCELLERATED1X" localSheetId="30" hidden="1">{#N/A,#N/A,FALSE,"CTC Summary - EOY";#N/A,#N/A,FALSE,"CTC Summary - Wtavg"}</definedName>
    <definedName name="ACCELLERATED1X" localSheetId="31" hidden="1">{#N/A,#N/A,FALSE,"CTC Summary - EOY";#N/A,#N/A,FALSE,"CTC Summary - Wtavg"}</definedName>
    <definedName name="ACCELLERATED1X" localSheetId="33" hidden="1">{#N/A,#N/A,FALSE,"CTC Summary - EOY";#N/A,#N/A,FALSE,"CTC Summary - Wtavg"}</definedName>
    <definedName name="ACCELLERATED1X" localSheetId="34" hidden="1">{#N/A,#N/A,FALSE,"CTC Summary - EOY";#N/A,#N/A,FALSE,"CTC Summary - Wtavg"}</definedName>
    <definedName name="ACCELLERATED1X" localSheetId="35" hidden="1">{#N/A,#N/A,FALSE,"CTC Summary - EOY";#N/A,#N/A,FALSE,"CTC Summary - Wtavg"}</definedName>
    <definedName name="ACCELLERATED1X" localSheetId="36" hidden="1">{#N/A,#N/A,FALSE,"CTC Summary - EOY";#N/A,#N/A,FALSE,"CTC Summary - Wtavg"}</definedName>
    <definedName name="ACCELLERATED1X" localSheetId="45" hidden="1">{#N/A,#N/A,FALSE,"CTC Summary - EOY";#N/A,#N/A,FALSE,"CTC Summary - Wtavg"}</definedName>
    <definedName name="ACCELLERATED1X" localSheetId="12" hidden="1">{#N/A,#N/A,FALSE,"CTC Summary - EOY";#N/A,#N/A,FALSE,"CTC Summary - Wtavg"}</definedName>
    <definedName name="ACCELLERATED1X" localSheetId="13" hidden="1">{#N/A,#N/A,FALSE,"CTC Summary - EOY";#N/A,#N/A,FALSE,"CTC Summary - Wtavg"}</definedName>
    <definedName name="ACCELLERATED1X" hidden="1">{#N/A,#N/A,FALSE,"CTC Summary - EOY";#N/A,#N/A,FALSE,"CTC Summary - Wtavg"}</definedName>
    <definedName name="Acct_AZ_UNSG_By_Plant">#REF!</definedName>
    <definedName name="ACTDEM">#REF!</definedName>
    <definedName name="ActivityType">'[9]Activity Type'!$1:$1048576</definedName>
    <definedName name="Actual">[10]Assumptions!$E$52</definedName>
    <definedName name="ACTUAL_DEMAND__KW">#REF!</definedName>
    <definedName name="Actual_Net_Rev_Req">#REF!</definedName>
    <definedName name="adfsadfds" localSheetId="26" hidden="1">{#N/A,#N/A,FALSE,"Monthly SAIFI";#N/A,#N/A,FALSE,"Yearly SAIFI";#N/A,#N/A,FALSE,"Monthly CAIDI";#N/A,#N/A,FALSE,"Yearly CAIDI";#N/A,#N/A,FALSE,"Monthly SAIDI";#N/A,#N/A,FALSE,"Yearly SAIDI";#N/A,#N/A,FALSE,"Monthly MAIFI";#N/A,#N/A,FALSE,"Yearly MAIFI";#N/A,#N/A,FALSE,"Monthly Cust &gt;=4 Int"}</definedName>
    <definedName name="adfsadfds" localSheetId="28" hidden="1">{#N/A,#N/A,FALSE,"Monthly SAIFI";#N/A,#N/A,FALSE,"Yearly SAIFI";#N/A,#N/A,FALSE,"Monthly CAIDI";#N/A,#N/A,FALSE,"Yearly CAIDI";#N/A,#N/A,FALSE,"Monthly SAIDI";#N/A,#N/A,FALSE,"Yearly SAIDI";#N/A,#N/A,FALSE,"Monthly MAIFI";#N/A,#N/A,FALSE,"Yearly MAIFI";#N/A,#N/A,FALSE,"Monthly Cust &gt;=4 Int"}</definedName>
    <definedName name="adfsadfds" localSheetId="33" hidden="1">{#N/A,#N/A,FALSE,"Monthly SAIFI";#N/A,#N/A,FALSE,"Yearly SAIFI";#N/A,#N/A,FALSE,"Monthly CAIDI";#N/A,#N/A,FALSE,"Yearly CAIDI";#N/A,#N/A,FALSE,"Monthly SAIDI";#N/A,#N/A,FALSE,"Yearly SAIDI";#N/A,#N/A,FALSE,"Monthly MAIFI";#N/A,#N/A,FALSE,"Yearly MAIFI";#N/A,#N/A,FALSE,"Monthly Cust &gt;=4 Int"}</definedName>
    <definedName name="adfsadfds" localSheetId="35" hidden="1">{#N/A,#N/A,FALSE,"Monthly SAIFI";#N/A,#N/A,FALSE,"Yearly SAIFI";#N/A,#N/A,FALSE,"Monthly CAIDI";#N/A,#N/A,FALSE,"Yearly CAIDI";#N/A,#N/A,FALSE,"Monthly SAIDI";#N/A,#N/A,FALSE,"Yearly SAIDI";#N/A,#N/A,FALSE,"Monthly MAIFI";#N/A,#N/A,FALSE,"Yearly MAIFI";#N/A,#N/A,FALSE,"Monthly Cust &gt;=4 Int"}</definedName>
    <definedName name="adfsadfds" localSheetId="45" hidden="1">{#N/A,#N/A,FALSE,"Monthly SAIFI";#N/A,#N/A,FALSE,"Yearly SAIFI";#N/A,#N/A,FALSE,"Monthly CAIDI";#N/A,#N/A,FALSE,"Yearly CAIDI";#N/A,#N/A,FALSE,"Monthly SAIDI";#N/A,#N/A,FALSE,"Yearly SAIDI";#N/A,#N/A,FALSE,"Monthly MAIFI";#N/A,#N/A,FALSE,"Yearly MAIFI";#N/A,#N/A,FALSE,"Monthly Cust &gt;=4 Int"}</definedName>
    <definedName name="adfsadfds" localSheetId="13"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#REF!</definedName>
    <definedName name="ADIT_TST">'[11]A.2 PTP'!$P$55</definedName>
    <definedName name="Adjusted_KW">[12]CALCULATIONS!$C$29</definedName>
    <definedName name="ADTL">'[11]C. Input'!$F$144</definedName>
    <definedName name="AEAlloc">#REF!</definedName>
    <definedName name="AFMYear">#REF!</definedName>
    <definedName name="ag_1">'[13]Input Page'!$G$7</definedName>
    <definedName name="ag_cap_indirect">'[14]Input Page'!$G$7</definedName>
    <definedName name="ag_mix_cap">'[14]Input Page'!$G$8</definedName>
    <definedName name="ag_mix_total">'[14]Input Page'!$G$9</definedName>
    <definedName name="AG_TST">'[11]A.2 PTP'!$P$111</definedName>
    <definedName name="again" localSheetId="26" hidden="1">{#N/A,#N/A,FALSE,"ND Rev at Pres Rates";#N/A,#N/A,FALSE,"Res - Unadj sales";#N/A,#N/A,FALSE,"Small L&amp;P";#N/A,#N/A,FALSE,"Medium L&amp;P";#N/A,#N/A,FALSE,"E-19";#N/A,#N/A,FALSE,"E-20";#N/A,#N/A,FALSE,"Strtlts &amp; Standby";#N/A,#N/A,FALSE,"AG";#N/A,#N/A,FALSE,"A-RTP";#N/A,#N/A,FALSE,"Spec"}</definedName>
    <definedName name="again" localSheetId="28" hidden="1">{#N/A,#N/A,FALSE,"ND Rev at Pres Rates";#N/A,#N/A,FALSE,"Res - Unadj sales";#N/A,#N/A,FALSE,"Small L&amp;P";#N/A,#N/A,FALSE,"Medium L&amp;P";#N/A,#N/A,FALSE,"E-19";#N/A,#N/A,FALSE,"E-20";#N/A,#N/A,FALSE,"Strtlts &amp; Standby";#N/A,#N/A,FALSE,"AG";#N/A,#N/A,FALSE,"A-RTP";#N/A,#N/A,FALSE,"Spec"}</definedName>
    <definedName name="again" localSheetId="30" hidden="1">{#N/A,#N/A,FALSE,"ND Rev at Pres Rates";#N/A,#N/A,FALSE,"Res - Unadj sales";#N/A,#N/A,FALSE,"Small L&amp;P";#N/A,#N/A,FALSE,"Medium L&amp;P";#N/A,#N/A,FALSE,"E-19";#N/A,#N/A,FALSE,"E-20";#N/A,#N/A,FALSE,"Strtlts &amp; Standby";#N/A,#N/A,FALSE,"AG";#N/A,#N/A,FALSE,"A-RTP";#N/A,#N/A,FALSE,"Spec"}</definedName>
    <definedName name="again" localSheetId="31" hidden="1">{#N/A,#N/A,FALSE,"ND Rev at Pres Rates";#N/A,#N/A,FALSE,"Res - Unadj sales";#N/A,#N/A,FALSE,"Small L&amp;P";#N/A,#N/A,FALSE,"Medium L&amp;P";#N/A,#N/A,FALSE,"E-19";#N/A,#N/A,FALSE,"E-20";#N/A,#N/A,FALSE,"Strtlts &amp; Standby";#N/A,#N/A,FALSE,"AG";#N/A,#N/A,FALSE,"A-RTP";#N/A,#N/A,FALSE,"Spec"}</definedName>
    <definedName name="again" localSheetId="33" hidden="1">{#N/A,#N/A,FALSE,"ND Rev at Pres Rates";#N/A,#N/A,FALSE,"Res - Unadj sales";#N/A,#N/A,FALSE,"Small L&amp;P";#N/A,#N/A,FALSE,"Medium L&amp;P";#N/A,#N/A,FALSE,"E-19";#N/A,#N/A,FALSE,"E-20";#N/A,#N/A,FALSE,"Strtlts &amp; Standby";#N/A,#N/A,FALSE,"AG";#N/A,#N/A,FALSE,"A-RTP";#N/A,#N/A,FALSE,"Spec"}</definedName>
    <definedName name="again" localSheetId="34" hidden="1">{#N/A,#N/A,FALSE,"ND Rev at Pres Rates";#N/A,#N/A,FALSE,"Res - Unadj sales";#N/A,#N/A,FALSE,"Small L&amp;P";#N/A,#N/A,FALSE,"Medium L&amp;P";#N/A,#N/A,FALSE,"E-19";#N/A,#N/A,FALSE,"E-20";#N/A,#N/A,FALSE,"Strtlts &amp; Standby";#N/A,#N/A,FALSE,"AG";#N/A,#N/A,FALSE,"A-RTP";#N/A,#N/A,FALSE,"Spec"}</definedName>
    <definedName name="again" localSheetId="35" hidden="1">{#N/A,#N/A,FALSE,"ND Rev at Pres Rates";#N/A,#N/A,FALSE,"Res - Unadj sales";#N/A,#N/A,FALSE,"Small L&amp;P";#N/A,#N/A,FALSE,"Medium L&amp;P";#N/A,#N/A,FALSE,"E-19";#N/A,#N/A,FALSE,"E-20";#N/A,#N/A,FALSE,"Strtlts &amp; Standby";#N/A,#N/A,FALSE,"AG";#N/A,#N/A,FALSE,"A-RTP";#N/A,#N/A,FALSE,"Spec"}</definedName>
    <definedName name="again" localSheetId="36" hidden="1">{#N/A,#N/A,FALSE,"ND Rev at Pres Rates";#N/A,#N/A,FALSE,"Res - Unadj sales";#N/A,#N/A,FALSE,"Small L&amp;P";#N/A,#N/A,FALSE,"Medium L&amp;P";#N/A,#N/A,FALSE,"E-19";#N/A,#N/A,FALSE,"E-20";#N/A,#N/A,FALSE,"Strtlts &amp; Standby";#N/A,#N/A,FALSE,"AG";#N/A,#N/A,FALSE,"A-RTP";#N/A,#N/A,FALSE,"Spec"}</definedName>
    <definedName name="again" localSheetId="45" hidden="1">{#N/A,#N/A,FALSE,"ND Rev at Pres Rates";#N/A,#N/A,FALSE,"Res - Unadj sales";#N/A,#N/A,FALSE,"Small L&amp;P";#N/A,#N/A,FALSE,"Medium L&amp;P";#N/A,#N/A,FALSE,"E-19";#N/A,#N/A,FALSE,"E-20";#N/A,#N/A,FALSE,"Strtlts &amp; Standby";#N/A,#N/A,FALSE,"AG";#N/A,#N/A,FALSE,"A-RTP";#N/A,#N/A,FALSE,"Spec"}</definedName>
    <definedName name="again" localSheetId="12" hidden="1">{#N/A,#N/A,FALSE,"ND Rev at Pres Rates";#N/A,#N/A,FALSE,"Res - Unadj sales";#N/A,#N/A,FALSE,"Small L&amp;P";#N/A,#N/A,FALSE,"Medium L&amp;P";#N/A,#N/A,FALSE,"E-19";#N/A,#N/A,FALSE,"E-20";#N/A,#N/A,FALSE,"Strtlts &amp; Standby";#N/A,#N/A,FALSE,"AG";#N/A,#N/A,FALSE,"A-RTP";#N/A,#N/A,FALSE,"Spec"}</definedName>
    <definedName name="again" localSheetId="13" hidden="1">{#N/A,#N/A,FALSE,"ND Rev at Pres Rates";#N/A,#N/A,FALSE,"Res - Unadj sales";#N/A,#N/A,FALSE,"Small L&amp;P";#N/A,#N/A,FALSE,"Medium L&amp;P";#N/A,#N/A,FALSE,"E-19";#N/A,#N/A,FALSE,"E-20";#N/A,#N/A,FALSE,"Strtlts &amp; Standby";#N/A,#N/A,FALSE,"AG";#N/A,#N/A,FALSE,"A-RTP";#N/A,#N/A,FALSE,"Spec"}</definedName>
    <definedName name="again" hidden="1">{#N/A,#N/A,FALSE,"ND Rev at Pres Rates";#N/A,#N/A,FALSE,"Res - Unadj sales";#N/A,#N/A,FALSE,"Small L&amp;P";#N/A,#N/A,FALSE,"Medium L&amp;P";#N/A,#N/A,FALSE,"E-19";#N/A,#N/A,FALSE,"E-20";#N/A,#N/A,FALSE,"Strtlts &amp; Standby";#N/A,#N/A,FALSE,"AG";#N/A,#N/A,FALSE,"A-RTP";#N/A,#N/A,FALSE,"Spec"}</definedName>
    <definedName name="aging" localSheetId="26" hidden="1">{#N/A,#N/A,FALSE,"Aging Summary";#N/A,#N/A,FALSE,"Ratio Analysis";#N/A,#N/A,FALSE,"Test 120 Day Accts";#N/A,#N/A,FALSE,"Tickmarks"}</definedName>
    <definedName name="aging" localSheetId="28" hidden="1">{#N/A,#N/A,FALSE,"Aging Summary";#N/A,#N/A,FALSE,"Ratio Analysis";#N/A,#N/A,FALSE,"Test 120 Day Accts";#N/A,#N/A,FALSE,"Tickmarks"}</definedName>
    <definedName name="aging" localSheetId="33" hidden="1">{#N/A,#N/A,FALSE,"Aging Summary";#N/A,#N/A,FALSE,"Ratio Analysis";#N/A,#N/A,FALSE,"Test 120 Day Accts";#N/A,#N/A,FALSE,"Tickmarks"}</definedName>
    <definedName name="aging" localSheetId="35" hidden="1">{#N/A,#N/A,FALSE,"Aging Summary";#N/A,#N/A,FALSE,"Ratio Analysis";#N/A,#N/A,FALSE,"Test 120 Day Accts";#N/A,#N/A,FALSE,"Tickmarks"}</definedName>
    <definedName name="aging" localSheetId="45" hidden="1">{#N/A,#N/A,FALSE,"Aging Summary";#N/A,#N/A,FALSE,"Ratio Analysis";#N/A,#N/A,FALSE,"Test 120 Day Accts";#N/A,#N/A,FALSE,"Tickmarks"}</definedName>
    <definedName name="aging" localSheetId="13" hidden="1">{#N/A,#N/A,FALSE,"Aging Summary";#N/A,#N/A,FALSE,"Ratio Analysis";#N/A,#N/A,FALSE,"Test 120 Day Accts";#N/A,#N/A,FALSE,"Tickmarks"}</definedName>
    <definedName name="aging" hidden="1">{#N/A,#N/A,FALSE,"Aging Summary";#N/A,#N/A,FALSE,"Ratio Analysis";#N/A,#N/A,FALSE,"Test 120 Day Accts";#N/A,#N/A,FALSE,"Tickmarks"}</definedName>
    <definedName name="AGXP">'[11]C.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[15]ALL!$B$25</definedName>
    <definedName name="ALLCGI">[15]ALL!$D$25</definedName>
    <definedName name="AllocationDate">#REF!</definedName>
    <definedName name="Allocator.gross.plant">'[16]Appendix A'!$H$29</definedName>
    <definedName name="Allocator.net.plant">'[16]Appendix A'!$H$32</definedName>
    <definedName name="Allocator.wages.salary">'[16]Appendix A'!$H$17</definedName>
    <definedName name="Allocators">#REF!</definedName>
    <definedName name="ALLRD">[15]ALL!$C$25</definedName>
    <definedName name="ALLSKP">[15]ALL!$E$25</definedName>
    <definedName name="alsdfa" localSheetId="26" hidden="1">{#N/A,#N/A,FALSE,"Monthly SAIFI";#N/A,#N/A,FALSE,"Yearly SAIFI";#N/A,#N/A,FALSE,"Monthly CAIDI";#N/A,#N/A,FALSE,"Yearly CAIDI";#N/A,#N/A,FALSE,"Monthly SAIDI";#N/A,#N/A,FALSE,"Yearly SAIDI";#N/A,#N/A,FALSE,"Monthly MAIFI";#N/A,#N/A,FALSE,"Yearly MAIFI";#N/A,#N/A,FALSE,"Monthly Cust &gt;=4 Int"}</definedName>
    <definedName name="alsdfa" localSheetId="28" hidden="1">{#N/A,#N/A,FALSE,"Monthly SAIFI";#N/A,#N/A,FALSE,"Yearly SAIFI";#N/A,#N/A,FALSE,"Monthly CAIDI";#N/A,#N/A,FALSE,"Yearly CAIDI";#N/A,#N/A,FALSE,"Monthly SAIDI";#N/A,#N/A,FALSE,"Yearly SAIDI";#N/A,#N/A,FALSE,"Monthly MAIFI";#N/A,#N/A,FALSE,"Yearly MAIFI";#N/A,#N/A,FALSE,"Monthly Cust &gt;=4 Int"}</definedName>
    <definedName name="alsdfa" localSheetId="33" hidden="1">{#N/A,#N/A,FALSE,"Monthly SAIFI";#N/A,#N/A,FALSE,"Yearly SAIFI";#N/A,#N/A,FALSE,"Monthly CAIDI";#N/A,#N/A,FALSE,"Yearly CAIDI";#N/A,#N/A,FALSE,"Monthly SAIDI";#N/A,#N/A,FALSE,"Yearly SAIDI";#N/A,#N/A,FALSE,"Monthly MAIFI";#N/A,#N/A,FALSE,"Yearly MAIFI";#N/A,#N/A,FALSE,"Monthly Cust &gt;=4 Int"}</definedName>
    <definedName name="alsdfa" localSheetId="35" hidden="1">{#N/A,#N/A,FALSE,"Monthly SAIFI";#N/A,#N/A,FALSE,"Yearly SAIFI";#N/A,#N/A,FALSE,"Monthly CAIDI";#N/A,#N/A,FALSE,"Yearly CAIDI";#N/A,#N/A,FALSE,"Monthly SAIDI";#N/A,#N/A,FALSE,"Yearly SAIDI";#N/A,#N/A,FALSE,"Monthly MAIFI";#N/A,#N/A,FALSE,"Yearly MAIFI";#N/A,#N/A,FALSE,"Monthly Cust &gt;=4 Int"}</definedName>
    <definedName name="alsdfa" localSheetId="45" hidden="1">{#N/A,#N/A,FALSE,"Monthly SAIFI";#N/A,#N/A,FALSE,"Yearly SAIFI";#N/A,#N/A,FALSE,"Monthly CAIDI";#N/A,#N/A,FALSE,"Yearly CAIDI";#N/A,#N/A,FALSE,"Monthly SAIDI";#N/A,#N/A,FALSE,"Yearly SAIDI";#N/A,#N/A,FALSE,"Monthly MAIFI";#N/A,#N/A,FALSE,"Yearly MAIFI";#N/A,#N/A,FALSE,"Monthly Cust &gt;=4 Int"}</definedName>
    <definedName name="alsdfa" localSheetId="13"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mort_04">'[11]D.16.1.2 Table B 2004'!$A$24:$U$35</definedName>
    <definedName name="Amort_05">'[11]D.16.1.3 Table B 2005'!$A$24:$U$36</definedName>
    <definedName name="Amort_06">'[11]D.16.1.4 Table B 2006'!$A$24:$U$37</definedName>
    <definedName name="Amort_07">'[11]D.16.1.5 Table B 2007'!$A$24:$U$38</definedName>
    <definedName name="Amort_08">'[11]D.16.1.6 Table B 2008'!$A$24:$U$39</definedName>
    <definedName name="Amort_09">'[11]D.16.1.7 Table B 2009'!$A$24:$U$39</definedName>
    <definedName name="Amort_10">'[11]D.16.1.8 Table B 2010'!$A$24:$U$39</definedName>
    <definedName name="Amort_11">'[11]D.16.1.9 Table B 2011'!$A$24:$U$39</definedName>
    <definedName name="Amort_12">'[11]D.16.1.10 Table B 2012'!$A$24:$U$39</definedName>
    <definedName name="anscount" hidden="1">1</definedName>
    <definedName name="APCFAC">#REF!</definedName>
    <definedName name="APCLF">#REF!</definedName>
    <definedName name="APCMW">#REF!</definedName>
    <definedName name="APCMWH">#REF!</definedName>
    <definedName name="APN">'[17]Gas Ferc 2 2003'!$V$2</definedName>
    <definedName name="April" localSheetId="26" hidden="1">{#N/A,#N/A,FALSE,"CTC Summary - EOY";#N/A,#N/A,FALSE,"CTC Summary - Wtavg"}</definedName>
    <definedName name="April" localSheetId="28" hidden="1">{#N/A,#N/A,FALSE,"CTC Summary - EOY";#N/A,#N/A,FALSE,"CTC Summary - Wtavg"}</definedName>
    <definedName name="April" localSheetId="30" hidden="1">{#N/A,#N/A,FALSE,"CTC Summary - EOY";#N/A,#N/A,FALSE,"CTC Summary - Wtavg"}</definedName>
    <definedName name="April" localSheetId="31" hidden="1">{#N/A,#N/A,FALSE,"CTC Summary - EOY";#N/A,#N/A,FALSE,"CTC Summary - Wtavg"}</definedName>
    <definedName name="April" localSheetId="33" hidden="1">{#N/A,#N/A,FALSE,"CTC Summary - EOY";#N/A,#N/A,FALSE,"CTC Summary - Wtavg"}</definedName>
    <definedName name="April" localSheetId="34" hidden="1">{#N/A,#N/A,FALSE,"CTC Summary - EOY";#N/A,#N/A,FALSE,"CTC Summary - Wtavg"}</definedName>
    <definedName name="April" localSheetId="35" hidden="1">{#N/A,#N/A,FALSE,"CTC Summary - EOY";#N/A,#N/A,FALSE,"CTC Summary - Wtavg"}</definedName>
    <definedName name="April" localSheetId="36" hidden="1">{#N/A,#N/A,FALSE,"CTC Summary - EOY";#N/A,#N/A,FALSE,"CTC Summary - Wtavg"}</definedName>
    <definedName name="April" localSheetId="45" hidden="1">{#N/A,#N/A,FALSE,"CTC Summary - EOY";#N/A,#N/A,FALSE,"CTC Summary - Wtavg"}</definedName>
    <definedName name="April" localSheetId="12" hidden="1">{#N/A,#N/A,FALSE,"CTC Summary - EOY";#N/A,#N/A,FALSE,"CTC Summary - Wtavg"}</definedName>
    <definedName name="April" localSheetId="13" hidden="1">{#N/A,#N/A,FALSE,"CTC Summary - EOY";#N/A,#N/A,FALSE,"CTC Summary - Wtavg"}</definedName>
    <definedName name="April" hidden="1">{#N/A,#N/A,FALSE,"CTC Summary - EOY";#N/A,#N/A,FALSE,"CTC Summary - Wtavg"}</definedName>
    <definedName name="ARB_04">'[11]D.16.1.2 Table B 2004'!$A$39:$U$50</definedName>
    <definedName name="ARB_05">'[11]D.16.1.3 Table B 2005'!$A$40:$U$52</definedName>
    <definedName name="ARB_06">'[11]D.16.1.4 Table B 2006'!$A$41:$U$54</definedName>
    <definedName name="ARB_07">'[11]D.16.1.5 Table B 2007'!$A$42:$U$56</definedName>
    <definedName name="ARB_08">'[11]D.16.1.6 Table B 2008'!$A$43:$U$58</definedName>
    <definedName name="ARB_09">'[11]D.16.1.7 Table B 2009'!$A$43:$U$58</definedName>
    <definedName name="ARB_10">'[11]D.16.1.8 Table B 2010'!$A$43:$U$58</definedName>
    <definedName name="ARB_11">'[11]D.16.1.9 Table B 2011'!$A$43:$U$58</definedName>
    <definedName name="AS" localSheetId="26">{"'Metretek HTML'!$A$7:$W$42"}</definedName>
    <definedName name="AS" localSheetId="28">{"'Metretek HTML'!$A$7:$W$42"}</definedName>
    <definedName name="AS" localSheetId="33">{"'Metretek HTML'!$A$7:$W$42"}</definedName>
    <definedName name="AS" localSheetId="35">{"'Metretek HTML'!$A$7:$W$42"}</definedName>
    <definedName name="AS" localSheetId="45">{"'Metretek HTML'!$A$7:$W$42"}</definedName>
    <definedName name="AS" localSheetId="13">{"'Metretek HTML'!$A$7:$W$42"}</definedName>
    <definedName name="AS">{"'Metretek HTML'!$A$7:$W$42"}</definedName>
    <definedName name="AS2DocOpenMode">"AS2DocumentEdit"</definedName>
    <definedName name="asdf" localSheetId="26" hidden="1">{#N/A,#N/A,FALSE,"Monthly SAIFI";#N/A,#N/A,FALSE,"Yearly SAIFI";#N/A,#N/A,FALSE,"Monthly CAIDI";#N/A,#N/A,FALSE,"Yearly CAIDI";#N/A,#N/A,FALSE,"Monthly SAIDI";#N/A,#N/A,FALSE,"Yearly SAIDI";#N/A,#N/A,FALSE,"Monthly MAIFI";#N/A,#N/A,FALSE,"Yearly MAIFI";#N/A,#N/A,FALSE,"Monthly Cust &gt;=4 Int"}</definedName>
    <definedName name="asdf" localSheetId="28" hidden="1">{#N/A,#N/A,FALSE,"Monthly SAIFI";#N/A,#N/A,FALSE,"Yearly SAIFI";#N/A,#N/A,FALSE,"Monthly CAIDI";#N/A,#N/A,FALSE,"Yearly CAIDI";#N/A,#N/A,FALSE,"Monthly SAIDI";#N/A,#N/A,FALSE,"Yearly SAIDI";#N/A,#N/A,FALSE,"Monthly MAIFI";#N/A,#N/A,FALSE,"Yearly MAIFI";#N/A,#N/A,FALSE,"Monthly Cust &gt;=4 Int"}</definedName>
    <definedName name="asdf" localSheetId="33" hidden="1">{#N/A,#N/A,FALSE,"Monthly SAIFI";#N/A,#N/A,FALSE,"Yearly SAIFI";#N/A,#N/A,FALSE,"Monthly CAIDI";#N/A,#N/A,FALSE,"Yearly CAIDI";#N/A,#N/A,FALSE,"Monthly SAIDI";#N/A,#N/A,FALSE,"Yearly SAIDI";#N/A,#N/A,FALSE,"Monthly MAIFI";#N/A,#N/A,FALSE,"Yearly MAIFI";#N/A,#N/A,FALSE,"Monthly Cust &gt;=4 Int"}</definedName>
    <definedName name="asdf" localSheetId="35" hidden="1">{#N/A,#N/A,FALSE,"Monthly SAIFI";#N/A,#N/A,FALSE,"Yearly SAIFI";#N/A,#N/A,FALSE,"Monthly CAIDI";#N/A,#N/A,FALSE,"Yearly CAIDI";#N/A,#N/A,FALSE,"Monthly SAIDI";#N/A,#N/A,FALSE,"Yearly SAIDI";#N/A,#N/A,FALSE,"Monthly MAIFI";#N/A,#N/A,FALSE,"Yearly MAIFI";#N/A,#N/A,FALSE,"Monthly Cust &gt;=4 Int"}</definedName>
    <definedName name="asdf" localSheetId="45" hidden="1">{#N/A,#N/A,FALSE,"Monthly SAIFI";#N/A,#N/A,FALSE,"Yearly SAIFI";#N/A,#N/A,FALSE,"Monthly CAIDI";#N/A,#N/A,FALSE,"Yearly CAIDI";#N/A,#N/A,FALSE,"Monthly SAIDI";#N/A,#N/A,FALSE,"Yearly SAIDI";#N/A,#N/A,FALSE,"Monthly MAIFI";#N/A,#N/A,FALSE,"Yearly MAIFI";#N/A,#N/A,FALSE,"Monthly Cust &gt;=4 Int"}</definedName>
    <definedName name="asdf" localSheetId="13"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6" hidden="1">{#N/A,#N/A,FALSE,"Monthly SAIFI";#N/A,#N/A,FALSE,"Yearly SAIFI";#N/A,#N/A,FALSE,"Monthly CAIDI";#N/A,#N/A,FALSE,"Yearly CAIDI";#N/A,#N/A,FALSE,"Monthly SAIDI";#N/A,#N/A,FALSE,"Yearly SAIDI";#N/A,#N/A,FALSE,"Monthly MAIFI";#N/A,#N/A,FALSE,"Yearly MAIFI";#N/A,#N/A,FALSE,"Monthly Cust &gt;=4 Int"}</definedName>
    <definedName name="asdfasdfasdfasdfsdfa" localSheetId="28" hidden="1">{#N/A,#N/A,FALSE,"Monthly SAIFI";#N/A,#N/A,FALSE,"Yearly SAIFI";#N/A,#N/A,FALSE,"Monthly CAIDI";#N/A,#N/A,FALSE,"Yearly CAIDI";#N/A,#N/A,FALSE,"Monthly SAIDI";#N/A,#N/A,FALSE,"Yearly SAIDI";#N/A,#N/A,FALSE,"Monthly MAIFI";#N/A,#N/A,FALSE,"Yearly MAIFI";#N/A,#N/A,FALSE,"Monthly Cust &gt;=4 Int"}</definedName>
    <definedName name="asdfasdfasdfasdfsdfa" localSheetId="33" hidden="1">{#N/A,#N/A,FALSE,"Monthly SAIFI";#N/A,#N/A,FALSE,"Yearly SAIFI";#N/A,#N/A,FALSE,"Monthly CAIDI";#N/A,#N/A,FALSE,"Yearly CAIDI";#N/A,#N/A,FALSE,"Monthly SAIDI";#N/A,#N/A,FALSE,"Yearly SAIDI";#N/A,#N/A,FALSE,"Monthly MAIFI";#N/A,#N/A,FALSE,"Yearly MAIFI";#N/A,#N/A,FALSE,"Monthly Cust &gt;=4 Int"}</definedName>
    <definedName name="asdfasdfasdfasdfsdfa" localSheetId="35" hidden="1">{#N/A,#N/A,FALSE,"Monthly SAIFI";#N/A,#N/A,FALSE,"Yearly SAIFI";#N/A,#N/A,FALSE,"Monthly CAIDI";#N/A,#N/A,FALSE,"Yearly CAIDI";#N/A,#N/A,FALSE,"Monthly SAIDI";#N/A,#N/A,FALSE,"Yearly SAIDI";#N/A,#N/A,FALSE,"Monthly MAIFI";#N/A,#N/A,FALSE,"Yearly MAIFI";#N/A,#N/A,FALSE,"Monthly Cust &gt;=4 Int"}</definedName>
    <definedName name="asdfasdfasdfasdfsdfa" localSheetId="45" hidden="1">{#N/A,#N/A,FALSE,"Monthly SAIFI";#N/A,#N/A,FALSE,"Yearly SAIFI";#N/A,#N/A,FALSE,"Monthly CAIDI";#N/A,#N/A,FALSE,"Yearly CAIDI";#N/A,#N/A,FALSE,"Monthly SAIDI";#N/A,#N/A,FALSE,"Yearly SAIDI";#N/A,#N/A,FALSE,"Monthly MAIFI";#N/A,#N/A,FALSE,"Yearly MAIFI";#N/A,#N/A,FALSE,"Monthly Cust &gt;=4 Int"}</definedName>
    <definedName name="asdfasdfasdfasdfsdfa" localSheetId="13"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6" hidden="1">{#N/A,#N/A,FALSE,"Monthly SAIFI";#N/A,#N/A,FALSE,"Yearly SAIFI";#N/A,#N/A,FALSE,"Monthly CAIDI";#N/A,#N/A,FALSE,"Yearly CAIDI";#N/A,#N/A,FALSE,"Monthly SAIDI";#N/A,#N/A,FALSE,"Yearly SAIDI";#N/A,#N/A,FALSE,"Monthly MAIFI";#N/A,#N/A,FALSE,"Yearly MAIFI";#N/A,#N/A,FALSE,"Monthly Cust &gt;=4 Int"}</definedName>
    <definedName name="ashaita" localSheetId="28" hidden="1">{#N/A,#N/A,FALSE,"Monthly SAIFI";#N/A,#N/A,FALSE,"Yearly SAIFI";#N/A,#N/A,FALSE,"Monthly CAIDI";#N/A,#N/A,FALSE,"Yearly CAIDI";#N/A,#N/A,FALSE,"Monthly SAIDI";#N/A,#N/A,FALSE,"Yearly SAIDI";#N/A,#N/A,FALSE,"Monthly MAIFI";#N/A,#N/A,FALSE,"Yearly MAIFI";#N/A,#N/A,FALSE,"Monthly Cust &gt;=4 Int"}</definedName>
    <definedName name="ashaita" localSheetId="33" hidden="1">{#N/A,#N/A,FALSE,"Monthly SAIFI";#N/A,#N/A,FALSE,"Yearly SAIFI";#N/A,#N/A,FALSE,"Monthly CAIDI";#N/A,#N/A,FALSE,"Yearly CAIDI";#N/A,#N/A,FALSE,"Monthly SAIDI";#N/A,#N/A,FALSE,"Yearly SAIDI";#N/A,#N/A,FALSE,"Monthly MAIFI";#N/A,#N/A,FALSE,"Yearly MAIFI";#N/A,#N/A,FALSE,"Monthly Cust &gt;=4 Int"}</definedName>
    <definedName name="ashaita" localSheetId="35" hidden="1">{#N/A,#N/A,FALSE,"Monthly SAIFI";#N/A,#N/A,FALSE,"Yearly SAIFI";#N/A,#N/A,FALSE,"Monthly CAIDI";#N/A,#N/A,FALSE,"Yearly CAIDI";#N/A,#N/A,FALSE,"Monthly SAIDI";#N/A,#N/A,FALSE,"Yearly SAIDI";#N/A,#N/A,FALSE,"Monthly MAIFI";#N/A,#N/A,FALSE,"Yearly MAIFI";#N/A,#N/A,FALSE,"Monthly Cust &gt;=4 Int"}</definedName>
    <definedName name="ashaita" localSheetId="45" hidden="1">{#N/A,#N/A,FALSE,"Monthly SAIFI";#N/A,#N/A,FALSE,"Yearly SAIFI";#N/A,#N/A,FALSE,"Monthly CAIDI";#N/A,#N/A,FALSE,"Yearly CAIDI";#N/A,#N/A,FALSE,"Monthly SAIDI";#N/A,#N/A,FALSE,"Yearly SAIDI";#N/A,#N/A,FALSE,"Monthly MAIFI";#N/A,#N/A,FALSE,"Yearly MAIFI";#N/A,#N/A,FALSE,"Monthly Cust &gt;=4 Int"}</definedName>
    <definedName name="ashaita" localSheetId="13"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[18]Input!$B$6</definedName>
    <definedName name="assd" localSheetId="26" hidden="1">{#N/A,#N/A,FALSE,"Monthly SAIFI";#N/A,#N/A,FALSE,"Yearly SAIFI";#N/A,#N/A,FALSE,"Monthly CAIDI";#N/A,#N/A,FALSE,"Yearly CAIDI";#N/A,#N/A,FALSE,"Monthly SAIDI";#N/A,#N/A,FALSE,"Yearly SAIDI";#N/A,#N/A,FALSE,"Monthly MAIFI";#N/A,#N/A,FALSE,"Yearly MAIFI";#N/A,#N/A,FALSE,"Monthly Cust &gt;=4 Int"}</definedName>
    <definedName name="assd" localSheetId="28" hidden="1">{#N/A,#N/A,FALSE,"Monthly SAIFI";#N/A,#N/A,FALSE,"Yearly SAIFI";#N/A,#N/A,FALSE,"Monthly CAIDI";#N/A,#N/A,FALSE,"Yearly CAIDI";#N/A,#N/A,FALSE,"Monthly SAIDI";#N/A,#N/A,FALSE,"Yearly SAIDI";#N/A,#N/A,FALSE,"Monthly MAIFI";#N/A,#N/A,FALSE,"Yearly MAIFI";#N/A,#N/A,FALSE,"Monthly Cust &gt;=4 Int"}</definedName>
    <definedName name="assd" localSheetId="33" hidden="1">{#N/A,#N/A,FALSE,"Monthly SAIFI";#N/A,#N/A,FALSE,"Yearly SAIFI";#N/A,#N/A,FALSE,"Monthly CAIDI";#N/A,#N/A,FALSE,"Yearly CAIDI";#N/A,#N/A,FALSE,"Monthly SAIDI";#N/A,#N/A,FALSE,"Yearly SAIDI";#N/A,#N/A,FALSE,"Monthly MAIFI";#N/A,#N/A,FALSE,"Yearly MAIFI";#N/A,#N/A,FALSE,"Monthly Cust &gt;=4 Int"}</definedName>
    <definedName name="assd" localSheetId="35" hidden="1">{#N/A,#N/A,FALSE,"Monthly SAIFI";#N/A,#N/A,FALSE,"Yearly SAIFI";#N/A,#N/A,FALSE,"Monthly CAIDI";#N/A,#N/A,FALSE,"Yearly CAIDI";#N/A,#N/A,FALSE,"Monthly SAIDI";#N/A,#N/A,FALSE,"Yearly SAIDI";#N/A,#N/A,FALSE,"Monthly MAIFI";#N/A,#N/A,FALSE,"Yearly MAIFI";#N/A,#N/A,FALSE,"Monthly Cust &gt;=4 Int"}</definedName>
    <definedName name="assd" localSheetId="45" hidden="1">{#N/A,#N/A,FALSE,"Monthly SAIFI";#N/A,#N/A,FALSE,"Yearly SAIFI";#N/A,#N/A,FALSE,"Monthly CAIDI";#N/A,#N/A,FALSE,"Yearly CAIDI";#N/A,#N/A,FALSE,"Monthly SAIDI";#N/A,#N/A,FALSE,"Yearly SAIDI";#N/A,#N/A,FALSE,"Monthly MAIFI";#N/A,#N/A,FALSE,"Yearly MAIFI";#N/A,#N/A,FALSE,"Monthly Cust &gt;=4 Int"}</definedName>
    <definedName name="assd" localSheetId="13"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ugust" localSheetId="26" hidden="1">{#N/A,#N/A,FALSE,"CTC Summary - EOY";#N/A,#N/A,FALSE,"CTC Summary - Wtavg"}</definedName>
    <definedName name="August" localSheetId="28" hidden="1">{#N/A,#N/A,FALSE,"CTC Summary - EOY";#N/A,#N/A,FALSE,"CTC Summary - Wtavg"}</definedName>
    <definedName name="August" localSheetId="30" hidden="1">{#N/A,#N/A,FALSE,"CTC Summary - EOY";#N/A,#N/A,FALSE,"CTC Summary - Wtavg"}</definedName>
    <definedName name="August" localSheetId="31" hidden="1">{#N/A,#N/A,FALSE,"CTC Summary - EOY";#N/A,#N/A,FALSE,"CTC Summary - Wtavg"}</definedName>
    <definedName name="August" localSheetId="33" hidden="1">{#N/A,#N/A,FALSE,"CTC Summary - EOY";#N/A,#N/A,FALSE,"CTC Summary - Wtavg"}</definedName>
    <definedName name="August" localSheetId="34" hidden="1">{#N/A,#N/A,FALSE,"CTC Summary - EOY";#N/A,#N/A,FALSE,"CTC Summary - Wtavg"}</definedName>
    <definedName name="August" localSheetId="35" hidden="1">{#N/A,#N/A,FALSE,"CTC Summary - EOY";#N/A,#N/A,FALSE,"CTC Summary - Wtavg"}</definedName>
    <definedName name="August" localSheetId="36" hidden="1">{#N/A,#N/A,FALSE,"CTC Summary - EOY";#N/A,#N/A,FALSE,"CTC Summary - Wtavg"}</definedName>
    <definedName name="August" localSheetId="45" hidden="1">{#N/A,#N/A,FALSE,"CTC Summary - EOY";#N/A,#N/A,FALSE,"CTC Summary - Wtavg"}</definedName>
    <definedName name="August" localSheetId="12" hidden="1">{#N/A,#N/A,FALSE,"CTC Summary - EOY";#N/A,#N/A,FALSE,"CTC Summary - Wtavg"}</definedName>
    <definedName name="August" localSheetId="13" hidden="1">{#N/A,#N/A,FALSE,"CTC Summary - EOY";#N/A,#N/A,FALSE,"CTC Summary - Wtavg"}</definedName>
    <definedName name="August" hidden="1">{#N/A,#N/A,FALSE,"CTC Summary - EOY";#N/A,#N/A,FALSE,"CTC Summary - Wtavg"}</definedName>
    <definedName name="avoidint">"V2001-12-31"</definedName>
    <definedName name="az" localSheetId="26">{"'Metretek HTML'!$A$7:$W$42"}</definedName>
    <definedName name="az" localSheetId="28">{"'Metretek HTML'!$A$7:$W$42"}</definedName>
    <definedName name="az" localSheetId="33">{"'Metretek HTML'!$A$7:$W$42"}</definedName>
    <definedName name="az" localSheetId="35">{"'Metretek HTML'!$A$7:$W$42"}</definedName>
    <definedName name="az" localSheetId="45">{"'Metretek HTML'!$A$7:$W$42"}</definedName>
    <definedName name="az" localSheetId="13">{"'Metretek HTML'!$A$7:$W$42"}</definedName>
    <definedName name="az">{"'Metretek HTML'!$A$7:$W$42"}</definedName>
    <definedName name="b" localSheetId="26" hidden="1">{#N/A,#N/A,FALSE,"CTC Summary - EOY";#N/A,#N/A,FALSE,"CTC Summary - Wtavg"}</definedName>
    <definedName name="b" localSheetId="28" hidden="1">{#N/A,#N/A,FALSE,"CTC Summary - EOY";#N/A,#N/A,FALSE,"CTC Summary - Wtavg"}</definedName>
    <definedName name="b" localSheetId="30" hidden="1">{#N/A,#N/A,FALSE,"CTC Summary - EOY";#N/A,#N/A,FALSE,"CTC Summary - Wtavg"}</definedName>
    <definedName name="b" localSheetId="31" hidden="1">{#N/A,#N/A,FALSE,"CTC Summary - EOY";#N/A,#N/A,FALSE,"CTC Summary - Wtavg"}</definedName>
    <definedName name="b" localSheetId="33" hidden="1">{#N/A,#N/A,FALSE,"CTC Summary - EOY";#N/A,#N/A,FALSE,"CTC Summary - Wtavg"}</definedName>
    <definedName name="b" localSheetId="34" hidden="1">{#N/A,#N/A,FALSE,"CTC Summary - EOY";#N/A,#N/A,FALSE,"CTC Summary - Wtavg"}</definedName>
    <definedName name="b" localSheetId="35" hidden="1">{#N/A,#N/A,FALSE,"CTC Summary - EOY";#N/A,#N/A,FALSE,"CTC Summary - Wtavg"}</definedName>
    <definedName name="b" localSheetId="36" hidden="1">{#N/A,#N/A,FALSE,"CTC Summary - EOY";#N/A,#N/A,FALSE,"CTC Summary - Wtavg"}</definedName>
    <definedName name="b" localSheetId="45" hidden="1">{#N/A,#N/A,FALSE,"CTC Summary - EOY";#N/A,#N/A,FALSE,"CTC Summary - Wtavg"}</definedName>
    <definedName name="b" localSheetId="12" hidden="1">{#N/A,#N/A,FALSE,"CTC Summary - EOY";#N/A,#N/A,FALSE,"CTC Summary - Wtavg"}</definedName>
    <definedName name="b" localSheetId="13" hidden="1">{#N/A,#N/A,FALSE,"CTC Summary - EOY";#N/A,#N/A,FALSE,"CTC Summary - Wtavg"}</definedName>
    <definedName name="b" hidden="1">{#N/A,#N/A,FALSE,"CTC Summary - EOY";#N/A,#N/A,FALSE,"CTC Summary - Wtavg"}</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1P1">#REF!</definedName>
    <definedName name="BALANCE">'[19]MTHLY BAL.'!$A$6:$O$89</definedName>
    <definedName name="Balances">#REF!</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eYear">#REF!</definedName>
    <definedName name="Basis_Points">[10]Assumptions!$H$15</definedName>
    <definedName name="bbb" localSheetId="26" hidden="1">{#N/A,#N/A,FALSE,"O&amp;M by processes";#N/A,#N/A,FALSE,"Elec Act vs Bud";#N/A,#N/A,FALSE,"G&amp;A";#N/A,#N/A,FALSE,"BGS";#N/A,#N/A,FALSE,"Res Cost"}</definedName>
    <definedName name="bbb" localSheetId="28" hidden="1">{#N/A,#N/A,FALSE,"O&amp;M by processes";#N/A,#N/A,FALSE,"Elec Act vs Bud";#N/A,#N/A,FALSE,"G&amp;A";#N/A,#N/A,FALSE,"BGS";#N/A,#N/A,FALSE,"Res Cost"}</definedName>
    <definedName name="bbb" localSheetId="33" hidden="1">{#N/A,#N/A,FALSE,"O&amp;M by processes";#N/A,#N/A,FALSE,"Elec Act vs Bud";#N/A,#N/A,FALSE,"G&amp;A";#N/A,#N/A,FALSE,"BGS";#N/A,#N/A,FALSE,"Res Cost"}</definedName>
    <definedName name="bbb" localSheetId="35" hidden="1">{#N/A,#N/A,FALSE,"O&amp;M by processes";#N/A,#N/A,FALSE,"Elec Act vs Bud";#N/A,#N/A,FALSE,"G&amp;A";#N/A,#N/A,FALSE,"BGS";#N/A,#N/A,FALSE,"Res Cost"}</definedName>
    <definedName name="bbb" localSheetId="45" hidden="1">{#N/A,#N/A,FALSE,"O&amp;M by processes";#N/A,#N/A,FALSE,"Elec Act vs Bud";#N/A,#N/A,FALSE,"G&amp;A";#N/A,#N/A,FALSE,"BGS";#N/A,#N/A,FALSE,"Res Cost"}</definedName>
    <definedName name="bbb" localSheetId="13"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6" hidden="1">{#N/A,#N/A,FALSE,"O&amp;M by processes";#N/A,#N/A,FALSE,"Elec Act vs Bud";#N/A,#N/A,FALSE,"G&amp;A";#N/A,#N/A,FALSE,"BGS";#N/A,#N/A,FALSE,"Res Cost"}</definedName>
    <definedName name="bbbb" localSheetId="28" hidden="1">{#N/A,#N/A,FALSE,"O&amp;M by processes";#N/A,#N/A,FALSE,"Elec Act vs Bud";#N/A,#N/A,FALSE,"G&amp;A";#N/A,#N/A,FALSE,"BGS";#N/A,#N/A,FALSE,"Res Cost"}</definedName>
    <definedName name="bbbb" localSheetId="33" hidden="1">{#N/A,#N/A,FALSE,"O&amp;M by processes";#N/A,#N/A,FALSE,"Elec Act vs Bud";#N/A,#N/A,FALSE,"G&amp;A";#N/A,#N/A,FALSE,"BGS";#N/A,#N/A,FALSE,"Res Cost"}</definedName>
    <definedName name="bbbb" localSheetId="35" hidden="1">{#N/A,#N/A,FALSE,"O&amp;M by processes";#N/A,#N/A,FALSE,"Elec Act vs Bud";#N/A,#N/A,FALSE,"G&amp;A";#N/A,#N/A,FALSE,"BGS";#N/A,#N/A,FALSE,"Res Cost"}</definedName>
    <definedName name="bbbb" localSheetId="45" hidden="1">{#N/A,#N/A,FALSE,"O&amp;M by processes";#N/A,#N/A,FALSE,"Elec Act vs Bud";#N/A,#N/A,FALSE,"G&amp;A";#N/A,#N/A,FALSE,"BGS";#N/A,#N/A,FALSE,"Res Cost"}</definedName>
    <definedName name="bbbb" localSheetId="13"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6" hidden="1">{#N/A,#N/A,FALSE,"O&amp;M by processes";#N/A,#N/A,FALSE,"Elec Act vs Bud";#N/A,#N/A,FALSE,"G&amp;A";#N/A,#N/A,FALSE,"BGS";#N/A,#N/A,FALSE,"Res Cost"}</definedName>
    <definedName name="bbbbb" localSheetId="28" hidden="1">{#N/A,#N/A,FALSE,"O&amp;M by processes";#N/A,#N/A,FALSE,"Elec Act vs Bud";#N/A,#N/A,FALSE,"G&amp;A";#N/A,#N/A,FALSE,"BGS";#N/A,#N/A,FALSE,"Res Cost"}</definedName>
    <definedName name="bbbbb" localSheetId="33" hidden="1">{#N/A,#N/A,FALSE,"O&amp;M by processes";#N/A,#N/A,FALSE,"Elec Act vs Bud";#N/A,#N/A,FALSE,"G&amp;A";#N/A,#N/A,FALSE,"BGS";#N/A,#N/A,FALSE,"Res Cost"}</definedName>
    <definedName name="bbbbb" localSheetId="35" hidden="1">{#N/A,#N/A,FALSE,"O&amp;M by processes";#N/A,#N/A,FALSE,"Elec Act vs Bud";#N/A,#N/A,FALSE,"G&amp;A";#N/A,#N/A,FALSE,"BGS";#N/A,#N/A,FALSE,"Res Cost"}</definedName>
    <definedName name="bbbbb" localSheetId="45" hidden="1">{#N/A,#N/A,FALSE,"O&amp;M by processes";#N/A,#N/A,FALSE,"Elec Act vs Bud";#N/A,#N/A,FALSE,"G&amp;A";#N/A,#N/A,FALSE,"BGS";#N/A,#N/A,FALSE,"Res Cost"}</definedName>
    <definedName name="bbbbb" localSheetId="13"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6" hidden="1">{#N/A,#N/A,FALSE,"O&amp;M by processes";#N/A,#N/A,FALSE,"Elec Act vs Bud";#N/A,#N/A,FALSE,"G&amp;A";#N/A,#N/A,FALSE,"BGS";#N/A,#N/A,FALSE,"Res Cost"}</definedName>
    <definedName name="bbc" localSheetId="28" hidden="1">{#N/A,#N/A,FALSE,"O&amp;M by processes";#N/A,#N/A,FALSE,"Elec Act vs Bud";#N/A,#N/A,FALSE,"G&amp;A";#N/A,#N/A,FALSE,"BGS";#N/A,#N/A,FALSE,"Res Cost"}</definedName>
    <definedName name="bbc" localSheetId="33" hidden="1">{#N/A,#N/A,FALSE,"O&amp;M by processes";#N/A,#N/A,FALSE,"Elec Act vs Bud";#N/A,#N/A,FALSE,"G&amp;A";#N/A,#N/A,FALSE,"BGS";#N/A,#N/A,FALSE,"Res Cost"}</definedName>
    <definedName name="bbc" localSheetId="35" hidden="1">{#N/A,#N/A,FALSE,"O&amp;M by processes";#N/A,#N/A,FALSE,"Elec Act vs Bud";#N/A,#N/A,FALSE,"G&amp;A";#N/A,#N/A,FALSE,"BGS";#N/A,#N/A,FALSE,"Res Cost"}</definedName>
    <definedName name="bbc" localSheetId="45" hidden="1">{#N/A,#N/A,FALSE,"O&amp;M by processes";#N/A,#N/A,FALSE,"Elec Act vs Bud";#N/A,#N/A,FALSE,"G&amp;A";#N/A,#N/A,FALSE,"BGS";#N/A,#N/A,FALSE,"Res Cost"}</definedName>
    <definedName name="bbc" localSheetId="13" hidden="1">{#N/A,#N/A,FALSE,"O&amp;M by processes";#N/A,#N/A,FALSE,"Elec Act vs Bud";#N/A,#N/A,FALSE,"G&amp;A";#N/A,#N/A,FALSE,"BGS";#N/A,#N/A,FALSE,"Res Cost"}</definedName>
    <definedName name="bbc" hidden="1">{#N/A,#N/A,FALSE,"O&amp;M by processes";#N/A,#N/A,FALSE,"Elec Act vs Bud";#N/A,#N/A,FALSE,"G&amp;A";#N/A,#N/A,FALSE,"BGS";#N/A,#N/A,FALSE,"Res Cost"}</definedName>
    <definedName name="BBFAC">#REF!</definedName>
    <definedName name="BBLF">#REF!</definedName>
    <definedName name="BBMW">#REF!</definedName>
    <definedName name="BBMWH">#REF!</definedName>
    <definedName name="beg_CWIP">'[20]Input Page'!$E$19</definedName>
    <definedName name="below">OFFSET(!A1,1,0)</definedName>
    <definedName name="bench">#REF!</definedName>
    <definedName name="Benefits">350</definedName>
    <definedName name="beny" localSheetId="26" hidden="1">{#N/A,#N/A,FALSE,"Monthly SAIFI";#N/A,#N/A,FALSE,"Yearly SAIFI";#N/A,#N/A,FALSE,"Monthly CAIDI";#N/A,#N/A,FALSE,"Yearly CAIDI";#N/A,#N/A,FALSE,"Monthly SAIDI";#N/A,#N/A,FALSE,"Yearly SAIDI";#N/A,#N/A,FALSE,"Monthly MAIFI";#N/A,#N/A,FALSE,"Yearly MAIFI";#N/A,#N/A,FALSE,"Monthly Cust &gt;=4 Int"}</definedName>
    <definedName name="beny" localSheetId="28" hidden="1">{#N/A,#N/A,FALSE,"Monthly SAIFI";#N/A,#N/A,FALSE,"Yearly SAIFI";#N/A,#N/A,FALSE,"Monthly CAIDI";#N/A,#N/A,FALSE,"Yearly CAIDI";#N/A,#N/A,FALSE,"Monthly SAIDI";#N/A,#N/A,FALSE,"Yearly SAIDI";#N/A,#N/A,FALSE,"Monthly MAIFI";#N/A,#N/A,FALSE,"Yearly MAIFI";#N/A,#N/A,FALSE,"Monthly Cust &gt;=4 Int"}</definedName>
    <definedName name="beny" localSheetId="33" hidden="1">{#N/A,#N/A,FALSE,"Monthly SAIFI";#N/A,#N/A,FALSE,"Yearly SAIFI";#N/A,#N/A,FALSE,"Monthly CAIDI";#N/A,#N/A,FALSE,"Yearly CAIDI";#N/A,#N/A,FALSE,"Monthly SAIDI";#N/A,#N/A,FALSE,"Yearly SAIDI";#N/A,#N/A,FALSE,"Monthly MAIFI";#N/A,#N/A,FALSE,"Yearly MAIFI";#N/A,#N/A,FALSE,"Monthly Cust &gt;=4 Int"}</definedName>
    <definedName name="beny" localSheetId="35" hidden="1">{#N/A,#N/A,FALSE,"Monthly SAIFI";#N/A,#N/A,FALSE,"Yearly SAIFI";#N/A,#N/A,FALSE,"Monthly CAIDI";#N/A,#N/A,FALSE,"Yearly CAIDI";#N/A,#N/A,FALSE,"Monthly SAIDI";#N/A,#N/A,FALSE,"Yearly SAIDI";#N/A,#N/A,FALSE,"Monthly MAIFI";#N/A,#N/A,FALSE,"Yearly MAIFI";#N/A,#N/A,FALSE,"Monthly Cust &gt;=4 Int"}</definedName>
    <definedName name="beny" localSheetId="45" hidden="1">{#N/A,#N/A,FALSE,"Monthly SAIFI";#N/A,#N/A,FALSE,"Yearly SAIFI";#N/A,#N/A,FALSE,"Monthly CAIDI";#N/A,#N/A,FALSE,"Yearly CAIDI";#N/A,#N/A,FALSE,"Monthly SAIDI";#N/A,#N/A,FALSE,"Yearly SAIDI";#N/A,#N/A,FALSE,"Monthly MAIFI";#N/A,#N/A,FALSE,"Yearly MAIFI";#N/A,#N/A,FALSE,"Monthly Cust &gt;=4 Int"}</definedName>
    <definedName name="beny" localSheetId="13"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'[21]10.08.5 - 2008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'[21]10.08.3 - 2008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'[21]10.08.5 - 2008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'[21]10.08.5 - 2008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'[21]10.08.2 - 2008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'[21]10.08.3 - 2008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'[21]10.08.4 -2008 Capital'!#REF!</definedName>
    <definedName name="BEx1U15M7LVVFZENH830B2BGWC04" hidden="1">#REF!</definedName>
    <definedName name="BEx1U5NGVTXGL4CIPVT5O034KGGR" hidden="1">'[21]10.08.3 - 2008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'[21]10.08.5 - 2008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'[21]10.08.5 - 2008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[22]Table!#REF!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'[21]10.08.5 - 2008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'[21]10.08.5 - 2008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'[21]10.08.3 - 2008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[22]Table!#REF!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'[21]10.08.5 - 2008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'[21]10.08.4 -2008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'[21]10.08.5 - 2008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'[21]10.08.5 - 2008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'[21]10.08.4 -2008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'[21]10.08.5 - 2008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'[21]10.08.3 - 2008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'[21]10.08.2 - 2008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'[21]10.08.3 - 2008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'[21]10.08.5 - 2008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'[21]10.08.5 - 2008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'[21]10.08.5 - 2008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'[21]10.08.2 - 2008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'[21]10.08.5 - 2008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'[21]10.08.2 - 2008 Expense'!#REF!</definedName>
    <definedName name="BExCUW1QXVMEP3B9SFPNEEWCG9I0" hidden="1">'[21]10.08.5 - 2008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'[21]10.08.4 -2008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'[21]10.08.2 - 2008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'[21]10.08.3 - 2008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[22]Table!#REF!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'[21]10.08.4 -2008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'[21]10.08.4 -2008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'[21]10.08.2 - 2008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'[21]10.08.5 - 2008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'[21]10.08.4 -2008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'[21]10.08.5 - 2008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'[21]10.08.4 -2008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'[21]10.08.4 -2008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'[21]10.08.2 - 2008 Expense'!#REF!</definedName>
    <definedName name="BExIM2RXHXBO63HBPUTHF775IIRY" hidden="1">#REF!</definedName>
    <definedName name="BExIM2RXYS5BGYBDMFLU1RE8039Z" hidden="1">#REF!</definedName>
    <definedName name="BExIM2X90EG7J3TG4STQ3J1OK4O0" hidden="1">'[21]10.08.5 - 2008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'[21]10.08.5 - 2008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'[21]10.08.5 - 2008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'[21]10.08.2 - 2008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'[21]10.08.4 -2008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'[21]10.08.4 -2008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'[21]10.08.5 - 2008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[22]Table!#REF!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'[21]10.08.5 - 2008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'[21]10.08.5 - 2008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'[21]10.08.5 - 2008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'[21]10.08.3 - 2008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'[21]10.08.2 - 2008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'[21]10.08.5 - 2008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[22]Table!#REF!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'[21]10.08.2 - 2008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'[21]10.08.5 - 2008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'[21]10.08.3 - 2008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'[21]10.08.2 - 2008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'[21]10.08.2 - 2008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[22]Table!#REF!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'[21]10.08.4 -2008 Capital'!#REF!</definedName>
    <definedName name="BExTYLUCLWGGQOEPH6W91DIYL3RQ" hidden="1">#REF!</definedName>
    <definedName name="BExTYOZQGNRDMMFZOG8515WQDGU3" hidden="1">'[21]10.08.5 - 2008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'[21]10.08.2 - 2008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'[21]10.08.5 - 2008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'[21]10.08.5 - 2008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'[21]10.08.5 - 2008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'[21]10.08.3 - 2008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'[21]10.08.2 - 2008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'[21]10.08.5 - 2008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'[21]10.08.3 - 2008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'[21]10.08.5 - 2008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'[21]10.08.2 - 2008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'[21]10.08.3 - 2008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'[21]10.08.5 - 2008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'[21]10.08.5 - 2008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'[21]10.08.5 - 2008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S_Cost_Scenario">[10]Assumptions!$E$33</definedName>
    <definedName name="BGS_RFP">[10]Assumptions!$E$36</definedName>
    <definedName name="BILLCO">'[3]DPLG-APRIL2001-TRANSCHECKOUT'!$M$1:$P$65536</definedName>
    <definedName name="BILLED_HOURS">#REF!</definedName>
    <definedName name="BILLING_DEMAND__KW">#REF!</definedName>
    <definedName name="BLE_Close_Date">[23]Assumptions!$E$28</definedName>
    <definedName name="BPAAlloc">#REF!</definedName>
    <definedName name="BPACustAlloc">#REF!</definedName>
    <definedName name="BPAGenAlloc">#REF!</definedName>
    <definedName name="BPAGenHead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DMONTH">#REF!</definedName>
    <definedName name="BRDMONTH12">#REF!</definedName>
    <definedName name="BRDQTR">#REF!</definedName>
    <definedName name="BRDYTD">#REF!</definedName>
    <definedName name="BRMAT">#REF!</definedName>
    <definedName name="BS">'[24]Consol Adj.'!#REF!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AAlloc">#REF!</definedName>
    <definedName name="can" localSheetId="26" hidden="1">{#N/A,#N/A,FALSE,"O&amp;M by processes";#N/A,#N/A,FALSE,"Elec Act vs Bud";#N/A,#N/A,FALSE,"G&amp;A";#N/A,#N/A,FALSE,"BGS";#N/A,#N/A,FALSE,"Res Cost"}</definedName>
    <definedName name="can" localSheetId="28" hidden="1">{#N/A,#N/A,FALSE,"O&amp;M by processes";#N/A,#N/A,FALSE,"Elec Act vs Bud";#N/A,#N/A,FALSE,"G&amp;A";#N/A,#N/A,FALSE,"BGS";#N/A,#N/A,FALSE,"Res Cost"}</definedName>
    <definedName name="can" localSheetId="33" hidden="1">{#N/A,#N/A,FALSE,"O&amp;M by processes";#N/A,#N/A,FALSE,"Elec Act vs Bud";#N/A,#N/A,FALSE,"G&amp;A";#N/A,#N/A,FALSE,"BGS";#N/A,#N/A,FALSE,"Res Cost"}</definedName>
    <definedName name="can" localSheetId="35" hidden="1">{#N/A,#N/A,FALSE,"O&amp;M by processes";#N/A,#N/A,FALSE,"Elec Act vs Bud";#N/A,#N/A,FALSE,"G&amp;A";#N/A,#N/A,FALSE,"BGS";#N/A,#N/A,FALSE,"Res Cost"}</definedName>
    <definedName name="can" localSheetId="45" hidden="1">{#N/A,#N/A,FALSE,"O&amp;M by processes";#N/A,#N/A,FALSE,"Elec Act vs Bud";#N/A,#N/A,FALSE,"G&amp;A";#N/A,#N/A,FALSE,"BGS";#N/A,#N/A,FALSE,"Res Cost"}</definedName>
    <definedName name="can" localSheetId="13" hidden="1">{#N/A,#N/A,FALSE,"O&amp;M by processes";#N/A,#N/A,FALSE,"Elec Act vs Bud";#N/A,#N/A,FALSE,"G&amp;A";#N/A,#N/A,FALSE,"BGS";#N/A,#N/A,FALSE,"Res Cost"}</definedName>
    <definedName name="can" hidden="1">{#N/A,#N/A,FALSE,"O&amp;M by processes";#N/A,#N/A,FALSE,"Elec Act vs Bud";#N/A,#N/A,FALSE,"G&amp;A";#N/A,#N/A,FALSE,"BGS";#N/A,#N/A,FALSE,"Res Cost"}</definedName>
    <definedName name="CandAByCust">#REF!</definedName>
    <definedName name="CandAByFunc">#REF!</definedName>
    <definedName name="cap">#REF!</definedName>
    <definedName name="cap_interest">'[20]Input Page'!$E$16</definedName>
    <definedName name="CASE">#REF!</definedName>
    <definedName name="cbcvbcv" localSheetId="26" hidden="1">{#N/A,#N/A,FALSE,"Monthly SAIFI";#N/A,#N/A,FALSE,"Yearly SAIFI";#N/A,#N/A,FALSE,"Monthly CAIDI";#N/A,#N/A,FALSE,"Yearly CAIDI";#N/A,#N/A,FALSE,"Monthly SAIDI";#N/A,#N/A,FALSE,"Yearly SAIDI";#N/A,#N/A,FALSE,"Monthly MAIFI";#N/A,#N/A,FALSE,"Yearly MAIFI";#N/A,#N/A,FALSE,"Monthly Cust &gt;=4 Int"}</definedName>
    <definedName name="cbcvbcv" localSheetId="28" hidden="1">{#N/A,#N/A,FALSE,"Monthly SAIFI";#N/A,#N/A,FALSE,"Yearly SAIFI";#N/A,#N/A,FALSE,"Monthly CAIDI";#N/A,#N/A,FALSE,"Yearly CAIDI";#N/A,#N/A,FALSE,"Monthly SAIDI";#N/A,#N/A,FALSE,"Yearly SAIDI";#N/A,#N/A,FALSE,"Monthly MAIFI";#N/A,#N/A,FALSE,"Yearly MAIFI";#N/A,#N/A,FALSE,"Monthly Cust &gt;=4 Int"}</definedName>
    <definedName name="cbcvbcv" localSheetId="33" hidden="1">{#N/A,#N/A,FALSE,"Monthly SAIFI";#N/A,#N/A,FALSE,"Yearly SAIFI";#N/A,#N/A,FALSE,"Monthly CAIDI";#N/A,#N/A,FALSE,"Yearly CAIDI";#N/A,#N/A,FALSE,"Monthly SAIDI";#N/A,#N/A,FALSE,"Yearly SAIDI";#N/A,#N/A,FALSE,"Monthly MAIFI";#N/A,#N/A,FALSE,"Yearly MAIFI";#N/A,#N/A,FALSE,"Monthly Cust &gt;=4 Int"}</definedName>
    <definedName name="cbcvbcv" localSheetId="35" hidden="1">{#N/A,#N/A,FALSE,"Monthly SAIFI";#N/A,#N/A,FALSE,"Yearly SAIFI";#N/A,#N/A,FALSE,"Monthly CAIDI";#N/A,#N/A,FALSE,"Yearly CAIDI";#N/A,#N/A,FALSE,"Monthly SAIDI";#N/A,#N/A,FALSE,"Yearly SAIDI";#N/A,#N/A,FALSE,"Monthly MAIFI";#N/A,#N/A,FALSE,"Yearly MAIFI";#N/A,#N/A,FALSE,"Monthly Cust &gt;=4 Int"}</definedName>
    <definedName name="cbcvbcv" localSheetId="45" hidden="1">{#N/A,#N/A,FALSE,"Monthly SAIFI";#N/A,#N/A,FALSE,"Yearly SAIFI";#N/A,#N/A,FALSE,"Monthly CAIDI";#N/A,#N/A,FALSE,"Yearly CAIDI";#N/A,#N/A,FALSE,"Monthly SAIDI";#N/A,#N/A,FALSE,"Yearly SAIDI";#N/A,#N/A,FALSE,"Monthly MAIFI";#N/A,#N/A,FALSE,"Yearly MAIFI";#N/A,#N/A,FALSE,"Monthly Cust &gt;=4 Int"}</definedName>
    <definedName name="cbcvbcv" localSheetId="13"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C_TST">'[11]A.2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localSheetId="26" hidden="1">{#N/A,#N/A,FALSE,"Monthly SAIFI";#N/A,#N/A,FALSE,"Yearly SAIFI";#N/A,#N/A,FALSE,"Monthly CAIDI";#N/A,#N/A,FALSE,"Yearly CAIDI";#N/A,#N/A,FALSE,"Monthly SAIDI";#N/A,#N/A,FALSE,"Yearly SAIDI";#N/A,#N/A,FALSE,"Monthly MAIFI";#N/A,#N/A,FALSE,"Yearly MAIFI";#N/A,#N/A,FALSE,"Monthly Cust &gt;=4 Int"}</definedName>
    <definedName name="ccbbcvbc" localSheetId="28" hidden="1">{#N/A,#N/A,FALSE,"Monthly SAIFI";#N/A,#N/A,FALSE,"Yearly SAIFI";#N/A,#N/A,FALSE,"Monthly CAIDI";#N/A,#N/A,FALSE,"Yearly CAIDI";#N/A,#N/A,FALSE,"Monthly SAIDI";#N/A,#N/A,FALSE,"Yearly SAIDI";#N/A,#N/A,FALSE,"Monthly MAIFI";#N/A,#N/A,FALSE,"Yearly MAIFI";#N/A,#N/A,FALSE,"Monthly Cust &gt;=4 Int"}</definedName>
    <definedName name="ccbbcvbc" localSheetId="33" hidden="1">{#N/A,#N/A,FALSE,"Monthly SAIFI";#N/A,#N/A,FALSE,"Yearly SAIFI";#N/A,#N/A,FALSE,"Monthly CAIDI";#N/A,#N/A,FALSE,"Yearly CAIDI";#N/A,#N/A,FALSE,"Monthly SAIDI";#N/A,#N/A,FALSE,"Yearly SAIDI";#N/A,#N/A,FALSE,"Monthly MAIFI";#N/A,#N/A,FALSE,"Yearly MAIFI";#N/A,#N/A,FALSE,"Monthly Cust &gt;=4 Int"}</definedName>
    <definedName name="ccbbcvbc" localSheetId="35" hidden="1">{#N/A,#N/A,FALSE,"Monthly SAIFI";#N/A,#N/A,FALSE,"Yearly SAIFI";#N/A,#N/A,FALSE,"Monthly CAIDI";#N/A,#N/A,FALSE,"Yearly CAIDI";#N/A,#N/A,FALSE,"Monthly SAIDI";#N/A,#N/A,FALSE,"Yearly SAIDI";#N/A,#N/A,FALSE,"Monthly MAIFI";#N/A,#N/A,FALSE,"Yearly MAIFI";#N/A,#N/A,FALSE,"Monthly Cust &gt;=4 Int"}</definedName>
    <definedName name="ccbbcvbc" localSheetId="45" hidden="1">{#N/A,#N/A,FALSE,"Monthly SAIFI";#N/A,#N/A,FALSE,"Yearly SAIFI";#N/A,#N/A,FALSE,"Monthly CAIDI";#N/A,#N/A,FALSE,"Yearly CAIDI";#N/A,#N/A,FALSE,"Monthly SAIDI";#N/A,#N/A,FALSE,"Yearly SAIDI";#N/A,#N/A,FALSE,"Monthly MAIFI";#N/A,#N/A,FALSE,"Yearly MAIFI";#N/A,#N/A,FALSE,"Monthly Cust &gt;=4 Int"}</definedName>
    <definedName name="ccbbcvbc" localSheetId="13"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6" hidden="1">{#N/A,#N/A,FALSE,"O&amp;M by processes";#N/A,#N/A,FALSE,"Elec Act vs Bud";#N/A,#N/A,FALSE,"G&amp;A";#N/A,#N/A,FALSE,"BGS";#N/A,#N/A,FALSE,"Res Cost"}</definedName>
    <definedName name="ccc" localSheetId="28" hidden="1">{#N/A,#N/A,FALSE,"O&amp;M by processes";#N/A,#N/A,FALSE,"Elec Act vs Bud";#N/A,#N/A,FALSE,"G&amp;A";#N/A,#N/A,FALSE,"BGS";#N/A,#N/A,FALSE,"Res Cost"}</definedName>
    <definedName name="ccc" localSheetId="33" hidden="1">{#N/A,#N/A,FALSE,"O&amp;M by processes";#N/A,#N/A,FALSE,"Elec Act vs Bud";#N/A,#N/A,FALSE,"G&amp;A";#N/A,#N/A,FALSE,"BGS";#N/A,#N/A,FALSE,"Res Cost"}</definedName>
    <definedName name="ccc" localSheetId="35" hidden="1">{#N/A,#N/A,FALSE,"O&amp;M by processes";#N/A,#N/A,FALSE,"Elec Act vs Bud";#N/A,#N/A,FALSE,"G&amp;A";#N/A,#N/A,FALSE,"BGS";#N/A,#N/A,FALSE,"Res Cost"}</definedName>
    <definedName name="ccc" localSheetId="45" hidden="1">{#N/A,#N/A,FALSE,"O&amp;M by processes";#N/A,#N/A,FALSE,"Elec Act vs Bud";#N/A,#N/A,FALSE,"G&amp;A";#N/A,#N/A,FALSE,"BGS";#N/A,#N/A,FALSE,"Res Cost"}</definedName>
    <definedName name="ccc" localSheetId="13"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6" hidden="1">{#N/A,#N/A,FALSE,"O&amp;M by processes";#N/A,#N/A,FALSE,"Elec Act vs Bud";#N/A,#N/A,FALSE,"G&amp;A";#N/A,#N/A,FALSE,"BGS";#N/A,#N/A,FALSE,"Res Cost"}</definedName>
    <definedName name="cccc" localSheetId="28" hidden="1">{#N/A,#N/A,FALSE,"O&amp;M by processes";#N/A,#N/A,FALSE,"Elec Act vs Bud";#N/A,#N/A,FALSE,"G&amp;A";#N/A,#N/A,FALSE,"BGS";#N/A,#N/A,FALSE,"Res Cost"}</definedName>
    <definedName name="cccc" localSheetId="33" hidden="1">{#N/A,#N/A,FALSE,"O&amp;M by processes";#N/A,#N/A,FALSE,"Elec Act vs Bud";#N/A,#N/A,FALSE,"G&amp;A";#N/A,#N/A,FALSE,"BGS";#N/A,#N/A,FALSE,"Res Cost"}</definedName>
    <definedName name="cccc" localSheetId="35" hidden="1">{#N/A,#N/A,FALSE,"O&amp;M by processes";#N/A,#N/A,FALSE,"Elec Act vs Bud";#N/A,#N/A,FALSE,"G&amp;A";#N/A,#N/A,FALSE,"BGS";#N/A,#N/A,FALSE,"Res Cost"}</definedName>
    <definedName name="cccc" localSheetId="45" hidden="1">{#N/A,#N/A,FALSE,"O&amp;M by processes";#N/A,#N/A,FALSE,"Elec Act vs Bud";#N/A,#N/A,FALSE,"G&amp;A";#N/A,#N/A,FALSE,"BGS";#N/A,#N/A,FALSE,"Res Cost"}</definedName>
    <definedName name="cccc" localSheetId="13" hidden="1">{#N/A,#N/A,FALSE,"O&amp;M by processes";#N/A,#N/A,FALSE,"Elec Act vs Bud";#N/A,#N/A,FALSE,"G&amp;A";#N/A,#N/A,FALSE,"BGS";#N/A,#N/A,FALSE,"Res Cost"}</definedName>
    <definedName name="cccc" hidden="1">{#N/A,#N/A,FALSE,"O&amp;M by processes";#N/A,#N/A,FALSE,"Elec Act vs Bud";#N/A,#N/A,FALSE,"G&amp;A";#N/A,#N/A,FALSE,"BGS";#N/A,#N/A,FALSE,"Res Cost"}</definedName>
    <definedName name="CE">'[25]Actual Gross Rev'!$N$213</definedName>
    <definedName name="CE_EAI">'[11]C. Input'!$I$37</definedName>
    <definedName name="CE_EGSI">'[11]C. Input'!$L$37</definedName>
    <definedName name="CE_ELI">'[11]C. Input'!$O$37</definedName>
    <definedName name="CE_EMI">'[11]C. Input'!$R$37</definedName>
    <definedName name="CE_ENOI">'[11]C. Input'!$X$37</definedName>
    <definedName name="CEA">'[26]ATRR Act'!$G$172</definedName>
    <definedName name="CECE" comment="Common Plant Allocator">[27]AttachmentH!$J$189</definedName>
    <definedName name="CEE">'[28]Actual Gross Rev Req'!#REF!</definedName>
    <definedName name="cell.above">!A1048576</definedName>
    <definedName name="cell.below">!A2</definedName>
    <definedName name="cell.left">!XFD1</definedName>
    <definedName name="cell.right">!B1</definedName>
    <definedName name="CENTS_KWH__GROSS">#REF!</definedName>
    <definedName name="CENTS_KWH__NET">#REF!</definedName>
    <definedName name="CEP_Amortization">'[23]JFJ-4 CEP Rate'!$A$28:$F$78</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IQWBGuid" hidden="1">"5c45d50c-fbb0-4040-9a33-7ec34da71b69"</definedName>
    <definedName name="CITYM">#REF!</definedName>
    <definedName name="CITYS">#REF!</definedName>
    <definedName name="CITYST">#REF!</definedName>
    <definedName name="CITYT">#REF!</definedName>
    <definedName name="Class">#REF!</definedName>
    <definedName name="ClassCode">#REF!</definedName>
    <definedName name="ClassCustomer">#REF!</definedName>
    <definedName name="ClassDA">#REF!</definedName>
    <definedName name="ClassFunction">#REF!</definedName>
    <definedName name="ClassMethod">#REF!</definedName>
    <definedName name="cleanup" localSheetId="26" hidden="1">{#N/A,#N/A,TRUE,"TAXPROV";#N/A,#N/A,TRUE,"FLOWTHRU";#N/A,#N/A,TRUE,"SCHEDULE M'S";#N/A,#N/A,TRUE,"PLANT M'S";#N/A,#N/A,TRUE,"TAXJE"}</definedName>
    <definedName name="cleanup" localSheetId="28" hidden="1">{#N/A,#N/A,TRUE,"TAXPROV";#N/A,#N/A,TRUE,"FLOWTHRU";#N/A,#N/A,TRUE,"SCHEDULE M'S";#N/A,#N/A,TRUE,"PLANT M'S";#N/A,#N/A,TRUE,"TAXJE"}</definedName>
    <definedName name="cleanup" localSheetId="33" hidden="1">{#N/A,#N/A,TRUE,"TAXPROV";#N/A,#N/A,TRUE,"FLOWTHRU";#N/A,#N/A,TRUE,"SCHEDULE M'S";#N/A,#N/A,TRUE,"PLANT M'S";#N/A,#N/A,TRUE,"TAXJE"}</definedName>
    <definedName name="cleanup" localSheetId="35" hidden="1">{#N/A,#N/A,TRUE,"TAXPROV";#N/A,#N/A,TRUE,"FLOWTHRU";#N/A,#N/A,TRUE,"SCHEDULE M'S";#N/A,#N/A,TRUE,"PLANT M'S";#N/A,#N/A,TRUE,"TAXJE"}</definedName>
    <definedName name="cleanup" localSheetId="45" hidden="1">{#N/A,#N/A,TRUE,"TAXPROV";#N/A,#N/A,TRUE,"FLOWTHRU";#N/A,#N/A,TRUE,"SCHEDULE M'S";#N/A,#N/A,TRUE,"PLANT M'S";#N/A,#N/A,TRUE,"TAXJE"}</definedName>
    <definedName name="cleanup" localSheetId="13" hidden="1">{#N/A,#N/A,TRUE,"TAXPROV";#N/A,#N/A,TRUE,"FLOWTHRU";#N/A,#N/A,TRUE,"SCHEDULE M'S";#N/A,#N/A,TRUE,"PLANT M'S";#N/A,#N/A,TRUE,"TAXJE"}</definedName>
    <definedName name="cleanup" hidden="1">{#N/A,#N/A,TRUE,"TAXPROV";#N/A,#N/A,TRUE,"FLOWTHRU";#N/A,#N/A,TRUE,"SCHEDULE M'S";#N/A,#N/A,TRUE,"PLANT M'S";#N/A,#N/A,TRUE,"TAXJE"}</definedName>
    <definedName name="ClientMatter" hidden="1">"b1"</definedName>
    <definedName name="Code">'[29]Array Tables'!$B$4:$B$236</definedName>
    <definedName name="COGEN">'[30]October Tariff kwh'!$A$1:$H$83</definedName>
    <definedName name="ColumnAttributes1">#REF!</definedName>
    <definedName name="ColumnHeadings1">#REF!</definedName>
    <definedName name="Columns">#REF!</definedName>
    <definedName name="Company_Name">[2]Menu!$I$11</definedName>
    <definedName name="CompanyCount">'[2]QRE Charts'!$F$214</definedName>
    <definedName name="CompanyName">'[31]Title Page'!$A$22</definedName>
    <definedName name="COMPAR_PRT_RNG">[2]Comparison!$B$8:$BT$170</definedName>
    <definedName name="compInc">[32]Inputs!$B$4</definedName>
    <definedName name="Consolid" localSheetId="26" hidden="1">{#N/A,#N/A,FALSE,"O&amp;M by processes";#N/A,#N/A,FALSE,"Elec Act vs Bud";#N/A,#N/A,FALSE,"G&amp;A";#N/A,#N/A,FALSE,"BGS";#N/A,#N/A,FALSE,"Res Cost"}</definedName>
    <definedName name="Consolid" localSheetId="28" hidden="1">{#N/A,#N/A,FALSE,"O&amp;M by processes";#N/A,#N/A,FALSE,"Elec Act vs Bud";#N/A,#N/A,FALSE,"G&amp;A";#N/A,#N/A,FALSE,"BGS";#N/A,#N/A,FALSE,"Res Cost"}</definedName>
    <definedName name="Consolid" localSheetId="33" hidden="1">{#N/A,#N/A,FALSE,"O&amp;M by processes";#N/A,#N/A,FALSE,"Elec Act vs Bud";#N/A,#N/A,FALSE,"G&amp;A";#N/A,#N/A,FALSE,"BGS";#N/A,#N/A,FALSE,"Res Cost"}</definedName>
    <definedName name="Consolid" localSheetId="35" hidden="1">{#N/A,#N/A,FALSE,"O&amp;M by processes";#N/A,#N/A,FALSE,"Elec Act vs Bud";#N/A,#N/A,FALSE,"G&amp;A";#N/A,#N/A,FALSE,"BGS";#N/A,#N/A,FALSE,"Res Cost"}</definedName>
    <definedName name="Consolid" localSheetId="45" hidden="1">{#N/A,#N/A,FALSE,"O&amp;M by processes";#N/A,#N/A,FALSE,"Elec Act vs Bud";#N/A,#N/A,FALSE,"G&amp;A";#N/A,#N/A,FALSE,"BGS";#N/A,#N/A,FALSE,"Res Cost"}</definedName>
    <definedName name="Consolid" localSheetId="13"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6" hidden="1">{#N/A,#N/A,FALSE,"O&amp;M by processes";#N/A,#N/A,FALSE,"Elec Act vs Bud";#N/A,#N/A,FALSE,"G&amp;A";#N/A,#N/A,FALSE,"BGS";#N/A,#N/A,FALSE,"Res Cost"}</definedName>
    <definedName name="Consolidated" localSheetId="28" hidden="1">{#N/A,#N/A,FALSE,"O&amp;M by processes";#N/A,#N/A,FALSE,"Elec Act vs Bud";#N/A,#N/A,FALSE,"G&amp;A";#N/A,#N/A,FALSE,"BGS";#N/A,#N/A,FALSE,"Res Cost"}</definedName>
    <definedName name="Consolidated" localSheetId="33" hidden="1">{#N/A,#N/A,FALSE,"O&amp;M by processes";#N/A,#N/A,FALSE,"Elec Act vs Bud";#N/A,#N/A,FALSE,"G&amp;A";#N/A,#N/A,FALSE,"BGS";#N/A,#N/A,FALSE,"Res Cost"}</definedName>
    <definedName name="Consolidated" localSheetId="35" hidden="1">{#N/A,#N/A,FALSE,"O&amp;M by processes";#N/A,#N/A,FALSE,"Elec Act vs Bud";#N/A,#N/A,FALSE,"G&amp;A";#N/A,#N/A,FALSE,"BGS";#N/A,#N/A,FALSE,"Res Cost"}</definedName>
    <definedName name="Consolidated" localSheetId="45" hidden="1">{#N/A,#N/A,FALSE,"O&amp;M by processes";#N/A,#N/A,FALSE,"Elec Act vs Bud";#N/A,#N/A,FALSE,"G&amp;A";#N/A,#N/A,FALSE,"BGS";#N/A,#N/A,FALSE,"Res Cost"}</definedName>
    <definedName name="Consolidated" localSheetId="13"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'[33]2004 TAX PROV'!$U$11:$AR$764</definedName>
    <definedName name="copy" localSheetId="26" hidden="1">{#N/A,#N/A,FALSE,"Dist Rev at PR ";#N/A,#N/A,FALSE,"Spec";#N/A,#N/A,FALSE,"Res";#N/A,#N/A,FALSE,"Small L&amp;P";#N/A,#N/A,FALSE,"Medium L&amp;P";#N/A,#N/A,FALSE,"E-19";#N/A,#N/A,FALSE,"E-20";#N/A,#N/A,FALSE,"Strtlts &amp; Standby";#N/A,#N/A,FALSE,"A-RTP";#N/A,#N/A,FALSE,"2003mixeduse"}</definedName>
    <definedName name="copy" localSheetId="28" hidden="1">{#N/A,#N/A,FALSE,"Dist Rev at PR ";#N/A,#N/A,FALSE,"Spec";#N/A,#N/A,FALSE,"Res";#N/A,#N/A,FALSE,"Small L&amp;P";#N/A,#N/A,FALSE,"Medium L&amp;P";#N/A,#N/A,FALSE,"E-19";#N/A,#N/A,FALSE,"E-20";#N/A,#N/A,FALSE,"Strtlts &amp; Standby";#N/A,#N/A,FALSE,"A-RTP";#N/A,#N/A,FALSE,"2003mixeduse"}</definedName>
    <definedName name="copy" localSheetId="30" hidden="1">{#N/A,#N/A,FALSE,"Dist Rev at PR ";#N/A,#N/A,FALSE,"Spec";#N/A,#N/A,FALSE,"Res";#N/A,#N/A,FALSE,"Small L&amp;P";#N/A,#N/A,FALSE,"Medium L&amp;P";#N/A,#N/A,FALSE,"E-19";#N/A,#N/A,FALSE,"E-20";#N/A,#N/A,FALSE,"Strtlts &amp; Standby";#N/A,#N/A,FALSE,"A-RTP";#N/A,#N/A,FALSE,"2003mixeduse"}</definedName>
    <definedName name="copy" localSheetId="31" hidden="1">{#N/A,#N/A,FALSE,"Dist Rev at PR ";#N/A,#N/A,FALSE,"Spec";#N/A,#N/A,FALSE,"Res";#N/A,#N/A,FALSE,"Small L&amp;P";#N/A,#N/A,FALSE,"Medium L&amp;P";#N/A,#N/A,FALSE,"E-19";#N/A,#N/A,FALSE,"E-20";#N/A,#N/A,FALSE,"Strtlts &amp; Standby";#N/A,#N/A,FALSE,"A-RTP";#N/A,#N/A,FALSE,"2003mixeduse"}</definedName>
    <definedName name="copy" localSheetId="33" hidden="1">{#N/A,#N/A,FALSE,"Dist Rev at PR ";#N/A,#N/A,FALSE,"Spec";#N/A,#N/A,FALSE,"Res";#N/A,#N/A,FALSE,"Small L&amp;P";#N/A,#N/A,FALSE,"Medium L&amp;P";#N/A,#N/A,FALSE,"E-19";#N/A,#N/A,FALSE,"E-20";#N/A,#N/A,FALSE,"Strtlts &amp; Standby";#N/A,#N/A,FALSE,"A-RTP";#N/A,#N/A,FALSE,"2003mixeduse"}</definedName>
    <definedName name="copy" localSheetId="34" hidden="1">{#N/A,#N/A,FALSE,"Dist Rev at PR ";#N/A,#N/A,FALSE,"Spec";#N/A,#N/A,FALSE,"Res";#N/A,#N/A,FALSE,"Small L&amp;P";#N/A,#N/A,FALSE,"Medium L&amp;P";#N/A,#N/A,FALSE,"E-19";#N/A,#N/A,FALSE,"E-20";#N/A,#N/A,FALSE,"Strtlts &amp; Standby";#N/A,#N/A,FALSE,"A-RTP";#N/A,#N/A,FALSE,"2003mixeduse"}</definedName>
    <definedName name="copy" localSheetId="35" hidden="1">{#N/A,#N/A,FALSE,"Dist Rev at PR ";#N/A,#N/A,FALSE,"Spec";#N/A,#N/A,FALSE,"Res";#N/A,#N/A,FALSE,"Small L&amp;P";#N/A,#N/A,FALSE,"Medium L&amp;P";#N/A,#N/A,FALSE,"E-19";#N/A,#N/A,FALSE,"E-20";#N/A,#N/A,FALSE,"Strtlts &amp; Standby";#N/A,#N/A,FALSE,"A-RTP";#N/A,#N/A,FALSE,"2003mixeduse"}</definedName>
    <definedName name="copy" localSheetId="36" hidden="1">{#N/A,#N/A,FALSE,"Dist Rev at PR ";#N/A,#N/A,FALSE,"Spec";#N/A,#N/A,FALSE,"Res";#N/A,#N/A,FALSE,"Small L&amp;P";#N/A,#N/A,FALSE,"Medium L&amp;P";#N/A,#N/A,FALSE,"E-19";#N/A,#N/A,FALSE,"E-20";#N/A,#N/A,FALSE,"Strtlts &amp; Standby";#N/A,#N/A,FALSE,"A-RTP";#N/A,#N/A,FALSE,"2003mixeduse"}</definedName>
    <definedName name="copy" localSheetId="45" hidden="1">{#N/A,#N/A,FALSE,"Dist Rev at PR ";#N/A,#N/A,FALSE,"Spec";#N/A,#N/A,FALSE,"Res";#N/A,#N/A,FALSE,"Small L&amp;P";#N/A,#N/A,FALSE,"Medium L&amp;P";#N/A,#N/A,FALSE,"E-19";#N/A,#N/A,FALSE,"E-20";#N/A,#N/A,FALSE,"Strtlts &amp; Standby";#N/A,#N/A,FALSE,"A-RTP";#N/A,#N/A,FALSE,"2003mixeduse"}</definedName>
    <definedName name="copy" localSheetId="12" hidden="1">{#N/A,#N/A,FALSE,"Dist Rev at PR ";#N/A,#N/A,FALSE,"Spec";#N/A,#N/A,FALSE,"Res";#N/A,#N/A,FALSE,"Small L&amp;P";#N/A,#N/A,FALSE,"Medium L&amp;P";#N/A,#N/A,FALSE,"E-19";#N/A,#N/A,FALSE,"E-20";#N/A,#N/A,FALSE,"Strtlts &amp; Standby";#N/A,#N/A,FALSE,"A-RTP";#N/A,#N/A,FALSE,"2003mixeduse"}</definedName>
    <definedName name="copy" localSheetId="13" hidden="1">{#N/A,#N/A,FALSE,"Dist Rev at PR ";#N/A,#N/A,FALSE,"Spec";#N/A,#N/A,FALSE,"Res";#N/A,#N/A,FALSE,"Small L&amp;P";#N/A,#N/A,FALSE,"Medium L&amp;P";#N/A,#N/A,FALSE,"E-19";#N/A,#N/A,FALSE,"E-20";#N/A,#N/A,FALSE,"Strtlts &amp; Standby";#N/A,#N/A,FALSE,"A-RTP";#N/A,#N/A,FALSE,"2003mixeduse"}</definedName>
    <definedName name="copy" hidden="1">{#N/A,#N/A,FALSE,"Dist Rev at PR ";#N/A,#N/A,FALSE,"Spec";#N/A,#N/A,FALSE,"Res";#N/A,#N/A,FALSE,"Small L&amp;P";#N/A,#N/A,FALSE,"Medium L&amp;P";#N/A,#N/A,FALSE,"E-19";#N/A,#N/A,FALSE,"E-20";#N/A,#N/A,FALSE,"Strtlts &amp; Standby";#N/A,#N/A,FALSE,"A-RTP";#N/A,#N/A,FALSE,"2003mixeduse"}</definedName>
    <definedName name="copyprint" localSheetId="26" hidden="1">{#N/A,#N/A,FALSE,"Workpaper Tables 4-1 &amp; 4-2";#N/A,#N/A,FALSE,"Revenue Allocation Results";#N/A,#N/A,FALSE,"FERC Rev @ PR";#N/A,#N/A,FALSE,"Distribution Revenue Allocation";#N/A,#N/A,FALSE,"Nonallocated Revenues ";#N/A,#N/A,FALSE,"2000mixuse";#N/A,#N/A,FALSE,"MC Revenues- 00 sales, 96 MC's"}</definedName>
    <definedName name="copyprint" localSheetId="28" hidden="1">{#N/A,#N/A,FALSE,"Workpaper Tables 4-1 &amp; 4-2";#N/A,#N/A,FALSE,"Revenue Allocation Results";#N/A,#N/A,FALSE,"FERC Rev @ PR";#N/A,#N/A,FALSE,"Distribution Revenue Allocation";#N/A,#N/A,FALSE,"Nonallocated Revenues ";#N/A,#N/A,FALSE,"2000mixuse";#N/A,#N/A,FALSE,"MC Revenues- 00 sales, 96 MC's"}</definedName>
    <definedName name="copyprint" localSheetId="30" hidden="1">{#N/A,#N/A,FALSE,"Workpaper Tables 4-1 &amp; 4-2";#N/A,#N/A,FALSE,"Revenue Allocation Results";#N/A,#N/A,FALSE,"FERC Rev @ PR";#N/A,#N/A,FALSE,"Distribution Revenue Allocation";#N/A,#N/A,FALSE,"Nonallocated Revenues ";#N/A,#N/A,FALSE,"2000mixuse";#N/A,#N/A,FALSE,"MC Revenues- 00 sales, 96 MC's"}</definedName>
    <definedName name="copyprint" localSheetId="31" hidden="1">{#N/A,#N/A,FALSE,"Workpaper Tables 4-1 &amp; 4-2";#N/A,#N/A,FALSE,"Revenue Allocation Results";#N/A,#N/A,FALSE,"FERC Rev @ PR";#N/A,#N/A,FALSE,"Distribution Revenue Allocation";#N/A,#N/A,FALSE,"Nonallocated Revenues ";#N/A,#N/A,FALSE,"2000mixuse";#N/A,#N/A,FALSE,"MC Revenues- 00 sales, 96 MC's"}</definedName>
    <definedName name="copyprint" localSheetId="33" hidden="1">{#N/A,#N/A,FALSE,"Workpaper Tables 4-1 &amp; 4-2";#N/A,#N/A,FALSE,"Revenue Allocation Results";#N/A,#N/A,FALSE,"FERC Rev @ PR";#N/A,#N/A,FALSE,"Distribution Revenue Allocation";#N/A,#N/A,FALSE,"Nonallocated Revenues ";#N/A,#N/A,FALSE,"2000mixuse";#N/A,#N/A,FALSE,"MC Revenues- 00 sales, 96 MC's"}</definedName>
    <definedName name="copyprint" localSheetId="34" hidden="1">{#N/A,#N/A,FALSE,"Workpaper Tables 4-1 &amp; 4-2";#N/A,#N/A,FALSE,"Revenue Allocation Results";#N/A,#N/A,FALSE,"FERC Rev @ PR";#N/A,#N/A,FALSE,"Distribution Revenue Allocation";#N/A,#N/A,FALSE,"Nonallocated Revenues ";#N/A,#N/A,FALSE,"2000mixuse";#N/A,#N/A,FALSE,"MC Revenues- 00 sales, 96 MC's"}</definedName>
    <definedName name="copyprint" localSheetId="35" hidden="1">{#N/A,#N/A,FALSE,"Workpaper Tables 4-1 &amp; 4-2";#N/A,#N/A,FALSE,"Revenue Allocation Results";#N/A,#N/A,FALSE,"FERC Rev @ PR";#N/A,#N/A,FALSE,"Distribution Revenue Allocation";#N/A,#N/A,FALSE,"Nonallocated Revenues ";#N/A,#N/A,FALSE,"2000mixuse";#N/A,#N/A,FALSE,"MC Revenues- 00 sales, 96 MC's"}</definedName>
    <definedName name="copyprint" localSheetId="36" hidden="1">{#N/A,#N/A,FALSE,"Workpaper Tables 4-1 &amp; 4-2";#N/A,#N/A,FALSE,"Revenue Allocation Results";#N/A,#N/A,FALSE,"FERC Rev @ PR";#N/A,#N/A,FALSE,"Distribution Revenue Allocation";#N/A,#N/A,FALSE,"Nonallocated Revenues ";#N/A,#N/A,FALSE,"2000mixuse";#N/A,#N/A,FALSE,"MC Revenues- 00 sales, 96 MC's"}</definedName>
    <definedName name="copyprint" localSheetId="45" hidden="1">{#N/A,#N/A,FALSE,"Workpaper Tables 4-1 &amp; 4-2";#N/A,#N/A,FALSE,"Revenue Allocation Results";#N/A,#N/A,FALSE,"FERC Rev @ PR";#N/A,#N/A,FALSE,"Distribution Revenue Allocation";#N/A,#N/A,FALSE,"Nonallocated Revenues ";#N/A,#N/A,FALSE,"2000mixuse";#N/A,#N/A,FALSE,"MC Revenues- 00 sales, 96 MC's"}</definedName>
    <definedName name="copyprint" localSheetId="12" hidden="1">{#N/A,#N/A,FALSE,"Workpaper Tables 4-1 &amp; 4-2";#N/A,#N/A,FALSE,"Revenue Allocation Results";#N/A,#N/A,FALSE,"FERC Rev @ PR";#N/A,#N/A,FALSE,"Distribution Revenue Allocation";#N/A,#N/A,FALSE,"Nonallocated Revenues ";#N/A,#N/A,FALSE,"2000mixuse";#N/A,#N/A,FALSE,"MC Revenues- 00 sales, 96 MC's"}</definedName>
    <definedName name="copyprint" localSheetId="13" hidden="1">{#N/A,#N/A,FALSE,"Workpaper Tables 4-1 &amp; 4-2";#N/A,#N/A,FALSE,"Revenue Allocation Results";#N/A,#N/A,FALSE,"FERC Rev @ PR";#N/A,#N/A,FALSE,"Distribution Revenue Allocation";#N/A,#N/A,FALSE,"Nonallocated Revenues ";#N/A,#N/A,FALSE,"2000mixuse";#N/A,#N/A,FALSE,"MC Revenues- 00 sales, 96 MC's"}</definedName>
    <definedName name="copyprint" hidden="1">{#N/A,#N/A,FALSE,"Workpaper Tables 4-1 &amp; 4-2";#N/A,#N/A,FALSE,"Revenue Allocation Results";#N/A,#N/A,FALSE,"FERC Rev @ PR";#N/A,#N/A,FALSE,"Distribution Revenue Allocation";#N/A,#N/A,FALSE,"Nonallocated Revenues ";#N/A,#N/A,FALSE,"2000mixuse";#N/A,#N/A,FALSE,"MC Revenues- 00 sales, 96 MC's"}</definedName>
    <definedName name="copyrap" localSheetId="2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2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30"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3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3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3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3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3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4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evalloc" localSheetId="26" hidden="1">{#N/A,#N/A,FALSE,"RRQ inputs ";#N/A,#N/A,FALSE,"FERC Rev @ PR";#N/A,#N/A,FALSE,"Distribution Revenue Allocation";#N/A,#N/A,FALSE,"Nonallocated Revenues";#N/A,#N/A,FALSE,"MC Revenues-03 sales, 96 MC's";#N/A,#N/A,FALSE,"FTA"}</definedName>
    <definedName name="copyrevalloc" localSheetId="28" hidden="1">{#N/A,#N/A,FALSE,"RRQ inputs ";#N/A,#N/A,FALSE,"FERC Rev @ PR";#N/A,#N/A,FALSE,"Distribution Revenue Allocation";#N/A,#N/A,FALSE,"Nonallocated Revenues";#N/A,#N/A,FALSE,"MC Revenues-03 sales, 96 MC's";#N/A,#N/A,FALSE,"FTA"}</definedName>
    <definedName name="copyrevalloc" localSheetId="30" hidden="1">{#N/A,#N/A,FALSE,"RRQ inputs ";#N/A,#N/A,FALSE,"FERC Rev @ PR";#N/A,#N/A,FALSE,"Distribution Revenue Allocation";#N/A,#N/A,FALSE,"Nonallocated Revenues";#N/A,#N/A,FALSE,"MC Revenues-03 sales, 96 MC's";#N/A,#N/A,FALSE,"FTA"}</definedName>
    <definedName name="copyrevalloc" localSheetId="31" hidden="1">{#N/A,#N/A,FALSE,"RRQ inputs ";#N/A,#N/A,FALSE,"FERC Rev @ PR";#N/A,#N/A,FALSE,"Distribution Revenue Allocation";#N/A,#N/A,FALSE,"Nonallocated Revenues";#N/A,#N/A,FALSE,"MC Revenues-03 sales, 96 MC's";#N/A,#N/A,FALSE,"FTA"}</definedName>
    <definedName name="copyrevalloc" localSheetId="33" hidden="1">{#N/A,#N/A,FALSE,"RRQ inputs ";#N/A,#N/A,FALSE,"FERC Rev @ PR";#N/A,#N/A,FALSE,"Distribution Revenue Allocation";#N/A,#N/A,FALSE,"Nonallocated Revenues";#N/A,#N/A,FALSE,"MC Revenues-03 sales, 96 MC's";#N/A,#N/A,FALSE,"FTA"}</definedName>
    <definedName name="copyrevalloc" localSheetId="34" hidden="1">{#N/A,#N/A,FALSE,"RRQ inputs ";#N/A,#N/A,FALSE,"FERC Rev @ PR";#N/A,#N/A,FALSE,"Distribution Revenue Allocation";#N/A,#N/A,FALSE,"Nonallocated Revenues";#N/A,#N/A,FALSE,"MC Revenues-03 sales, 96 MC's";#N/A,#N/A,FALSE,"FTA"}</definedName>
    <definedName name="copyrevalloc" localSheetId="35" hidden="1">{#N/A,#N/A,FALSE,"RRQ inputs ";#N/A,#N/A,FALSE,"FERC Rev @ PR";#N/A,#N/A,FALSE,"Distribution Revenue Allocation";#N/A,#N/A,FALSE,"Nonallocated Revenues";#N/A,#N/A,FALSE,"MC Revenues-03 sales, 96 MC's";#N/A,#N/A,FALSE,"FTA"}</definedName>
    <definedName name="copyrevalloc" localSheetId="36" hidden="1">{#N/A,#N/A,FALSE,"RRQ inputs ";#N/A,#N/A,FALSE,"FERC Rev @ PR";#N/A,#N/A,FALSE,"Distribution Revenue Allocation";#N/A,#N/A,FALSE,"Nonallocated Revenues";#N/A,#N/A,FALSE,"MC Revenues-03 sales, 96 MC's";#N/A,#N/A,FALSE,"FTA"}</definedName>
    <definedName name="copyrevalloc" localSheetId="45" hidden="1">{#N/A,#N/A,FALSE,"RRQ inputs ";#N/A,#N/A,FALSE,"FERC Rev @ PR";#N/A,#N/A,FALSE,"Distribution Revenue Allocation";#N/A,#N/A,FALSE,"Nonallocated Revenues";#N/A,#N/A,FALSE,"MC Revenues-03 sales, 96 MC's";#N/A,#N/A,FALSE,"FTA"}</definedName>
    <definedName name="copyrevalloc" localSheetId="12" hidden="1">{#N/A,#N/A,FALSE,"RRQ inputs ";#N/A,#N/A,FALSE,"FERC Rev @ PR";#N/A,#N/A,FALSE,"Distribution Revenue Allocation";#N/A,#N/A,FALSE,"Nonallocated Revenues";#N/A,#N/A,FALSE,"MC Revenues-03 sales, 96 MC's";#N/A,#N/A,FALSE,"FTA"}</definedName>
    <definedName name="copyrevalloc" localSheetId="13" hidden="1">{#N/A,#N/A,FALSE,"RRQ inputs ";#N/A,#N/A,FALSE,"FERC Rev @ PR";#N/A,#N/A,FALSE,"Distribution Revenue Allocation";#N/A,#N/A,FALSE,"Nonallocated Revenues";#N/A,#N/A,FALSE,"MC Revenues-03 sales, 96 MC's";#N/A,#N/A,FALSE,"FTA"}</definedName>
    <definedName name="copyrevalloc" hidden="1">{#N/A,#N/A,FALSE,"RRQ inputs ";#N/A,#N/A,FALSE,"FERC Rev @ PR";#N/A,#N/A,FALSE,"Distribution Revenue Allocation";#N/A,#N/A,FALSE,"Nonallocated Revenues";#N/A,#N/A,FALSE,"MC Revenues-03 sales, 96 MC's";#N/A,#N/A,FALSE,"FTA"}</definedName>
    <definedName name="copyschudel" localSheetId="26" hidden="1">{#N/A,#N/A,FALSE,"ND Rev at Pres Rates";#N/A,#N/A,FALSE,"Res - Unadj";#N/A,#N/A,FALSE,"Small L&amp;P";#N/A,#N/A,FALSE,"Medium L&amp;P";#N/A,#N/A,FALSE,"E-19";#N/A,#N/A,FALSE,"E-20";#N/A,#N/A,FALSE,"A-RTP";#N/A,#N/A,FALSE,"Strtlts &amp; Standby";#N/A,#N/A,FALSE,"AG";#N/A,#N/A,FALSE,"2001mixeduse"}</definedName>
    <definedName name="copyschudel" localSheetId="28" hidden="1">{#N/A,#N/A,FALSE,"ND Rev at Pres Rates";#N/A,#N/A,FALSE,"Res - Unadj";#N/A,#N/A,FALSE,"Small L&amp;P";#N/A,#N/A,FALSE,"Medium L&amp;P";#N/A,#N/A,FALSE,"E-19";#N/A,#N/A,FALSE,"E-20";#N/A,#N/A,FALSE,"A-RTP";#N/A,#N/A,FALSE,"Strtlts &amp; Standby";#N/A,#N/A,FALSE,"AG";#N/A,#N/A,FALSE,"2001mixeduse"}</definedName>
    <definedName name="copyschudel" localSheetId="30" hidden="1">{#N/A,#N/A,FALSE,"ND Rev at Pres Rates";#N/A,#N/A,FALSE,"Res - Unadj";#N/A,#N/A,FALSE,"Small L&amp;P";#N/A,#N/A,FALSE,"Medium L&amp;P";#N/A,#N/A,FALSE,"E-19";#N/A,#N/A,FALSE,"E-20";#N/A,#N/A,FALSE,"A-RTP";#N/A,#N/A,FALSE,"Strtlts &amp; Standby";#N/A,#N/A,FALSE,"AG";#N/A,#N/A,FALSE,"2001mixeduse"}</definedName>
    <definedName name="copyschudel" localSheetId="31" hidden="1">{#N/A,#N/A,FALSE,"ND Rev at Pres Rates";#N/A,#N/A,FALSE,"Res - Unadj";#N/A,#N/A,FALSE,"Small L&amp;P";#N/A,#N/A,FALSE,"Medium L&amp;P";#N/A,#N/A,FALSE,"E-19";#N/A,#N/A,FALSE,"E-20";#N/A,#N/A,FALSE,"A-RTP";#N/A,#N/A,FALSE,"Strtlts &amp; Standby";#N/A,#N/A,FALSE,"AG";#N/A,#N/A,FALSE,"2001mixeduse"}</definedName>
    <definedName name="copyschudel" localSheetId="33" hidden="1">{#N/A,#N/A,FALSE,"ND Rev at Pres Rates";#N/A,#N/A,FALSE,"Res - Unadj";#N/A,#N/A,FALSE,"Small L&amp;P";#N/A,#N/A,FALSE,"Medium L&amp;P";#N/A,#N/A,FALSE,"E-19";#N/A,#N/A,FALSE,"E-20";#N/A,#N/A,FALSE,"A-RTP";#N/A,#N/A,FALSE,"Strtlts &amp; Standby";#N/A,#N/A,FALSE,"AG";#N/A,#N/A,FALSE,"2001mixeduse"}</definedName>
    <definedName name="copyschudel" localSheetId="34" hidden="1">{#N/A,#N/A,FALSE,"ND Rev at Pres Rates";#N/A,#N/A,FALSE,"Res - Unadj";#N/A,#N/A,FALSE,"Small L&amp;P";#N/A,#N/A,FALSE,"Medium L&amp;P";#N/A,#N/A,FALSE,"E-19";#N/A,#N/A,FALSE,"E-20";#N/A,#N/A,FALSE,"A-RTP";#N/A,#N/A,FALSE,"Strtlts &amp; Standby";#N/A,#N/A,FALSE,"AG";#N/A,#N/A,FALSE,"2001mixeduse"}</definedName>
    <definedName name="copyschudel" localSheetId="35" hidden="1">{#N/A,#N/A,FALSE,"ND Rev at Pres Rates";#N/A,#N/A,FALSE,"Res - Unadj";#N/A,#N/A,FALSE,"Small L&amp;P";#N/A,#N/A,FALSE,"Medium L&amp;P";#N/A,#N/A,FALSE,"E-19";#N/A,#N/A,FALSE,"E-20";#N/A,#N/A,FALSE,"A-RTP";#N/A,#N/A,FALSE,"Strtlts &amp; Standby";#N/A,#N/A,FALSE,"AG";#N/A,#N/A,FALSE,"2001mixeduse"}</definedName>
    <definedName name="copyschudel" localSheetId="36" hidden="1">{#N/A,#N/A,FALSE,"ND Rev at Pres Rates";#N/A,#N/A,FALSE,"Res - Unadj";#N/A,#N/A,FALSE,"Small L&amp;P";#N/A,#N/A,FALSE,"Medium L&amp;P";#N/A,#N/A,FALSE,"E-19";#N/A,#N/A,FALSE,"E-20";#N/A,#N/A,FALSE,"A-RTP";#N/A,#N/A,FALSE,"Strtlts &amp; Standby";#N/A,#N/A,FALSE,"AG";#N/A,#N/A,FALSE,"2001mixeduse"}</definedName>
    <definedName name="copyschudel" localSheetId="45" hidden="1">{#N/A,#N/A,FALSE,"ND Rev at Pres Rates";#N/A,#N/A,FALSE,"Res - Unadj";#N/A,#N/A,FALSE,"Small L&amp;P";#N/A,#N/A,FALSE,"Medium L&amp;P";#N/A,#N/A,FALSE,"E-19";#N/A,#N/A,FALSE,"E-20";#N/A,#N/A,FALSE,"A-RTP";#N/A,#N/A,FALSE,"Strtlts &amp; Standby";#N/A,#N/A,FALSE,"AG";#N/A,#N/A,FALSE,"2001mixeduse"}</definedName>
    <definedName name="copyschudel" localSheetId="12" hidden="1">{#N/A,#N/A,FALSE,"ND Rev at Pres Rates";#N/A,#N/A,FALSE,"Res - Unadj";#N/A,#N/A,FALSE,"Small L&amp;P";#N/A,#N/A,FALSE,"Medium L&amp;P";#N/A,#N/A,FALSE,"E-19";#N/A,#N/A,FALSE,"E-20";#N/A,#N/A,FALSE,"A-RTP";#N/A,#N/A,FALSE,"Strtlts &amp; Standby";#N/A,#N/A,FALSE,"AG";#N/A,#N/A,FALSE,"2001mixeduse"}</definedName>
    <definedName name="copyschudel" localSheetId="13" hidden="1">{#N/A,#N/A,FALSE,"ND Rev at Pres Rates";#N/A,#N/A,FALSE,"Res - Unadj";#N/A,#N/A,FALSE,"Small L&amp;P";#N/A,#N/A,FALSE,"Medium L&amp;P";#N/A,#N/A,FALSE,"E-19";#N/A,#N/A,FALSE,"E-20";#N/A,#N/A,FALSE,"A-RTP";#N/A,#N/A,FALSE,"Strtlts &amp; Standby";#N/A,#N/A,FALSE,"AG";#N/A,#N/A,FALSE,"2001mixeduse"}</definedName>
    <definedName name="copyschudel" hidden="1">{#N/A,#N/A,FALSE,"ND Rev at Pres Rates";#N/A,#N/A,FALSE,"Res - Unadj";#N/A,#N/A,FALSE,"Small L&amp;P";#N/A,#N/A,FALSE,"Medium L&amp;P";#N/A,#N/A,FALSE,"E-19";#N/A,#N/A,FALSE,"E-20";#N/A,#N/A,FALSE,"A-RTP";#N/A,#N/A,FALSE,"Strtlts &amp; Standby";#N/A,#N/A,FALSE,"AG";#N/A,#N/A,FALSE,"2001mixeduse"}</definedName>
    <definedName name="Cost_Center">'[29]Array Tables'!$A$4:$A$236</definedName>
    <definedName name="cost_of_good_sold">'[20]Input Page'!$E$11</definedName>
    <definedName name="cost2001">[34]Input!$M$23</definedName>
    <definedName name="COUNTER">'[2]Macro Tables'!$C$21</definedName>
    <definedName name="Cover">#REF!</definedName>
    <definedName name="cp">#REF!</definedName>
    <definedName name="CPAlloc">#REF!</definedName>
    <definedName name="CPHeader">#REF!</definedName>
    <definedName name="CR">'[11]C. Input'!$F$27</definedName>
    <definedName name="credit_rate">[2]Print!$I$18</definedName>
    <definedName name="creditsummary">[2]Model!$A$180:$E$201</definedName>
    <definedName name="_xlnm.Criteria">#REF!</definedName>
    <definedName name="CTF">'[35]Attachment 15 - Income Taxes'!$E$12</definedName>
    <definedName name="CTIT" localSheetId="26" hidden="1">{"PI_Data",#N/A,TRUE,"P&amp;I Data"}</definedName>
    <definedName name="CTIT" localSheetId="28" hidden="1">{"PI_Data",#N/A,TRUE,"P&amp;I Data"}</definedName>
    <definedName name="CTIT" localSheetId="30" hidden="1">{"PI_Data",#N/A,TRUE,"P&amp;I Data"}</definedName>
    <definedName name="CTIT" localSheetId="31" hidden="1">{"PI_Data",#N/A,TRUE,"P&amp;I Data"}</definedName>
    <definedName name="CTIT" localSheetId="33" hidden="1">{"PI_Data",#N/A,TRUE,"P&amp;I Data"}</definedName>
    <definedName name="CTIT" localSheetId="34" hidden="1">{"PI_Data",#N/A,TRUE,"P&amp;I Data"}</definedName>
    <definedName name="CTIT" localSheetId="35" hidden="1">{"PI_Data",#N/A,TRUE,"P&amp;I Data"}</definedName>
    <definedName name="CTIT" localSheetId="36" hidden="1">{"PI_Data",#N/A,TRUE,"P&amp;I Data"}</definedName>
    <definedName name="CTIT" localSheetId="45" hidden="1">{"PI_Data",#N/A,TRUE,"P&amp;I Data"}</definedName>
    <definedName name="CTIT" localSheetId="12" hidden="1">{"PI_Data",#N/A,TRUE,"P&amp;I Data"}</definedName>
    <definedName name="CTIT" localSheetId="13" hidden="1">{"PI_Data",#N/A,TRUE,"P&amp;I Data"}</definedName>
    <definedName name="CTIT" hidden="1">{"PI_Data",#N/A,TRUE,"P&amp;I Data"}</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rrent_sum">#REF!</definedName>
    <definedName name="Current_Year">'[36]Electric Fund Historical'!$D$1</definedName>
    <definedName name="custgrowth">#REF!</definedName>
    <definedName name="CUT">[37]AFUDC_CCRF!$A$1:$N$303</definedName>
    <definedName name="CUTINS">[37]AFUDC_CCRF!$A$73:$N$160</definedName>
    <definedName name="CYPRUSFAC">#REF!</definedName>
    <definedName name="CYPRUSLF">#REF!</definedName>
    <definedName name="CYPRUSMW">#REF!</definedName>
    <definedName name="CYPRUSMWH">#REF!</definedName>
    <definedName name="d" localSheetId="26" hidden="1">{#N/A,#N/A,FALSE,"CTC Summary - EOY";#N/A,#N/A,FALSE,"CTC Summary - Wtavg"}</definedName>
    <definedName name="d" localSheetId="28" hidden="1">{#N/A,#N/A,FALSE,"CTC Summary - EOY";#N/A,#N/A,FALSE,"CTC Summary - Wtavg"}</definedName>
    <definedName name="d" localSheetId="30" hidden="1">{#N/A,#N/A,FALSE,"CTC Summary - EOY";#N/A,#N/A,FALSE,"CTC Summary - Wtavg"}</definedName>
    <definedName name="d" localSheetId="31" hidden="1">{#N/A,#N/A,FALSE,"CTC Summary - EOY";#N/A,#N/A,FALSE,"CTC Summary - Wtavg"}</definedName>
    <definedName name="d" localSheetId="33" hidden="1">{#N/A,#N/A,FALSE,"CTC Summary - EOY";#N/A,#N/A,FALSE,"CTC Summary - Wtavg"}</definedName>
    <definedName name="d" localSheetId="34" hidden="1">{#N/A,#N/A,FALSE,"CTC Summary - EOY";#N/A,#N/A,FALSE,"CTC Summary - Wtavg"}</definedName>
    <definedName name="d" localSheetId="35" hidden="1">{#N/A,#N/A,FALSE,"CTC Summary - EOY";#N/A,#N/A,FALSE,"CTC Summary - Wtavg"}</definedName>
    <definedName name="d" localSheetId="36" hidden="1">{#N/A,#N/A,FALSE,"CTC Summary - EOY";#N/A,#N/A,FALSE,"CTC Summary - Wtavg"}</definedName>
    <definedName name="d" localSheetId="45" hidden="1">{#N/A,#N/A,FALSE,"CTC Summary - EOY";#N/A,#N/A,FALSE,"CTC Summary - Wtavg"}</definedName>
    <definedName name="d" localSheetId="12" hidden="1">{#N/A,#N/A,FALSE,"CTC Summary - EOY";#N/A,#N/A,FALSE,"CTC Summary - Wtavg"}</definedName>
    <definedName name="d" localSheetId="13" hidden="1">{#N/A,#N/A,FALSE,"CTC Summary - EOY";#N/A,#N/A,FALSE,"CTC Summary - Wtavg"}</definedName>
    <definedName name="d" hidden="1">{#N/A,#N/A,FALSE,"CTC Summary - EOY";#N/A,#N/A,FALSE,"CTC Summary - Wtavg"}</definedName>
    <definedName name="D_EAI">'[11]C. Input'!$I$33</definedName>
    <definedName name="D_EGSI">'[11]C. Input'!$L$33</definedName>
    <definedName name="D_EMI">'[11]C. Input'!$R$33</definedName>
    <definedName name="D_ENOI">'[11]C. Input'!$X$33</definedName>
    <definedName name="DA">'[25]Actual Gross Rev'!$J$43</definedName>
    <definedName name="dada" localSheetId="26" hidden="1">{#N/A,#N/A,FALSE,"O&amp;M by processes";#N/A,#N/A,FALSE,"Elec Act vs Bud";#N/A,#N/A,FALSE,"G&amp;A";#N/A,#N/A,FALSE,"BGS";#N/A,#N/A,FALSE,"Res Cost"}</definedName>
    <definedName name="dada" localSheetId="28" hidden="1">{#N/A,#N/A,FALSE,"O&amp;M by processes";#N/A,#N/A,FALSE,"Elec Act vs Bud";#N/A,#N/A,FALSE,"G&amp;A";#N/A,#N/A,FALSE,"BGS";#N/A,#N/A,FALSE,"Res Cost"}</definedName>
    <definedName name="dada" localSheetId="33" hidden="1">{#N/A,#N/A,FALSE,"O&amp;M by processes";#N/A,#N/A,FALSE,"Elec Act vs Bud";#N/A,#N/A,FALSE,"G&amp;A";#N/A,#N/A,FALSE,"BGS";#N/A,#N/A,FALSE,"Res Cost"}</definedName>
    <definedName name="dada" localSheetId="35" hidden="1">{#N/A,#N/A,FALSE,"O&amp;M by processes";#N/A,#N/A,FALSE,"Elec Act vs Bud";#N/A,#N/A,FALSE,"G&amp;A";#N/A,#N/A,FALSE,"BGS";#N/A,#N/A,FALSE,"Res Cost"}</definedName>
    <definedName name="dada" localSheetId="45" hidden="1">{#N/A,#N/A,FALSE,"O&amp;M by processes";#N/A,#N/A,FALSE,"Elec Act vs Bud";#N/A,#N/A,FALSE,"G&amp;A";#N/A,#N/A,FALSE,"BGS";#N/A,#N/A,FALSE,"Res Cost"}</definedName>
    <definedName name="dada" localSheetId="13" hidden="1">{#N/A,#N/A,FALSE,"O&amp;M by processes";#N/A,#N/A,FALSE,"Elec Act vs Bud";#N/A,#N/A,FALSE,"G&amp;A";#N/A,#N/A,FALSE,"BGS";#N/A,#N/A,FALSE,"Res Cost"}</definedName>
    <definedName name="dada" hidden="1">{#N/A,#N/A,FALSE,"O&amp;M by processes";#N/A,#N/A,FALSE,"Elec Act vs Bud";#N/A,#N/A,FALSE,"G&amp;A";#N/A,#N/A,FALSE,"BGS";#N/A,#N/A,FALSE,"Res Cost"}</definedName>
    <definedName name="dae">[1]Sheet1!$B$2:$B$29</definedName>
    <definedName name="DASDD" localSheetId="26" hidden="1">{#N/A,#N/A,FALSE,"Monthly SAIFI";#N/A,#N/A,FALSE,"Yearly SAIFI";#N/A,#N/A,FALSE,"Monthly CAIDI";#N/A,#N/A,FALSE,"Yearly CAIDI";#N/A,#N/A,FALSE,"Monthly SAIDI";#N/A,#N/A,FALSE,"Yearly SAIDI";#N/A,#N/A,FALSE,"Monthly MAIFI";#N/A,#N/A,FALSE,"Yearly MAIFI";#N/A,#N/A,FALSE,"Monthly Cust &gt;=4 Int"}</definedName>
    <definedName name="DASDD" localSheetId="28" hidden="1">{#N/A,#N/A,FALSE,"Monthly SAIFI";#N/A,#N/A,FALSE,"Yearly SAIFI";#N/A,#N/A,FALSE,"Monthly CAIDI";#N/A,#N/A,FALSE,"Yearly CAIDI";#N/A,#N/A,FALSE,"Monthly SAIDI";#N/A,#N/A,FALSE,"Yearly SAIDI";#N/A,#N/A,FALSE,"Monthly MAIFI";#N/A,#N/A,FALSE,"Yearly MAIFI";#N/A,#N/A,FALSE,"Monthly Cust &gt;=4 Int"}</definedName>
    <definedName name="DASDD" localSheetId="33" hidden="1">{#N/A,#N/A,FALSE,"Monthly SAIFI";#N/A,#N/A,FALSE,"Yearly SAIFI";#N/A,#N/A,FALSE,"Monthly CAIDI";#N/A,#N/A,FALSE,"Yearly CAIDI";#N/A,#N/A,FALSE,"Monthly SAIDI";#N/A,#N/A,FALSE,"Yearly SAIDI";#N/A,#N/A,FALSE,"Monthly MAIFI";#N/A,#N/A,FALSE,"Yearly MAIFI";#N/A,#N/A,FALSE,"Monthly Cust &gt;=4 Int"}</definedName>
    <definedName name="DASDD" localSheetId="35" hidden="1">{#N/A,#N/A,FALSE,"Monthly SAIFI";#N/A,#N/A,FALSE,"Yearly SAIFI";#N/A,#N/A,FALSE,"Monthly CAIDI";#N/A,#N/A,FALSE,"Yearly CAIDI";#N/A,#N/A,FALSE,"Monthly SAIDI";#N/A,#N/A,FALSE,"Yearly SAIDI";#N/A,#N/A,FALSE,"Monthly MAIFI";#N/A,#N/A,FALSE,"Yearly MAIFI";#N/A,#N/A,FALSE,"Monthly Cust &gt;=4 Int"}</definedName>
    <definedName name="DASDD" localSheetId="45" hidden="1">{#N/A,#N/A,FALSE,"Monthly SAIFI";#N/A,#N/A,FALSE,"Yearly SAIFI";#N/A,#N/A,FALSE,"Monthly CAIDI";#N/A,#N/A,FALSE,"Yearly CAIDI";#N/A,#N/A,FALSE,"Monthly SAIDI";#N/A,#N/A,FALSE,"Yearly SAIDI";#N/A,#N/A,FALSE,"Monthly MAIFI";#N/A,#N/A,FALSE,"Yearly MAIFI";#N/A,#N/A,FALSE,"Monthly Cust &gt;=4 Int"}</definedName>
    <definedName name="DASDD" localSheetId="13"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_3">[38]Permanent!$A$9:$O$20</definedName>
    <definedName name="data_year">'[39]Appendix A'!$H$5</definedName>
    <definedName name="_xlnm.Database">#REF!</definedName>
    <definedName name="DATABASE1">#REF!</definedName>
    <definedName name="Database2">[40]REPORT!$A$16:$F$278</definedName>
    <definedName name="DATAFEEDER">[41]!DATAFEEDER</definedName>
    <definedName name="Date" hidden="1">"b1"</definedName>
    <definedName name="DAYs">[42]A!$Q$60</definedName>
    <definedName name="DD.">[43]Input!$F$33</definedName>
    <definedName name="ddd">[44]Sheet1!$J$130</definedName>
    <definedName name="ddfsaf" localSheetId="26" hidden="1">{#N/A,#N/A,FALSE,"Monthly SAIFI";#N/A,#N/A,FALSE,"Yearly SAIFI";#N/A,#N/A,FALSE,"Monthly CAIDI";#N/A,#N/A,FALSE,"Yearly CAIDI";#N/A,#N/A,FALSE,"Monthly SAIDI";#N/A,#N/A,FALSE,"Yearly SAIDI";#N/A,#N/A,FALSE,"Monthly MAIFI";#N/A,#N/A,FALSE,"Yearly MAIFI";#N/A,#N/A,FALSE,"Monthly Cust &gt;=4 Int"}</definedName>
    <definedName name="ddfsaf" localSheetId="28" hidden="1">{#N/A,#N/A,FALSE,"Monthly SAIFI";#N/A,#N/A,FALSE,"Yearly SAIFI";#N/A,#N/A,FALSE,"Monthly CAIDI";#N/A,#N/A,FALSE,"Yearly CAIDI";#N/A,#N/A,FALSE,"Monthly SAIDI";#N/A,#N/A,FALSE,"Yearly SAIDI";#N/A,#N/A,FALSE,"Monthly MAIFI";#N/A,#N/A,FALSE,"Yearly MAIFI";#N/A,#N/A,FALSE,"Monthly Cust &gt;=4 Int"}</definedName>
    <definedName name="ddfsaf" localSheetId="33" hidden="1">{#N/A,#N/A,FALSE,"Monthly SAIFI";#N/A,#N/A,FALSE,"Yearly SAIFI";#N/A,#N/A,FALSE,"Monthly CAIDI";#N/A,#N/A,FALSE,"Yearly CAIDI";#N/A,#N/A,FALSE,"Monthly SAIDI";#N/A,#N/A,FALSE,"Yearly SAIDI";#N/A,#N/A,FALSE,"Monthly MAIFI";#N/A,#N/A,FALSE,"Yearly MAIFI";#N/A,#N/A,FALSE,"Monthly Cust &gt;=4 Int"}</definedName>
    <definedName name="ddfsaf" localSheetId="35" hidden="1">{#N/A,#N/A,FALSE,"Monthly SAIFI";#N/A,#N/A,FALSE,"Yearly SAIFI";#N/A,#N/A,FALSE,"Monthly CAIDI";#N/A,#N/A,FALSE,"Yearly CAIDI";#N/A,#N/A,FALSE,"Monthly SAIDI";#N/A,#N/A,FALSE,"Yearly SAIDI";#N/A,#N/A,FALSE,"Monthly MAIFI";#N/A,#N/A,FALSE,"Yearly MAIFI";#N/A,#N/A,FALSE,"Monthly Cust &gt;=4 Int"}</definedName>
    <definedName name="ddfsaf" localSheetId="45" hidden="1">{#N/A,#N/A,FALSE,"Monthly SAIFI";#N/A,#N/A,FALSE,"Yearly SAIFI";#N/A,#N/A,FALSE,"Monthly CAIDI";#N/A,#N/A,FALSE,"Yearly CAIDI";#N/A,#N/A,FALSE,"Monthly SAIDI";#N/A,#N/A,FALSE,"Yearly SAIDI";#N/A,#N/A,FALSE,"Monthly MAIFI";#N/A,#N/A,FALSE,"Yearly MAIFI";#N/A,#N/A,FALSE,"Monthly Cust &gt;=4 Int"}</definedName>
    <definedName name="ddfsaf" localSheetId="13"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#REF!</definedName>
    <definedName name="DEC00" localSheetId="26" hidden="1">{#N/A,#N/A,FALSE,"ARREC"}</definedName>
    <definedName name="DEC00" localSheetId="28" hidden="1">{#N/A,#N/A,FALSE,"ARREC"}</definedName>
    <definedName name="DEC00" localSheetId="33" hidden="1">{#N/A,#N/A,FALSE,"ARREC"}</definedName>
    <definedName name="DEC00" localSheetId="35" hidden="1">{#N/A,#N/A,FALSE,"ARREC"}</definedName>
    <definedName name="DEC00" localSheetId="45" hidden="1">{#N/A,#N/A,FALSE,"ARREC"}</definedName>
    <definedName name="DEC00" localSheetId="13" hidden="1">{#N/A,#N/A,FALSE,"ARREC"}</definedName>
    <definedName name="DEC00" hidden="1">{#N/A,#N/A,FALSE,"ARREC"}</definedName>
    <definedName name="DefaultCopy">#REF!</definedName>
    <definedName name="DefaultPaste">#REF!</definedName>
    <definedName name="Deferral_Interest_Rate">[10]Assumptions!$H$14</definedName>
    <definedName name="Deferral_Recovery">'[23]JFJ-1 Deferral Recovery Rate'!$A$14:$F$64</definedName>
    <definedName name="DefTax">[45]Lists!$A$2:$A$4</definedName>
    <definedName name="delete" localSheetId="26" hidden="1">{#N/A,#N/A,FALSE,"CURRENT"}</definedName>
    <definedName name="delete" localSheetId="28" hidden="1">{#N/A,#N/A,FALSE,"CURRENT"}</definedName>
    <definedName name="delete" localSheetId="33" hidden="1">{#N/A,#N/A,FALSE,"CURRENT"}</definedName>
    <definedName name="delete" localSheetId="35" hidden="1">{#N/A,#N/A,FALSE,"CURRENT"}</definedName>
    <definedName name="delete" localSheetId="45" hidden="1">{#N/A,#N/A,FALSE,"CURRENT"}</definedName>
    <definedName name="delete" localSheetId="13" hidden="1">{#N/A,#N/A,FALSE,"CURRENT"}</definedName>
    <definedName name="delete" hidden="1">{#N/A,#N/A,FALSE,"CURRENT"}</definedName>
    <definedName name="DeleteMe" localSheetId="26" hidden="1">{#N/A,#N/A,FALSE,"Dist Rev at PR ";#N/A,#N/A,FALSE,"Spec";#N/A,#N/A,FALSE,"Res";#N/A,#N/A,FALSE,"Small L&amp;P";#N/A,#N/A,FALSE,"Medium L&amp;P";#N/A,#N/A,FALSE,"E-19";#N/A,#N/A,FALSE,"E-20";#N/A,#N/A,FALSE,"Strtlts &amp; Standby";#N/A,#N/A,FALSE,"A-RTP";#N/A,#N/A,FALSE,"2003mixeduse"}</definedName>
    <definedName name="DeleteMe" localSheetId="28" hidden="1">{#N/A,#N/A,FALSE,"Dist Rev at PR ";#N/A,#N/A,FALSE,"Spec";#N/A,#N/A,FALSE,"Res";#N/A,#N/A,FALSE,"Small L&amp;P";#N/A,#N/A,FALSE,"Medium L&amp;P";#N/A,#N/A,FALSE,"E-19";#N/A,#N/A,FALSE,"E-20";#N/A,#N/A,FALSE,"Strtlts &amp; Standby";#N/A,#N/A,FALSE,"A-RTP";#N/A,#N/A,FALSE,"2003mixeduse"}</definedName>
    <definedName name="DeleteMe" localSheetId="30" hidden="1">{#N/A,#N/A,FALSE,"Dist Rev at PR ";#N/A,#N/A,FALSE,"Spec";#N/A,#N/A,FALSE,"Res";#N/A,#N/A,FALSE,"Small L&amp;P";#N/A,#N/A,FALSE,"Medium L&amp;P";#N/A,#N/A,FALSE,"E-19";#N/A,#N/A,FALSE,"E-20";#N/A,#N/A,FALSE,"Strtlts &amp; Standby";#N/A,#N/A,FALSE,"A-RTP";#N/A,#N/A,FALSE,"2003mixeduse"}</definedName>
    <definedName name="DeleteMe" localSheetId="31" hidden="1">{#N/A,#N/A,FALSE,"Dist Rev at PR ";#N/A,#N/A,FALSE,"Spec";#N/A,#N/A,FALSE,"Res";#N/A,#N/A,FALSE,"Small L&amp;P";#N/A,#N/A,FALSE,"Medium L&amp;P";#N/A,#N/A,FALSE,"E-19";#N/A,#N/A,FALSE,"E-20";#N/A,#N/A,FALSE,"Strtlts &amp; Standby";#N/A,#N/A,FALSE,"A-RTP";#N/A,#N/A,FALSE,"2003mixeduse"}</definedName>
    <definedName name="DeleteMe" localSheetId="33" hidden="1">{#N/A,#N/A,FALSE,"Dist Rev at PR ";#N/A,#N/A,FALSE,"Spec";#N/A,#N/A,FALSE,"Res";#N/A,#N/A,FALSE,"Small L&amp;P";#N/A,#N/A,FALSE,"Medium L&amp;P";#N/A,#N/A,FALSE,"E-19";#N/A,#N/A,FALSE,"E-20";#N/A,#N/A,FALSE,"Strtlts &amp; Standby";#N/A,#N/A,FALSE,"A-RTP";#N/A,#N/A,FALSE,"2003mixeduse"}</definedName>
    <definedName name="DeleteMe" localSheetId="34" hidden="1">{#N/A,#N/A,FALSE,"Dist Rev at PR ";#N/A,#N/A,FALSE,"Spec";#N/A,#N/A,FALSE,"Res";#N/A,#N/A,FALSE,"Small L&amp;P";#N/A,#N/A,FALSE,"Medium L&amp;P";#N/A,#N/A,FALSE,"E-19";#N/A,#N/A,FALSE,"E-20";#N/A,#N/A,FALSE,"Strtlts &amp; Standby";#N/A,#N/A,FALSE,"A-RTP";#N/A,#N/A,FALSE,"2003mixeduse"}</definedName>
    <definedName name="DeleteMe" localSheetId="35" hidden="1">{#N/A,#N/A,FALSE,"Dist Rev at PR ";#N/A,#N/A,FALSE,"Spec";#N/A,#N/A,FALSE,"Res";#N/A,#N/A,FALSE,"Small L&amp;P";#N/A,#N/A,FALSE,"Medium L&amp;P";#N/A,#N/A,FALSE,"E-19";#N/A,#N/A,FALSE,"E-20";#N/A,#N/A,FALSE,"Strtlts &amp; Standby";#N/A,#N/A,FALSE,"A-RTP";#N/A,#N/A,FALSE,"2003mixeduse"}</definedName>
    <definedName name="DeleteMe" localSheetId="36" hidden="1">{#N/A,#N/A,FALSE,"Dist Rev at PR ";#N/A,#N/A,FALSE,"Spec";#N/A,#N/A,FALSE,"Res";#N/A,#N/A,FALSE,"Small L&amp;P";#N/A,#N/A,FALSE,"Medium L&amp;P";#N/A,#N/A,FALSE,"E-19";#N/A,#N/A,FALSE,"E-20";#N/A,#N/A,FALSE,"Strtlts &amp; Standby";#N/A,#N/A,FALSE,"A-RTP";#N/A,#N/A,FALSE,"2003mixeduse"}</definedName>
    <definedName name="DeleteMe" localSheetId="45" hidden="1">{#N/A,#N/A,FALSE,"Dist Rev at PR ";#N/A,#N/A,FALSE,"Spec";#N/A,#N/A,FALSE,"Res";#N/A,#N/A,FALSE,"Small L&amp;P";#N/A,#N/A,FALSE,"Medium L&amp;P";#N/A,#N/A,FALSE,"E-19";#N/A,#N/A,FALSE,"E-20";#N/A,#N/A,FALSE,"Strtlts &amp; Standby";#N/A,#N/A,FALSE,"A-RTP";#N/A,#N/A,FALSE,"2003mixeduse"}</definedName>
    <definedName name="DeleteMe" localSheetId="12" hidden="1">{#N/A,#N/A,FALSE,"Dist Rev at PR ";#N/A,#N/A,FALSE,"Spec";#N/A,#N/A,FALSE,"Res";#N/A,#N/A,FALSE,"Small L&amp;P";#N/A,#N/A,FALSE,"Medium L&amp;P";#N/A,#N/A,FALSE,"E-19";#N/A,#N/A,FALSE,"E-20";#N/A,#N/A,FALSE,"Strtlts &amp; Standby";#N/A,#N/A,FALSE,"A-RTP";#N/A,#N/A,FALSE,"2003mixeduse"}</definedName>
    <definedName name="DeleteMe" localSheetId="13" hidden="1">{#N/A,#N/A,FALSE,"Dist Rev at PR ";#N/A,#N/A,FALSE,"Spec";#N/A,#N/A,FALSE,"Res";#N/A,#N/A,FALSE,"Small L&amp;P";#N/A,#N/A,FALSE,"Medium L&amp;P";#N/A,#N/A,FALSE,"E-19";#N/A,#N/A,FALSE,"E-20";#N/A,#N/A,FALSE,"Strtlts &amp; Standby";#N/A,#N/A,FALSE,"A-RTP";#N/A,#N/A,FALSE,"2003mixeduse"}</definedName>
    <definedName name="DeleteMe" hidden="1">{#N/A,#N/A,FALSE,"Dist Rev at PR ";#N/A,#N/A,FALSE,"Spec";#N/A,#N/A,FALSE,"Res";#N/A,#N/A,FALSE,"Small L&amp;P";#N/A,#N/A,FALSE,"Medium L&amp;P";#N/A,#N/A,FALSE,"E-19";#N/A,#N/A,FALSE,"E-20";#N/A,#N/A,FALSE,"Strtlts &amp; Standby";#N/A,#N/A,FALSE,"A-RTP";#N/A,#N/A,FALSE,"2003mixeduse"}</definedName>
    <definedName name="demand">#REF!</definedName>
    <definedName name="Depr_Life">'[46]T&amp;D Split Substation Summary'!$B$39</definedName>
    <definedName name="detail">#REF!</definedName>
    <definedName name="dfasdfsdfZX" localSheetId="26" hidden="1">{#N/A,#N/A,FALSE,"Monthly SAIFI";#N/A,#N/A,FALSE,"Yearly SAIFI";#N/A,#N/A,FALSE,"Monthly CAIDI";#N/A,#N/A,FALSE,"Yearly CAIDI";#N/A,#N/A,FALSE,"Monthly SAIDI";#N/A,#N/A,FALSE,"Yearly SAIDI";#N/A,#N/A,FALSE,"Monthly MAIFI";#N/A,#N/A,FALSE,"Yearly MAIFI";#N/A,#N/A,FALSE,"Monthly Cust &gt;=4 Int"}</definedName>
    <definedName name="dfasdfsdfZX" localSheetId="28" hidden="1">{#N/A,#N/A,FALSE,"Monthly SAIFI";#N/A,#N/A,FALSE,"Yearly SAIFI";#N/A,#N/A,FALSE,"Monthly CAIDI";#N/A,#N/A,FALSE,"Yearly CAIDI";#N/A,#N/A,FALSE,"Monthly SAIDI";#N/A,#N/A,FALSE,"Yearly SAIDI";#N/A,#N/A,FALSE,"Monthly MAIFI";#N/A,#N/A,FALSE,"Yearly MAIFI";#N/A,#N/A,FALSE,"Monthly Cust &gt;=4 Int"}</definedName>
    <definedName name="dfasdfsdfZX" localSheetId="33" hidden="1">{#N/A,#N/A,FALSE,"Monthly SAIFI";#N/A,#N/A,FALSE,"Yearly SAIFI";#N/A,#N/A,FALSE,"Monthly CAIDI";#N/A,#N/A,FALSE,"Yearly CAIDI";#N/A,#N/A,FALSE,"Monthly SAIDI";#N/A,#N/A,FALSE,"Yearly SAIDI";#N/A,#N/A,FALSE,"Monthly MAIFI";#N/A,#N/A,FALSE,"Yearly MAIFI";#N/A,#N/A,FALSE,"Monthly Cust &gt;=4 Int"}</definedName>
    <definedName name="dfasdfsdfZX" localSheetId="35" hidden="1">{#N/A,#N/A,FALSE,"Monthly SAIFI";#N/A,#N/A,FALSE,"Yearly SAIFI";#N/A,#N/A,FALSE,"Monthly CAIDI";#N/A,#N/A,FALSE,"Yearly CAIDI";#N/A,#N/A,FALSE,"Monthly SAIDI";#N/A,#N/A,FALSE,"Yearly SAIDI";#N/A,#N/A,FALSE,"Monthly MAIFI";#N/A,#N/A,FALSE,"Yearly MAIFI";#N/A,#N/A,FALSE,"Monthly Cust &gt;=4 Int"}</definedName>
    <definedName name="dfasdfsdfZX" localSheetId="45" hidden="1">{#N/A,#N/A,FALSE,"Monthly SAIFI";#N/A,#N/A,FALSE,"Yearly SAIFI";#N/A,#N/A,FALSE,"Monthly CAIDI";#N/A,#N/A,FALSE,"Yearly CAIDI";#N/A,#N/A,FALSE,"Monthly SAIDI";#N/A,#N/A,FALSE,"Yearly SAIDI";#N/A,#N/A,FALSE,"Monthly MAIFI";#N/A,#N/A,FALSE,"Yearly MAIFI";#N/A,#N/A,FALSE,"Monthly Cust &gt;=4 Int"}</definedName>
    <definedName name="dfasdfsdfZX" localSheetId="13"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6" hidden="1">{#N/A,#N/A,FALSE,"Monthly SAIFI";#N/A,#N/A,FALSE,"Yearly SAIFI";#N/A,#N/A,FALSE,"Monthly CAIDI";#N/A,#N/A,FALSE,"Yearly CAIDI";#N/A,#N/A,FALSE,"Monthly SAIDI";#N/A,#N/A,FALSE,"Yearly SAIDI";#N/A,#N/A,FALSE,"Monthly MAIFI";#N/A,#N/A,FALSE,"Yearly MAIFI";#N/A,#N/A,FALSE,"Monthly Cust &gt;=4 Int"}</definedName>
    <definedName name="dfdsfs" localSheetId="28" hidden="1">{#N/A,#N/A,FALSE,"Monthly SAIFI";#N/A,#N/A,FALSE,"Yearly SAIFI";#N/A,#N/A,FALSE,"Monthly CAIDI";#N/A,#N/A,FALSE,"Yearly CAIDI";#N/A,#N/A,FALSE,"Monthly SAIDI";#N/A,#N/A,FALSE,"Yearly SAIDI";#N/A,#N/A,FALSE,"Monthly MAIFI";#N/A,#N/A,FALSE,"Yearly MAIFI";#N/A,#N/A,FALSE,"Monthly Cust &gt;=4 Int"}</definedName>
    <definedName name="dfdsfs" localSheetId="33" hidden="1">{#N/A,#N/A,FALSE,"Monthly SAIFI";#N/A,#N/A,FALSE,"Yearly SAIFI";#N/A,#N/A,FALSE,"Monthly CAIDI";#N/A,#N/A,FALSE,"Yearly CAIDI";#N/A,#N/A,FALSE,"Monthly SAIDI";#N/A,#N/A,FALSE,"Yearly SAIDI";#N/A,#N/A,FALSE,"Monthly MAIFI";#N/A,#N/A,FALSE,"Yearly MAIFI";#N/A,#N/A,FALSE,"Monthly Cust &gt;=4 Int"}</definedName>
    <definedName name="dfdsfs" localSheetId="35" hidden="1">{#N/A,#N/A,FALSE,"Monthly SAIFI";#N/A,#N/A,FALSE,"Yearly SAIFI";#N/A,#N/A,FALSE,"Monthly CAIDI";#N/A,#N/A,FALSE,"Yearly CAIDI";#N/A,#N/A,FALSE,"Monthly SAIDI";#N/A,#N/A,FALSE,"Yearly SAIDI";#N/A,#N/A,FALSE,"Monthly MAIFI";#N/A,#N/A,FALSE,"Yearly MAIFI";#N/A,#N/A,FALSE,"Monthly Cust &gt;=4 Int"}</definedName>
    <definedName name="dfdsfs" localSheetId="45" hidden="1">{#N/A,#N/A,FALSE,"Monthly SAIFI";#N/A,#N/A,FALSE,"Yearly SAIFI";#N/A,#N/A,FALSE,"Monthly CAIDI";#N/A,#N/A,FALSE,"Yearly CAIDI";#N/A,#N/A,FALSE,"Monthly SAIDI";#N/A,#N/A,FALSE,"Yearly SAIDI";#N/A,#N/A,FALSE,"Monthly MAIFI";#N/A,#N/A,FALSE,"Yearly MAIFI";#N/A,#N/A,FALSE,"Monthly Cust &gt;=4 Int"}</definedName>
    <definedName name="dfdsfs" localSheetId="13"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6" hidden="1">{#N/A,#N/A,FALSE,"Monthly SAIFI";#N/A,#N/A,FALSE,"Yearly SAIFI";#N/A,#N/A,FALSE,"Monthly CAIDI";#N/A,#N/A,FALSE,"Yearly CAIDI";#N/A,#N/A,FALSE,"Monthly SAIDI";#N/A,#N/A,FALSE,"Yearly SAIDI";#N/A,#N/A,FALSE,"Monthly MAIFI";#N/A,#N/A,FALSE,"Yearly MAIFI";#N/A,#N/A,FALSE,"Monthly Cust &gt;=4 Int"}</definedName>
    <definedName name="dfsasdfasdfsdfasdfasdf" localSheetId="28" hidden="1">{#N/A,#N/A,FALSE,"Monthly SAIFI";#N/A,#N/A,FALSE,"Yearly SAIFI";#N/A,#N/A,FALSE,"Monthly CAIDI";#N/A,#N/A,FALSE,"Yearly CAIDI";#N/A,#N/A,FALSE,"Monthly SAIDI";#N/A,#N/A,FALSE,"Yearly SAIDI";#N/A,#N/A,FALSE,"Monthly MAIFI";#N/A,#N/A,FALSE,"Yearly MAIFI";#N/A,#N/A,FALSE,"Monthly Cust &gt;=4 Int"}</definedName>
    <definedName name="dfsasdfasdfsdfasdfasdf" localSheetId="33" hidden="1">{#N/A,#N/A,FALSE,"Monthly SAIFI";#N/A,#N/A,FALSE,"Yearly SAIFI";#N/A,#N/A,FALSE,"Monthly CAIDI";#N/A,#N/A,FALSE,"Yearly CAIDI";#N/A,#N/A,FALSE,"Monthly SAIDI";#N/A,#N/A,FALSE,"Yearly SAIDI";#N/A,#N/A,FALSE,"Monthly MAIFI";#N/A,#N/A,FALSE,"Yearly MAIFI";#N/A,#N/A,FALSE,"Monthly Cust &gt;=4 Int"}</definedName>
    <definedName name="dfsasdfasdfsdfasdfasdf" localSheetId="35" hidden="1">{#N/A,#N/A,FALSE,"Monthly SAIFI";#N/A,#N/A,FALSE,"Yearly SAIFI";#N/A,#N/A,FALSE,"Monthly CAIDI";#N/A,#N/A,FALSE,"Yearly CAIDI";#N/A,#N/A,FALSE,"Monthly SAIDI";#N/A,#N/A,FALSE,"Yearly SAIDI";#N/A,#N/A,FALSE,"Monthly MAIFI";#N/A,#N/A,FALSE,"Yearly MAIFI";#N/A,#N/A,FALSE,"Monthly Cust &gt;=4 Int"}</definedName>
    <definedName name="dfsasdfasdfsdfasdfasdf" localSheetId="45" hidden="1">{#N/A,#N/A,FALSE,"Monthly SAIFI";#N/A,#N/A,FALSE,"Yearly SAIFI";#N/A,#N/A,FALSE,"Monthly CAIDI";#N/A,#N/A,FALSE,"Yearly CAIDI";#N/A,#N/A,FALSE,"Monthly SAIDI";#N/A,#N/A,FALSE,"Yearly SAIDI";#N/A,#N/A,FALSE,"Monthly MAIFI";#N/A,#N/A,FALSE,"Yearly MAIFI";#N/A,#N/A,FALSE,"Monthly Cust &gt;=4 Int"}</definedName>
    <definedName name="dfsasdfasdfsdfasdfasdf" localSheetId="13"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'[11]A.2 PTP'!$P$288</definedName>
    <definedName name="DMFAC">#REF!</definedName>
    <definedName name="DMLF">#REF!</definedName>
    <definedName name="DMMW">#REF!</definedName>
    <definedName name="DMMWH">#REF!</definedName>
    <definedName name="DocumentName" hidden="1">"b1"</definedName>
    <definedName name="DocumentNum" hidden="1">"a1"</definedName>
    <definedName name="DOFTSR">'[11]A.2 PTP'!$P$294</definedName>
    <definedName name="DOIT">[2]Comparison!$CK$11</definedName>
    <definedName name="don" localSheetId="26" hidden="1">{"assumptions",#N/A,FALSE,"Scenario 1";"valuation",#N/A,FALSE,"Scenario 1"}</definedName>
    <definedName name="don" localSheetId="28" hidden="1">{"assumptions",#N/A,FALSE,"Scenario 1";"valuation",#N/A,FALSE,"Scenario 1"}</definedName>
    <definedName name="don" localSheetId="33" hidden="1">{"assumptions",#N/A,FALSE,"Scenario 1";"valuation",#N/A,FALSE,"Scenario 1"}</definedName>
    <definedName name="don" localSheetId="35" hidden="1">{"assumptions",#N/A,FALSE,"Scenario 1";"valuation",#N/A,FALSE,"Scenario 1"}</definedName>
    <definedName name="don" localSheetId="45" hidden="1">{"assumptions",#N/A,FALSE,"Scenario 1";"valuation",#N/A,FALSE,"Scenario 1"}</definedName>
    <definedName name="don" localSheetId="13" hidden="1">{"assumptions",#N/A,FALSE,"Scenario 1";"valuation",#N/A,FALSE,"Scenario 1"}</definedName>
    <definedName name="don" hidden="1">{"assumptions",#N/A,FALSE,"Scenario 1";"valuation",#N/A,FALSE,"Scenario 1"}</definedName>
    <definedName name="Don_1" localSheetId="26" hidden="1">{"assumptions",#N/A,FALSE,"Scenario 1";"valuation",#N/A,FALSE,"Scenario 1"}</definedName>
    <definedName name="Don_1" localSheetId="28" hidden="1">{"assumptions",#N/A,FALSE,"Scenario 1";"valuation",#N/A,FALSE,"Scenario 1"}</definedName>
    <definedName name="Don_1" localSheetId="33" hidden="1">{"assumptions",#N/A,FALSE,"Scenario 1";"valuation",#N/A,FALSE,"Scenario 1"}</definedName>
    <definedName name="Don_1" localSheetId="35" hidden="1">{"assumptions",#N/A,FALSE,"Scenario 1";"valuation",#N/A,FALSE,"Scenario 1"}</definedName>
    <definedName name="Don_1" localSheetId="45" hidden="1">{"assumptions",#N/A,FALSE,"Scenario 1";"valuation",#N/A,FALSE,"Scenario 1"}</definedName>
    <definedName name="Don_1" localSheetId="13"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'[11]C. Input'!$F$166</definedName>
    <definedName name="DPROD">#REF!</definedName>
    <definedName name="DR">('[28]Actual Gross Rev Req'!$M$25-'[28]Actual Gross Rev Req'!$M$26)/'[28]Actual Gross Rev Req'!$M$25</definedName>
    <definedName name="draft">#REF!</definedName>
    <definedName name="dskdlss" localSheetId="26" hidden="1">{#N/A,#N/A,FALSE,"Monthly SAIFI";#N/A,#N/A,FALSE,"Yearly SAIFI";#N/A,#N/A,FALSE,"Monthly CAIDI";#N/A,#N/A,FALSE,"Yearly CAIDI";#N/A,#N/A,FALSE,"Monthly SAIDI";#N/A,#N/A,FALSE,"Yearly SAIDI";#N/A,#N/A,FALSE,"Monthly MAIFI";#N/A,#N/A,FALSE,"Yearly MAIFI";#N/A,#N/A,FALSE,"Monthly Cust &gt;=4 Int"}</definedName>
    <definedName name="dskdlss" localSheetId="28" hidden="1">{#N/A,#N/A,FALSE,"Monthly SAIFI";#N/A,#N/A,FALSE,"Yearly SAIFI";#N/A,#N/A,FALSE,"Monthly CAIDI";#N/A,#N/A,FALSE,"Yearly CAIDI";#N/A,#N/A,FALSE,"Monthly SAIDI";#N/A,#N/A,FALSE,"Yearly SAIDI";#N/A,#N/A,FALSE,"Monthly MAIFI";#N/A,#N/A,FALSE,"Yearly MAIFI";#N/A,#N/A,FALSE,"Monthly Cust &gt;=4 Int"}</definedName>
    <definedName name="dskdlss" localSheetId="33" hidden="1">{#N/A,#N/A,FALSE,"Monthly SAIFI";#N/A,#N/A,FALSE,"Yearly SAIFI";#N/A,#N/A,FALSE,"Monthly CAIDI";#N/A,#N/A,FALSE,"Yearly CAIDI";#N/A,#N/A,FALSE,"Monthly SAIDI";#N/A,#N/A,FALSE,"Yearly SAIDI";#N/A,#N/A,FALSE,"Monthly MAIFI";#N/A,#N/A,FALSE,"Yearly MAIFI";#N/A,#N/A,FALSE,"Monthly Cust &gt;=4 Int"}</definedName>
    <definedName name="dskdlss" localSheetId="35" hidden="1">{#N/A,#N/A,FALSE,"Monthly SAIFI";#N/A,#N/A,FALSE,"Yearly SAIFI";#N/A,#N/A,FALSE,"Monthly CAIDI";#N/A,#N/A,FALSE,"Yearly CAIDI";#N/A,#N/A,FALSE,"Monthly SAIDI";#N/A,#N/A,FALSE,"Yearly SAIDI";#N/A,#N/A,FALSE,"Monthly MAIFI";#N/A,#N/A,FALSE,"Yearly MAIFI";#N/A,#N/A,FALSE,"Monthly Cust &gt;=4 Int"}</definedName>
    <definedName name="dskdlss" localSheetId="45" hidden="1">{#N/A,#N/A,FALSE,"Monthly SAIFI";#N/A,#N/A,FALSE,"Yearly SAIFI";#N/A,#N/A,FALSE,"Monthly CAIDI";#N/A,#N/A,FALSE,"Yearly CAIDI";#N/A,#N/A,FALSE,"Monthly SAIDI";#N/A,#N/A,FALSE,"Yearly SAIDI";#N/A,#N/A,FALSE,"Monthly MAIFI";#N/A,#N/A,FALSE,"Yearly MAIFI";#N/A,#N/A,FALSE,"Monthly Cust &gt;=4 Int"}</definedName>
    <definedName name="dskdlss" localSheetId="13"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UEDATE">'[3]DPLG-APRIL2001-TRANSCHECKOUT'!$Q$1:$R$65536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 localSheetId="26" hidden="1">{#N/A,#N/A,FALSE,"CTC Summary - EOY";#N/A,#N/A,FALSE,"CTC Summary - Wtavg"}</definedName>
    <definedName name="e" localSheetId="28" hidden="1">{#N/A,#N/A,FALSE,"CTC Summary - EOY";#N/A,#N/A,FALSE,"CTC Summary - Wtavg"}</definedName>
    <definedName name="e" localSheetId="30" hidden="1">{#N/A,#N/A,FALSE,"CTC Summary - EOY";#N/A,#N/A,FALSE,"CTC Summary - Wtavg"}</definedName>
    <definedName name="e" localSheetId="31" hidden="1">{#N/A,#N/A,FALSE,"CTC Summary - EOY";#N/A,#N/A,FALSE,"CTC Summary - Wtavg"}</definedName>
    <definedName name="e" localSheetId="33" hidden="1">{#N/A,#N/A,FALSE,"CTC Summary - EOY";#N/A,#N/A,FALSE,"CTC Summary - Wtavg"}</definedName>
    <definedName name="e" localSheetId="34" hidden="1">{#N/A,#N/A,FALSE,"CTC Summary - EOY";#N/A,#N/A,FALSE,"CTC Summary - Wtavg"}</definedName>
    <definedName name="e" localSheetId="35" hidden="1">{#N/A,#N/A,FALSE,"CTC Summary - EOY";#N/A,#N/A,FALSE,"CTC Summary - Wtavg"}</definedName>
    <definedName name="e" localSheetId="36" hidden="1">{#N/A,#N/A,FALSE,"CTC Summary - EOY";#N/A,#N/A,FALSE,"CTC Summary - Wtavg"}</definedName>
    <definedName name="e" localSheetId="45" hidden="1">{#N/A,#N/A,FALSE,"CTC Summary - EOY";#N/A,#N/A,FALSE,"CTC Summary - Wtavg"}</definedName>
    <definedName name="e" localSheetId="12" hidden="1">{#N/A,#N/A,FALSE,"CTC Summary - EOY";#N/A,#N/A,FALSE,"CTC Summary - Wtavg"}</definedName>
    <definedName name="e" localSheetId="13" hidden="1">{#N/A,#N/A,FALSE,"CTC Summary - EOY";#N/A,#N/A,FALSE,"CTC Summary - Wtavg"}</definedName>
    <definedName name="e" hidden="1">{#N/A,#N/A,FALSE,"CTC Summary - EOY";#N/A,#N/A,FALSE,"CTC Summary - Wtavg"}</definedName>
    <definedName name="e1p1">#REF!</definedName>
    <definedName name="e1p2">#REF!</definedName>
    <definedName name="e2p1">#REF!</definedName>
    <definedName name="e3p1">#REF!</definedName>
    <definedName name="e3p2">#REF!</definedName>
    <definedName name="e4p1">#REF!</definedName>
    <definedName name="e5p1">#REF!</definedName>
    <definedName name="e5p2">#REF!</definedName>
    <definedName name="e5p3">#REF!</definedName>
    <definedName name="e5p4">#REF!</definedName>
    <definedName name="e7p1">#REF!</definedName>
    <definedName name="e8p1">#REF!</definedName>
    <definedName name="ED">"3W3Y8WU9D4KB8I8XZYLB5WWMT"</definedName>
    <definedName name="ED_NON_REGULATED">'[47]#REF'!$AS$5:$AS$85</definedName>
    <definedName name="edred" localSheetId="26" hidden="1">{#N/A,#N/A,FALSE,"Monthly SAIFI";#N/A,#N/A,FALSE,"Yearly SAIFI";#N/A,#N/A,FALSE,"Monthly CAIDI";#N/A,#N/A,FALSE,"Yearly CAIDI";#N/A,#N/A,FALSE,"Monthly SAIDI";#N/A,#N/A,FALSE,"Yearly SAIDI";#N/A,#N/A,FALSE,"Monthly MAIFI";#N/A,#N/A,FALSE,"Yearly MAIFI";#N/A,#N/A,FALSE,"Monthly Cust &gt;=4 Int"}</definedName>
    <definedName name="edred" localSheetId="28" hidden="1">{#N/A,#N/A,FALSE,"Monthly SAIFI";#N/A,#N/A,FALSE,"Yearly SAIFI";#N/A,#N/A,FALSE,"Monthly CAIDI";#N/A,#N/A,FALSE,"Yearly CAIDI";#N/A,#N/A,FALSE,"Monthly SAIDI";#N/A,#N/A,FALSE,"Yearly SAIDI";#N/A,#N/A,FALSE,"Monthly MAIFI";#N/A,#N/A,FALSE,"Yearly MAIFI";#N/A,#N/A,FALSE,"Monthly Cust &gt;=4 Int"}</definedName>
    <definedName name="edred" localSheetId="33" hidden="1">{#N/A,#N/A,FALSE,"Monthly SAIFI";#N/A,#N/A,FALSE,"Yearly SAIFI";#N/A,#N/A,FALSE,"Monthly CAIDI";#N/A,#N/A,FALSE,"Yearly CAIDI";#N/A,#N/A,FALSE,"Monthly SAIDI";#N/A,#N/A,FALSE,"Yearly SAIDI";#N/A,#N/A,FALSE,"Monthly MAIFI";#N/A,#N/A,FALSE,"Yearly MAIFI";#N/A,#N/A,FALSE,"Monthly Cust &gt;=4 Int"}</definedName>
    <definedName name="edred" localSheetId="35" hidden="1">{#N/A,#N/A,FALSE,"Monthly SAIFI";#N/A,#N/A,FALSE,"Yearly SAIFI";#N/A,#N/A,FALSE,"Monthly CAIDI";#N/A,#N/A,FALSE,"Yearly CAIDI";#N/A,#N/A,FALSE,"Monthly SAIDI";#N/A,#N/A,FALSE,"Yearly SAIDI";#N/A,#N/A,FALSE,"Monthly MAIFI";#N/A,#N/A,FALSE,"Yearly MAIFI";#N/A,#N/A,FALSE,"Monthly Cust &gt;=4 Int"}</definedName>
    <definedName name="edred" localSheetId="45" hidden="1">{#N/A,#N/A,FALSE,"Monthly SAIFI";#N/A,#N/A,FALSE,"Yearly SAIFI";#N/A,#N/A,FALSE,"Monthly CAIDI";#N/A,#N/A,FALSE,"Yearly CAIDI";#N/A,#N/A,FALSE,"Monthly SAIDI";#N/A,#N/A,FALSE,"Yearly SAIDI";#N/A,#N/A,FALSE,"Monthly MAIFI";#N/A,#N/A,FALSE,"Yearly MAIFI";#N/A,#N/A,FALSE,"Monthly Cust &gt;=4 Int"}</definedName>
    <definedName name="edred" localSheetId="13"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localSheetId="20" hidden="1">{"PI_Data",#N/A,TRUE,"P&amp;I Data"}</definedName>
    <definedName name="ee" localSheetId="21" hidden="1">{"PI_Data",#N/A,TRUE,"P&amp;I Data"}</definedName>
    <definedName name="ee" localSheetId="23" hidden="1">{"PI_Data",#N/A,TRUE,"P&amp;I Data"}</definedName>
    <definedName name="ee" localSheetId="22" hidden="1">{"PI_Data",#N/A,TRUE,"P&amp;I Data"}</definedName>
    <definedName name="ee" localSheetId="24" hidden="1">{"PI_Data",#N/A,TRUE,"P&amp;I Data"}</definedName>
    <definedName name="ee" localSheetId="25" hidden="1">{"PI_Data",#N/A,TRUE,"P&amp;I Data"}</definedName>
    <definedName name="ee" localSheetId="26" hidden="1">{"PI_Data",#N/A,TRUE,"P&amp;I Data"}</definedName>
    <definedName name="ee" localSheetId="27" hidden="1">{"PI_Data",#N/A,TRUE,"P&amp;I Data"}</definedName>
    <definedName name="ee" localSheetId="28" hidden="1">{"PI_Data",#N/A,TRUE,"P&amp;I Data"}</definedName>
    <definedName name="ee" localSheetId="30" hidden="1">{"PI_Data",#N/A,TRUE,"P&amp;I Data"}</definedName>
    <definedName name="ee" localSheetId="31" hidden="1">{"PI_Data",#N/A,TRUE,"P&amp;I Data"}</definedName>
    <definedName name="ee" localSheetId="32" hidden="1">{"PI_Data",#N/A,TRUE,"P&amp;I Data"}</definedName>
    <definedName name="ee" localSheetId="33" hidden="1">{"PI_Data",#N/A,TRUE,"P&amp;I Data"}</definedName>
    <definedName name="ee" localSheetId="34" hidden="1">{"PI_Data",#N/A,TRUE,"P&amp;I Data"}</definedName>
    <definedName name="ee" localSheetId="35" hidden="1">{"PI_Data",#N/A,TRUE,"P&amp;I Data"}</definedName>
    <definedName name="ee" localSheetId="36" hidden="1">{"PI_Data",#N/A,TRUE,"P&amp;I Data"}</definedName>
    <definedName name="ee" localSheetId="37" hidden="1">{"PI_Data",#N/A,TRUE,"P&amp;I Data"}</definedName>
    <definedName name="ee" localSheetId="40" hidden="1">{"PI_Data",#N/A,TRUE,"P&amp;I Data"}</definedName>
    <definedName name="ee" localSheetId="42" hidden="1">{"PI_Data",#N/A,TRUE,"P&amp;I Data"}</definedName>
    <definedName name="ee" localSheetId="44" hidden="1">{"PI_Data",#N/A,TRUE,"P&amp;I Data"}</definedName>
    <definedName name="ee" localSheetId="45" hidden="1">{"PI_Data",#N/A,TRUE,"P&amp;I Data"}</definedName>
    <definedName name="ee" localSheetId="46" hidden="1">{"PI_Data",#N/A,TRUE,"P&amp;I Data"}</definedName>
    <definedName name="ee" localSheetId="10" hidden="1">{"PI_Data",#N/A,TRUE,"P&amp;I Data"}</definedName>
    <definedName name="ee" localSheetId="12" hidden="1">{"PI_Data",#N/A,TRUE,"P&amp;I Data"}</definedName>
    <definedName name="ee" localSheetId="13" hidden="1">{"PI_Data",#N/A,TRUE,"P&amp;I Data"}</definedName>
    <definedName name="ee" localSheetId="14" hidden="1">{"PI_Data",#N/A,TRUE,"P&amp;I Data"}</definedName>
    <definedName name="ee" localSheetId="15" hidden="1">{"PI_Data",#N/A,TRUE,"P&amp;I Data"}</definedName>
    <definedName name="ee" hidden="1">{"PI_Data",#N/A,TRUE,"P&amp;I Data"}</definedName>
    <definedName name="eee">"V2001-12-31"</definedName>
    <definedName name="eeee" localSheetId="26" hidden="1">{#N/A,#N/A,FALSE,"O&amp;M by processes";#N/A,#N/A,FALSE,"Elec Act vs Bud";#N/A,#N/A,FALSE,"G&amp;A";#N/A,#N/A,FALSE,"BGS";#N/A,#N/A,FALSE,"Res Cost"}</definedName>
    <definedName name="eeee" localSheetId="28" hidden="1">{#N/A,#N/A,FALSE,"O&amp;M by processes";#N/A,#N/A,FALSE,"Elec Act vs Bud";#N/A,#N/A,FALSE,"G&amp;A";#N/A,#N/A,FALSE,"BGS";#N/A,#N/A,FALSE,"Res Cost"}</definedName>
    <definedName name="eeee" localSheetId="33" hidden="1">{#N/A,#N/A,FALSE,"O&amp;M by processes";#N/A,#N/A,FALSE,"Elec Act vs Bud";#N/A,#N/A,FALSE,"G&amp;A";#N/A,#N/A,FALSE,"BGS";#N/A,#N/A,FALSE,"Res Cost"}</definedName>
    <definedName name="eeee" localSheetId="35" hidden="1">{#N/A,#N/A,FALSE,"O&amp;M by processes";#N/A,#N/A,FALSE,"Elec Act vs Bud";#N/A,#N/A,FALSE,"G&amp;A";#N/A,#N/A,FALSE,"BGS";#N/A,#N/A,FALSE,"Res Cost"}</definedName>
    <definedName name="eeee" localSheetId="45" hidden="1">{#N/A,#N/A,FALSE,"O&amp;M by processes";#N/A,#N/A,FALSE,"Elec Act vs Bud";#N/A,#N/A,FALSE,"G&amp;A";#N/A,#N/A,FALSE,"BGS";#N/A,#N/A,FALSE,"Res Cost"}</definedName>
    <definedName name="eeee" localSheetId="13" hidden="1">{#N/A,#N/A,FALSE,"O&amp;M by processes";#N/A,#N/A,FALSE,"Elec Act vs Bud";#N/A,#N/A,FALSE,"G&amp;A";#N/A,#N/A,FALSE,"BGS";#N/A,#N/A,FALSE,"Res Cost"}</definedName>
    <definedName name="eeee" hidden="1">{#N/A,#N/A,FALSE,"O&amp;M by processes";#N/A,#N/A,FALSE,"Elec Act vs Bud";#N/A,#N/A,FALSE,"G&amp;A";#N/A,#N/A,FALSE,"BGS";#N/A,#N/A,FALSE,"Res Cost"}</definedName>
    <definedName name="EEI">'[11]C. Input'!$F$205</definedName>
    <definedName name="ef" localSheetId="20" hidden="1">{"PI_Data",#N/A,TRUE,"P&amp;I Data"}</definedName>
    <definedName name="ef" localSheetId="21" hidden="1">{"PI_Data",#N/A,TRUE,"P&amp;I Data"}</definedName>
    <definedName name="ef" localSheetId="23" hidden="1">{"PI_Data",#N/A,TRUE,"P&amp;I Data"}</definedName>
    <definedName name="ef" localSheetId="22" hidden="1">{"PI_Data",#N/A,TRUE,"P&amp;I Data"}</definedName>
    <definedName name="ef" localSheetId="24" hidden="1">{"PI_Data",#N/A,TRUE,"P&amp;I Data"}</definedName>
    <definedName name="ef" localSheetId="25" hidden="1">{"PI_Data",#N/A,TRUE,"P&amp;I Data"}</definedName>
    <definedName name="ef" localSheetId="26" hidden="1">{"PI_Data",#N/A,TRUE,"P&amp;I Data"}</definedName>
    <definedName name="ef" localSheetId="27" hidden="1">{"PI_Data",#N/A,TRUE,"P&amp;I Data"}</definedName>
    <definedName name="ef" localSheetId="28" hidden="1">{"PI_Data",#N/A,TRUE,"P&amp;I Data"}</definedName>
    <definedName name="ef" localSheetId="30" hidden="1">{"PI_Data",#N/A,TRUE,"P&amp;I Data"}</definedName>
    <definedName name="ef" localSheetId="31" hidden="1">{"PI_Data",#N/A,TRUE,"P&amp;I Data"}</definedName>
    <definedName name="ef" localSheetId="32" hidden="1">{"PI_Data",#N/A,TRUE,"P&amp;I Data"}</definedName>
    <definedName name="ef" localSheetId="33" hidden="1">{"PI_Data",#N/A,TRUE,"P&amp;I Data"}</definedName>
    <definedName name="ef" localSheetId="34" hidden="1">{"PI_Data",#N/A,TRUE,"P&amp;I Data"}</definedName>
    <definedName name="ef" localSheetId="35" hidden="1">{"PI_Data",#N/A,TRUE,"P&amp;I Data"}</definedName>
    <definedName name="ef" localSheetId="36" hidden="1">{"PI_Data",#N/A,TRUE,"P&amp;I Data"}</definedName>
    <definedName name="ef" localSheetId="37" hidden="1">{"PI_Data",#N/A,TRUE,"P&amp;I Data"}</definedName>
    <definedName name="ef" localSheetId="40" hidden="1">{"PI_Data",#N/A,TRUE,"P&amp;I Data"}</definedName>
    <definedName name="ef" localSheetId="42" hidden="1">{"PI_Data",#N/A,TRUE,"P&amp;I Data"}</definedName>
    <definedName name="ef" localSheetId="44" hidden="1">{"PI_Data",#N/A,TRUE,"P&amp;I Data"}</definedName>
    <definedName name="ef" localSheetId="45" hidden="1">{"PI_Data",#N/A,TRUE,"P&amp;I Data"}</definedName>
    <definedName name="ef" localSheetId="46" hidden="1">{"PI_Data",#N/A,TRUE,"P&amp;I Data"}</definedName>
    <definedName name="ef" localSheetId="10" hidden="1">{"PI_Data",#N/A,TRUE,"P&amp;I Data"}</definedName>
    <definedName name="ef" localSheetId="12" hidden="1">{"PI_Data",#N/A,TRUE,"P&amp;I Data"}</definedName>
    <definedName name="ef" localSheetId="13" hidden="1">{"PI_Data",#N/A,TRUE,"P&amp;I Data"}</definedName>
    <definedName name="ef" localSheetId="14" hidden="1">{"PI_Data",#N/A,TRUE,"P&amp;I Data"}</definedName>
    <definedName name="ef" localSheetId="15" hidden="1">{"PI_Data",#N/A,TRUE,"P&amp;I Data"}</definedName>
    <definedName name="ef" hidden="1">{"PI_Data",#N/A,TRUE,"P&amp;I Data"}</definedName>
    <definedName name="ENERGYSALES">#REF!</definedName>
    <definedName name="eng_design">'[14]Input Page'!$G$17</definedName>
    <definedName name="Entities">[9]Entities!$1:$1048576</definedName>
    <definedName name="ENTITY">[48]Settings!$F$17</definedName>
    <definedName name="EPRI">'[11]C. Input'!$F$203</definedName>
    <definedName name="EROA">[32]Inputs!$B$3</definedName>
    <definedName name="EssOptions">"1100000000130100_11-          00"</definedName>
    <definedName name="EV__EVCOM_OPTIONS__" hidden="1">8</definedName>
    <definedName name="EV__EXPOPTIONS__" hidden="1">1</definedName>
    <definedName name="EV__LASTREFTIME__" localSheetId="34" hidden="1">"(GMT-08:00)5/8/2012 1:36:12 PM"</definedName>
    <definedName name="EV__LASTREFTIME__" localSheetId="35" hidden="1">"(GMT-08:00)5/8/2012 1:36:12 PM"</definedName>
    <definedName name="EV__LASTREFTIME__">"(GMT-08:00)4/23/2012 7:07:55 AM"</definedName>
    <definedName name="EV__MAXEXPCOLS__" hidden="1">100</definedName>
    <definedName name="EV__MAXEXPROWS__" hidden="1">1000</definedName>
    <definedName name="EV__MEMORYCVW__" hidden="1">0</definedName>
    <definedName name="EV__WBEVMODE__" hidden="1">0</definedName>
    <definedName name="EV__WBREFOPTIONS__" hidden="1">134217735</definedName>
    <definedName name="EV__WBVERSION__" hidden="1">0</definedName>
    <definedName name="_xlnm.Extract">#REF!</definedName>
    <definedName name="f" localSheetId="26" hidden="1">{#N/A,#N/A,FALSE,"Monthly SAIFI";#N/A,#N/A,FALSE,"Yearly SAIFI";#N/A,#N/A,FALSE,"Monthly CAIDI";#N/A,#N/A,FALSE,"Yearly CAIDI";#N/A,#N/A,FALSE,"Monthly SAIDI";#N/A,#N/A,FALSE,"Yearly SAIDI";#N/A,#N/A,FALSE,"Monthly MAIFI";#N/A,#N/A,FALSE,"Yearly MAIFI";#N/A,#N/A,FALSE,"Monthly Cust &gt;=4 Int"}</definedName>
    <definedName name="f" localSheetId="28" hidden="1">{#N/A,#N/A,FALSE,"Monthly SAIFI";#N/A,#N/A,FALSE,"Yearly SAIFI";#N/A,#N/A,FALSE,"Monthly CAIDI";#N/A,#N/A,FALSE,"Yearly CAIDI";#N/A,#N/A,FALSE,"Monthly SAIDI";#N/A,#N/A,FALSE,"Yearly SAIDI";#N/A,#N/A,FALSE,"Monthly MAIFI";#N/A,#N/A,FALSE,"Yearly MAIFI";#N/A,#N/A,FALSE,"Monthly Cust &gt;=4 Int"}</definedName>
    <definedName name="f" localSheetId="33" hidden="1">{#N/A,#N/A,FALSE,"Monthly SAIFI";#N/A,#N/A,FALSE,"Yearly SAIFI";#N/A,#N/A,FALSE,"Monthly CAIDI";#N/A,#N/A,FALSE,"Yearly CAIDI";#N/A,#N/A,FALSE,"Monthly SAIDI";#N/A,#N/A,FALSE,"Yearly SAIDI";#N/A,#N/A,FALSE,"Monthly MAIFI";#N/A,#N/A,FALSE,"Yearly MAIFI";#N/A,#N/A,FALSE,"Monthly Cust &gt;=4 Int"}</definedName>
    <definedName name="f" localSheetId="35" hidden="1">{#N/A,#N/A,FALSE,"Monthly SAIFI";#N/A,#N/A,FALSE,"Yearly SAIFI";#N/A,#N/A,FALSE,"Monthly CAIDI";#N/A,#N/A,FALSE,"Yearly CAIDI";#N/A,#N/A,FALSE,"Monthly SAIDI";#N/A,#N/A,FALSE,"Yearly SAIDI";#N/A,#N/A,FALSE,"Monthly MAIFI";#N/A,#N/A,FALSE,"Yearly MAIFI";#N/A,#N/A,FALSE,"Monthly Cust &gt;=4 Int"}</definedName>
    <definedName name="f" localSheetId="45" hidden="1">{#N/A,#N/A,FALSE,"Monthly SAIFI";#N/A,#N/A,FALSE,"Yearly SAIFI";#N/A,#N/A,FALSE,"Monthly CAIDI";#N/A,#N/A,FALSE,"Yearly CAIDI";#N/A,#N/A,FALSE,"Monthly SAIDI";#N/A,#N/A,FALSE,"Yearly SAIDI";#N/A,#N/A,FALSE,"Monthly MAIFI";#N/A,#N/A,FALSE,"Yearly MAIFI";#N/A,#N/A,FALSE,"Monthly Cust &gt;=4 Int"}</definedName>
    <definedName name="f" localSheetId="13"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p1">#REF!</definedName>
    <definedName name="f2p1">[49]F1!#REF!</definedName>
    <definedName name="f3p1">[49]F1!#REF!</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localSheetId="26" hidden="1">{#N/A,#N/A,FALSE,"Monthly SAIFI";#N/A,#N/A,FALSE,"Yearly SAIFI";#N/A,#N/A,FALSE,"Monthly CAIDI";#N/A,#N/A,FALSE,"Yearly CAIDI";#N/A,#N/A,FALSE,"Monthly SAIDI";#N/A,#N/A,FALSE,"Yearly SAIDI";#N/A,#N/A,FALSE,"Monthly MAIFI";#N/A,#N/A,FALSE,"Yearly MAIFI";#N/A,#N/A,FALSE,"Monthly Cust &gt;=4 Int"}</definedName>
    <definedName name="FDSDFSF" localSheetId="28" hidden="1">{#N/A,#N/A,FALSE,"Monthly SAIFI";#N/A,#N/A,FALSE,"Yearly SAIFI";#N/A,#N/A,FALSE,"Monthly CAIDI";#N/A,#N/A,FALSE,"Yearly CAIDI";#N/A,#N/A,FALSE,"Monthly SAIDI";#N/A,#N/A,FALSE,"Yearly SAIDI";#N/A,#N/A,FALSE,"Monthly MAIFI";#N/A,#N/A,FALSE,"Yearly MAIFI";#N/A,#N/A,FALSE,"Monthly Cust &gt;=4 Int"}</definedName>
    <definedName name="FDSDFSF" localSheetId="33" hidden="1">{#N/A,#N/A,FALSE,"Monthly SAIFI";#N/A,#N/A,FALSE,"Yearly SAIFI";#N/A,#N/A,FALSE,"Monthly CAIDI";#N/A,#N/A,FALSE,"Yearly CAIDI";#N/A,#N/A,FALSE,"Monthly SAIDI";#N/A,#N/A,FALSE,"Yearly SAIDI";#N/A,#N/A,FALSE,"Monthly MAIFI";#N/A,#N/A,FALSE,"Yearly MAIFI";#N/A,#N/A,FALSE,"Monthly Cust &gt;=4 Int"}</definedName>
    <definedName name="FDSDFSF" localSheetId="35" hidden="1">{#N/A,#N/A,FALSE,"Monthly SAIFI";#N/A,#N/A,FALSE,"Yearly SAIFI";#N/A,#N/A,FALSE,"Monthly CAIDI";#N/A,#N/A,FALSE,"Yearly CAIDI";#N/A,#N/A,FALSE,"Monthly SAIDI";#N/A,#N/A,FALSE,"Yearly SAIDI";#N/A,#N/A,FALSE,"Monthly MAIFI";#N/A,#N/A,FALSE,"Yearly MAIFI";#N/A,#N/A,FALSE,"Monthly Cust &gt;=4 Int"}</definedName>
    <definedName name="FDSDFSF" localSheetId="45" hidden="1">{#N/A,#N/A,FALSE,"Monthly SAIFI";#N/A,#N/A,FALSE,"Yearly SAIFI";#N/A,#N/A,FALSE,"Monthly CAIDI";#N/A,#N/A,FALSE,"Yearly CAIDI";#N/A,#N/A,FALSE,"Monthly SAIDI";#N/A,#N/A,FALSE,"Yearly SAIDI";#N/A,#N/A,FALSE,"Monthly MAIFI";#N/A,#N/A,FALSE,"Yearly MAIFI";#N/A,#N/A,FALSE,"Monthly Cust &gt;=4 Int"}</definedName>
    <definedName name="FDSDFSF" localSheetId="13"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00" localSheetId="26" hidden="1">{#N/A,#N/A,FALSE,"ARREC"}</definedName>
    <definedName name="FEB00" localSheetId="28" hidden="1">{#N/A,#N/A,FALSE,"ARREC"}</definedName>
    <definedName name="FEB00" localSheetId="33" hidden="1">{#N/A,#N/A,FALSE,"ARREC"}</definedName>
    <definedName name="FEB00" localSheetId="35" hidden="1">{#N/A,#N/A,FALSE,"ARREC"}</definedName>
    <definedName name="FEB00" localSheetId="45" hidden="1">{#N/A,#N/A,FALSE,"ARREC"}</definedName>
    <definedName name="FEB00" localSheetId="13" hidden="1">{#N/A,#N/A,FALSE,"ARREC"}</definedName>
    <definedName name="FEB00" hidden="1">{#N/A,#N/A,FALSE,"ARREC"}</definedName>
    <definedName name="fed_inc_tax">'[20]Input Page'!$E$13</definedName>
    <definedName name="FERC" localSheetId="26" hidden="1">{#N/A,#N/A,FALSE,"CTC Summary - EOY";#N/A,#N/A,FALSE,"CTC Summary - Wtavg"}</definedName>
    <definedName name="FERC" localSheetId="28" hidden="1">{#N/A,#N/A,FALSE,"CTC Summary - EOY";#N/A,#N/A,FALSE,"CTC Summary - Wtavg"}</definedName>
    <definedName name="FERC" localSheetId="30" hidden="1">{#N/A,#N/A,FALSE,"CTC Summary - EOY";#N/A,#N/A,FALSE,"CTC Summary - Wtavg"}</definedName>
    <definedName name="FERC" localSheetId="31" hidden="1">{#N/A,#N/A,FALSE,"CTC Summary - EOY";#N/A,#N/A,FALSE,"CTC Summary - Wtavg"}</definedName>
    <definedName name="FERC" localSheetId="33" hidden="1">{#N/A,#N/A,FALSE,"CTC Summary - EOY";#N/A,#N/A,FALSE,"CTC Summary - Wtavg"}</definedName>
    <definedName name="FERC" localSheetId="34" hidden="1">{#N/A,#N/A,FALSE,"CTC Summary - EOY";#N/A,#N/A,FALSE,"CTC Summary - Wtavg"}</definedName>
    <definedName name="FERC" localSheetId="35" hidden="1">{#N/A,#N/A,FALSE,"CTC Summary - EOY";#N/A,#N/A,FALSE,"CTC Summary - Wtavg"}</definedName>
    <definedName name="FERC" localSheetId="36" hidden="1">{#N/A,#N/A,FALSE,"CTC Summary - EOY";#N/A,#N/A,FALSE,"CTC Summary - Wtavg"}</definedName>
    <definedName name="FERC" localSheetId="45" hidden="1">{#N/A,#N/A,FALSE,"CTC Summary - EOY";#N/A,#N/A,FALSE,"CTC Summary - Wtavg"}</definedName>
    <definedName name="FERC" localSheetId="12" hidden="1">{#N/A,#N/A,FALSE,"CTC Summary - EOY";#N/A,#N/A,FALSE,"CTC Summary - Wtavg"}</definedName>
    <definedName name="FERC" localSheetId="13" hidden="1">{#N/A,#N/A,FALSE,"CTC Summary - EOY";#N/A,#N/A,FALSE,"CTC Summary - Wtavg"}</definedName>
    <definedName name="FERC" hidden="1">{#N/A,#N/A,FALSE,"CTC Summary - EOY";#N/A,#N/A,FALSE,"CTC Summary - Wtavg"}</definedName>
    <definedName name="ff" localSheetId="26" hidden="1">{#N/A,#N/A,FALSE,"Monthly SAIFI";#N/A,#N/A,FALSE,"Yearly SAIFI";#N/A,#N/A,FALSE,"Monthly CAIDI";#N/A,#N/A,FALSE,"Yearly CAIDI";#N/A,#N/A,FALSE,"Monthly SAIDI";#N/A,#N/A,FALSE,"Yearly SAIDI";#N/A,#N/A,FALSE,"Monthly MAIFI";#N/A,#N/A,FALSE,"Yearly MAIFI";#N/A,#N/A,FALSE,"Monthly Cust &gt;=4 Int"}</definedName>
    <definedName name="ff" localSheetId="28" hidden="1">{#N/A,#N/A,FALSE,"Monthly SAIFI";#N/A,#N/A,FALSE,"Yearly SAIFI";#N/A,#N/A,FALSE,"Monthly CAIDI";#N/A,#N/A,FALSE,"Yearly CAIDI";#N/A,#N/A,FALSE,"Monthly SAIDI";#N/A,#N/A,FALSE,"Yearly SAIDI";#N/A,#N/A,FALSE,"Monthly MAIFI";#N/A,#N/A,FALSE,"Yearly MAIFI";#N/A,#N/A,FALSE,"Monthly Cust &gt;=4 Int"}</definedName>
    <definedName name="ff" localSheetId="33" hidden="1">{#N/A,#N/A,FALSE,"Monthly SAIFI";#N/A,#N/A,FALSE,"Yearly SAIFI";#N/A,#N/A,FALSE,"Monthly CAIDI";#N/A,#N/A,FALSE,"Yearly CAIDI";#N/A,#N/A,FALSE,"Monthly SAIDI";#N/A,#N/A,FALSE,"Yearly SAIDI";#N/A,#N/A,FALSE,"Monthly MAIFI";#N/A,#N/A,FALSE,"Yearly MAIFI";#N/A,#N/A,FALSE,"Monthly Cust &gt;=4 Int"}</definedName>
    <definedName name="ff" localSheetId="35" hidden="1">{#N/A,#N/A,FALSE,"Monthly SAIFI";#N/A,#N/A,FALSE,"Yearly SAIFI";#N/A,#N/A,FALSE,"Monthly CAIDI";#N/A,#N/A,FALSE,"Yearly CAIDI";#N/A,#N/A,FALSE,"Monthly SAIDI";#N/A,#N/A,FALSE,"Yearly SAIDI";#N/A,#N/A,FALSE,"Monthly MAIFI";#N/A,#N/A,FALSE,"Yearly MAIFI";#N/A,#N/A,FALSE,"Monthly Cust &gt;=4 Int"}</definedName>
    <definedName name="ff" localSheetId="45" hidden="1">{#N/A,#N/A,FALSE,"Monthly SAIFI";#N/A,#N/A,FALSE,"Yearly SAIFI";#N/A,#N/A,FALSE,"Monthly CAIDI";#N/A,#N/A,FALSE,"Yearly CAIDI";#N/A,#N/A,FALSE,"Monthly SAIDI";#N/A,#N/A,FALSE,"Yearly SAIDI";#N/A,#N/A,FALSE,"Monthly MAIFI";#N/A,#N/A,FALSE,"Yearly MAIFI";#N/A,#N/A,FALSE,"Monthly Cust &gt;=4 Int"}</definedName>
    <definedName name="ff" localSheetId="13"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'[39]FERC Form 1 data'!$B$7:$L$87</definedName>
    <definedName name="FF1_INPUT_columns">'[39]FERC Form 1 data'!$B$6:$L$6</definedName>
    <definedName name="fff" localSheetId="26" hidden="1">{#N/A,#N/A,FALSE,"Monthly SAIFI";#N/A,#N/A,FALSE,"Yearly SAIFI";#N/A,#N/A,FALSE,"Monthly CAIDI";#N/A,#N/A,FALSE,"Yearly CAIDI";#N/A,#N/A,FALSE,"Monthly SAIDI";#N/A,#N/A,FALSE,"Yearly SAIDI";#N/A,#N/A,FALSE,"Monthly MAIFI";#N/A,#N/A,FALSE,"Yearly MAIFI";#N/A,#N/A,FALSE,"Monthly Cust &gt;=4 Int"}</definedName>
    <definedName name="fff" localSheetId="28" hidden="1">{#N/A,#N/A,FALSE,"Monthly SAIFI";#N/A,#N/A,FALSE,"Yearly SAIFI";#N/A,#N/A,FALSE,"Monthly CAIDI";#N/A,#N/A,FALSE,"Yearly CAIDI";#N/A,#N/A,FALSE,"Monthly SAIDI";#N/A,#N/A,FALSE,"Yearly SAIDI";#N/A,#N/A,FALSE,"Monthly MAIFI";#N/A,#N/A,FALSE,"Yearly MAIFI";#N/A,#N/A,FALSE,"Monthly Cust &gt;=4 Int"}</definedName>
    <definedName name="fff" localSheetId="33" hidden="1">{#N/A,#N/A,FALSE,"Monthly SAIFI";#N/A,#N/A,FALSE,"Yearly SAIFI";#N/A,#N/A,FALSE,"Monthly CAIDI";#N/A,#N/A,FALSE,"Yearly CAIDI";#N/A,#N/A,FALSE,"Monthly SAIDI";#N/A,#N/A,FALSE,"Yearly SAIDI";#N/A,#N/A,FALSE,"Monthly MAIFI";#N/A,#N/A,FALSE,"Yearly MAIFI";#N/A,#N/A,FALSE,"Monthly Cust &gt;=4 Int"}</definedName>
    <definedName name="fff" localSheetId="35" hidden="1">{#N/A,#N/A,FALSE,"Monthly SAIFI";#N/A,#N/A,FALSE,"Yearly SAIFI";#N/A,#N/A,FALSE,"Monthly CAIDI";#N/A,#N/A,FALSE,"Yearly CAIDI";#N/A,#N/A,FALSE,"Monthly SAIDI";#N/A,#N/A,FALSE,"Yearly SAIDI";#N/A,#N/A,FALSE,"Monthly MAIFI";#N/A,#N/A,FALSE,"Yearly MAIFI";#N/A,#N/A,FALSE,"Monthly Cust &gt;=4 Int"}</definedName>
    <definedName name="fff" localSheetId="45" hidden="1">{#N/A,#N/A,FALSE,"Monthly SAIFI";#N/A,#N/A,FALSE,"Yearly SAIFI";#N/A,#N/A,FALSE,"Monthly CAIDI";#N/A,#N/A,FALSE,"Yearly CAIDI";#N/A,#N/A,FALSE,"Monthly SAIDI";#N/A,#N/A,FALSE,"Yearly SAIDI";#N/A,#N/A,FALSE,"Monthly MAIFI";#N/A,#N/A,FALSE,"Yearly MAIFI";#N/A,#N/A,FALSE,"Monthly Cust &gt;=4 Int"}</definedName>
    <definedName name="fff" localSheetId="13"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6" hidden="1">{#N/A,#N/A,FALSE,"Monthly SAIFI";#N/A,#N/A,FALSE,"Yearly SAIFI";#N/A,#N/A,FALSE,"Monthly CAIDI";#N/A,#N/A,FALSE,"Yearly CAIDI";#N/A,#N/A,FALSE,"Monthly SAIDI";#N/A,#N/A,FALSE,"Yearly SAIDI";#N/A,#N/A,FALSE,"Monthly MAIFI";#N/A,#N/A,FALSE,"Yearly MAIFI";#N/A,#N/A,FALSE,"Monthly Cust &gt;=4 Int"}</definedName>
    <definedName name="fghjghjfgjf" localSheetId="28" hidden="1">{#N/A,#N/A,FALSE,"Monthly SAIFI";#N/A,#N/A,FALSE,"Yearly SAIFI";#N/A,#N/A,FALSE,"Monthly CAIDI";#N/A,#N/A,FALSE,"Yearly CAIDI";#N/A,#N/A,FALSE,"Monthly SAIDI";#N/A,#N/A,FALSE,"Yearly SAIDI";#N/A,#N/A,FALSE,"Monthly MAIFI";#N/A,#N/A,FALSE,"Yearly MAIFI";#N/A,#N/A,FALSE,"Monthly Cust &gt;=4 Int"}</definedName>
    <definedName name="fghjghjfgjf" localSheetId="33" hidden="1">{#N/A,#N/A,FALSE,"Monthly SAIFI";#N/A,#N/A,FALSE,"Yearly SAIFI";#N/A,#N/A,FALSE,"Monthly CAIDI";#N/A,#N/A,FALSE,"Yearly CAIDI";#N/A,#N/A,FALSE,"Monthly SAIDI";#N/A,#N/A,FALSE,"Yearly SAIDI";#N/A,#N/A,FALSE,"Monthly MAIFI";#N/A,#N/A,FALSE,"Yearly MAIFI";#N/A,#N/A,FALSE,"Monthly Cust &gt;=4 Int"}</definedName>
    <definedName name="fghjghjfgjf" localSheetId="35" hidden="1">{#N/A,#N/A,FALSE,"Monthly SAIFI";#N/A,#N/A,FALSE,"Yearly SAIFI";#N/A,#N/A,FALSE,"Monthly CAIDI";#N/A,#N/A,FALSE,"Yearly CAIDI";#N/A,#N/A,FALSE,"Monthly SAIDI";#N/A,#N/A,FALSE,"Yearly SAIDI";#N/A,#N/A,FALSE,"Monthly MAIFI";#N/A,#N/A,FALSE,"Yearly MAIFI";#N/A,#N/A,FALSE,"Monthly Cust &gt;=4 Int"}</definedName>
    <definedName name="fghjghjfgjf" localSheetId="45" hidden="1">{#N/A,#N/A,FALSE,"Monthly SAIFI";#N/A,#N/A,FALSE,"Yearly SAIFI";#N/A,#N/A,FALSE,"Monthly CAIDI";#N/A,#N/A,FALSE,"Yearly CAIDI";#N/A,#N/A,FALSE,"Monthly SAIDI";#N/A,#N/A,FALSE,"Yearly SAIDI";#N/A,#N/A,FALSE,"Monthly MAIFI";#N/A,#N/A,FALSE,"Yearly MAIFI";#N/A,#N/A,FALSE,"Monthly Cust &gt;=4 Int"}</definedName>
    <definedName name="fghjghjfgjf" localSheetId="13"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[50]A!$A$1</definedName>
    <definedName name="firstcust">#REF!</definedName>
    <definedName name="firstkwh">#REF!</definedName>
    <definedName name="FIT">'[35]Attachment 15 - Income Taxes'!$K$4</definedName>
    <definedName name="fleet_cap">'[20]Input Page'!$E$7</definedName>
    <definedName name="fleet_total">'[20]Input Page'!$E$8</definedName>
    <definedName name="foo" localSheetId="26"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30"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3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33"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34"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36"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4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1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13"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rcastRev">#REF!</definedName>
    <definedName name="ForecastRev72">#REF!</definedName>
    <definedName name="ForecastRev73">#REF!</definedName>
    <definedName name="ForecastRevHeader">#REF!</definedName>
    <definedName name="ForecastRevHeader72">#REF!</definedName>
    <definedName name="ForecastYear">#REF!</definedName>
    <definedName name="Fossil_BGS">[23]Assumptions!$E$58</definedName>
    <definedName name="Fossil_Secur_Date">[10]Assumptions!$E$22</definedName>
    <definedName name="FRANM">#REF!</definedName>
    <definedName name="FRANT">#REF!</definedName>
    <definedName name="FREV">'[11]C. Input'!$F$295</definedName>
    <definedName name="fsdafasf" localSheetId="26" hidden="1">{#N/A,#N/A,FALSE,"Monthly SAIFI";#N/A,#N/A,FALSE,"Yearly SAIFI";#N/A,#N/A,FALSE,"Monthly CAIDI";#N/A,#N/A,FALSE,"Yearly CAIDI";#N/A,#N/A,FALSE,"Monthly SAIDI";#N/A,#N/A,FALSE,"Yearly SAIDI";#N/A,#N/A,FALSE,"Monthly MAIFI";#N/A,#N/A,FALSE,"Yearly MAIFI";#N/A,#N/A,FALSE,"Monthly Cust &gt;=4 Int"}</definedName>
    <definedName name="fsdafasf" localSheetId="28" hidden="1">{#N/A,#N/A,FALSE,"Monthly SAIFI";#N/A,#N/A,FALSE,"Yearly SAIFI";#N/A,#N/A,FALSE,"Monthly CAIDI";#N/A,#N/A,FALSE,"Yearly CAIDI";#N/A,#N/A,FALSE,"Monthly SAIDI";#N/A,#N/A,FALSE,"Yearly SAIDI";#N/A,#N/A,FALSE,"Monthly MAIFI";#N/A,#N/A,FALSE,"Yearly MAIFI";#N/A,#N/A,FALSE,"Monthly Cust &gt;=4 Int"}</definedName>
    <definedName name="fsdafasf" localSheetId="33" hidden="1">{#N/A,#N/A,FALSE,"Monthly SAIFI";#N/A,#N/A,FALSE,"Yearly SAIFI";#N/A,#N/A,FALSE,"Monthly CAIDI";#N/A,#N/A,FALSE,"Yearly CAIDI";#N/A,#N/A,FALSE,"Monthly SAIDI";#N/A,#N/A,FALSE,"Yearly SAIDI";#N/A,#N/A,FALSE,"Monthly MAIFI";#N/A,#N/A,FALSE,"Yearly MAIFI";#N/A,#N/A,FALSE,"Monthly Cust &gt;=4 Int"}</definedName>
    <definedName name="fsdafasf" localSheetId="35" hidden="1">{#N/A,#N/A,FALSE,"Monthly SAIFI";#N/A,#N/A,FALSE,"Yearly SAIFI";#N/A,#N/A,FALSE,"Monthly CAIDI";#N/A,#N/A,FALSE,"Yearly CAIDI";#N/A,#N/A,FALSE,"Monthly SAIDI";#N/A,#N/A,FALSE,"Yearly SAIDI";#N/A,#N/A,FALSE,"Monthly MAIFI";#N/A,#N/A,FALSE,"Yearly MAIFI";#N/A,#N/A,FALSE,"Monthly Cust &gt;=4 Int"}</definedName>
    <definedName name="fsdafasf" localSheetId="45" hidden="1">{#N/A,#N/A,FALSE,"Monthly SAIFI";#N/A,#N/A,FALSE,"Yearly SAIFI";#N/A,#N/A,FALSE,"Monthly CAIDI";#N/A,#N/A,FALSE,"Yearly CAIDI";#N/A,#N/A,FALSE,"Monthly SAIDI";#N/A,#N/A,FALSE,"Yearly SAIDI";#N/A,#N/A,FALSE,"Monthly MAIFI";#N/A,#N/A,FALSE,"Yearly MAIFI";#N/A,#N/A,FALSE,"Monthly Cust &gt;=4 Int"}</definedName>
    <definedName name="fsdafasf" localSheetId="13"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6" hidden="1">{#N/A,#N/A,FALSE,"Monthly SAIFI";#N/A,#N/A,FALSE,"Yearly SAIFI";#N/A,#N/A,FALSE,"Monthly CAIDI";#N/A,#N/A,FALSE,"Yearly CAIDI";#N/A,#N/A,FALSE,"Monthly SAIDI";#N/A,#N/A,FALSE,"Yearly SAIDI";#N/A,#N/A,FALSE,"Monthly MAIFI";#N/A,#N/A,FALSE,"Yearly MAIFI";#N/A,#N/A,FALSE,"Monthly Cust &gt;=4 Int"}</definedName>
    <definedName name="fsdfsfs" localSheetId="28" hidden="1">{#N/A,#N/A,FALSE,"Monthly SAIFI";#N/A,#N/A,FALSE,"Yearly SAIFI";#N/A,#N/A,FALSE,"Monthly CAIDI";#N/A,#N/A,FALSE,"Yearly CAIDI";#N/A,#N/A,FALSE,"Monthly SAIDI";#N/A,#N/A,FALSE,"Yearly SAIDI";#N/A,#N/A,FALSE,"Monthly MAIFI";#N/A,#N/A,FALSE,"Yearly MAIFI";#N/A,#N/A,FALSE,"Monthly Cust &gt;=4 Int"}</definedName>
    <definedName name="fsdfsfs" localSheetId="33" hidden="1">{#N/A,#N/A,FALSE,"Monthly SAIFI";#N/A,#N/A,FALSE,"Yearly SAIFI";#N/A,#N/A,FALSE,"Monthly CAIDI";#N/A,#N/A,FALSE,"Yearly CAIDI";#N/A,#N/A,FALSE,"Monthly SAIDI";#N/A,#N/A,FALSE,"Yearly SAIDI";#N/A,#N/A,FALSE,"Monthly MAIFI";#N/A,#N/A,FALSE,"Yearly MAIFI";#N/A,#N/A,FALSE,"Monthly Cust &gt;=4 Int"}</definedName>
    <definedName name="fsdfsfs" localSheetId="35" hidden="1">{#N/A,#N/A,FALSE,"Monthly SAIFI";#N/A,#N/A,FALSE,"Yearly SAIFI";#N/A,#N/A,FALSE,"Monthly CAIDI";#N/A,#N/A,FALSE,"Yearly CAIDI";#N/A,#N/A,FALSE,"Monthly SAIDI";#N/A,#N/A,FALSE,"Yearly SAIDI";#N/A,#N/A,FALSE,"Monthly MAIFI";#N/A,#N/A,FALSE,"Yearly MAIFI";#N/A,#N/A,FALSE,"Monthly Cust &gt;=4 Int"}</definedName>
    <definedName name="fsdfsfs" localSheetId="45" hidden="1">{#N/A,#N/A,FALSE,"Monthly SAIFI";#N/A,#N/A,FALSE,"Yearly SAIFI";#N/A,#N/A,FALSE,"Monthly CAIDI";#N/A,#N/A,FALSE,"Yearly CAIDI";#N/A,#N/A,FALSE,"Monthly SAIDI";#N/A,#N/A,FALSE,"Yearly SAIDI";#N/A,#N/A,FALSE,"Monthly MAIFI";#N/A,#N/A,FALSE,"Yearly MAIFI";#N/A,#N/A,FALSE,"Monthly Cust &gt;=4 Int"}</definedName>
    <definedName name="fsdfsfs" localSheetId="13"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6" hidden="1">{#N/A,#N/A,FALSE,"Monthly SAIFI";#N/A,#N/A,FALSE,"Yearly SAIFI";#N/A,#N/A,FALSE,"Monthly CAIDI";#N/A,#N/A,FALSE,"Yearly CAIDI";#N/A,#N/A,FALSE,"Monthly SAIDI";#N/A,#N/A,FALSE,"Yearly SAIDI";#N/A,#N/A,FALSE,"Monthly MAIFI";#N/A,#N/A,FALSE,"Yearly MAIFI";#N/A,#N/A,FALSE,"Monthly Cust &gt;=4 Int"}</definedName>
    <definedName name="fsdfsfsdfasfa" localSheetId="28" hidden="1">{#N/A,#N/A,FALSE,"Monthly SAIFI";#N/A,#N/A,FALSE,"Yearly SAIFI";#N/A,#N/A,FALSE,"Monthly CAIDI";#N/A,#N/A,FALSE,"Yearly CAIDI";#N/A,#N/A,FALSE,"Monthly SAIDI";#N/A,#N/A,FALSE,"Yearly SAIDI";#N/A,#N/A,FALSE,"Monthly MAIFI";#N/A,#N/A,FALSE,"Yearly MAIFI";#N/A,#N/A,FALSE,"Monthly Cust &gt;=4 Int"}</definedName>
    <definedName name="fsdfsfsdfasfa" localSheetId="33" hidden="1">{#N/A,#N/A,FALSE,"Monthly SAIFI";#N/A,#N/A,FALSE,"Yearly SAIFI";#N/A,#N/A,FALSE,"Monthly CAIDI";#N/A,#N/A,FALSE,"Yearly CAIDI";#N/A,#N/A,FALSE,"Monthly SAIDI";#N/A,#N/A,FALSE,"Yearly SAIDI";#N/A,#N/A,FALSE,"Monthly MAIFI";#N/A,#N/A,FALSE,"Yearly MAIFI";#N/A,#N/A,FALSE,"Monthly Cust &gt;=4 Int"}</definedName>
    <definedName name="fsdfsfsdfasfa" localSheetId="35" hidden="1">{#N/A,#N/A,FALSE,"Monthly SAIFI";#N/A,#N/A,FALSE,"Yearly SAIFI";#N/A,#N/A,FALSE,"Monthly CAIDI";#N/A,#N/A,FALSE,"Yearly CAIDI";#N/A,#N/A,FALSE,"Monthly SAIDI";#N/A,#N/A,FALSE,"Yearly SAIDI";#N/A,#N/A,FALSE,"Monthly MAIFI";#N/A,#N/A,FALSE,"Yearly MAIFI";#N/A,#N/A,FALSE,"Monthly Cust &gt;=4 Int"}</definedName>
    <definedName name="fsdfsfsdfasfa" localSheetId="45" hidden="1">{#N/A,#N/A,FALSE,"Monthly SAIFI";#N/A,#N/A,FALSE,"Yearly SAIFI";#N/A,#N/A,FALSE,"Monthly CAIDI";#N/A,#N/A,FALSE,"Yearly CAIDI";#N/A,#N/A,FALSE,"Monthly SAIDI";#N/A,#N/A,FALSE,"Yearly SAIDI";#N/A,#N/A,FALSE,"Monthly MAIFI";#N/A,#N/A,FALSE,"Yearly MAIFI";#N/A,#N/A,FALSE,"Monthly Cust &gt;=4 Int"}</definedName>
    <definedName name="fsdfsfsdfasfa" localSheetId="13"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6" hidden="1">{#N/A,#N/A,FALSE,"Monthly SAIFI";#N/A,#N/A,FALSE,"Yearly SAIFI";#N/A,#N/A,FALSE,"Monthly CAIDI";#N/A,#N/A,FALSE,"Yearly CAIDI";#N/A,#N/A,FALSE,"Monthly SAIDI";#N/A,#N/A,FALSE,"Yearly SAIDI";#N/A,#N/A,FALSE,"Monthly MAIFI";#N/A,#N/A,FALSE,"Yearly MAIFI";#N/A,#N/A,FALSE,"Monthly Cust &gt;=4 Int"}</definedName>
    <definedName name="fsfsfsafasf" localSheetId="28" hidden="1">{#N/A,#N/A,FALSE,"Monthly SAIFI";#N/A,#N/A,FALSE,"Yearly SAIFI";#N/A,#N/A,FALSE,"Monthly CAIDI";#N/A,#N/A,FALSE,"Yearly CAIDI";#N/A,#N/A,FALSE,"Monthly SAIDI";#N/A,#N/A,FALSE,"Yearly SAIDI";#N/A,#N/A,FALSE,"Monthly MAIFI";#N/A,#N/A,FALSE,"Yearly MAIFI";#N/A,#N/A,FALSE,"Monthly Cust &gt;=4 Int"}</definedName>
    <definedName name="fsfsfsafasf" localSheetId="33" hidden="1">{#N/A,#N/A,FALSE,"Monthly SAIFI";#N/A,#N/A,FALSE,"Yearly SAIFI";#N/A,#N/A,FALSE,"Monthly CAIDI";#N/A,#N/A,FALSE,"Yearly CAIDI";#N/A,#N/A,FALSE,"Monthly SAIDI";#N/A,#N/A,FALSE,"Yearly SAIDI";#N/A,#N/A,FALSE,"Monthly MAIFI";#N/A,#N/A,FALSE,"Yearly MAIFI";#N/A,#N/A,FALSE,"Monthly Cust &gt;=4 Int"}</definedName>
    <definedName name="fsfsfsafasf" localSheetId="35" hidden="1">{#N/A,#N/A,FALSE,"Monthly SAIFI";#N/A,#N/A,FALSE,"Yearly SAIFI";#N/A,#N/A,FALSE,"Monthly CAIDI";#N/A,#N/A,FALSE,"Yearly CAIDI";#N/A,#N/A,FALSE,"Monthly SAIDI";#N/A,#N/A,FALSE,"Yearly SAIDI";#N/A,#N/A,FALSE,"Monthly MAIFI";#N/A,#N/A,FALSE,"Yearly MAIFI";#N/A,#N/A,FALSE,"Monthly Cust &gt;=4 Int"}</definedName>
    <definedName name="fsfsfsafasf" localSheetId="45" hidden="1">{#N/A,#N/A,FALSE,"Monthly SAIFI";#N/A,#N/A,FALSE,"Yearly SAIFI";#N/A,#N/A,FALSE,"Monthly CAIDI";#N/A,#N/A,FALSE,"Yearly CAIDI";#N/A,#N/A,FALSE,"Monthly SAIDI";#N/A,#N/A,FALSE,"Yearly SAIDI";#N/A,#N/A,FALSE,"Monthly MAIFI";#N/A,#N/A,FALSE,"Yearly MAIFI";#N/A,#N/A,FALSE,"Monthly Cust &gt;=4 Int"}</definedName>
    <definedName name="fsfsfsafasf" localSheetId="13"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THUAFAC">#REF!</definedName>
    <definedName name="FTHUALF">#REF!</definedName>
    <definedName name="FTHUAMW">#REF!</definedName>
    <definedName name="FTHUAMWH">#REF!</definedName>
    <definedName name="full_credit">[2]Print!$I$20</definedName>
    <definedName name="Function">#REF!</definedName>
    <definedName name="fwrwerwerwerwer" localSheetId="26" hidden="1">{#N/A,#N/A,FALSE,"Monthly SAIFI";#N/A,#N/A,FALSE,"Yearly SAIFI";#N/A,#N/A,FALSE,"Monthly CAIDI";#N/A,#N/A,FALSE,"Yearly CAIDI";#N/A,#N/A,FALSE,"Monthly SAIDI";#N/A,#N/A,FALSE,"Yearly SAIDI";#N/A,#N/A,FALSE,"Monthly MAIFI";#N/A,#N/A,FALSE,"Yearly MAIFI";#N/A,#N/A,FALSE,"Monthly Cust &gt;=4 Int"}</definedName>
    <definedName name="fwrwerwerwerwer" localSheetId="28" hidden="1">{#N/A,#N/A,FALSE,"Monthly SAIFI";#N/A,#N/A,FALSE,"Yearly SAIFI";#N/A,#N/A,FALSE,"Monthly CAIDI";#N/A,#N/A,FALSE,"Yearly CAIDI";#N/A,#N/A,FALSE,"Monthly SAIDI";#N/A,#N/A,FALSE,"Yearly SAIDI";#N/A,#N/A,FALSE,"Monthly MAIFI";#N/A,#N/A,FALSE,"Yearly MAIFI";#N/A,#N/A,FALSE,"Monthly Cust &gt;=4 Int"}</definedName>
    <definedName name="fwrwerwerwerwer" localSheetId="33" hidden="1">{#N/A,#N/A,FALSE,"Monthly SAIFI";#N/A,#N/A,FALSE,"Yearly SAIFI";#N/A,#N/A,FALSE,"Monthly CAIDI";#N/A,#N/A,FALSE,"Yearly CAIDI";#N/A,#N/A,FALSE,"Monthly SAIDI";#N/A,#N/A,FALSE,"Yearly SAIDI";#N/A,#N/A,FALSE,"Monthly MAIFI";#N/A,#N/A,FALSE,"Yearly MAIFI";#N/A,#N/A,FALSE,"Monthly Cust &gt;=4 Int"}</definedName>
    <definedName name="fwrwerwerwerwer" localSheetId="35" hidden="1">{#N/A,#N/A,FALSE,"Monthly SAIFI";#N/A,#N/A,FALSE,"Yearly SAIFI";#N/A,#N/A,FALSE,"Monthly CAIDI";#N/A,#N/A,FALSE,"Yearly CAIDI";#N/A,#N/A,FALSE,"Monthly SAIDI";#N/A,#N/A,FALSE,"Yearly SAIDI";#N/A,#N/A,FALSE,"Monthly MAIFI";#N/A,#N/A,FALSE,"Yearly MAIFI";#N/A,#N/A,FALSE,"Monthly Cust &gt;=4 Int"}</definedName>
    <definedName name="fwrwerwerwerwer" localSheetId="45" hidden="1">{#N/A,#N/A,FALSE,"Monthly SAIFI";#N/A,#N/A,FALSE,"Yearly SAIFI";#N/A,#N/A,FALSE,"Monthly CAIDI";#N/A,#N/A,FALSE,"Yearly CAIDI";#N/A,#N/A,FALSE,"Monthly SAIDI";#N/A,#N/A,FALSE,"Yearly SAIDI";#N/A,#N/A,FALSE,"Monthly MAIFI";#N/A,#N/A,FALSE,"Yearly MAIFI";#N/A,#N/A,FALSE,"Monthly Cust &gt;=4 Int"}</definedName>
    <definedName name="fwrwerwerwerwer" localSheetId="13"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[51]Input1!$B$6</definedName>
    <definedName name="FYear1">[52]COS!#REF!</definedName>
    <definedName name="FYear2">[52]COS!#REF!</definedName>
    <definedName name="FYear3">[52]COS!#REF!</definedName>
    <definedName name="FYear4">[52]COS!#REF!</definedName>
    <definedName name="FYear5">[52]COS!#REF!</definedName>
    <definedName name="FYR">'[17]Gas Ferc 2 2003'!$V$3</definedName>
    <definedName name="GDR">'[11]C. Input'!$F$237</definedName>
    <definedName name="GDX">'[11]C. Input'!$F$309</definedName>
    <definedName name="GenLedger">[53]PEPCO!$A$9:$H$774</definedName>
    <definedName name="gggg" localSheetId="26"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3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3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3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3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36"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4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1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1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26"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3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3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3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3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36"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4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1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1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hjgfj" localSheetId="26" hidden="1">{#N/A,#N/A,FALSE,"Monthly SAIFI";#N/A,#N/A,FALSE,"Yearly SAIFI";#N/A,#N/A,FALSE,"Monthly CAIDI";#N/A,#N/A,FALSE,"Yearly CAIDI";#N/A,#N/A,FALSE,"Monthly SAIDI";#N/A,#N/A,FALSE,"Yearly SAIDI";#N/A,#N/A,FALSE,"Monthly MAIFI";#N/A,#N/A,FALSE,"Yearly MAIFI";#N/A,#N/A,FALSE,"Monthly Cust &gt;=4 Int"}</definedName>
    <definedName name="ghjgfj" localSheetId="28" hidden="1">{#N/A,#N/A,FALSE,"Monthly SAIFI";#N/A,#N/A,FALSE,"Yearly SAIFI";#N/A,#N/A,FALSE,"Monthly CAIDI";#N/A,#N/A,FALSE,"Yearly CAIDI";#N/A,#N/A,FALSE,"Monthly SAIDI";#N/A,#N/A,FALSE,"Yearly SAIDI";#N/A,#N/A,FALSE,"Monthly MAIFI";#N/A,#N/A,FALSE,"Yearly MAIFI";#N/A,#N/A,FALSE,"Monthly Cust &gt;=4 Int"}</definedName>
    <definedName name="ghjgfj" localSheetId="33" hidden="1">{#N/A,#N/A,FALSE,"Monthly SAIFI";#N/A,#N/A,FALSE,"Yearly SAIFI";#N/A,#N/A,FALSE,"Monthly CAIDI";#N/A,#N/A,FALSE,"Yearly CAIDI";#N/A,#N/A,FALSE,"Monthly SAIDI";#N/A,#N/A,FALSE,"Yearly SAIDI";#N/A,#N/A,FALSE,"Monthly MAIFI";#N/A,#N/A,FALSE,"Yearly MAIFI";#N/A,#N/A,FALSE,"Monthly Cust &gt;=4 Int"}</definedName>
    <definedName name="ghjgfj" localSheetId="35" hidden="1">{#N/A,#N/A,FALSE,"Monthly SAIFI";#N/A,#N/A,FALSE,"Yearly SAIFI";#N/A,#N/A,FALSE,"Monthly CAIDI";#N/A,#N/A,FALSE,"Yearly CAIDI";#N/A,#N/A,FALSE,"Monthly SAIDI";#N/A,#N/A,FALSE,"Yearly SAIDI";#N/A,#N/A,FALSE,"Monthly MAIFI";#N/A,#N/A,FALSE,"Yearly MAIFI";#N/A,#N/A,FALSE,"Monthly Cust &gt;=4 Int"}</definedName>
    <definedName name="ghjgfj" localSheetId="45" hidden="1">{#N/A,#N/A,FALSE,"Monthly SAIFI";#N/A,#N/A,FALSE,"Yearly SAIFI";#N/A,#N/A,FALSE,"Monthly CAIDI";#N/A,#N/A,FALSE,"Yearly CAIDI";#N/A,#N/A,FALSE,"Monthly SAIDI";#N/A,#N/A,FALSE,"Yearly SAIDI";#N/A,#N/A,FALSE,"Monthly MAIFI";#N/A,#N/A,FALSE,"Yearly MAIFI";#N/A,#N/A,FALSE,"Monthly Cust &gt;=4 Int"}</definedName>
    <definedName name="ghjgfj" localSheetId="13"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6" hidden="1">{#N/A,#N/A,FALSE,"Monthly SAIFI";#N/A,#N/A,FALSE,"Yearly SAIFI";#N/A,#N/A,FALSE,"Monthly CAIDI";#N/A,#N/A,FALSE,"Yearly CAIDI";#N/A,#N/A,FALSE,"Monthly SAIDI";#N/A,#N/A,FALSE,"Yearly SAIDI";#N/A,#N/A,FALSE,"Monthly MAIFI";#N/A,#N/A,FALSE,"Yearly MAIFI";#N/A,#N/A,FALSE,"Monthly Cust &gt;=4 Int"}</definedName>
    <definedName name="ghjgfjfj" localSheetId="28" hidden="1">{#N/A,#N/A,FALSE,"Monthly SAIFI";#N/A,#N/A,FALSE,"Yearly SAIFI";#N/A,#N/A,FALSE,"Monthly CAIDI";#N/A,#N/A,FALSE,"Yearly CAIDI";#N/A,#N/A,FALSE,"Monthly SAIDI";#N/A,#N/A,FALSE,"Yearly SAIDI";#N/A,#N/A,FALSE,"Monthly MAIFI";#N/A,#N/A,FALSE,"Yearly MAIFI";#N/A,#N/A,FALSE,"Monthly Cust &gt;=4 Int"}</definedName>
    <definedName name="ghjgfjfj" localSheetId="33" hidden="1">{#N/A,#N/A,FALSE,"Monthly SAIFI";#N/A,#N/A,FALSE,"Yearly SAIFI";#N/A,#N/A,FALSE,"Monthly CAIDI";#N/A,#N/A,FALSE,"Yearly CAIDI";#N/A,#N/A,FALSE,"Monthly SAIDI";#N/A,#N/A,FALSE,"Yearly SAIDI";#N/A,#N/A,FALSE,"Monthly MAIFI";#N/A,#N/A,FALSE,"Yearly MAIFI";#N/A,#N/A,FALSE,"Monthly Cust &gt;=4 Int"}</definedName>
    <definedName name="ghjgfjfj" localSheetId="35" hidden="1">{#N/A,#N/A,FALSE,"Monthly SAIFI";#N/A,#N/A,FALSE,"Yearly SAIFI";#N/A,#N/A,FALSE,"Monthly CAIDI";#N/A,#N/A,FALSE,"Yearly CAIDI";#N/A,#N/A,FALSE,"Monthly SAIDI";#N/A,#N/A,FALSE,"Yearly SAIDI";#N/A,#N/A,FALSE,"Monthly MAIFI";#N/A,#N/A,FALSE,"Yearly MAIFI";#N/A,#N/A,FALSE,"Monthly Cust &gt;=4 Int"}</definedName>
    <definedName name="ghjgfjfj" localSheetId="45" hidden="1">{#N/A,#N/A,FALSE,"Monthly SAIFI";#N/A,#N/A,FALSE,"Yearly SAIFI";#N/A,#N/A,FALSE,"Monthly CAIDI";#N/A,#N/A,FALSE,"Yearly CAIDI";#N/A,#N/A,FALSE,"Monthly SAIDI";#N/A,#N/A,FALSE,"Yearly SAIDI";#N/A,#N/A,FALSE,"Monthly MAIFI";#N/A,#N/A,FALSE,"Yearly MAIFI";#N/A,#N/A,FALSE,"Monthly Cust &gt;=4 Int"}</definedName>
    <definedName name="ghjgfjfj" localSheetId="13"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6" hidden="1">{#N/A,#N/A,FALSE,"Monthly SAIFI";#N/A,#N/A,FALSE,"Yearly SAIFI";#N/A,#N/A,FALSE,"Monthly CAIDI";#N/A,#N/A,FALSE,"Yearly CAIDI";#N/A,#N/A,FALSE,"Monthly SAIDI";#N/A,#N/A,FALSE,"Yearly SAIDI";#N/A,#N/A,FALSE,"Monthly MAIFI";#N/A,#N/A,FALSE,"Yearly MAIFI";#N/A,#N/A,FALSE,"Monthly Cust &gt;=4 Int"}</definedName>
    <definedName name="ghjgfjg" localSheetId="28" hidden="1">{#N/A,#N/A,FALSE,"Monthly SAIFI";#N/A,#N/A,FALSE,"Yearly SAIFI";#N/A,#N/A,FALSE,"Monthly CAIDI";#N/A,#N/A,FALSE,"Yearly CAIDI";#N/A,#N/A,FALSE,"Monthly SAIDI";#N/A,#N/A,FALSE,"Yearly SAIDI";#N/A,#N/A,FALSE,"Monthly MAIFI";#N/A,#N/A,FALSE,"Yearly MAIFI";#N/A,#N/A,FALSE,"Monthly Cust &gt;=4 Int"}</definedName>
    <definedName name="ghjgfjg" localSheetId="33" hidden="1">{#N/A,#N/A,FALSE,"Monthly SAIFI";#N/A,#N/A,FALSE,"Yearly SAIFI";#N/A,#N/A,FALSE,"Monthly CAIDI";#N/A,#N/A,FALSE,"Yearly CAIDI";#N/A,#N/A,FALSE,"Monthly SAIDI";#N/A,#N/A,FALSE,"Yearly SAIDI";#N/A,#N/A,FALSE,"Monthly MAIFI";#N/A,#N/A,FALSE,"Yearly MAIFI";#N/A,#N/A,FALSE,"Monthly Cust &gt;=4 Int"}</definedName>
    <definedName name="ghjgfjg" localSheetId="35" hidden="1">{#N/A,#N/A,FALSE,"Monthly SAIFI";#N/A,#N/A,FALSE,"Yearly SAIFI";#N/A,#N/A,FALSE,"Monthly CAIDI";#N/A,#N/A,FALSE,"Yearly CAIDI";#N/A,#N/A,FALSE,"Monthly SAIDI";#N/A,#N/A,FALSE,"Yearly SAIDI";#N/A,#N/A,FALSE,"Monthly MAIFI";#N/A,#N/A,FALSE,"Yearly MAIFI";#N/A,#N/A,FALSE,"Monthly Cust &gt;=4 Int"}</definedName>
    <definedName name="ghjgfjg" localSheetId="45" hidden="1">{#N/A,#N/A,FALSE,"Monthly SAIFI";#N/A,#N/A,FALSE,"Yearly SAIFI";#N/A,#N/A,FALSE,"Monthly CAIDI";#N/A,#N/A,FALSE,"Yearly CAIDI";#N/A,#N/A,FALSE,"Monthly SAIDI";#N/A,#N/A,FALSE,"Yearly SAIDI";#N/A,#N/A,FALSE,"Monthly MAIFI";#N/A,#N/A,FALSE,"Yearly MAIFI";#N/A,#N/A,FALSE,"Monthly Cust &gt;=4 Int"}</definedName>
    <definedName name="ghjgfjg" localSheetId="13"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6" hidden="1">{#N/A,#N/A,FALSE,"Monthly SAIFI";#N/A,#N/A,FALSE,"Yearly SAIFI";#N/A,#N/A,FALSE,"Monthly CAIDI";#N/A,#N/A,FALSE,"Yearly CAIDI";#N/A,#N/A,FALSE,"Monthly SAIDI";#N/A,#N/A,FALSE,"Yearly SAIDI";#N/A,#N/A,FALSE,"Monthly MAIFI";#N/A,#N/A,FALSE,"Yearly MAIFI";#N/A,#N/A,FALSE,"Monthly Cust &gt;=4 Int"}</definedName>
    <definedName name="ghjgjgfjf" localSheetId="28" hidden="1">{#N/A,#N/A,FALSE,"Monthly SAIFI";#N/A,#N/A,FALSE,"Yearly SAIFI";#N/A,#N/A,FALSE,"Monthly CAIDI";#N/A,#N/A,FALSE,"Yearly CAIDI";#N/A,#N/A,FALSE,"Monthly SAIDI";#N/A,#N/A,FALSE,"Yearly SAIDI";#N/A,#N/A,FALSE,"Monthly MAIFI";#N/A,#N/A,FALSE,"Yearly MAIFI";#N/A,#N/A,FALSE,"Monthly Cust &gt;=4 Int"}</definedName>
    <definedName name="ghjgjgfjf" localSheetId="33" hidden="1">{#N/A,#N/A,FALSE,"Monthly SAIFI";#N/A,#N/A,FALSE,"Yearly SAIFI";#N/A,#N/A,FALSE,"Monthly CAIDI";#N/A,#N/A,FALSE,"Yearly CAIDI";#N/A,#N/A,FALSE,"Monthly SAIDI";#N/A,#N/A,FALSE,"Yearly SAIDI";#N/A,#N/A,FALSE,"Monthly MAIFI";#N/A,#N/A,FALSE,"Yearly MAIFI";#N/A,#N/A,FALSE,"Monthly Cust &gt;=4 Int"}</definedName>
    <definedName name="ghjgjgfjf" localSheetId="35" hidden="1">{#N/A,#N/A,FALSE,"Monthly SAIFI";#N/A,#N/A,FALSE,"Yearly SAIFI";#N/A,#N/A,FALSE,"Monthly CAIDI";#N/A,#N/A,FALSE,"Yearly CAIDI";#N/A,#N/A,FALSE,"Monthly SAIDI";#N/A,#N/A,FALSE,"Yearly SAIDI";#N/A,#N/A,FALSE,"Monthly MAIFI";#N/A,#N/A,FALSE,"Yearly MAIFI";#N/A,#N/A,FALSE,"Monthly Cust &gt;=4 Int"}</definedName>
    <definedName name="ghjgjgfjf" localSheetId="45" hidden="1">{#N/A,#N/A,FALSE,"Monthly SAIFI";#N/A,#N/A,FALSE,"Yearly SAIFI";#N/A,#N/A,FALSE,"Monthly CAIDI";#N/A,#N/A,FALSE,"Yearly CAIDI";#N/A,#N/A,FALSE,"Monthly SAIDI";#N/A,#N/A,FALSE,"Yearly SAIDI";#N/A,#N/A,FALSE,"Monthly MAIFI";#N/A,#N/A,FALSE,"Yearly MAIFI";#N/A,#N/A,FALSE,"Monthly Cust &gt;=4 Int"}</definedName>
    <definedName name="ghjgjgfjf" localSheetId="13"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localSheetId="26" hidden="1">ISBLANK(gIsRef)</definedName>
    <definedName name="gIsBlank" localSheetId="28" hidden="1">ISBLANK(gIsRef)</definedName>
    <definedName name="gIsBlank" localSheetId="33" hidden="1">ISBLANK(gIsRef)</definedName>
    <definedName name="gIsBlank" localSheetId="35" hidden="1">ISBLANK(gIsRef)</definedName>
    <definedName name="gIsBlank" localSheetId="45" hidden="1">ISBLANK(gIsRef)</definedName>
    <definedName name="gIsBlank" localSheetId="13" hidden="1">ISBLANK(gIsRef)</definedName>
    <definedName name="gIsBlank" hidden="1">ISBLANK(gIsRef)</definedName>
    <definedName name="gIsError" localSheetId="26" hidden="1">ISERROR(gIsRef)</definedName>
    <definedName name="gIsError" localSheetId="28" hidden="1">ISERROR(gIsRef)</definedName>
    <definedName name="gIsError" localSheetId="33" hidden="1">ISERROR(gIsRef)</definedName>
    <definedName name="gIsError" localSheetId="35" hidden="1">ISERROR(gIsRef)</definedName>
    <definedName name="gIsError" localSheetId="45" hidden="1">ISERROR(gIsRef)</definedName>
    <definedName name="gIsError" localSheetId="13" hidden="1">ISERROR(gIsRef)</definedName>
    <definedName name="gIsError" hidden="1">ISERROR(gIsRef)</definedName>
    <definedName name="gIsInPrintArea" localSheetId="21" hidden="1">NOT(ISERROR([0]!gIsRef !Print_Area))</definedName>
    <definedName name="gIsInPrintArea" localSheetId="23" hidden="1">NOT(ISERROR([0]!gIsRef !Print_Area))</definedName>
    <definedName name="gIsInPrintArea" localSheetId="26" hidden="1">NOT(ISERROR(gIsRef !Print_Area))</definedName>
    <definedName name="gIsInPrintArea" localSheetId="28" hidden="1">NOT(ISERROR(gIsRef !Print_Area))</definedName>
    <definedName name="gIsInPrintArea" localSheetId="31" hidden="1">NOT(ISERROR([0]!gIsRef !Print_Area))</definedName>
    <definedName name="gIsInPrintArea" localSheetId="33" hidden="1">NOT(ISERROR(gIsRef !Print_Area))</definedName>
    <definedName name="gIsInPrintArea" localSheetId="35" hidden="1">NOT(ISERROR([0]!gIsRef !Print_Area))</definedName>
    <definedName name="gIsInPrintArea" localSheetId="38" hidden="1">NOT(ISERROR([0]!gIsRef !Print_Area))</definedName>
    <definedName name="gIsInPrintArea" localSheetId="4" hidden="1">NOT(ISERROR([0]!gIsRef !Print_Area))</definedName>
    <definedName name="gIsInPrintArea" localSheetId="45" hidden="1">NOT(ISERROR(gIsRef !Print_Area))</definedName>
    <definedName name="gIsInPrintArea" localSheetId="6" hidden="1">NOT(ISERROR([0]!gIsRef !Print_Area))</definedName>
    <definedName name="gIsInPrintArea" localSheetId="8" hidden="1">NOT(ISERROR([0]!gIsRef !Print_Area))</definedName>
    <definedName name="gIsInPrintArea" localSheetId="13" hidden="1">NOT(ISERROR(gIsRef !Print_Area))</definedName>
    <definedName name="gIsInPrintArea" localSheetId="15" hidden="1">NOT(ISERROR([0]!gIsRef !Print_Area))</definedName>
    <definedName name="gIsInPrintArea" localSheetId="17" hidden="1">NOT(ISERROR([0]!gIsRef !Print_Area))</definedName>
    <definedName name="gIsInPrintArea" localSheetId="19" hidden="1">NOT(ISERROR([0]!gIsRef !Print_Area))</definedName>
    <definedName name="gIsInPrintArea" hidden="1">NOT(ISERROR(gIsRef !Print_Area))</definedName>
    <definedName name="gIsInPrintTitles" localSheetId="21" hidden="1">NOT(ISERROR([0]!gIsRef !Print_Titles))</definedName>
    <definedName name="gIsInPrintTitles" localSheetId="23" hidden="1">NOT(ISERROR([0]!gIsRef !Print_Titles))</definedName>
    <definedName name="gIsInPrintTitles" localSheetId="26" hidden="1">NOT(ISERROR(gIsRef !Print_Titles))</definedName>
    <definedName name="gIsInPrintTitles" localSheetId="28" hidden="1">NOT(ISERROR(gIsRef !Print_Titles))</definedName>
    <definedName name="gIsInPrintTitles" localSheetId="31" hidden="1">NOT(ISERROR([0]!gIsRef !Print_Titles))</definedName>
    <definedName name="gIsInPrintTitles" localSheetId="33" hidden="1">NOT(ISERROR(gIsRef !Print_Titles))</definedName>
    <definedName name="gIsInPrintTitles" localSheetId="35" hidden="1">NOT(ISERROR([0]!gIsRef !Print_Titles))</definedName>
    <definedName name="gIsInPrintTitles" localSheetId="38" hidden="1">NOT(ISERROR([0]!gIsRef !Print_Titles))</definedName>
    <definedName name="gIsInPrintTitles" localSheetId="4" hidden="1">NOT(ISERROR([0]!gIsRef !Print_Titles))</definedName>
    <definedName name="gIsInPrintTitles" localSheetId="45" hidden="1">NOT(ISERROR(gIsRef !Print_Titles))</definedName>
    <definedName name="gIsInPrintTitles" localSheetId="6" hidden="1">NOT(ISERROR([0]!gIsRef !Print_Titles))</definedName>
    <definedName name="gIsInPrintTitles" localSheetId="8" hidden="1">NOT(ISERROR([0]!gIsRef !Print_Titles))</definedName>
    <definedName name="gIsInPrintTitles" localSheetId="13" hidden="1">NOT(ISERROR(gIsRef !Print_Titles))</definedName>
    <definedName name="gIsInPrintTitles" localSheetId="15" hidden="1">NOT(ISERROR([0]!gIsRef !Print_Titles))</definedName>
    <definedName name="gIsInPrintTitles" localSheetId="17" hidden="1">NOT(ISERROR([0]!gIsRef !Print_Titles))</definedName>
    <definedName name="gIsInPrintTitles" localSheetId="19" hidden="1">NOT(ISERROR([0]!gIsRef !Print_Titles))</definedName>
    <definedName name="gIsInPrintTitles" hidden="1">NOT(ISERROR(gIsRef !Print_Titles))</definedName>
    <definedName name="gIsNumber" localSheetId="26" hidden="1">ISNUMBER(gIsRef)</definedName>
    <definedName name="gIsNumber" localSheetId="28" hidden="1">ISNUMBER(gIsRef)</definedName>
    <definedName name="gIsNumber" localSheetId="33" hidden="1">ISNUMBER(gIsRef)</definedName>
    <definedName name="gIsNumber" localSheetId="35" hidden="1">ISNUMBER(gIsRef)</definedName>
    <definedName name="gIsNumber" localSheetId="45" hidden="1">ISNUMBER(gIsRef)</definedName>
    <definedName name="gIsNumber" localSheetId="13" hidden="1">ISNUMBER(gIsRef)</definedName>
    <definedName name="gIsNumber" hidden="1">ISNUMBER(gIsRef)</definedName>
    <definedName name="gIsPreviousSheet" localSheetId="21" hidden="1">PrevShtCellValue([0]!gIsRef)&lt;&gt;[0]!gIsRef</definedName>
    <definedName name="gIsPreviousSheet" localSheetId="23" hidden="1">PrevShtCellValue([0]!gIsRef)&lt;&gt;[0]!gIsRef</definedName>
    <definedName name="gIsPreviousSheet" localSheetId="26" hidden="1">PrevShtCellValue(gIsRef)&lt;&gt;gIsRef</definedName>
    <definedName name="gIsPreviousSheet" localSheetId="28" hidden="1">PrevShtCellValue(gIsRef)&lt;&gt;gIsRef</definedName>
    <definedName name="gIsPreviousSheet" localSheetId="31" hidden="1">PrevShtCellValue([0]!gIsRef)&lt;&gt;[0]!gIsRef</definedName>
    <definedName name="gIsPreviousSheet" localSheetId="33" hidden="1">PrevShtCellValue(gIsRef)&lt;&gt;gIsRef</definedName>
    <definedName name="gIsPreviousSheet" localSheetId="35" hidden="1">PrevShtCellValue([0]!gIsRef)&lt;&gt;[0]!gIsRef</definedName>
    <definedName name="gIsPreviousSheet" localSheetId="38" hidden="1">PrevShtCellValue([0]!gIsRef)&lt;&gt;[0]!gIsRef</definedName>
    <definedName name="gIsPreviousSheet" localSheetId="4" hidden="1">PrevShtCellValue([0]!gIsRef)&lt;&gt;[0]!gIsRef</definedName>
    <definedName name="gIsPreviousSheet" localSheetId="45" hidden="1">PrevShtCellValue(gIsRef)&lt;&gt;gIsRef</definedName>
    <definedName name="gIsPreviousSheet" localSheetId="6" hidden="1">PrevShtCellValue([0]!gIsRef)&lt;&gt;[0]!gIsRef</definedName>
    <definedName name="gIsPreviousSheet" localSheetId="8" hidden="1">PrevShtCellValue([0]!gIsRef)&lt;&gt;[0]!gIsRef</definedName>
    <definedName name="gIsPreviousSheet" localSheetId="13" hidden="1">PrevShtCellValue(gIsRef)&lt;&gt;gIsRef</definedName>
    <definedName name="gIsPreviousSheet" localSheetId="15" hidden="1">PrevShtCellValue([0]!gIsRef)&lt;&gt;[0]!gIsRef</definedName>
    <definedName name="gIsPreviousSheet" localSheetId="17" hidden="1">PrevShtCellValue([0]!gIsRef)&lt;&gt;[0]!gIsRef</definedName>
    <definedName name="gIsPreviousSheet" localSheetId="19" hidden="1">PrevShtCellValue([0]!gIsRef)&lt;&gt;[0]!gIsRef</definedName>
    <definedName name="gIsPreviousSheet" hidden="1">PrevShtCellValue(gIsRef)&lt;&gt;gIsRef</definedName>
    <definedName name="gIsRef" hidden="1">INDIRECT("rc",FALSE)</definedName>
    <definedName name="gIsText" localSheetId="26" hidden="1">ISTEXT(gIsRef)</definedName>
    <definedName name="gIsText" localSheetId="28" hidden="1">ISTEXT(gIsRef)</definedName>
    <definedName name="gIsText" localSheetId="33" hidden="1">ISTEXT(gIsRef)</definedName>
    <definedName name="gIsText" localSheetId="35" hidden="1">ISTEXT(gIsRef)</definedName>
    <definedName name="gIsText" localSheetId="45" hidden="1">ISTEXT(gIsRef)</definedName>
    <definedName name="gIsText" localSheetId="13" hidden="1">ISTEXT(gIsRef)</definedName>
    <definedName name="gIsText" hidden="1">ISTEXT(gIsRef)</definedName>
    <definedName name="gita" localSheetId="26" hidden="1">{#N/A,#N/A,FALSE,"O&amp;M by processes";#N/A,#N/A,FALSE,"Elec Act vs Bud";#N/A,#N/A,FALSE,"G&amp;A";#N/A,#N/A,FALSE,"BGS";#N/A,#N/A,FALSE,"Res Cost"}</definedName>
    <definedName name="gita" localSheetId="28" hidden="1">{#N/A,#N/A,FALSE,"O&amp;M by processes";#N/A,#N/A,FALSE,"Elec Act vs Bud";#N/A,#N/A,FALSE,"G&amp;A";#N/A,#N/A,FALSE,"BGS";#N/A,#N/A,FALSE,"Res Cost"}</definedName>
    <definedName name="gita" localSheetId="33" hidden="1">{#N/A,#N/A,FALSE,"O&amp;M by processes";#N/A,#N/A,FALSE,"Elec Act vs Bud";#N/A,#N/A,FALSE,"G&amp;A";#N/A,#N/A,FALSE,"BGS";#N/A,#N/A,FALSE,"Res Cost"}</definedName>
    <definedName name="gita" localSheetId="35" hidden="1">{#N/A,#N/A,FALSE,"O&amp;M by processes";#N/A,#N/A,FALSE,"Elec Act vs Bud";#N/A,#N/A,FALSE,"G&amp;A";#N/A,#N/A,FALSE,"BGS";#N/A,#N/A,FALSE,"Res Cost"}</definedName>
    <definedName name="gita" localSheetId="45" hidden="1">{#N/A,#N/A,FALSE,"O&amp;M by processes";#N/A,#N/A,FALSE,"Elec Act vs Bud";#N/A,#N/A,FALSE,"G&amp;A";#N/A,#N/A,FALSE,"BGS";#N/A,#N/A,FALSE,"Res Cost"}</definedName>
    <definedName name="gita" localSheetId="13"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6" hidden="1">{#N/A,#N/A,FALSE,"O&amp;M by processes";#N/A,#N/A,FALSE,"Elec Act vs Bud";#N/A,#N/A,FALSE,"G&amp;A";#N/A,#N/A,FALSE,"BGS";#N/A,#N/A,FALSE,"Res Cost"}</definedName>
    <definedName name="gitah" localSheetId="28" hidden="1">{#N/A,#N/A,FALSE,"O&amp;M by processes";#N/A,#N/A,FALSE,"Elec Act vs Bud";#N/A,#N/A,FALSE,"G&amp;A";#N/A,#N/A,FALSE,"BGS";#N/A,#N/A,FALSE,"Res Cost"}</definedName>
    <definedName name="gitah" localSheetId="33" hidden="1">{#N/A,#N/A,FALSE,"O&amp;M by processes";#N/A,#N/A,FALSE,"Elec Act vs Bud";#N/A,#N/A,FALSE,"G&amp;A";#N/A,#N/A,FALSE,"BGS";#N/A,#N/A,FALSE,"Res Cost"}</definedName>
    <definedName name="gitah" localSheetId="35" hidden="1">{#N/A,#N/A,FALSE,"O&amp;M by processes";#N/A,#N/A,FALSE,"Elec Act vs Bud";#N/A,#N/A,FALSE,"G&amp;A";#N/A,#N/A,FALSE,"BGS";#N/A,#N/A,FALSE,"Res Cost"}</definedName>
    <definedName name="gitah" localSheetId="45" hidden="1">{#N/A,#N/A,FALSE,"O&amp;M by processes";#N/A,#N/A,FALSE,"Elec Act vs Bud";#N/A,#N/A,FALSE,"G&amp;A";#N/A,#N/A,FALSE,"BGS";#N/A,#N/A,FALSE,"Res Cost"}</definedName>
    <definedName name="gitah" localSheetId="13" hidden="1">{#N/A,#N/A,FALSE,"O&amp;M by processes";#N/A,#N/A,FALSE,"Elec Act vs Bud";#N/A,#N/A,FALSE,"G&amp;A";#N/A,#N/A,FALSE,"BGS";#N/A,#N/A,FALSE,"Res Cost"}</definedName>
    <definedName name="gitah" hidden="1">{#N/A,#N/A,FALSE,"O&amp;M by processes";#N/A,#N/A,FALSE,"Elec Act vs Bud";#N/A,#N/A,FALSE,"G&amp;A";#N/A,#N/A,FALSE,"BGS";#N/A,#N/A,FALSE,"Res Cost"}</definedName>
    <definedName name="GP">'[25]Actual Gross Rev'!$J$169</definedName>
    <definedName name="GPLT">'[11]C. Input'!$F$168</definedName>
    <definedName name="GR_PRT_RANGE">[2]Gross_Rec!$A$8:$R$52</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SS_REVENUE">#REF!</definedName>
    <definedName name="GRS">[2]Gross_Rec!$B$2:$M$49</definedName>
    <definedName name="grtm1">[2]Print!$I$32</definedName>
    <definedName name="grtm2">[2]Print!$G$32</definedName>
    <definedName name="grtm3">[2]Print!$E$32</definedName>
    <definedName name="grtm4">[2]Print!$C$32</definedName>
    <definedName name="h" localSheetId="26" hidden="1">{#N/A,#N/A,FALSE,"Monthly SAIFI";#N/A,#N/A,FALSE,"Yearly SAIFI";#N/A,#N/A,FALSE,"Monthly CAIDI";#N/A,#N/A,FALSE,"Yearly CAIDI";#N/A,#N/A,FALSE,"Monthly SAIDI";#N/A,#N/A,FALSE,"Yearly SAIDI";#N/A,#N/A,FALSE,"Monthly MAIFI";#N/A,#N/A,FALSE,"Yearly MAIFI";#N/A,#N/A,FALSE,"Monthly Cust &gt;=4 Int"}</definedName>
    <definedName name="h" localSheetId="28" hidden="1">{#N/A,#N/A,FALSE,"Monthly SAIFI";#N/A,#N/A,FALSE,"Yearly SAIFI";#N/A,#N/A,FALSE,"Monthly CAIDI";#N/A,#N/A,FALSE,"Yearly CAIDI";#N/A,#N/A,FALSE,"Monthly SAIDI";#N/A,#N/A,FALSE,"Yearly SAIDI";#N/A,#N/A,FALSE,"Monthly MAIFI";#N/A,#N/A,FALSE,"Yearly MAIFI";#N/A,#N/A,FALSE,"Monthly Cust &gt;=4 Int"}</definedName>
    <definedName name="h" localSheetId="33" hidden="1">{#N/A,#N/A,FALSE,"Monthly SAIFI";#N/A,#N/A,FALSE,"Yearly SAIFI";#N/A,#N/A,FALSE,"Monthly CAIDI";#N/A,#N/A,FALSE,"Yearly CAIDI";#N/A,#N/A,FALSE,"Monthly SAIDI";#N/A,#N/A,FALSE,"Yearly SAIDI";#N/A,#N/A,FALSE,"Monthly MAIFI";#N/A,#N/A,FALSE,"Yearly MAIFI";#N/A,#N/A,FALSE,"Monthly Cust &gt;=4 Int"}</definedName>
    <definedName name="h" localSheetId="35" hidden="1">{#N/A,#N/A,FALSE,"Monthly SAIFI";#N/A,#N/A,FALSE,"Yearly SAIFI";#N/A,#N/A,FALSE,"Monthly CAIDI";#N/A,#N/A,FALSE,"Yearly CAIDI";#N/A,#N/A,FALSE,"Monthly SAIDI";#N/A,#N/A,FALSE,"Yearly SAIDI";#N/A,#N/A,FALSE,"Monthly MAIFI";#N/A,#N/A,FALSE,"Yearly MAIFI";#N/A,#N/A,FALSE,"Monthly Cust &gt;=4 Int"}</definedName>
    <definedName name="h" localSheetId="45" hidden="1">{#N/A,#N/A,FALSE,"Monthly SAIFI";#N/A,#N/A,FALSE,"Yearly SAIFI";#N/A,#N/A,FALSE,"Monthly CAIDI";#N/A,#N/A,FALSE,"Yearly CAIDI";#N/A,#N/A,FALSE,"Monthly SAIDI";#N/A,#N/A,FALSE,"Yearly SAIDI";#N/A,#N/A,FALSE,"Monthly MAIFI";#N/A,#N/A,FALSE,"Yearly MAIFI";#N/A,#N/A,FALSE,"Monthly Cust &gt;=4 Int"}</definedName>
    <definedName name="h" localSheetId="13"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eading_BaseYear">#REF!</definedName>
    <definedName name="Heading_ForecastYear">#REF!</definedName>
    <definedName name="Heading_PriorYear">#REF!</definedName>
    <definedName name="hh" localSheetId="26" hidden="1">{#N/A,#N/A,FALSE,"Monthly SAIFI";#N/A,#N/A,FALSE,"Yearly SAIFI";#N/A,#N/A,FALSE,"Monthly CAIDI";#N/A,#N/A,FALSE,"Yearly CAIDI";#N/A,#N/A,FALSE,"Monthly SAIDI";#N/A,#N/A,FALSE,"Yearly SAIDI";#N/A,#N/A,FALSE,"Monthly MAIFI";#N/A,#N/A,FALSE,"Yearly MAIFI";#N/A,#N/A,FALSE,"Monthly Cust &gt;=4 Int"}</definedName>
    <definedName name="hh" localSheetId="28" hidden="1">{#N/A,#N/A,FALSE,"Monthly SAIFI";#N/A,#N/A,FALSE,"Yearly SAIFI";#N/A,#N/A,FALSE,"Monthly CAIDI";#N/A,#N/A,FALSE,"Yearly CAIDI";#N/A,#N/A,FALSE,"Monthly SAIDI";#N/A,#N/A,FALSE,"Yearly SAIDI";#N/A,#N/A,FALSE,"Monthly MAIFI";#N/A,#N/A,FALSE,"Yearly MAIFI";#N/A,#N/A,FALSE,"Monthly Cust &gt;=4 Int"}</definedName>
    <definedName name="hh" localSheetId="33" hidden="1">{#N/A,#N/A,FALSE,"Monthly SAIFI";#N/A,#N/A,FALSE,"Yearly SAIFI";#N/A,#N/A,FALSE,"Monthly CAIDI";#N/A,#N/A,FALSE,"Yearly CAIDI";#N/A,#N/A,FALSE,"Monthly SAIDI";#N/A,#N/A,FALSE,"Yearly SAIDI";#N/A,#N/A,FALSE,"Monthly MAIFI";#N/A,#N/A,FALSE,"Yearly MAIFI";#N/A,#N/A,FALSE,"Monthly Cust &gt;=4 Int"}</definedName>
    <definedName name="hh" localSheetId="35" hidden="1">{#N/A,#N/A,FALSE,"Monthly SAIFI";#N/A,#N/A,FALSE,"Yearly SAIFI";#N/A,#N/A,FALSE,"Monthly CAIDI";#N/A,#N/A,FALSE,"Yearly CAIDI";#N/A,#N/A,FALSE,"Monthly SAIDI";#N/A,#N/A,FALSE,"Yearly SAIDI";#N/A,#N/A,FALSE,"Monthly MAIFI";#N/A,#N/A,FALSE,"Yearly MAIFI";#N/A,#N/A,FALSE,"Monthly Cust &gt;=4 Int"}</definedName>
    <definedName name="hh" localSheetId="45" hidden="1">{#N/A,#N/A,FALSE,"Monthly SAIFI";#N/A,#N/A,FALSE,"Yearly SAIFI";#N/A,#N/A,FALSE,"Monthly CAIDI";#N/A,#N/A,FALSE,"Yearly CAIDI";#N/A,#N/A,FALSE,"Monthly SAIDI";#N/A,#N/A,FALSE,"Yearly SAIDI";#N/A,#N/A,FALSE,"Monthly MAIFI";#N/A,#N/A,FALSE,"Yearly MAIFI";#N/A,#N/A,FALSE,"Monthly Cust &gt;=4 Int"}</definedName>
    <definedName name="hh" localSheetId="13"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'[54]Tony''s Categories'!$B$6:$B$11</definedName>
    <definedName name="histdate">#REF!</definedName>
    <definedName name="hjfjghjgfjgj" localSheetId="26" hidden="1">{#N/A,#N/A,FALSE,"Monthly SAIFI";#N/A,#N/A,FALSE,"Yearly SAIFI";#N/A,#N/A,FALSE,"Monthly CAIDI";#N/A,#N/A,FALSE,"Yearly CAIDI";#N/A,#N/A,FALSE,"Monthly SAIDI";#N/A,#N/A,FALSE,"Yearly SAIDI";#N/A,#N/A,FALSE,"Monthly MAIFI";#N/A,#N/A,FALSE,"Yearly MAIFI";#N/A,#N/A,FALSE,"Monthly Cust &gt;=4 Int"}</definedName>
    <definedName name="hjfjghjgfjgj" localSheetId="28" hidden="1">{#N/A,#N/A,FALSE,"Monthly SAIFI";#N/A,#N/A,FALSE,"Yearly SAIFI";#N/A,#N/A,FALSE,"Monthly CAIDI";#N/A,#N/A,FALSE,"Yearly CAIDI";#N/A,#N/A,FALSE,"Monthly SAIDI";#N/A,#N/A,FALSE,"Yearly SAIDI";#N/A,#N/A,FALSE,"Monthly MAIFI";#N/A,#N/A,FALSE,"Yearly MAIFI";#N/A,#N/A,FALSE,"Monthly Cust &gt;=4 Int"}</definedName>
    <definedName name="hjfjghjgfjgj" localSheetId="33" hidden="1">{#N/A,#N/A,FALSE,"Monthly SAIFI";#N/A,#N/A,FALSE,"Yearly SAIFI";#N/A,#N/A,FALSE,"Monthly CAIDI";#N/A,#N/A,FALSE,"Yearly CAIDI";#N/A,#N/A,FALSE,"Monthly SAIDI";#N/A,#N/A,FALSE,"Yearly SAIDI";#N/A,#N/A,FALSE,"Monthly MAIFI";#N/A,#N/A,FALSE,"Yearly MAIFI";#N/A,#N/A,FALSE,"Monthly Cust &gt;=4 Int"}</definedName>
    <definedName name="hjfjghjgfjgj" localSheetId="35" hidden="1">{#N/A,#N/A,FALSE,"Monthly SAIFI";#N/A,#N/A,FALSE,"Yearly SAIFI";#N/A,#N/A,FALSE,"Monthly CAIDI";#N/A,#N/A,FALSE,"Yearly CAIDI";#N/A,#N/A,FALSE,"Monthly SAIDI";#N/A,#N/A,FALSE,"Yearly SAIDI";#N/A,#N/A,FALSE,"Monthly MAIFI";#N/A,#N/A,FALSE,"Yearly MAIFI";#N/A,#N/A,FALSE,"Monthly Cust &gt;=4 Int"}</definedName>
    <definedName name="hjfjghjgfjgj" localSheetId="45" hidden="1">{#N/A,#N/A,FALSE,"Monthly SAIFI";#N/A,#N/A,FALSE,"Yearly SAIFI";#N/A,#N/A,FALSE,"Monthly CAIDI";#N/A,#N/A,FALSE,"Yearly CAIDI";#N/A,#N/A,FALSE,"Monthly SAIDI";#N/A,#N/A,FALSE,"Yearly SAIDI";#N/A,#N/A,FALSE,"Monthly MAIFI";#N/A,#N/A,FALSE,"Yearly MAIFI";#N/A,#N/A,FALSE,"Monthly Cust &gt;=4 Int"}</definedName>
    <definedName name="hjfjghjgfjgj" localSheetId="13"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6" hidden="1">{#N/A,#N/A,FALSE,"Monthly SAIFI";#N/A,#N/A,FALSE,"Yearly SAIFI";#N/A,#N/A,FALSE,"Monthly CAIDI";#N/A,#N/A,FALSE,"Yearly CAIDI";#N/A,#N/A,FALSE,"Monthly SAIDI";#N/A,#N/A,FALSE,"Yearly SAIDI";#N/A,#N/A,FALSE,"Monthly MAIFI";#N/A,#N/A,FALSE,"Yearly MAIFI";#N/A,#N/A,FALSE,"Monthly Cust &gt;=4 Int"}</definedName>
    <definedName name="hjghjgf" localSheetId="28" hidden="1">{#N/A,#N/A,FALSE,"Monthly SAIFI";#N/A,#N/A,FALSE,"Yearly SAIFI";#N/A,#N/A,FALSE,"Monthly CAIDI";#N/A,#N/A,FALSE,"Yearly CAIDI";#N/A,#N/A,FALSE,"Monthly SAIDI";#N/A,#N/A,FALSE,"Yearly SAIDI";#N/A,#N/A,FALSE,"Monthly MAIFI";#N/A,#N/A,FALSE,"Yearly MAIFI";#N/A,#N/A,FALSE,"Monthly Cust &gt;=4 Int"}</definedName>
    <definedName name="hjghjgf" localSheetId="33" hidden="1">{#N/A,#N/A,FALSE,"Monthly SAIFI";#N/A,#N/A,FALSE,"Yearly SAIFI";#N/A,#N/A,FALSE,"Monthly CAIDI";#N/A,#N/A,FALSE,"Yearly CAIDI";#N/A,#N/A,FALSE,"Monthly SAIDI";#N/A,#N/A,FALSE,"Yearly SAIDI";#N/A,#N/A,FALSE,"Monthly MAIFI";#N/A,#N/A,FALSE,"Yearly MAIFI";#N/A,#N/A,FALSE,"Monthly Cust &gt;=4 Int"}</definedName>
    <definedName name="hjghjgf" localSheetId="35" hidden="1">{#N/A,#N/A,FALSE,"Monthly SAIFI";#N/A,#N/A,FALSE,"Yearly SAIFI";#N/A,#N/A,FALSE,"Monthly CAIDI";#N/A,#N/A,FALSE,"Yearly CAIDI";#N/A,#N/A,FALSE,"Monthly SAIDI";#N/A,#N/A,FALSE,"Yearly SAIDI";#N/A,#N/A,FALSE,"Monthly MAIFI";#N/A,#N/A,FALSE,"Yearly MAIFI";#N/A,#N/A,FALSE,"Monthly Cust &gt;=4 Int"}</definedName>
    <definedName name="hjghjgf" localSheetId="45" hidden="1">{#N/A,#N/A,FALSE,"Monthly SAIFI";#N/A,#N/A,FALSE,"Yearly SAIFI";#N/A,#N/A,FALSE,"Monthly CAIDI";#N/A,#N/A,FALSE,"Yearly CAIDI";#N/A,#N/A,FALSE,"Monthly SAIDI";#N/A,#N/A,FALSE,"Yearly SAIDI";#N/A,#N/A,FALSE,"Monthly MAIFI";#N/A,#N/A,FALSE,"Yearly MAIFI";#N/A,#N/A,FALSE,"Monthly Cust &gt;=4 Int"}</definedName>
    <definedName name="hjghjgf" localSheetId="13"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ME">#REF!</definedName>
    <definedName name="HONTSR">'[11]A.2 PTP'!$P$333</definedName>
    <definedName name="Hours">[12]CALCULATIONS!$C$11</definedName>
    <definedName name="HPNTSR">'[11]A.2 PTP'!$P$332</definedName>
    <definedName name="HTML_CodePage">1252</definedName>
    <definedName name="HTML_Control" localSheetId="26">{"'Metretek HTML'!$A$7:$W$42"}</definedName>
    <definedName name="HTML_Control" localSheetId="28">{"'Metretek HTML'!$A$7:$W$42"}</definedName>
    <definedName name="HTML_Control" localSheetId="33">{"'Metretek HTML'!$A$7:$W$42"}</definedName>
    <definedName name="HTML_Control" localSheetId="35">{"'Metretek HTML'!$A$7:$W$42"}</definedName>
    <definedName name="HTML_Control" localSheetId="45">{"'Metretek HTML'!$A$7:$W$42"}</definedName>
    <definedName name="HTML_Control" localSheetId="13">{"'Metretek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GHESFAC">#REF!</definedName>
    <definedName name="HUGHESLF">#REF!</definedName>
    <definedName name="HUGHESMW">#REF!</definedName>
    <definedName name="HUGHESMWH">#REF!</definedName>
    <definedName name="huh" localSheetId="26" hidden="1">{#N/A,#N/A,FALSE,"Dist Rev at PR ";#N/A,#N/A,FALSE,"Spec";#N/A,#N/A,FALSE,"Res";#N/A,#N/A,FALSE,"Small L&amp;P";#N/A,#N/A,FALSE,"Medium L&amp;P";#N/A,#N/A,FALSE,"E-19";#N/A,#N/A,FALSE,"E-20";#N/A,#N/A,FALSE,"Strtlts &amp; Standby";#N/A,#N/A,FALSE,"A-RTP";#N/A,#N/A,FALSE,"2003mixeduse"}</definedName>
    <definedName name="huh" localSheetId="28" hidden="1">{#N/A,#N/A,FALSE,"Dist Rev at PR ";#N/A,#N/A,FALSE,"Spec";#N/A,#N/A,FALSE,"Res";#N/A,#N/A,FALSE,"Small L&amp;P";#N/A,#N/A,FALSE,"Medium L&amp;P";#N/A,#N/A,FALSE,"E-19";#N/A,#N/A,FALSE,"E-20";#N/A,#N/A,FALSE,"Strtlts &amp; Standby";#N/A,#N/A,FALSE,"A-RTP";#N/A,#N/A,FALSE,"2003mixeduse"}</definedName>
    <definedName name="huh" localSheetId="30" hidden="1">{#N/A,#N/A,FALSE,"Dist Rev at PR ";#N/A,#N/A,FALSE,"Spec";#N/A,#N/A,FALSE,"Res";#N/A,#N/A,FALSE,"Small L&amp;P";#N/A,#N/A,FALSE,"Medium L&amp;P";#N/A,#N/A,FALSE,"E-19";#N/A,#N/A,FALSE,"E-20";#N/A,#N/A,FALSE,"Strtlts &amp; Standby";#N/A,#N/A,FALSE,"A-RTP";#N/A,#N/A,FALSE,"2003mixeduse"}</definedName>
    <definedName name="huh" localSheetId="31" hidden="1">{#N/A,#N/A,FALSE,"Dist Rev at PR ";#N/A,#N/A,FALSE,"Spec";#N/A,#N/A,FALSE,"Res";#N/A,#N/A,FALSE,"Small L&amp;P";#N/A,#N/A,FALSE,"Medium L&amp;P";#N/A,#N/A,FALSE,"E-19";#N/A,#N/A,FALSE,"E-20";#N/A,#N/A,FALSE,"Strtlts &amp; Standby";#N/A,#N/A,FALSE,"A-RTP";#N/A,#N/A,FALSE,"2003mixeduse"}</definedName>
    <definedName name="huh" localSheetId="33" hidden="1">{#N/A,#N/A,FALSE,"Dist Rev at PR ";#N/A,#N/A,FALSE,"Spec";#N/A,#N/A,FALSE,"Res";#N/A,#N/A,FALSE,"Small L&amp;P";#N/A,#N/A,FALSE,"Medium L&amp;P";#N/A,#N/A,FALSE,"E-19";#N/A,#N/A,FALSE,"E-20";#N/A,#N/A,FALSE,"Strtlts &amp; Standby";#N/A,#N/A,FALSE,"A-RTP";#N/A,#N/A,FALSE,"2003mixeduse"}</definedName>
    <definedName name="huh" localSheetId="34" hidden="1">{#N/A,#N/A,FALSE,"Dist Rev at PR ";#N/A,#N/A,FALSE,"Spec";#N/A,#N/A,FALSE,"Res";#N/A,#N/A,FALSE,"Small L&amp;P";#N/A,#N/A,FALSE,"Medium L&amp;P";#N/A,#N/A,FALSE,"E-19";#N/A,#N/A,FALSE,"E-20";#N/A,#N/A,FALSE,"Strtlts &amp; Standby";#N/A,#N/A,FALSE,"A-RTP";#N/A,#N/A,FALSE,"2003mixeduse"}</definedName>
    <definedName name="huh" localSheetId="35" hidden="1">{#N/A,#N/A,FALSE,"Dist Rev at PR ";#N/A,#N/A,FALSE,"Spec";#N/A,#N/A,FALSE,"Res";#N/A,#N/A,FALSE,"Small L&amp;P";#N/A,#N/A,FALSE,"Medium L&amp;P";#N/A,#N/A,FALSE,"E-19";#N/A,#N/A,FALSE,"E-20";#N/A,#N/A,FALSE,"Strtlts &amp; Standby";#N/A,#N/A,FALSE,"A-RTP";#N/A,#N/A,FALSE,"2003mixeduse"}</definedName>
    <definedName name="huh" localSheetId="36" hidden="1">{#N/A,#N/A,FALSE,"Dist Rev at PR ";#N/A,#N/A,FALSE,"Spec";#N/A,#N/A,FALSE,"Res";#N/A,#N/A,FALSE,"Small L&amp;P";#N/A,#N/A,FALSE,"Medium L&amp;P";#N/A,#N/A,FALSE,"E-19";#N/A,#N/A,FALSE,"E-20";#N/A,#N/A,FALSE,"Strtlts &amp; Standby";#N/A,#N/A,FALSE,"A-RTP";#N/A,#N/A,FALSE,"2003mixeduse"}</definedName>
    <definedName name="huh" localSheetId="45" hidden="1">{#N/A,#N/A,FALSE,"Dist Rev at PR ";#N/A,#N/A,FALSE,"Spec";#N/A,#N/A,FALSE,"Res";#N/A,#N/A,FALSE,"Small L&amp;P";#N/A,#N/A,FALSE,"Medium L&amp;P";#N/A,#N/A,FALSE,"E-19";#N/A,#N/A,FALSE,"E-20";#N/A,#N/A,FALSE,"Strtlts &amp; Standby";#N/A,#N/A,FALSE,"A-RTP";#N/A,#N/A,FALSE,"2003mixeduse"}</definedName>
    <definedName name="huh" localSheetId="12" hidden="1">{#N/A,#N/A,FALSE,"Dist Rev at PR ";#N/A,#N/A,FALSE,"Spec";#N/A,#N/A,FALSE,"Res";#N/A,#N/A,FALSE,"Small L&amp;P";#N/A,#N/A,FALSE,"Medium L&amp;P";#N/A,#N/A,FALSE,"E-19";#N/A,#N/A,FALSE,"E-20";#N/A,#N/A,FALSE,"Strtlts &amp; Standby";#N/A,#N/A,FALSE,"A-RTP";#N/A,#N/A,FALSE,"2003mixeduse"}</definedName>
    <definedName name="huh" localSheetId="13" hidden="1">{#N/A,#N/A,FALSE,"Dist Rev at PR ";#N/A,#N/A,FALSE,"Spec";#N/A,#N/A,FALSE,"Res";#N/A,#N/A,FALSE,"Small L&amp;P";#N/A,#N/A,FALSE,"Medium L&amp;P";#N/A,#N/A,FALSE,"E-19";#N/A,#N/A,FALSE,"E-20";#N/A,#N/A,FALSE,"Strtlts &amp; Standby";#N/A,#N/A,FALSE,"A-RTP";#N/A,#N/A,FALSE,"2003mixeduse"}</definedName>
    <definedName name="huh" hidden="1">{#N/A,#N/A,FALSE,"Dist Rev at PR ";#N/A,#N/A,FALSE,"Spec";#N/A,#N/A,FALSE,"Res";#N/A,#N/A,FALSE,"Small L&amp;P";#N/A,#N/A,FALSE,"Medium L&amp;P";#N/A,#N/A,FALSE,"E-19";#N/A,#N/A,FALSE,"E-20";#N/A,#N/A,FALSE,"Strtlts &amp; Standby";#N/A,#N/A,FALSE,"A-RTP";#N/A,#N/A,FALSE,"2003mixeduse"}</definedName>
    <definedName name="huhnd" localSheetId="26" hidden="1">{#N/A,#N/A,FALSE,"ND Rev at Pres Rates";#N/A,#N/A,FALSE,"Res - Unadj sales";#N/A,#N/A,FALSE,"Small L&amp;P";#N/A,#N/A,FALSE,"Medium L&amp;P";#N/A,#N/A,FALSE,"E-19";#N/A,#N/A,FALSE,"E-20";#N/A,#N/A,FALSE,"Strtlts &amp; Standby";#N/A,#N/A,FALSE,"AG";#N/A,#N/A,FALSE,"A-RTP";#N/A,#N/A,FALSE,"Spec"}</definedName>
    <definedName name="huhnd" localSheetId="28" hidden="1">{#N/A,#N/A,FALSE,"ND Rev at Pres Rates";#N/A,#N/A,FALSE,"Res - Unadj sales";#N/A,#N/A,FALSE,"Small L&amp;P";#N/A,#N/A,FALSE,"Medium L&amp;P";#N/A,#N/A,FALSE,"E-19";#N/A,#N/A,FALSE,"E-20";#N/A,#N/A,FALSE,"Strtlts &amp; Standby";#N/A,#N/A,FALSE,"AG";#N/A,#N/A,FALSE,"A-RTP";#N/A,#N/A,FALSE,"Spec"}</definedName>
    <definedName name="huhnd" localSheetId="30" hidden="1">{#N/A,#N/A,FALSE,"ND Rev at Pres Rates";#N/A,#N/A,FALSE,"Res - Unadj sales";#N/A,#N/A,FALSE,"Small L&amp;P";#N/A,#N/A,FALSE,"Medium L&amp;P";#N/A,#N/A,FALSE,"E-19";#N/A,#N/A,FALSE,"E-20";#N/A,#N/A,FALSE,"Strtlts &amp; Standby";#N/A,#N/A,FALSE,"AG";#N/A,#N/A,FALSE,"A-RTP";#N/A,#N/A,FALSE,"Spec"}</definedName>
    <definedName name="huhnd" localSheetId="31" hidden="1">{#N/A,#N/A,FALSE,"ND Rev at Pres Rates";#N/A,#N/A,FALSE,"Res - Unadj sales";#N/A,#N/A,FALSE,"Small L&amp;P";#N/A,#N/A,FALSE,"Medium L&amp;P";#N/A,#N/A,FALSE,"E-19";#N/A,#N/A,FALSE,"E-20";#N/A,#N/A,FALSE,"Strtlts &amp; Standby";#N/A,#N/A,FALSE,"AG";#N/A,#N/A,FALSE,"A-RTP";#N/A,#N/A,FALSE,"Spec"}</definedName>
    <definedName name="huhnd" localSheetId="33" hidden="1">{#N/A,#N/A,FALSE,"ND Rev at Pres Rates";#N/A,#N/A,FALSE,"Res - Unadj sales";#N/A,#N/A,FALSE,"Small L&amp;P";#N/A,#N/A,FALSE,"Medium L&amp;P";#N/A,#N/A,FALSE,"E-19";#N/A,#N/A,FALSE,"E-20";#N/A,#N/A,FALSE,"Strtlts &amp; Standby";#N/A,#N/A,FALSE,"AG";#N/A,#N/A,FALSE,"A-RTP";#N/A,#N/A,FALSE,"Spec"}</definedName>
    <definedName name="huhnd" localSheetId="34" hidden="1">{#N/A,#N/A,FALSE,"ND Rev at Pres Rates";#N/A,#N/A,FALSE,"Res - Unadj sales";#N/A,#N/A,FALSE,"Small L&amp;P";#N/A,#N/A,FALSE,"Medium L&amp;P";#N/A,#N/A,FALSE,"E-19";#N/A,#N/A,FALSE,"E-20";#N/A,#N/A,FALSE,"Strtlts &amp; Standby";#N/A,#N/A,FALSE,"AG";#N/A,#N/A,FALSE,"A-RTP";#N/A,#N/A,FALSE,"Spec"}</definedName>
    <definedName name="huhnd" localSheetId="35" hidden="1">{#N/A,#N/A,FALSE,"ND Rev at Pres Rates";#N/A,#N/A,FALSE,"Res - Unadj sales";#N/A,#N/A,FALSE,"Small L&amp;P";#N/A,#N/A,FALSE,"Medium L&amp;P";#N/A,#N/A,FALSE,"E-19";#N/A,#N/A,FALSE,"E-20";#N/A,#N/A,FALSE,"Strtlts &amp; Standby";#N/A,#N/A,FALSE,"AG";#N/A,#N/A,FALSE,"A-RTP";#N/A,#N/A,FALSE,"Spec"}</definedName>
    <definedName name="huhnd" localSheetId="36" hidden="1">{#N/A,#N/A,FALSE,"ND Rev at Pres Rates";#N/A,#N/A,FALSE,"Res - Unadj sales";#N/A,#N/A,FALSE,"Small L&amp;P";#N/A,#N/A,FALSE,"Medium L&amp;P";#N/A,#N/A,FALSE,"E-19";#N/A,#N/A,FALSE,"E-20";#N/A,#N/A,FALSE,"Strtlts &amp; Standby";#N/A,#N/A,FALSE,"AG";#N/A,#N/A,FALSE,"A-RTP";#N/A,#N/A,FALSE,"Spec"}</definedName>
    <definedName name="huhnd" localSheetId="45" hidden="1">{#N/A,#N/A,FALSE,"ND Rev at Pres Rates";#N/A,#N/A,FALSE,"Res - Unadj sales";#N/A,#N/A,FALSE,"Small L&amp;P";#N/A,#N/A,FALSE,"Medium L&amp;P";#N/A,#N/A,FALSE,"E-19";#N/A,#N/A,FALSE,"E-20";#N/A,#N/A,FALSE,"Strtlts &amp; Standby";#N/A,#N/A,FALSE,"AG";#N/A,#N/A,FALSE,"A-RTP";#N/A,#N/A,FALSE,"Spec"}</definedName>
    <definedName name="huhnd" localSheetId="12" hidden="1">{#N/A,#N/A,FALSE,"ND Rev at Pres Rates";#N/A,#N/A,FALSE,"Res - Unadj sales";#N/A,#N/A,FALSE,"Small L&amp;P";#N/A,#N/A,FALSE,"Medium L&amp;P";#N/A,#N/A,FALSE,"E-19";#N/A,#N/A,FALSE,"E-20";#N/A,#N/A,FALSE,"Strtlts &amp; Standby";#N/A,#N/A,FALSE,"AG";#N/A,#N/A,FALSE,"A-RTP";#N/A,#N/A,FALSE,"Spec"}</definedName>
    <definedName name="huhnd" localSheetId="13" hidden="1">{#N/A,#N/A,FALSE,"ND Rev at Pres Rates";#N/A,#N/A,FALSE,"Res - Unadj sales";#N/A,#N/A,FALSE,"Small L&amp;P";#N/A,#N/A,FALSE,"Medium L&amp;P";#N/A,#N/A,FALSE,"E-19";#N/A,#N/A,FALSE,"E-20";#N/A,#N/A,FALSE,"Strtlts &amp; Standby";#N/A,#N/A,FALSE,"AG";#N/A,#N/A,FALSE,"A-RTP";#N/A,#N/A,FALSE,"Spec"}</definedName>
    <definedName name="huhnd" hidden="1">{#N/A,#N/A,FALSE,"ND Rev at Pres Rates";#N/A,#N/A,FALSE,"Res - Unadj sales";#N/A,#N/A,FALSE,"Small L&amp;P";#N/A,#N/A,FALSE,"Medium L&amp;P";#N/A,#N/A,FALSE,"E-19";#N/A,#N/A,FALSE,"E-20";#N/A,#N/A,FALSE,"Strtlts &amp; Standby";#N/A,#N/A,FALSE,"AG";#N/A,#N/A,FALSE,"A-RTP";#N/A,#N/A,FALSE,"Spec"}</definedName>
    <definedName name="huhnd2" localSheetId="26" hidden="1">{#N/A,#N/A,FALSE,"ND Rev at Pres Rates";#N/A,#N/A,FALSE,"Res - Unadj sales";#N/A,#N/A,FALSE,"Small L&amp;P";#N/A,#N/A,FALSE,"Medium L&amp;P";#N/A,#N/A,FALSE,"E-19";#N/A,#N/A,FALSE,"E-20";#N/A,#N/A,FALSE,"Strtlts &amp; Standby";#N/A,#N/A,FALSE,"AG";#N/A,#N/A,FALSE,"A-RTP";#N/A,#N/A,FALSE,"Spec"}</definedName>
    <definedName name="huhnd2" localSheetId="28" hidden="1">{#N/A,#N/A,FALSE,"ND Rev at Pres Rates";#N/A,#N/A,FALSE,"Res - Unadj sales";#N/A,#N/A,FALSE,"Small L&amp;P";#N/A,#N/A,FALSE,"Medium L&amp;P";#N/A,#N/A,FALSE,"E-19";#N/A,#N/A,FALSE,"E-20";#N/A,#N/A,FALSE,"Strtlts &amp; Standby";#N/A,#N/A,FALSE,"AG";#N/A,#N/A,FALSE,"A-RTP";#N/A,#N/A,FALSE,"Spec"}</definedName>
    <definedName name="huhnd2" localSheetId="30" hidden="1">{#N/A,#N/A,FALSE,"ND Rev at Pres Rates";#N/A,#N/A,FALSE,"Res - Unadj sales";#N/A,#N/A,FALSE,"Small L&amp;P";#N/A,#N/A,FALSE,"Medium L&amp;P";#N/A,#N/A,FALSE,"E-19";#N/A,#N/A,FALSE,"E-20";#N/A,#N/A,FALSE,"Strtlts &amp; Standby";#N/A,#N/A,FALSE,"AG";#N/A,#N/A,FALSE,"A-RTP";#N/A,#N/A,FALSE,"Spec"}</definedName>
    <definedName name="huhnd2" localSheetId="31" hidden="1">{#N/A,#N/A,FALSE,"ND Rev at Pres Rates";#N/A,#N/A,FALSE,"Res - Unadj sales";#N/A,#N/A,FALSE,"Small L&amp;P";#N/A,#N/A,FALSE,"Medium L&amp;P";#N/A,#N/A,FALSE,"E-19";#N/A,#N/A,FALSE,"E-20";#N/A,#N/A,FALSE,"Strtlts &amp; Standby";#N/A,#N/A,FALSE,"AG";#N/A,#N/A,FALSE,"A-RTP";#N/A,#N/A,FALSE,"Spec"}</definedName>
    <definedName name="huhnd2" localSheetId="33" hidden="1">{#N/A,#N/A,FALSE,"ND Rev at Pres Rates";#N/A,#N/A,FALSE,"Res - Unadj sales";#N/A,#N/A,FALSE,"Small L&amp;P";#N/A,#N/A,FALSE,"Medium L&amp;P";#N/A,#N/A,FALSE,"E-19";#N/A,#N/A,FALSE,"E-20";#N/A,#N/A,FALSE,"Strtlts &amp; Standby";#N/A,#N/A,FALSE,"AG";#N/A,#N/A,FALSE,"A-RTP";#N/A,#N/A,FALSE,"Spec"}</definedName>
    <definedName name="huhnd2" localSheetId="34" hidden="1">{#N/A,#N/A,FALSE,"ND Rev at Pres Rates";#N/A,#N/A,FALSE,"Res - Unadj sales";#N/A,#N/A,FALSE,"Small L&amp;P";#N/A,#N/A,FALSE,"Medium L&amp;P";#N/A,#N/A,FALSE,"E-19";#N/A,#N/A,FALSE,"E-20";#N/A,#N/A,FALSE,"Strtlts &amp; Standby";#N/A,#N/A,FALSE,"AG";#N/A,#N/A,FALSE,"A-RTP";#N/A,#N/A,FALSE,"Spec"}</definedName>
    <definedName name="huhnd2" localSheetId="35" hidden="1">{#N/A,#N/A,FALSE,"ND Rev at Pres Rates";#N/A,#N/A,FALSE,"Res - Unadj sales";#N/A,#N/A,FALSE,"Small L&amp;P";#N/A,#N/A,FALSE,"Medium L&amp;P";#N/A,#N/A,FALSE,"E-19";#N/A,#N/A,FALSE,"E-20";#N/A,#N/A,FALSE,"Strtlts &amp; Standby";#N/A,#N/A,FALSE,"AG";#N/A,#N/A,FALSE,"A-RTP";#N/A,#N/A,FALSE,"Spec"}</definedName>
    <definedName name="huhnd2" localSheetId="36" hidden="1">{#N/A,#N/A,FALSE,"ND Rev at Pres Rates";#N/A,#N/A,FALSE,"Res - Unadj sales";#N/A,#N/A,FALSE,"Small L&amp;P";#N/A,#N/A,FALSE,"Medium L&amp;P";#N/A,#N/A,FALSE,"E-19";#N/A,#N/A,FALSE,"E-20";#N/A,#N/A,FALSE,"Strtlts &amp; Standby";#N/A,#N/A,FALSE,"AG";#N/A,#N/A,FALSE,"A-RTP";#N/A,#N/A,FALSE,"Spec"}</definedName>
    <definedName name="huhnd2" localSheetId="45" hidden="1">{#N/A,#N/A,FALSE,"ND Rev at Pres Rates";#N/A,#N/A,FALSE,"Res - Unadj sales";#N/A,#N/A,FALSE,"Small L&amp;P";#N/A,#N/A,FALSE,"Medium L&amp;P";#N/A,#N/A,FALSE,"E-19";#N/A,#N/A,FALSE,"E-20";#N/A,#N/A,FALSE,"Strtlts &amp; Standby";#N/A,#N/A,FALSE,"AG";#N/A,#N/A,FALSE,"A-RTP";#N/A,#N/A,FALSE,"Spec"}</definedName>
    <definedName name="huhnd2" localSheetId="12" hidden="1">{#N/A,#N/A,FALSE,"ND Rev at Pres Rates";#N/A,#N/A,FALSE,"Res - Unadj sales";#N/A,#N/A,FALSE,"Small L&amp;P";#N/A,#N/A,FALSE,"Medium L&amp;P";#N/A,#N/A,FALSE,"E-19";#N/A,#N/A,FALSE,"E-20";#N/A,#N/A,FALSE,"Strtlts &amp; Standby";#N/A,#N/A,FALSE,"AG";#N/A,#N/A,FALSE,"A-RTP";#N/A,#N/A,FALSE,"Spec"}</definedName>
    <definedName name="huhnd2" localSheetId="13" hidden="1">{#N/A,#N/A,FALSE,"ND Rev at Pres Rates";#N/A,#N/A,FALSE,"Res - Unadj sales";#N/A,#N/A,FALSE,"Small L&amp;P";#N/A,#N/A,FALSE,"Medium L&amp;P";#N/A,#N/A,FALSE,"E-19";#N/A,#N/A,FALSE,"E-20";#N/A,#N/A,FALSE,"Strtlts &amp; Standby";#N/A,#N/A,FALSE,"AG";#N/A,#N/A,FALSE,"A-RTP";#N/A,#N/A,FALSE,"Spec"}</definedName>
    <definedName name="huhnd2" hidden="1">{#N/A,#N/A,FALSE,"ND Rev at Pres Rates";#N/A,#N/A,FALSE,"Res - Unadj sales";#N/A,#N/A,FALSE,"Small L&amp;P";#N/A,#N/A,FALSE,"Medium L&amp;P";#N/A,#N/A,FALSE,"E-19";#N/A,#N/A,FALSE,"E-20";#N/A,#N/A,FALSE,"Strtlts &amp; Standby";#N/A,#N/A,FALSE,"AG";#N/A,#N/A,FALSE,"A-RTP";#N/A,#N/A,FALSE,"Spec"}</definedName>
    <definedName name="huhprint" localSheetId="26" hidden="1">{#N/A,#N/A,FALSE,"Workpaper Tables 4-1 &amp; 4-2";#N/A,#N/A,FALSE,"Revenue Allocation Results";#N/A,#N/A,FALSE,"FERC Rev @ PR";#N/A,#N/A,FALSE,"Distribution Revenue Allocation";#N/A,#N/A,FALSE,"Nonallocated Revenues ";#N/A,#N/A,FALSE,"2000mixuse";#N/A,#N/A,FALSE,"MC Revenues- 00 sales, 96 MC's"}</definedName>
    <definedName name="huhprint" localSheetId="28" hidden="1">{#N/A,#N/A,FALSE,"Workpaper Tables 4-1 &amp; 4-2";#N/A,#N/A,FALSE,"Revenue Allocation Results";#N/A,#N/A,FALSE,"FERC Rev @ PR";#N/A,#N/A,FALSE,"Distribution Revenue Allocation";#N/A,#N/A,FALSE,"Nonallocated Revenues ";#N/A,#N/A,FALSE,"2000mixuse";#N/A,#N/A,FALSE,"MC Revenues- 00 sales, 96 MC's"}</definedName>
    <definedName name="huhprint" localSheetId="30" hidden="1">{#N/A,#N/A,FALSE,"Workpaper Tables 4-1 &amp; 4-2";#N/A,#N/A,FALSE,"Revenue Allocation Results";#N/A,#N/A,FALSE,"FERC Rev @ PR";#N/A,#N/A,FALSE,"Distribution Revenue Allocation";#N/A,#N/A,FALSE,"Nonallocated Revenues ";#N/A,#N/A,FALSE,"2000mixuse";#N/A,#N/A,FALSE,"MC Revenues- 00 sales, 96 MC's"}</definedName>
    <definedName name="huhprint" localSheetId="31" hidden="1">{#N/A,#N/A,FALSE,"Workpaper Tables 4-1 &amp; 4-2";#N/A,#N/A,FALSE,"Revenue Allocation Results";#N/A,#N/A,FALSE,"FERC Rev @ PR";#N/A,#N/A,FALSE,"Distribution Revenue Allocation";#N/A,#N/A,FALSE,"Nonallocated Revenues ";#N/A,#N/A,FALSE,"2000mixuse";#N/A,#N/A,FALSE,"MC Revenues- 00 sales, 96 MC's"}</definedName>
    <definedName name="huhprint" localSheetId="33" hidden="1">{#N/A,#N/A,FALSE,"Workpaper Tables 4-1 &amp; 4-2";#N/A,#N/A,FALSE,"Revenue Allocation Results";#N/A,#N/A,FALSE,"FERC Rev @ PR";#N/A,#N/A,FALSE,"Distribution Revenue Allocation";#N/A,#N/A,FALSE,"Nonallocated Revenues ";#N/A,#N/A,FALSE,"2000mixuse";#N/A,#N/A,FALSE,"MC Revenues- 00 sales, 96 MC's"}</definedName>
    <definedName name="huhprint" localSheetId="34" hidden="1">{#N/A,#N/A,FALSE,"Workpaper Tables 4-1 &amp; 4-2";#N/A,#N/A,FALSE,"Revenue Allocation Results";#N/A,#N/A,FALSE,"FERC Rev @ PR";#N/A,#N/A,FALSE,"Distribution Revenue Allocation";#N/A,#N/A,FALSE,"Nonallocated Revenues ";#N/A,#N/A,FALSE,"2000mixuse";#N/A,#N/A,FALSE,"MC Revenues- 00 sales, 96 MC's"}</definedName>
    <definedName name="huhprint" localSheetId="35" hidden="1">{#N/A,#N/A,FALSE,"Workpaper Tables 4-1 &amp; 4-2";#N/A,#N/A,FALSE,"Revenue Allocation Results";#N/A,#N/A,FALSE,"FERC Rev @ PR";#N/A,#N/A,FALSE,"Distribution Revenue Allocation";#N/A,#N/A,FALSE,"Nonallocated Revenues ";#N/A,#N/A,FALSE,"2000mixuse";#N/A,#N/A,FALSE,"MC Revenues- 00 sales, 96 MC's"}</definedName>
    <definedName name="huhprint" localSheetId="36" hidden="1">{#N/A,#N/A,FALSE,"Workpaper Tables 4-1 &amp; 4-2";#N/A,#N/A,FALSE,"Revenue Allocation Results";#N/A,#N/A,FALSE,"FERC Rev @ PR";#N/A,#N/A,FALSE,"Distribution Revenue Allocation";#N/A,#N/A,FALSE,"Nonallocated Revenues ";#N/A,#N/A,FALSE,"2000mixuse";#N/A,#N/A,FALSE,"MC Revenues- 00 sales, 96 MC's"}</definedName>
    <definedName name="huhprint" localSheetId="45" hidden="1">{#N/A,#N/A,FALSE,"Workpaper Tables 4-1 &amp; 4-2";#N/A,#N/A,FALSE,"Revenue Allocation Results";#N/A,#N/A,FALSE,"FERC Rev @ PR";#N/A,#N/A,FALSE,"Distribution Revenue Allocation";#N/A,#N/A,FALSE,"Nonallocated Revenues ";#N/A,#N/A,FALSE,"2000mixuse";#N/A,#N/A,FALSE,"MC Revenues- 00 sales, 96 MC's"}</definedName>
    <definedName name="huhprint" localSheetId="12" hidden="1">{#N/A,#N/A,FALSE,"Workpaper Tables 4-1 &amp; 4-2";#N/A,#N/A,FALSE,"Revenue Allocation Results";#N/A,#N/A,FALSE,"FERC Rev @ PR";#N/A,#N/A,FALSE,"Distribution Revenue Allocation";#N/A,#N/A,FALSE,"Nonallocated Revenues ";#N/A,#N/A,FALSE,"2000mixuse";#N/A,#N/A,FALSE,"MC Revenues- 00 sales, 96 MC's"}</definedName>
    <definedName name="huhprint" localSheetId="13" hidden="1">{#N/A,#N/A,FALSE,"Workpaper Tables 4-1 &amp; 4-2";#N/A,#N/A,FALSE,"Revenue Allocation Results";#N/A,#N/A,FALSE,"FERC Rev @ PR";#N/A,#N/A,FALSE,"Distribution Revenue Allocation";#N/A,#N/A,FALSE,"Nonallocated Revenues ";#N/A,#N/A,FALSE,"2000mixuse";#N/A,#N/A,FALSE,"MC Revenues- 00 sales, 96 MC's"}</definedName>
    <definedName name="huhprint" hidden="1">{#N/A,#N/A,FALSE,"Workpaper Tables 4-1 &amp; 4-2";#N/A,#N/A,FALSE,"Revenue Allocation Results";#N/A,#N/A,FALSE,"FERC Rev @ PR";#N/A,#N/A,FALSE,"Distribution Revenue Allocation";#N/A,#N/A,FALSE,"Nonallocated Revenues ";#N/A,#N/A,FALSE,"2000mixuse";#N/A,#N/A,FALSE,"MC Revenues- 00 sales, 96 MC's"}</definedName>
    <definedName name="huhrap" localSheetId="2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2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30"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3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3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3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3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3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4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evalloc" localSheetId="26" hidden="1">{#N/A,#N/A,FALSE,"RRQ inputs ";#N/A,#N/A,FALSE,"FERC Rev @ PR";#N/A,#N/A,FALSE,"Distribution Revenue Allocation";#N/A,#N/A,FALSE,"Nonallocated Revenues";#N/A,#N/A,FALSE,"MC Revenues-03 sales, 96 MC's";#N/A,#N/A,FALSE,"FTA"}</definedName>
    <definedName name="huhrevalloc" localSheetId="28" hidden="1">{#N/A,#N/A,FALSE,"RRQ inputs ";#N/A,#N/A,FALSE,"FERC Rev @ PR";#N/A,#N/A,FALSE,"Distribution Revenue Allocation";#N/A,#N/A,FALSE,"Nonallocated Revenues";#N/A,#N/A,FALSE,"MC Revenues-03 sales, 96 MC's";#N/A,#N/A,FALSE,"FTA"}</definedName>
    <definedName name="huhrevalloc" localSheetId="30" hidden="1">{#N/A,#N/A,FALSE,"RRQ inputs ";#N/A,#N/A,FALSE,"FERC Rev @ PR";#N/A,#N/A,FALSE,"Distribution Revenue Allocation";#N/A,#N/A,FALSE,"Nonallocated Revenues";#N/A,#N/A,FALSE,"MC Revenues-03 sales, 96 MC's";#N/A,#N/A,FALSE,"FTA"}</definedName>
    <definedName name="huhrevalloc" localSheetId="31" hidden="1">{#N/A,#N/A,FALSE,"RRQ inputs ";#N/A,#N/A,FALSE,"FERC Rev @ PR";#N/A,#N/A,FALSE,"Distribution Revenue Allocation";#N/A,#N/A,FALSE,"Nonallocated Revenues";#N/A,#N/A,FALSE,"MC Revenues-03 sales, 96 MC's";#N/A,#N/A,FALSE,"FTA"}</definedName>
    <definedName name="huhrevalloc" localSheetId="33" hidden="1">{#N/A,#N/A,FALSE,"RRQ inputs ";#N/A,#N/A,FALSE,"FERC Rev @ PR";#N/A,#N/A,FALSE,"Distribution Revenue Allocation";#N/A,#N/A,FALSE,"Nonallocated Revenues";#N/A,#N/A,FALSE,"MC Revenues-03 sales, 96 MC's";#N/A,#N/A,FALSE,"FTA"}</definedName>
    <definedName name="huhrevalloc" localSheetId="34" hidden="1">{#N/A,#N/A,FALSE,"RRQ inputs ";#N/A,#N/A,FALSE,"FERC Rev @ PR";#N/A,#N/A,FALSE,"Distribution Revenue Allocation";#N/A,#N/A,FALSE,"Nonallocated Revenues";#N/A,#N/A,FALSE,"MC Revenues-03 sales, 96 MC's";#N/A,#N/A,FALSE,"FTA"}</definedName>
    <definedName name="huhrevalloc" localSheetId="35" hidden="1">{#N/A,#N/A,FALSE,"RRQ inputs ";#N/A,#N/A,FALSE,"FERC Rev @ PR";#N/A,#N/A,FALSE,"Distribution Revenue Allocation";#N/A,#N/A,FALSE,"Nonallocated Revenues";#N/A,#N/A,FALSE,"MC Revenues-03 sales, 96 MC's";#N/A,#N/A,FALSE,"FTA"}</definedName>
    <definedName name="huhrevalloc" localSheetId="36" hidden="1">{#N/A,#N/A,FALSE,"RRQ inputs ";#N/A,#N/A,FALSE,"FERC Rev @ PR";#N/A,#N/A,FALSE,"Distribution Revenue Allocation";#N/A,#N/A,FALSE,"Nonallocated Revenues";#N/A,#N/A,FALSE,"MC Revenues-03 sales, 96 MC's";#N/A,#N/A,FALSE,"FTA"}</definedName>
    <definedName name="huhrevalloc" localSheetId="45" hidden="1">{#N/A,#N/A,FALSE,"RRQ inputs ";#N/A,#N/A,FALSE,"FERC Rev @ PR";#N/A,#N/A,FALSE,"Distribution Revenue Allocation";#N/A,#N/A,FALSE,"Nonallocated Revenues";#N/A,#N/A,FALSE,"MC Revenues-03 sales, 96 MC's";#N/A,#N/A,FALSE,"FTA"}</definedName>
    <definedName name="huhrevalloc" localSheetId="12" hidden="1">{#N/A,#N/A,FALSE,"RRQ inputs ";#N/A,#N/A,FALSE,"FERC Rev @ PR";#N/A,#N/A,FALSE,"Distribution Revenue Allocation";#N/A,#N/A,FALSE,"Nonallocated Revenues";#N/A,#N/A,FALSE,"MC Revenues-03 sales, 96 MC's";#N/A,#N/A,FALSE,"FTA"}</definedName>
    <definedName name="huhrevalloc" localSheetId="13" hidden="1">{#N/A,#N/A,FALSE,"RRQ inputs ";#N/A,#N/A,FALSE,"FERC Rev @ PR";#N/A,#N/A,FALSE,"Distribution Revenue Allocation";#N/A,#N/A,FALSE,"Nonallocated Revenues";#N/A,#N/A,FALSE,"MC Revenues-03 sales, 96 MC's";#N/A,#N/A,FALSE,"FTA"}</definedName>
    <definedName name="huhrevalloc" hidden="1">{#N/A,#N/A,FALSE,"RRQ inputs ";#N/A,#N/A,FALSE,"FERC Rev @ PR";#N/A,#N/A,FALSE,"Distribution Revenue Allocation";#N/A,#N/A,FALSE,"Nonallocated Revenues";#N/A,#N/A,FALSE,"MC Revenues-03 sales, 96 MC's";#N/A,#N/A,FALSE,"FTA"}</definedName>
    <definedName name="huhschudel" localSheetId="26" hidden="1">{#N/A,#N/A,FALSE,"ND Rev at Pres Rates";#N/A,#N/A,FALSE,"Res - Unadj";#N/A,#N/A,FALSE,"Small L&amp;P";#N/A,#N/A,FALSE,"Medium L&amp;P";#N/A,#N/A,FALSE,"E-19";#N/A,#N/A,FALSE,"E-20";#N/A,#N/A,FALSE,"A-RTP";#N/A,#N/A,FALSE,"Strtlts &amp; Standby";#N/A,#N/A,FALSE,"AG";#N/A,#N/A,FALSE,"2001mixeduse"}</definedName>
    <definedName name="huhschudel" localSheetId="28" hidden="1">{#N/A,#N/A,FALSE,"ND Rev at Pres Rates";#N/A,#N/A,FALSE,"Res - Unadj";#N/A,#N/A,FALSE,"Small L&amp;P";#N/A,#N/A,FALSE,"Medium L&amp;P";#N/A,#N/A,FALSE,"E-19";#N/A,#N/A,FALSE,"E-20";#N/A,#N/A,FALSE,"A-RTP";#N/A,#N/A,FALSE,"Strtlts &amp; Standby";#N/A,#N/A,FALSE,"AG";#N/A,#N/A,FALSE,"2001mixeduse"}</definedName>
    <definedName name="huhschudel" localSheetId="30" hidden="1">{#N/A,#N/A,FALSE,"ND Rev at Pres Rates";#N/A,#N/A,FALSE,"Res - Unadj";#N/A,#N/A,FALSE,"Small L&amp;P";#N/A,#N/A,FALSE,"Medium L&amp;P";#N/A,#N/A,FALSE,"E-19";#N/A,#N/A,FALSE,"E-20";#N/A,#N/A,FALSE,"A-RTP";#N/A,#N/A,FALSE,"Strtlts &amp; Standby";#N/A,#N/A,FALSE,"AG";#N/A,#N/A,FALSE,"2001mixeduse"}</definedName>
    <definedName name="huhschudel" localSheetId="31" hidden="1">{#N/A,#N/A,FALSE,"ND Rev at Pres Rates";#N/A,#N/A,FALSE,"Res - Unadj";#N/A,#N/A,FALSE,"Small L&amp;P";#N/A,#N/A,FALSE,"Medium L&amp;P";#N/A,#N/A,FALSE,"E-19";#N/A,#N/A,FALSE,"E-20";#N/A,#N/A,FALSE,"A-RTP";#N/A,#N/A,FALSE,"Strtlts &amp; Standby";#N/A,#N/A,FALSE,"AG";#N/A,#N/A,FALSE,"2001mixeduse"}</definedName>
    <definedName name="huhschudel" localSheetId="33" hidden="1">{#N/A,#N/A,FALSE,"ND Rev at Pres Rates";#N/A,#N/A,FALSE,"Res - Unadj";#N/A,#N/A,FALSE,"Small L&amp;P";#N/A,#N/A,FALSE,"Medium L&amp;P";#N/A,#N/A,FALSE,"E-19";#N/A,#N/A,FALSE,"E-20";#N/A,#N/A,FALSE,"A-RTP";#N/A,#N/A,FALSE,"Strtlts &amp; Standby";#N/A,#N/A,FALSE,"AG";#N/A,#N/A,FALSE,"2001mixeduse"}</definedName>
    <definedName name="huhschudel" localSheetId="34" hidden="1">{#N/A,#N/A,FALSE,"ND Rev at Pres Rates";#N/A,#N/A,FALSE,"Res - Unadj";#N/A,#N/A,FALSE,"Small L&amp;P";#N/A,#N/A,FALSE,"Medium L&amp;P";#N/A,#N/A,FALSE,"E-19";#N/A,#N/A,FALSE,"E-20";#N/A,#N/A,FALSE,"A-RTP";#N/A,#N/A,FALSE,"Strtlts &amp; Standby";#N/A,#N/A,FALSE,"AG";#N/A,#N/A,FALSE,"2001mixeduse"}</definedName>
    <definedName name="huhschudel" localSheetId="35" hidden="1">{#N/A,#N/A,FALSE,"ND Rev at Pres Rates";#N/A,#N/A,FALSE,"Res - Unadj";#N/A,#N/A,FALSE,"Small L&amp;P";#N/A,#N/A,FALSE,"Medium L&amp;P";#N/A,#N/A,FALSE,"E-19";#N/A,#N/A,FALSE,"E-20";#N/A,#N/A,FALSE,"A-RTP";#N/A,#N/A,FALSE,"Strtlts &amp; Standby";#N/A,#N/A,FALSE,"AG";#N/A,#N/A,FALSE,"2001mixeduse"}</definedName>
    <definedName name="huhschudel" localSheetId="36" hidden="1">{#N/A,#N/A,FALSE,"ND Rev at Pres Rates";#N/A,#N/A,FALSE,"Res - Unadj";#N/A,#N/A,FALSE,"Small L&amp;P";#N/A,#N/A,FALSE,"Medium L&amp;P";#N/A,#N/A,FALSE,"E-19";#N/A,#N/A,FALSE,"E-20";#N/A,#N/A,FALSE,"A-RTP";#N/A,#N/A,FALSE,"Strtlts &amp; Standby";#N/A,#N/A,FALSE,"AG";#N/A,#N/A,FALSE,"2001mixeduse"}</definedName>
    <definedName name="huhschudel" localSheetId="45" hidden="1">{#N/A,#N/A,FALSE,"ND Rev at Pres Rates";#N/A,#N/A,FALSE,"Res - Unadj";#N/A,#N/A,FALSE,"Small L&amp;P";#N/A,#N/A,FALSE,"Medium L&amp;P";#N/A,#N/A,FALSE,"E-19";#N/A,#N/A,FALSE,"E-20";#N/A,#N/A,FALSE,"A-RTP";#N/A,#N/A,FALSE,"Strtlts &amp; Standby";#N/A,#N/A,FALSE,"AG";#N/A,#N/A,FALSE,"2001mixeduse"}</definedName>
    <definedName name="huhschudel" localSheetId="12" hidden="1">{#N/A,#N/A,FALSE,"ND Rev at Pres Rates";#N/A,#N/A,FALSE,"Res - Unadj";#N/A,#N/A,FALSE,"Small L&amp;P";#N/A,#N/A,FALSE,"Medium L&amp;P";#N/A,#N/A,FALSE,"E-19";#N/A,#N/A,FALSE,"E-20";#N/A,#N/A,FALSE,"A-RTP";#N/A,#N/A,FALSE,"Strtlts &amp; Standby";#N/A,#N/A,FALSE,"AG";#N/A,#N/A,FALSE,"2001mixeduse"}</definedName>
    <definedName name="huhschudel" localSheetId="13" hidden="1">{#N/A,#N/A,FALSE,"ND Rev at Pres Rates";#N/A,#N/A,FALSE,"Res - Unadj";#N/A,#N/A,FALSE,"Small L&amp;P";#N/A,#N/A,FALSE,"Medium L&amp;P";#N/A,#N/A,FALSE,"E-19";#N/A,#N/A,FALSE,"E-20";#N/A,#N/A,FALSE,"A-RTP";#N/A,#N/A,FALSE,"Strtlts &amp; Standby";#N/A,#N/A,FALSE,"AG";#N/A,#N/A,FALSE,"2001mixeduse"}</definedName>
    <definedName name="huhschudel" hidden="1">{#N/A,#N/A,FALSE,"ND Rev at Pres Rates";#N/A,#N/A,FALSE,"Res - Unadj";#N/A,#N/A,FALSE,"Small L&amp;P";#N/A,#N/A,FALSE,"Medium L&amp;P";#N/A,#N/A,FALSE,"E-19";#N/A,#N/A,FALSE,"E-20";#N/A,#N/A,FALSE,"A-RTP";#N/A,#N/A,FALSE,"Strtlts &amp; Standby";#N/A,#N/A,FALSE,"AG";#N/A,#N/A,FALSE,"2001mixeduse"}</definedName>
    <definedName name="IBMFAC">#REF!</definedName>
    <definedName name="IBMLF">#REF!</definedName>
    <definedName name="IBMMW">#REF!</definedName>
    <definedName name="IBMMWH">#REF!</definedName>
    <definedName name="Inc_Stat">#REF!</definedName>
    <definedName name="Index">#REF!</definedName>
    <definedName name="IndexHeader">#REF!</definedName>
    <definedName name="Input_Range">'[55]Nonlevelized-IOU'!$K$7,'[55]Nonlevelized-IOU'!$D$10,'[55]Nonlevelized-IOU'!$I$26,'[55]Nonlevelized-IOU'!$D$89:$D$92,'[55]Nonlevelized-IOU'!$D$97:$D$100,'[55]Nonlevelized-IOU'!$D$113:$D$116,'[55]Nonlevelized-IOU'!$D$124:$D$125,'[55]Nonlevelized-IOU'!$D$162,'[55]Nonlevelized-IOU'!$D$164:$D$165,'[55]Nonlevelized-IOU'!$D$167,'[55]Nonlevelized-IOU'!$D$174:$D$175,'[55]Nonlevelized-IOU'!$D$181,'[55]Nonlevelized-IOU'!$D$184,'[55]Nonlevelized-IOU'!$I$233:$I$234,'[55]Nonlevelized-IOU'!$D$250:$D$253,'[55]Nonlevelized-IOU'!$D$257:$D$259,'[55]Nonlevelized-IOU'!$I$263,'[55]Nonlevelized-IOU'!$I$265,'[55]Nonlevelized-IOU'!$I$268,'[55]Nonlevelized-IOU'!$D$274:$D$275,'[55]Nonlevelized-IOU'!$I$289,'[55]Nonlevelized-IOU'!$D$325:$D$327</definedName>
    <definedName name="Inputs_EndYrBal">[39]Inputs!$E$15:$E$72</definedName>
    <definedName name="Inputs_EndYrBal_prior">[39]Inputs!$D$15:$D$72</definedName>
    <definedName name="Inputs_FF1_Map">[39]Inputs!$F$15:$F$72</definedName>
    <definedName name="INPUTS4">[56]Inputs!$A$291:$Q$365</definedName>
    <definedName name="INPUTS5">[56]Inputs!$A$367:$Q$460</definedName>
    <definedName name="INPUTS6">[56]Inputs!$P$148:$AE$173</definedName>
    <definedName name="intang_afudc910">[57]criteria!$A$5:$B$6</definedName>
    <definedName name="InterimYear">#REF!</definedName>
    <definedName name="INTQ">'[58]IR COMP'!$B$39</definedName>
    <definedName name="INTY">'[58]IR COMP'!$C$39</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41780.7911111111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c">#REF!</definedName>
    <definedName name="ITCWO">'[11]C. Input'!$F$325</definedName>
    <definedName name="ITE">[59]PL!$A:$IV</definedName>
    <definedName name="itec">[59]PL!$A$1:$A$65536</definedName>
    <definedName name="jeff" localSheetId="26" hidden="1">{#N/A,#N/A,FALSE,"Monthly SAIFI";#N/A,#N/A,FALSE,"Yearly SAIFI";#N/A,#N/A,FALSE,"Monthly CAIDI";#N/A,#N/A,FALSE,"Yearly CAIDI";#N/A,#N/A,FALSE,"Monthly SAIDI";#N/A,#N/A,FALSE,"Yearly SAIDI";#N/A,#N/A,FALSE,"Monthly MAIFI";#N/A,#N/A,FALSE,"Yearly MAIFI";#N/A,#N/A,FALSE,"Monthly Cust &gt;=4 Int"}</definedName>
    <definedName name="jeff" localSheetId="28" hidden="1">{#N/A,#N/A,FALSE,"Monthly SAIFI";#N/A,#N/A,FALSE,"Yearly SAIFI";#N/A,#N/A,FALSE,"Monthly CAIDI";#N/A,#N/A,FALSE,"Yearly CAIDI";#N/A,#N/A,FALSE,"Monthly SAIDI";#N/A,#N/A,FALSE,"Yearly SAIDI";#N/A,#N/A,FALSE,"Monthly MAIFI";#N/A,#N/A,FALSE,"Yearly MAIFI";#N/A,#N/A,FALSE,"Monthly Cust &gt;=4 Int"}</definedName>
    <definedName name="jeff" localSheetId="33" hidden="1">{#N/A,#N/A,FALSE,"Monthly SAIFI";#N/A,#N/A,FALSE,"Yearly SAIFI";#N/A,#N/A,FALSE,"Monthly CAIDI";#N/A,#N/A,FALSE,"Yearly CAIDI";#N/A,#N/A,FALSE,"Monthly SAIDI";#N/A,#N/A,FALSE,"Yearly SAIDI";#N/A,#N/A,FALSE,"Monthly MAIFI";#N/A,#N/A,FALSE,"Yearly MAIFI";#N/A,#N/A,FALSE,"Monthly Cust &gt;=4 Int"}</definedName>
    <definedName name="jeff" localSheetId="35" hidden="1">{#N/A,#N/A,FALSE,"Monthly SAIFI";#N/A,#N/A,FALSE,"Yearly SAIFI";#N/A,#N/A,FALSE,"Monthly CAIDI";#N/A,#N/A,FALSE,"Yearly CAIDI";#N/A,#N/A,FALSE,"Monthly SAIDI";#N/A,#N/A,FALSE,"Yearly SAIDI";#N/A,#N/A,FALSE,"Monthly MAIFI";#N/A,#N/A,FALSE,"Yearly MAIFI";#N/A,#N/A,FALSE,"Monthly Cust &gt;=4 Int"}</definedName>
    <definedName name="jeff" localSheetId="45" hidden="1">{#N/A,#N/A,FALSE,"Monthly SAIFI";#N/A,#N/A,FALSE,"Yearly SAIFI";#N/A,#N/A,FALSE,"Monthly CAIDI";#N/A,#N/A,FALSE,"Yearly CAIDI";#N/A,#N/A,FALSE,"Monthly SAIDI";#N/A,#N/A,FALSE,"Yearly SAIDI";#N/A,#N/A,FALSE,"Monthly MAIFI";#N/A,#N/A,FALSE,"Yearly MAIFI";#N/A,#N/A,FALSE,"Monthly Cust &gt;=4 Int"}</definedName>
    <definedName name="jeff" localSheetId="13"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6" hidden="1">{#N/A,#N/A,FALSE,"Monthly SAIFI";#N/A,#N/A,FALSE,"Yearly SAIFI";#N/A,#N/A,FALSE,"Monthly CAIDI";#N/A,#N/A,FALSE,"Yearly CAIDI";#N/A,#N/A,FALSE,"Monthly SAIDI";#N/A,#N/A,FALSE,"Yearly SAIDI";#N/A,#N/A,FALSE,"Monthly MAIFI";#N/A,#N/A,FALSE,"Yearly MAIFI";#N/A,#N/A,FALSE,"Monthly Cust &gt;=4 Int"}</definedName>
    <definedName name="jghjgjgfjgj" localSheetId="28" hidden="1">{#N/A,#N/A,FALSE,"Monthly SAIFI";#N/A,#N/A,FALSE,"Yearly SAIFI";#N/A,#N/A,FALSE,"Monthly CAIDI";#N/A,#N/A,FALSE,"Yearly CAIDI";#N/A,#N/A,FALSE,"Monthly SAIDI";#N/A,#N/A,FALSE,"Yearly SAIDI";#N/A,#N/A,FALSE,"Monthly MAIFI";#N/A,#N/A,FALSE,"Yearly MAIFI";#N/A,#N/A,FALSE,"Monthly Cust &gt;=4 Int"}</definedName>
    <definedName name="jghjgjgfjgj" localSheetId="33" hidden="1">{#N/A,#N/A,FALSE,"Monthly SAIFI";#N/A,#N/A,FALSE,"Yearly SAIFI";#N/A,#N/A,FALSE,"Monthly CAIDI";#N/A,#N/A,FALSE,"Yearly CAIDI";#N/A,#N/A,FALSE,"Monthly SAIDI";#N/A,#N/A,FALSE,"Yearly SAIDI";#N/A,#N/A,FALSE,"Monthly MAIFI";#N/A,#N/A,FALSE,"Yearly MAIFI";#N/A,#N/A,FALSE,"Monthly Cust &gt;=4 Int"}</definedName>
    <definedName name="jghjgjgfjgj" localSheetId="35" hidden="1">{#N/A,#N/A,FALSE,"Monthly SAIFI";#N/A,#N/A,FALSE,"Yearly SAIFI";#N/A,#N/A,FALSE,"Monthly CAIDI";#N/A,#N/A,FALSE,"Yearly CAIDI";#N/A,#N/A,FALSE,"Monthly SAIDI";#N/A,#N/A,FALSE,"Yearly SAIDI";#N/A,#N/A,FALSE,"Monthly MAIFI";#N/A,#N/A,FALSE,"Yearly MAIFI";#N/A,#N/A,FALSE,"Monthly Cust &gt;=4 Int"}</definedName>
    <definedName name="jghjgjgfjgj" localSheetId="45" hidden="1">{#N/A,#N/A,FALSE,"Monthly SAIFI";#N/A,#N/A,FALSE,"Yearly SAIFI";#N/A,#N/A,FALSE,"Monthly CAIDI";#N/A,#N/A,FALSE,"Yearly CAIDI";#N/A,#N/A,FALSE,"Monthly SAIDI";#N/A,#N/A,FALSE,"Yearly SAIDI";#N/A,#N/A,FALSE,"Monthly MAIFI";#N/A,#N/A,FALSE,"Yearly MAIFI";#N/A,#N/A,FALSE,"Monthly Cust &gt;=4 Int"}</definedName>
    <definedName name="jghjgjgfjgj" localSheetId="13"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localSheetId="26" hidden="1">{#N/A,#N/A,FALSE,"Monthly SAIFI";#N/A,#N/A,FALSE,"Yearly SAIFI";#N/A,#N/A,FALSE,"Monthly CAIDI";#N/A,#N/A,FALSE,"Yearly CAIDI";#N/A,#N/A,FALSE,"Monthly SAIDI";#N/A,#N/A,FALSE,"Yearly SAIDI";#N/A,#N/A,FALSE,"Monthly MAIFI";#N/A,#N/A,FALSE,"Yearly MAIFI";#N/A,#N/A,FALSE,"Monthly Cust &gt;=4 Int"}</definedName>
    <definedName name="John" localSheetId="28" hidden="1">{#N/A,#N/A,FALSE,"Monthly SAIFI";#N/A,#N/A,FALSE,"Yearly SAIFI";#N/A,#N/A,FALSE,"Monthly CAIDI";#N/A,#N/A,FALSE,"Yearly CAIDI";#N/A,#N/A,FALSE,"Monthly SAIDI";#N/A,#N/A,FALSE,"Yearly SAIDI";#N/A,#N/A,FALSE,"Monthly MAIFI";#N/A,#N/A,FALSE,"Yearly MAIFI";#N/A,#N/A,FALSE,"Monthly Cust &gt;=4 Int"}</definedName>
    <definedName name="John" localSheetId="33" hidden="1">{#N/A,#N/A,FALSE,"Monthly SAIFI";#N/A,#N/A,FALSE,"Yearly SAIFI";#N/A,#N/A,FALSE,"Monthly CAIDI";#N/A,#N/A,FALSE,"Yearly CAIDI";#N/A,#N/A,FALSE,"Monthly SAIDI";#N/A,#N/A,FALSE,"Yearly SAIDI";#N/A,#N/A,FALSE,"Monthly MAIFI";#N/A,#N/A,FALSE,"Yearly MAIFI";#N/A,#N/A,FALSE,"Monthly Cust &gt;=4 Int"}</definedName>
    <definedName name="John" localSheetId="35" hidden="1">{#N/A,#N/A,FALSE,"Monthly SAIFI";#N/A,#N/A,FALSE,"Yearly SAIFI";#N/A,#N/A,FALSE,"Monthly CAIDI";#N/A,#N/A,FALSE,"Yearly CAIDI";#N/A,#N/A,FALSE,"Monthly SAIDI";#N/A,#N/A,FALSE,"Yearly SAIDI";#N/A,#N/A,FALSE,"Monthly MAIFI";#N/A,#N/A,FALSE,"Yearly MAIFI";#N/A,#N/A,FALSE,"Monthly Cust &gt;=4 Int"}</definedName>
    <definedName name="John" localSheetId="45" hidden="1">{#N/A,#N/A,FALSE,"Monthly SAIFI";#N/A,#N/A,FALSE,"Yearly SAIFI";#N/A,#N/A,FALSE,"Monthly CAIDI";#N/A,#N/A,FALSE,"Yearly CAIDI";#N/A,#N/A,FALSE,"Monthly SAIDI";#N/A,#N/A,FALSE,"Yearly SAIDI";#N/A,#N/A,FALSE,"Monthly MAIFI";#N/A,#N/A,FALSE,"Yearly MAIFI";#N/A,#N/A,FALSE,"Monthly Cust &gt;=4 Int"}</definedName>
    <definedName name="John" localSheetId="13"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uly" localSheetId="26" hidden="1">{#N/A,#N/A,FALSE,"CTC Summary - EOY";#N/A,#N/A,FALSE,"CTC Summary - Wtavg"}</definedName>
    <definedName name="July" localSheetId="28" hidden="1">{#N/A,#N/A,FALSE,"CTC Summary - EOY";#N/A,#N/A,FALSE,"CTC Summary - Wtavg"}</definedName>
    <definedName name="July" localSheetId="30" hidden="1">{#N/A,#N/A,FALSE,"CTC Summary - EOY";#N/A,#N/A,FALSE,"CTC Summary - Wtavg"}</definedName>
    <definedName name="July" localSheetId="31" hidden="1">{#N/A,#N/A,FALSE,"CTC Summary - EOY";#N/A,#N/A,FALSE,"CTC Summary - Wtavg"}</definedName>
    <definedName name="July" localSheetId="33" hidden="1">{#N/A,#N/A,FALSE,"CTC Summary - EOY";#N/A,#N/A,FALSE,"CTC Summary - Wtavg"}</definedName>
    <definedName name="July" localSheetId="34" hidden="1">{#N/A,#N/A,FALSE,"CTC Summary - EOY";#N/A,#N/A,FALSE,"CTC Summary - Wtavg"}</definedName>
    <definedName name="July" localSheetId="35" hidden="1">{#N/A,#N/A,FALSE,"CTC Summary - EOY";#N/A,#N/A,FALSE,"CTC Summary - Wtavg"}</definedName>
    <definedName name="July" localSheetId="36" hidden="1">{#N/A,#N/A,FALSE,"CTC Summary - EOY";#N/A,#N/A,FALSE,"CTC Summary - Wtavg"}</definedName>
    <definedName name="July" localSheetId="45" hidden="1">{#N/A,#N/A,FALSE,"CTC Summary - EOY";#N/A,#N/A,FALSE,"CTC Summary - Wtavg"}</definedName>
    <definedName name="July" localSheetId="12" hidden="1">{#N/A,#N/A,FALSE,"CTC Summary - EOY";#N/A,#N/A,FALSE,"CTC Summary - Wtavg"}</definedName>
    <definedName name="July" localSheetId="13" hidden="1">{#N/A,#N/A,FALSE,"CTC Summary - EOY";#N/A,#N/A,FALSE,"CTC Summary - Wtavg"}</definedName>
    <definedName name="July" hidden="1">{#N/A,#N/A,FALSE,"CTC Summary - EOY";#N/A,#N/A,FALSE,"CTC Summary - Wtavg"}</definedName>
    <definedName name="June" localSheetId="26" hidden="1">{#N/A,#N/A,FALSE,"CTC Summary - EOY";#N/A,#N/A,FALSE,"CTC Summary - Wtavg"}</definedName>
    <definedName name="June" localSheetId="28" hidden="1">{#N/A,#N/A,FALSE,"CTC Summary - EOY";#N/A,#N/A,FALSE,"CTC Summary - Wtavg"}</definedName>
    <definedName name="June" localSheetId="30" hidden="1">{#N/A,#N/A,FALSE,"CTC Summary - EOY";#N/A,#N/A,FALSE,"CTC Summary - Wtavg"}</definedName>
    <definedName name="June" localSheetId="31" hidden="1">{#N/A,#N/A,FALSE,"CTC Summary - EOY";#N/A,#N/A,FALSE,"CTC Summary - Wtavg"}</definedName>
    <definedName name="June" localSheetId="33" hidden="1">{#N/A,#N/A,FALSE,"CTC Summary - EOY";#N/A,#N/A,FALSE,"CTC Summary - Wtavg"}</definedName>
    <definedName name="June" localSheetId="34" hidden="1">{#N/A,#N/A,FALSE,"CTC Summary - EOY";#N/A,#N/A,FALSE,"CTC Summary - Wtavg"}</definedName>
    <definedName name="June" localSheetId="35" hidden="1">{#N/A,#N/A,FALSE,"CTC Summary - EOY";#N/A,#N/A,FALSE,"CTC Summary - Wtavg"}</definedName>
    <definedName name="June" localSheetId="36" hidden="1">{#N/A,#N/A,FALSE,"CTC Summary - EOY";#N/A,#N/A,FALSE,"CTC Summary - Wtavg"}</definedName>
    <definedName name="June" localSheetId="45" hidden="1">{#N/A,#N/A,FALSE,"CTC Summary - EOY";#N/A,#N/A,FALSE,"CTC Summary - Wtavg"}</definedName>
    <definedName name="June" localSheetId="12" hidden="1">{#N/A,#N/A,FALSE,"CTC Summary - EOY";#N/A,#N/A,FALSE,"CTC Summary - Wtavg"}</definedName>
    <definedName name="June" localSheetId="13" hidden="1">{#N/A,#N/A,FALSE,"CTC Summary - EOY";#N/A,#N/A,FALSE,"CTC Summary - Wtavg"}</definedName>
    <definedName name="June" hidden="1">{#N/A,#N/A,FALSE,"CTC Summary - EOY";#N/A,#N/A,FALSE,"CTC Summary - Wtavg"}</definedName>
    <definedName name="junk" hidden="1">"S:\23150\06RET\Transformation\"</definedName>
    <definedName name="junk1" hidden="1">"Will Kane"</definedName>
    <definedName name="k" localSheetId="26" hidden="1">{#N/A,#N/A,FALSE,"Monthly SAIFI";#N/A,#N/A,FALSE,"Yearly SAIFI";#N/A,#N/A,FALSE,"Monthly CAIDI";#N/A,#N/A,FALSE,"Yearly CAIDI";#N/A,#N/A,FALSE,"Monthly SAIDI";#N/A,#N/A,FALSE,"Yearly SAIDI";#N/A,#N/A,FALSE,"Monthly MAIFI";#N/A,#N/A,FALSE,"Yearly MAIFI";#N/A,#N/A,FALSE,"Monthly Cust &gt;=4 Int"}</definedName>
    <definedName name="k" localSheetId="28" hidden="1">{#N/A,#N/A,FALSE,"Monthly SAIFI";#N/A,#N/A,FALSE,"Yearly SAIFI";#N/A,#N/A,FALSE,"Monthly CAIDI";#N/A,#N/A,FALSE,"Yearly CAIDI";#N/A,#N/A,FALSE,"Monthly SAIDI";#N/A,#N/A,FALSE,"Yearly SAIDI";#N/A,#N/A,FALSE,"Monthly MAIFI";#N/A,#N/A,FALSE,"Yearly MAIFI";#N/A,#N/A,FALSE,"Monthly Cust &gt;=4 Int"}</definedName>
    <definedName name="k" localSheetId="33" hidden="1">{#N/A,#N/A,FALSE,"Monthly SAIFI";#N/A,#N/A,FALSE,"Yearly SAIFI";#N/A,#N/A,FALSE,"Monthly CAIDI";#N/A,#N/A,FALSE,"Yearly CAIDI";#N/A,#N/A,FALSE,"Monthly SAIDI";#N/A,#N/A,FALSE,"Yearly SAIDI";#N/A,#N/A,FALSE,"Monthly MAIFI";#N/A,#N/A,FALSE,"Yearly MAIFI";#N/A,#N/A,FALSE,"Monthly Cust &gt;=4 Int"}</definedName>
    <definedName name="k" localSheetId="35" hidden="1">{#N/A,#N/A,FALSE,"Monthly SAIFI";#N/A,#N/A,FALSE,"Yearly SAIFI";#N/A,#N/A,FALSE,"Monthly CAIDI";#N/A,#N/A,FALSE,"Yearly CAIDI";#N/A,#N/A,FALSE,"Monthly SAIDI";#N/A,#N/A,FALSE,"Yearly SAIDI";#N/A,#N/A,FALSE,"Monthly MAIFI";#N/A,#N/A,FALSE,"Yearly MAIFI";#N/A,#N/A,FALSE,"Monthly Cust &gt;=4 Int"}</definedName>
    <definedName name="k" localSheetId="45" hidden="1">{#N/A,#N/A,FALSE,"Monthly SAIFI";#N/A,#N/A,FALSE,"Yearly SAIFI";#N/A,#N/A,FALSE,"Monthly CAIDI";#N/A,#N/A,FALSE,"Yearly CAIDI";#N/A,#N/A,FALSE,"Monthly SAIDI";#N/A,#N/A,FALSE,"Yearly SAIDI";#N/A,#N/A,FALSE,"Monthly MAIFI";#N/A,#N/A,FALSE,"Yearly MAIFI";#N/A,#N/A,FALSE,"Monthly Cust &gt;=4 Int"}</definedName>
    <definedName name="k" localSheetId="13"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CPLallocatorsP">'[60]KCPL Projected TCOS'!$I$318:$J$329</definedName>
    <definedName name="Keep" localSheetId="26" hidden="1">{"PRINT",#N/A,TRUE,"APPA";"PRINT",#N/A,TRUE,"APS";"PRINT",#N/A,TRUE,"BHPL";"PRINT",#N/A,TRUE,"BHPL2";"PRINT",#N/A,TRUE,"CDWR";"PRINT",#N/A,TRUE,"EWEB";"PRINT",#N/A,TRUE,"LADWP";"PRINT",#N/A,TRUE,"NEVBASE"}</definedName>
    <definedName name="Keep" localSheetId="28" hidden="1">{"PRINT",#N/A,TRUE,"APPA";"PRINT",#N/A,TRUE,"APS";"PRINT",#N/A,TRUE,"BHPL";"PRINT",#N/A,TRUE,"BHPL2";"PRINT",#N/A,TRUE,"CDWR";"PRINT",#N/A,TRUE,"EWEB";"PRINT",#N/A,TRUE,"LADWP";"PRINT",#N/A,TRUE,"NEVBASE"}</definedName>
    <definedName name="Keep" localSheetId="33" hidden="1">{"PRINT",#N/A,TRUE,"APPA";"PRINT",#N/A,TRUE,"APS";"PRINT",#N/A,TRUE,"BHPL";"PRINT",#N/A,TRUE,"BHPL2";"PRINT",#N/A,TRUE,"CDWR";"PRINT",#N/A,TRUE,"EWEB";"PRINT",#N/A,TRUE,"LADWP";"PRINT",#N/A,TRUE,"NEVBASE"}</definedName>
    <definedName name="Keep" localSheetId="35" hidden="1">{"PRINT",#N/A,TRUE,"APPA";"PRINT",#N/A,TRUE,"APS";"PRINT",#N/A,TRUE,"BHPL";"PRINT",#N/A,TRUE,"BHPL2";"PRINT",#N/A,TRUE,"CDWR";"PRINT",#N/A,TRUE,"EWEB";"PRINT",#N/A,TRUE,"LADWP";"PRINT",#N/A,TRUE,"NEVBASE"}</definedName>
    <definedName name="Keep" localSheetId="45"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26" hidden="1">{"PRINT",#N/A,TRUE,"APPA";"PRINT",#N/A,TRUE,"APS";"PRINT",#N/A,TRUE,"BHPL";"PRINT",#N/A,TRUE,"BHPL2";"PRINT",#N/A,TRUE,"CDWR";"PRINT",#N/A,TRUE,"EWEB";"PRINT",#N/A,TRUE,"LADWP";"PRINT",#N/A,TRUE,"NEVBASE"}</definedName>
    <definedName name="keep2" localSheetId="28" hidden="1">{"PRINT",#N/A,TRUE,"APPA";"PRINT",#N/A,TRUE,"APS";"PRINT",#N/A,TRUE,"BHPL";"PRINT",#N/A,TRUE,"BHPL2";"PRINT",#N/A,TRUE,"CDWR";"PRINT",#N/A,TRUE,"EWEB";"PRINT",#N/A,TRUE,"LADWP";"PRINT",#N/A,TRUE,"NEVBASE"}</definedName>
    <definedName name="keep2" localSheetId="33" hidden="1">{"PRINT",#N/A,TRUE,"APPA";"PRINT",#N/A,TRUE,"APS";"PRINT",#N/A,TRUE,"BHPL";"PRINT",#N/A,TRUE,"BHPL2";"PRINT",#N/A,TRUE,"CDWR";"PRINT",#N/A,TRUE,"EWEB";"PRINT",#N/A,TRUE,"LADWP";"PRINT",#N/A,TRUE,"NEVBASE"}</definedName>
    <definedName name="keep2" localSheetId="35" hidden="1">{"PRINT",#N/A,TRUE,"APPA";"PRINT",#N/A,TRUE,"APS";"PRINT",#N/A,TRUE,"BHPL";"PRINT",#N/A,TRUE,"BHPL2";"PRINT",#N/A,TRUE,"CDWR";"PRINT",#N/A,TRUE,"EWEB";"PRINT",#N/A,TRUE,"LADWP";"PRINT",#N/A,TRUE,"NEVBASE"}</definedName>
    <definedName name="keep2" localSheetId="45"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'[54]Tony''s Categories'!$D$6:$D$100</definedName>
    <definedName name="KeyCon_Close_Date">[23]Assumptions!$E$29</definedName>
    <definedName name="kk">#REF!</definedName>
    <definedName name="kkk" localSheetId="26" hidden="1">{#N/A,#N/A,FALSE,"Monthly SAIFI";#N/A,#N/A,FALSE,"Yearly SAIFI";#N/A,#N/A,FALSE,"Monthly CAIDI";#N/A,#N/A,FALSE,"Yearly CAIDI";#N/A,#N/A,FALSE,"Monthly SAIDI";#N/A,#N/A,FALSE,"Yearly SAIDI";#N/A,#N/A,FALSE,"Monthly MAIFI";#N/A,#N/A,FALSE,"Yearly MAIFI";#N/A,#N/A,FALSE,"Monthly Cust &gt;=4 Int"}</definedName>
    <definedName name="kkk" localSheetId="28" hidden="1">{#N/A,#N/A,FALSE,"Monthly SAIFI";#N/A,#N/A,FALSE,"Yearly SAIFI";#N/A,#N/A,FALSE,"Monthly CAIDI";#N/A,#N/A,FALSE,"Yearly CAIDI";#N/A,#N/A,FALSE,"Monthly SAIDI";#N/A,#N/A,FALSE,"Yearly SAIDI";#N/A,#N/A,FALSE,"Monthly MAIFI";#N/A,#N/A,FALSE,"Yearly MAIFI";#N/A,#N/A,FALSE,"Monthly Cust &gt;=4 Int"}</definedName>
    <definedName name="kkk" localSheetId="33" hidden="1">{#N/A,#N/A,FALSE,"Monthly SAIFI";#N/A,#N/A,FALSE,"Yearly SAIFI";#N/A,#N/A,FALSE,"Monthly CAIDI";#N/A,#N/A,FALSE,"Yearly CAIDI";#N/A,#N/A,FALSE,"Monthly SAIDI";#N/A,#N/A,FALSE,"Yearly SAIDI";#N/A,#N/A,FALSE,"Monthly MAIFI";#N/A,#N/A,FALSE,"Yearly MAIFI";#N/A,#N/A,FALSE,"Monthly Cust &gt;=4 Int"}</definedName>
    <definedName name="kkk" localSheetId="35" hidden="1">{#N/A,#N/A,FALSE,"Monthly SAIFI";#N/A,#N/A,FALSE,"Yearly SAIFI";#N/A,#N/A,FALSE,"Monthly CAIDI";#N/A,#N/A,FALSE,"Yearly CAIDI";#N/A,#N/A,FALSE,"Monthly SAIDI";#N/A,#N/A,FALSE,"Yearly SAIDI";#N/A,#N/A,FALSE,"Monthly MAIFI";#N/A,#N/A,FALSE,"Yearly MAIFI";#N/A,#N/A,FALSE,"Monthly Cust &gt;=4 Int"}</definedName>
    <definedName name="kkk" localSheetId="45" hidden="1">{#N/A,#N/A,FALSE,"Monthly SAIFI";#N/A,#N/A,FALSE,"Yearly SAIFI";#N/A,#N/A,FALSE,"Monthly CAIDI";#N/A,#N/A,FALSE,"Yearly CAIDI";#N/A,#N/A,FALSE,"Monthly SAIDI";#N/A,#N/A,FALSE,"Yearly SAIDI";#N/A,#N/A,FALSE,"Monthly MAIFI";#N/A,#N/A,FALSE,"Yearly MAIFI";#N/A,#N/A,FALSE,"Monthly Cust &gt;=4 Int"}</definedName>
    <definedName name="kkk" localSheetId="13"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26">{"'Metretek HTML'!$A$7:$W$42"}</definedName>
    <definedName name="klio" localSheetId="28">{"'Metretek HTML'!$A$7:$W$42"}</definedName>
    <definedName name="klio" localSheetId="33">{"'Metretek HTML'!$A$7:$W$42"}</definedName>
    <definedName name="klio" localSheetId="35">{"'Metretek HTML'!$A$7:$W$42"}</definedName>
    <definedName name="klio" localSheetId="45">{"'Metretek HTML'!$A$7:$W$42"}</definedName>
    <definedName name="klio" localSheetId="13">{"'Metretek HTML'!$A$7:$W$42"}</definedName>
    <definedName name="klio">{"'Metretek HTML'!$A$7:$W$42"}</definedName>
    <definedName name="KWH">#REF!</definedName>
    <definedName name="L" localSheetId="20" hidden="1">{"PI_Data",#N/A,TRUE,"P&amp;I Data"}</definedName>
    <definedName name="L" localSheetId="21" hidden="1">{"PI_Data",#N/A,TRUE,"P&amp;I Data"}</definedName>
    <definedName name="L" localSheetId="23" hidden="1">{"PI_Data",#N/A,TRUE,"P&amp;I Data"}</definedName>
    <definedName name="L" localSheetId="22" hidden="1">{"PI_Data",#N/A,TRUE,"P&amp;I Data"}</definedName>
    <definedName name="L" localSheetId="24" hidden="1">{"PI_Data",#N/A,TRUE,"P&amp;I Data"}</definedName>
    <definedName name="L" localSheetId="25" hidden="1">{"PI_Data",#N/A,TRUE,"P&amp;I Data"}</definedName>
    <definedName name="L" localSheetId="26" hidden="1">{"PI_Data",#N/A,TRUE,"P&amp;I Data"}</definedName>
    <definedName name="L" localSheetId="27" hidden="1">{"PI_Data",#N/A,TRUE,"P&amp;I Data"}</definedName>
    <definedName name="L" localSheetId="28" hidden="1">{"PI_Data",#N/A,TRUE,"P&amp;I Data"}</definedName>
    <definedName name="L" localSheetId="30" hidden="1">{"PI_Data",#N/A,TRUE,"P&amp;I Data"}</definedName>
    <definedName name="L" localSheetId="31" hidden="1">{"PI_Data",#N/A,TRUE,"P&amp;I Data"}</definedName>
    <definedName name="L" localSheetId="32" hidden="1">{"PI_Data",#N/A,TRUE,"P&amp;I Data"}</definedName>
    <definedName name="L" localSheetId="33" hidden="1">{"PI_Data",#N/A,TRUE,"P&amp;I Data"}</definedName>
    <definedName name="L" localSheetId="34" hidden="1">{"PI_Data",#N/A,TRUE,"P&amp;I Data"}</definedName>
    <definedName name="L" localSheetId="35" hidden="1">{"PI_Data",#N/A,TRUE,"P&amp;I Data"}</definedName>
    <definedName name="L" localSheetId="36" hidden="1">{"PI_Data",#N/A,TRUE,"P&amp;I Data"}</definedName>
    <definedName name="L" localSheetId="37" hidden="1">{"PI_Data",#N/A,TRUE,"P&amp;I Data"}</definedName>
    <definedName name="L" localSheetId="40" hidden="1">{"PI_Data",#N/A,TRUE,"P&amp;I Data"}</definedName>
    <definedName name="L" localSheetId="42" hidden="1">{"PI_Data",#N/A,TRUE,"P&amp;I Data"}</definedName>
    <definedName name="L" localSheetId="44" hidden="1">{"PI_Data",#N/A,TRUE,"P&amp;I Data"}</definedName>
    <definedName name="L" localSheetId="45" hidden="1">{"PI_Data",#N/A,TRUE,"P&amp;I Data"}</definedName>
    <definedName name="L" localSheetId="46" hidden="1">{"PI_Data",#N/A,TRUE,"P&amp;I Data"}</definedName>
    <definedName name="L" localSheetId="10" hidden="1">{"PI_Data",#N/A,TRUE,"P&amp;I Data"}</definedName>
    <definedName name="L" localSheetId="12" hidden="1">{"PI_Data",#N/A,TRUE,"P&amp;I Data"}</definedName>
    <definedName name="L" localSheetId="13" hidden="1">{"PI_Data",#N/A,TRUE,"P&amp;I Data"}</definedName>
    <definedName name="L" localSheetId="14" hidden="1">{"PI_Data",#N/A,TRUE,"P&amp;I Data"}</definedName>
    <definedName name="L" localSheetId="15" hidden="1">{"PI_Data",#N/A,TRUE,"P&amp;I Data"}</definedName>
    <definedName name="L" hidden="1">{"PI_Data",#N/A,TRUE,"P&amp;I Data"}</definedName>
    <definedName name="L2X" localSheetId="26" hidden="1">{"PI_Data",#N/A,TRUE,"P&amp;I Data"}</definedName>
    <definedName name="L2X" localSheetId="28" hidden="1">{"PI_Data",#N/A,TRUE,"P&amp;I Data"}</definedName>
    <definedName name="L2X" localSheetId="30" hidden="1">{"PI_Data",#N/A,TRUE,"P&amp;I Data"}</definedName>
    <definedName name="L2X" localSheetId="31" hidden="1">{"PI_Data",#N/A,TRUE,"P&amp;I Data"}</definedName>
    <definedName name="L2X" localSheetId="33" hidden="1">{"PI_Data",#N/A,TRUE,"P&amp;I Data"}</definedName>
    <definedName name="L2X" localSheetId="34" hidden="1">{"PI_Data",#N/A,TRUE,"P&amp;I Data"}</definedName>
    <definedName name="L2X" localSheetId="35" hidden="1">{"PI_Data",#N/A,TRUE,"P&amp;I Data"}</definedName>
    <definedName name="L2X" localSheetId="36" hidden="1">{"PI_Data",#N/A,TRUE,"P&amp;I Data"}</definedName>
    <definedName name="L2X" localSheetId="45" hidden="1">{"PI_Data",#N/A,TRUE,"P&amp;I Data"}</definedName>
    <definedName name="L2X" localSheetId="12" hidden="1">{"PI_Data",#N/A,TRUE,"P&amp;I Data"}</definedName>
    <definedName name="L2X" localSheetId="13" hidden="1">{"PI_Data",#N/A,TRUE,"P&amp;I Data"}</definedName>
    <definedName name="L2X" hidden="1">{"PI_Data",#N/A,TRUE,"P&amp;I Data"}</definedName>
    <definedName name="lastrow">'[2]QRE''s'!$A$95:$IV$95</definedName>
    <definedName name="LD_Factor">#REF!</definedName>
    <definedName name="left">#REF!</definedName>
    <definedName name="LFTSR">'[11]A.2 PTP'!$P$230</definedName>
    <definedName name="Library" hidden="1">"a1"</definedName>
    <definedName name="LicenseCOS">0.01</definedName>
    <definedName name="limcount" hidden="1">1</definedName>
    <definedName name="LIQAIRFAC">#REF!</definedName>
    <definedName name="LIQAIRLF">#REF!</definedName>
    <definedName name="LIQAIRMW">#REF!</definedName>
    <definedName name="LIQAIRMWH">#REF!</definedName>
    <definedName name="LK" localSheetId="26">{"'Metretek HTML'!$A$7:$W$42"}</definedName>
    <definedName name="LK" localSheetId="28">{"'Metretek HTML'!$A$7:$W$42"}</definedName>
    <definedName name="LK" localSheetId="33">{"'Metretek HTML'!$A$7:$W$42"}</definedName>
    <definedName name="LK" localSheetId="35">{"'Metretek HTML'!$A$7:$W$42"}</definedName>
    <definedName name="LK" localSheetId="45">{"'Metretek HTML'!$A$7:$W$42"}</definedName>
    <definedName name="LK" localSheetId="13">{"'Metretek HTML'!$A$7:$W$42"}</definedName>
    <definedName name="LK">{"'Metretek HTML'!$A$7:$W$42"}</definedName>
    <definedName name="LL" localSheetId="26" hidden="1">{"PI_Data",#N/A,TRUE,"P&amp;I Data"}</definedName>
    <definedName name="LL" localSheetId="28" hidden="1">{"PI_Data",#N/A,TRUE,"P&amp;I Data"}</definedName>
    <definedName name="LL" localSheetId="30" hidden="1">{"PI_Data",#N/A,TRUE,"P&amp;I Data"}</definedName>
    <definedName name="LL" localSheetId="31" hidden="1">{"PI_Data",#N/A,TRUE,"P&amp;I Data"}</definedName>
    <definedName name="LL" localSheetId="33" hidden="1">{"PI_Data",#N/A,TRUE,"P&amp;I Data"}</definedName>
    <definedName name="LL" localSheetId="34" hidden="1">{"PI_Data",#N/A,TRUE,"P&amp;I Data"}</definedName>
    <definedName name="LL" localSheetId="35" hidden="1">{"PI_Data",#N/A,TRUE,"P&amp;I Data"}</definedName>
    <definedName name="LL" localSheetId="36" hidden="1">{"PI_Data",#N/A,TRUE,"P&amp;I Data"}</definedName>
    <definedName name="LL" localSheetId="45" hidden="1">{"PI_Data",#N/A,TRUE,"P&amp;I Data"}</definedName>
    <definedName name="LL" localSheetId="12" hidden="1">{"PI_Data",#N/A,TRUE,"P&amp;I Data"}</definedName>
    <definedName name="LL" localSheetId="13" hidden="1">{"PI_Data",#N/A,TRUE,"P&amp;I Data"}</definedName>
    <definedName name="LL" hidden="1">{"PI_Data",#N/A,TRUE,"P&amp;I Data"}</definedName>
    <definedName name="LOAD_FACTOR">#REF!</definedName>
    <definedName name="LOAD_FACTOR_BASED_ON_BILLING_DEMAND">#REF!</definedName>
    <definedName name="Load81">#REF!</definedName>
    <definedName name="Load81Header">#REF!</definedName>
    <definedName name="Load82">#REF!</definedName>
    <definedName name="Load82Header">#REF!</definedName>
    <definedName name="Load83">#REF!</definedName>
    <definedName name="Load83Header">#REF!</definedName>
    <definedName name="Load84">#REF!</definedName>
    <definedName name="Load84Header">#REF!</definedName>
    <definedName name="Load85">#REF!</definedName>
    <definedName name="Load85Header">#REF!</definedName>
    <definedName name="Load86">#REF!</definedName>
    <definedName name="Load86Header">#REF!</definedName>
    <definedName name="Load87">#REF!</definedName>
    <definedName name="LoadHeader">#REF!</definedName>
    <definedName name="LoadHeaderHistoric">#REF!</definedName>
    <definedName name="loilpuioopy" localSheetId="26" hidden="1">{#N/A,#N/A,FALSE,"Monthly SAIFI";#N/A,#N/A,FALSE,"Yearly SAIFI";#N/A,#N/A,FALSE,"Monthly CAIDI";#N/A,#N/A,FALSE,"Yearly CAIDI";#N/A,#N/A,FALSE,"Monthly SAIDI";#N/A,#N/A,FALSE,"Yearly SAIDI";#N/A,#N/A,FALSE,"Monthly MAIFI";#N/A,#N/A,FALSE,"Yearly MAIFI";#N/A,#N/A,FALSE,"Monthly Cust &gt;=4 Int"}</definedName>
    <definedName name="loilpuioopy" localSheetId="28" hidden="1">{#N/A,#N/A,FALSE,"Monthly SAIFI";#N/A,#N/A,FALSE,"Yearly SAIFI";#N/A,#N/A,FALSE,"Monthly CAIDI";#N/A,#N/A,FALSE,"Yearly CAIDI";#N/A,#N/A,FALSE,"Monthly SAIDI";#N/A,#N/A,FALSE,"Yearly SAIDI";#N/A,#N/A,FALSE,"Monthly MAIFI";#N/A,#N/A,FALSE,"Yearly MAIFI";#N/A,#N/A,FALSE,"Monthly Cust &gt;=4 Int"}</definedName>
    <definedName name="loilpuioopy" localSheetId="33" hidden="1">{#N/A,#N/A,FALSE,"Monthly SAIFI";#N/A,#N/A,FALSE,"Yearly SAIFI";#N/A,#N/A,FALSE,"Monthly CAIDI";#N/A,#N/A,FALSE,"Yearly CAIDI";#N/A,#N/A,FALSE,"Monthly SAIDI";#N/A,#N/A,FALSE,"Yearly SAIDI";#N/A,#N/A,FALSE,"Monthly MAIFI";#N/A,#N/A,FALSE,"Yearly MAIFI";#N/A,#N/A,FALSE,"Monthly Cust &gt;=4 Int"}</definedName>
    <definedName name="loilpuioopy" localSheetId="35" hidden="1">{#N/A,#N/A,FALSE,"Monthly SAIFI";#N/A,#N/A,FALSE,"Yearly SAIFI";#N/A,#N/A,FALSE,"Monthly CAIDI";#N/A,#N/A,FALSE,"Yearly CAIDI";#N/A,#N/A,FALSE,"Monthly SAIDI";#N/A,#N/A,FALSE,"Yearly SAIDI";#N/A,#N/A,FALSE,"Monthly MAIFI";#N/A,#N/A,FALSE,"Yearly MAIFI";#N/A,#N/A,FALSE,"Monthly Cust &gt;=4 Int"}</definedName>
    <definedName name="loilpuioopy" localSheetId="45" hidden="1">{#N/A,#N/A,FALSE,"Monthly SAIFI";#N/A,#N/A,FALSE,"Yearly SAIFI";#N/A,#N/A,FALSE,"Monthly CAIDI";#N/A,#N/A,FALSE,"Yearly CAIDI";#N/A,#N/A,FALSE,"Monthly SAIDI";#N/A,#N/A,FALSE,"Yearly SAIDI";#N/A,#N/A,FALSE,"Monthly MAIFI";#N/A,#N/A,FALSE,"Yearly MAIFI";#N/A,#N/A,FALSE,"Monthly Cust &gt;=4 Int"}</definedName>
    <definedName name="loilpuioopy" localSheetId="13"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'[54]Tony''s Categories'!$C$6:$C$25</definedName>
    <definedName name="lsdfj" localSheetId="26" hidden="1">{#N/A,#N/A,FALSE,"Monthly SAIFI";#N/A,#N/A,FALSE,"Yearly SAIFI";#N/A,#N/A,FALSE,"Monthly CAIDI";#N/A,#N/A,FALSE,"Yearly CAIDI";#N/A,#N/A,FALSE,"Monthly SAIDI";#N/A,#N/A,FALSE,"Yearly SAIDI";#N/A,#N/A,FALSE,"Monthly MAIFI";#N/A,#N/A,FALSE,"Yearly MAIFI";#N/A,#N/A,FALSE,"Monthly Cust &gt;=4 Int"}</definedName>
    <definedName name="lsdfj" localSheetId="28" hidden="1">{#N/A,#N/A,FALSE,"Monthly SAIFI";#N/A,#N/A,FALSE,"Yearly SAIFI";#N/A,#N/A,FALSE,"Monthly CAIDI";#N/A,#N/A,FALSE,"Yearly CAIDI";#N/A,#N/A,FALSE,"Monthly SAIDI";#N/A,#N/A,FALSE,"Yearly SAIDI";#N/A,#N/A,FALSE,"Monthly MAIFI";#N/A,#N/A,FALSE,"Yearly MAIFI";#N/A,#N/A,FALSE,"Monthly Cust &gt;=4 Int"}</definedName>
    <definedName name="lsdfj" localSheetId="33" hidden="1">{#N/A,#N/A,FALSE,"Monthly SAIFI";#N/A,#N/A,FALSE,"Yearly SAIFI";#N/A,#N/A,FALSE,"Monthly CAIDI";#N/A,#N/A,FALSE,"Yearly CAIDI";#N/A,#N/A,FALSE,"Monthly SAIDI";#N/A,#N/A,FALSE,"Yearly SAIDI";#N/A,#N/A,FALSE,"Monthly MAIFI";#N/A,#N/A,FALSE,"Yearly MAIFI";#N/A,#N/A,FALSE,"Monthly Cust &gt;=4 Int"}</definedName>
    <definedName name="lsdfj" localSheetId="35" hidden="1">{#N/A,#N/A,FALSE,"Monthly SAIFI";#N/A,#N/A,FALSE,"Yearly SAIFI";#N/A,#N/A,FALSE,"Monthly CAIDI";#N/A,#N/A,FALSE,"Yearly CAIDI";#N/A,#N/A,FALSE,"Monthly SAIDI";#N/A,#N/A,FALSE,"Yearly SAIDI";#N/A,#N/A,FALSE,"Monthly MAIFI";#N/A,#N/A,FALSE,"Yearly MAIFI";#N/A,#N/A,FALSE,"Monthly Cust &gt;=4 Int"}</definedName>
    <definedName name="lsdfj" localSheetId="45" hidden="1">{#N/A,#N/A,FALSE,"Monthly SAIFI";#N/A,#N/A,FALSE,"Yearly SAIFI";#N/A,#N/A,FALSE,"Monthly CAIDI";#N/A,#N/A,FALSE,"Yearly CAIDI";#N/A,#N/A,FALSE,"Monthly SAIDI";#N/A,#N/A,FALSE,"Yearly SAIDI";#N/A,#N/A,FALSE,"Monthly MAIFI";#N/A,#N/A,FALSE,"Yearly MAIFI";#N/A,#N/A,FALSE,"Monthly Cust &gt;=4 Int"}</definedName>
    <definedName name="lsdfj" localSheetId="13"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6" hidden="1">{#N/A,#N/A,FALSE,"Monthly SAIFI";#N/A,#N/A,FALSE,"Yearly SAIFI";#N/A,#N/A,FALSE,"Monthly CAIDI";#N/A,#N/A,FALSE,"Yearly CAIDI";#N/A,#N/A,FALSE,"Monthly SAIDI";#N/A,#N/A,FALSE,"Yearly SAIDI";#N/A,#N/A,FALSE,"Monthly MAIFI";#N/A,#N/A,FALSE,"Yearly MAIFI";#N/A,#N/A,FALSE,"Monthly Cust &gt;=4 Int"}</definedName>
    <definedName name="lsdjf" localSheetId="28" hidden="1">{#N/A,#N/A,FALSE,"Monthly SAIFI";#N/A,#N/A,FALSE,"Yearly SAIFI";#N/A,#N/A,FALSE,"Monthly CAIDI";#N/A,#N/A,FALSE,"Yearly CAIDI";#N/A,#N/A,FALSE,"Monthly SAIDI";#N/A,#N/A,FALSE,"Yearly SAIDI";#N/A,#N/A,FALSE,"Monthly MAIFI";#N/A,#N/A,FALSE,"Yearly MAIFI";#N/A,#N/A,FALSE,"Monthly Cust &gt;=4 Int"}</definedName>
    <definedName name="lsdjf" localSheetId="33" hidden="1">{#N/A,#N/A,FALSE,"Monthly SAIFI";#N/A,#N/A,FALSE,"Yearly SAIFI";#N/A,#N/A,FALSE,"Monthly CAIDI";#N/A,#N/A,FALSE,"Yearly CAIDI";#N/A,#N/A,FALSE,"Monthly SAIDI";#N/A,#N/A,FALSE,"Yearly SAIDI";#N/A,#N/A,FALSE,"Monthly MAIFI";#N/A,#N/A,FALSE,"Yearly MAIFI";#N/A,#N/A,FALSE,"Monthly Cust &gt;=4 Int"}</definedName>
    <definedName name="lsdjf" localSheetId="35" hidden="1">{#N/A,#N/A,FALSE,"Monthly SAIFI";#N/A,#N/A,FALSE,"Yearly SAIFI";#N/A,#N/A,FALSE,"Monthly CAIDI";#N/A,#N/A,FALSE,"Yearly CAIDI";#N/A,#N/A,FALSE,"Monthly SAIDI";#N/A,#N/A,FALSE,"Yearly SAIDI";#N/A,#N/A,FALSE,"Monthly MAIFI";#N/A,#N/A,FALSE,"Yearly MAIFI";#N/A,#N/A,FALSE,"Monthly Cust &gt;=4 Int"}</definedName>
    <definedName name="lsdjf" localSheetId="45" hidden="1">{#N/A,#N/A,FALSE,"Monthly SAIFI";#N/A,#N/A,FALSE,"Yearly SAIFI";#N/A,#N/A,FALSE,"Monthly CAIDI";#N/A,#N/A,FALSE,"Yearly CAIDI";#N/A,#N/A,FALSE,"Monthly SAIDI";#N/A,#N/A,FALSE,"Yearly SAIDI";#N/A,#N/A,FALSE,"Monthly MAIFI";#N/A,#N/A,FALSE,"Yearly MAIFI";#N/A,#N/A,FALSE,"Monthly Cust &gt;=4 Int"}</definedName>
    <definedName name="lsdjf" localSheetId="13"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6" hidden="1">{#N/A,#N/A,FALSE,"Monthly SAIFI";#N/A,#N/A,FALSE,"Yearly SAIFI";#N/A,#N/A,FALSE,"Monthly CAIDI";#N/A,#N/A,FALSE,"Yearly CAIDI";#N/A,#N/A,FALSE,"Monthly SAIDI";#N/A,#N/A,FALSE,"Yearly SAIDI";#N/A,#N/A,FALSE,"Monthly MAIFI";#N/A,#N/A,FALSE,"Yearly MAIFI";#N/A,#N/A,FALSE,"Monthly Cust &gt;=4 Int"}</definedName>
    <definedName name="lsdjfl" localSheetId="28" hidden="1">{#N/A,#N/A,FALSE,"Monthly SAIFI";#N/A,#N/A,FALSE,"Yearly SAIFI";#N/A,#N/A,FALSE,"Monthly CAIDI";#N/A,#N/A,FALSE,"Yearly CAIDI";#N/A,#N/A,FALSE,"Monthly SAIDI";#N/A,#N/A,FALSE,"Yearly SAIDI";#N/A,#N/A,FALSE,"Monthly MAIFI";#N/A,#N/A,FALSE,"Yearly MAIFI";#N/A,#N/A,FALSE,"Monthly Cust &gt;=4 Int"}</definedName>
    <definedName name="lsdjfl" localSheetId="33" hidden="1">{#N/A,#N/A,FALSE,"Monthly SAIFI";#N/A,#N/A,FALSE,"Yearly SAIFI";#N/A,#N/A,FALSE,"Monthly CAIDI";#N/A,#N/A,FALSE,"Yearly CAIDI";#N/A,#N/A,FALSE,"Monthly SAIDI";#N/A,#N/A,FALSE,"Yearly SAIDI";#N/A,#N/A,FALSE,"Monthly MAIFI";#N/A,#N/A,FALSE,"Yearly MAIFI";#N/A,#N/A,FALSE,"Monthly Cust &gt;=4 Int"}</definedName>
    <definedName name="lsdjfl" localSheetId="35" hidden="1">{#N/A,#N/A,FALSE,"Monthly SAIFI";#N/A,#N/A,FALSE,"Yearly SAIFI";#N/A,#N/A,FALSE,"Monthly CAIDI";#N/A,#N/A,FALSE,"Yearly CAIDI";#N/A,#N/A,FALSE,"Monthly SAIDI";#N/A,#N/A,FALSE,"Yearly SAIDI";#N/A,#N/A,FALSE,"Monthly MAIFI";#N/A,#N/A,FALSE,"Yearly MAIFI";#N/A,#N/A,FALSE,"Monthly Cust &gt;=4 Int"}</definedName>
    <definedName name="lsdjfl" localSheetId="45" hidden="1">{#N/A,#N/A,FALSE,"Monthly SAIFI";#N/A,#N/A,FALSE,"Yearly SAIFI";#N/A,#N/A,FALSE,"Monthly CAIDI";#N/A,#N/A,FALSE,"Yearly CAIDI";#N/A,#N/A,FALSE,"Monthly SAIDI";#N/A,#N/A,FALSE,"Yearly SAIDI";#N/A,#N/A,FALSE,"Monthly MAIFI";#N/A,#N/A,FALSE,"Yearly MAIFI";#N/A,#N/A,FALSE,"Monthly Cust &gt;=4 Int"}</definedName>
    <definedName name="lsdjfl" localSheetId="13"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6" hidden="1">{#N/A,#N/A,FALSE,"Monthly SAIFI";#N/A,#N/A,FALSE,"Yearly SAIFI";#N/A,#N/A,FALSE,"Monthly CAIDI";#N/A,#N/A,FALSE,"Yearly CAIDI";#N/A,#N/A,FALSE,"Monthly SAIDI";#N/A,#N/A,FALSE,"Yearly SAIDI";#N/A,#N/A,FALSE,"Monthly MAIFI";#N/A,#N/A,FALSE,"Yearly MAIFI";#N/A,#N/A,FALSE,"Monthly Cust &gt;=4 Int"}</definedName>
    <definedName name="lsdjfls" localSheetId="28" hidden="1">{#N/A,#N/A,FALSE,"Monthly SAIFI";#N/A,#N/A,FALSE,"Yearly SAIFI";#N/A,#N/A,FALSE,"Monthly CAIDI";#N/A,#N/A,FALSE,"Yearly CAIDI";#N/A,#N/A,FALSE,"Monthly SAIDI";#N/A,#N/A,FALSE,"Yearly SAIDI";#N/A,#N/A,FALSE,"Monthly MAIFI";#N/A,#N/A,FALSE,"Yearly MAIFI";#N/A,#N/A,FALSE,"Monthly Cust &gt;=4 Int"}</definedName>
    <definedName name="lsdjfls" localSheetId="33" hidden="1">{#N/A,#N/A,FALSE,"Monthly SAIFI";#N/A,#N/A,FALSE,"Yearly SAIFI";#N/A,#N/A,FALSE,"Monthly CAIDI";#N/A,#N/A,FALSE,"Yearly CAIDI";#N/A,#N/A,FALSE,"Monthly SAIDI";#N/A,#N/A,FALSE,"Yearly SAIDI";#N/A,#N/A,FALSE,"Monthly MAIFI";#N/A,#N/A,FALSE,"Yearly MAIFI";#N/A,#N/A,FALSE,"Monthly Cust &gt;=4 Int"}</definedName>
    <definedName name="lsdjfls" localSheetId="35" hidden="1">{#N/A,#N/A,FALSE,"Monthly SAIFI";#N/A,#N/A,FALSE,"Yearly SAIFI";#N/A,#N/A,FALSE,"Monthly CAIDI";#N/A,#N/A,FALSE,"Yearly CAIDI";#N/A,#N/A,FALSE,"Monthly SAIDI";#N/A,#N/A,FALSE,"Yearly SAIDI";#N/A,#N/A,FALSE,"Monthly MAIFI";#N/A,#N/A,FALSE,"Yearly MAIFI";#N/A,#N/A,FALSE,"Monthly Cust &gt;=4 Int"}</definedName>
    <definedName name="lsdjfls" localSheetId="45" hidden="1">{#N/A,#N/A,FALSE,"Monthly SAIFI";#N/A,#N/A,FALSE,"Yearly SAIFI";#N/A,#N/A,FALSE,"Monthly CAIDI";#N/A,#N/A,FALSE,"Yearly CAIDI";#N/A,#N/A,FALSE,"Monthly SAIDI";#N/A,#N/A,FALSE,"Yearly SAIDI";#N/A,#N/A,FALSE,"Monthly MAIFI";#N/A,#N/A,FALSE,"Yearly MAIFI";#N/A,#N/A,FALSE,"Monthly Cust &gt;=4 Int"}</definedName>
    <definedName name="lsdjfls" localSheetId="13"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6" hidden="1">{#N/A,#N/A,FALSE,"Monthly SAIFI";#N/A,#N/A,FALSE,"Yearly SAIFI";#N/A,#N/A,FALSE,"Monthly CAIDI";#N/A,#N/A,FALSE,"Yearly CAIDI";#N/A,#N/A,FALSE,"Monthly SAIDI";#N/A,#N/A,FALSE,"Yearly SAIDI";#N/A,#N/A,FALSE,"Monthly MAIFI";#N/A,#N/A,FALSE,"Yearly MAIFI";#N/A,#N/A,FALSE,"Monthly Cust &gt;=4 Int"}</definedName>
    <definedName name="lsdjfsdl" localSheetId="28" hidden="1">{#N/A,#N/A,FALSE,"Monthly SAIFI";#N/A,#N/A,FALSE,"Yearly SAIFI";#N/A,#N/A,FALSE,"Monthly CAIDI";#N/A,#N/A,FALSE,"Yearly CAIDI";#N/A,#N/A,FALSE,"Monthly SAIDI";#N/A,#N/A,FALSE,"Yearly SAIDI";#N/A,#N/A,FALSE,"Monthly MAIFI";#N/A,#N/A,FALSE,"Yearly MAIFI";#N/A,#N/A,FALSE,"Monthly Cust &gt;=4 Int"}</definedName>
    <definedName name="lsdjfsdl" localSheetId="33" hidden="1">{#N/A,#N/A,FALSE,"Monthly SAIFI";#N/A,#N/A,FALSE,"Yearly SAIFI";#N/A,#N/A,FALSE,"Monthly CAIDI";#N/A,#N/A,FALSE,"Yearly CAIDI";#N/A,#N/A,FALSE,"Monthly SAIDI";#N/A,#N/A,FALSE,"Yearly SAIDI";#N/A,#N/A,FALSE,"Monthly MAIFI";#N/A,#N/A,FALSE,"Yearly MAIFI";#N/A,#N/A,FALSE,"Monthly Cust &gt;=4 Int"}</definedName>
    <definedName name="lsdjfsdl" localSheetId="35" hidden="1">{#N/A,#N/A,FALSE,"Monthly SAIFI";#N/A,#N/A,FALSE,"Yearly SAIFI";#N/A,#N/A,FALSE,"Monthly CAIDI";#N/A,#N/A,FALSE,"Yearly CAIDI";#N/A,#N/A,FALSE,"Monthly SAIDI";#N/A,#N/A,FALSE,"Yearly SAIDI";#N/A,#N/A,FALSE,"Monthly MAIFI";#N/A,#N/A,FALSE,"Yearly MAIFI";#N/A,#N/A,FALSE,"Monthly Cust &gt;=4 Int"}</definedName>
    <definedName name="lsdjfsdl" localSheetId="45" hidden="1">{#N/A,#N/A,FALSE,"Monthly SAIFI";#N/A,#N/A,FALSE,"Yearly SAIFI";#N/A,#N/A,FALSE,"Monthly CAIDI";#N/A,#N/A,FALSE,"Yearly CAIDI";#N/A,#N/A,FALSE,"Monthly SAIDI";#N/A,#N/A,FALSE,"Yearly SAIDI";#N/A,#N/A,FALSE,"Monthly MAIFI";#N/A,#N/A,FALSE,"Yearly MAIFI";#N/A,#N/A,FALSE,"Monthly Cust &gt;=4 Int"}</definedName>
    <definedName name="lsdjfsdl" localSheetId="13"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6" hidden="1">{#N/A,#N/A,FALSE,"Monthly SAIFI";#N/A,#N/A,FALSE,"Yearly SAIFI";#N/A,#N/A,FALSE,"Monthly CAIDI";#N/A,#N/A,FALSE,"Yearly CAIDI";#N/A,#N/A,FALSE,"Monthly SAIDI";#N/A,#N/A,FALSE,"Yearly SAIDI";#N/A,#N/A,FALSE,"Monthly MAIFI";#N/A,#N/A,FALSE,"Yearly MAIFI";#N/A,#N/A,FALSE,"Monthly Cust &gt;=4 Int"}</definedName>
    <definedName name="lsdjfsl" localSheetId="28" hidden="1">{#N/A,#N/A,FALSE,"Monthly SAIFI";#N/A,#N/A,FALSE,"Yearly SAIFI";#N/A,#N/A,FALSE,"Monthly CAIDI";#N/A,#N/A,FALSE,"Yearly CAIDI";#N/A,#N/A,FALSE,"Monthly SAIDI";#N/A,#N/A,FALSE,"Yearly SAIDI";#N/A,#N/A,FALSE,"Monthly MAIFI";#N/A,#N/A,FALSE,"Yearly MAIFI";#N/A,#N/A,FALSE,"Monthly Cust &gt;=4 Int"}</definedName>
    <definedName name="lsdjfsl" localSheetId="33" hidden="1">{#N/A,#N/A,FALSE,"Monthly SAIFI";#N/A,#N/A,FALSE,"Yearly SAIFI";#N/A,#N/A,FALSE,"Monthly CAIDI";#N/A,#N/A,FALSE,"Yearly CAIDI";#N/A,#N/A,FALSE,"Monthly SAIDI";#N/A,#N/A,FALSE,"Yearly SAIDI";#N/A,#N/A,FALSE,"Monthly MAIFI";#N/A,#N/A,FALSE,"Yearly MAIFI";#N/A,#N/A,FALSE,"Monthly Cust &gt;=4 Int"}</definedName>
    <definedName name="lsdjfsl" localSheetId="35" hidden="1">{#N/A,#N/A,FALSE,"Monthly SAIFI";#N/A,#N/A,FALSE,"Yearly SAIFI";#N/A,#N/A,FALSE,"Monthly CAIDI";#N/A,#N/A,FALSE,"Yearly CAIDI";#N/A,#N/A,FALSE,"Monthly SAIDI";#N/A,#N/A,FALSE,"Yearly SAIDI";#N/A,#N/A,FALSE,"Monthly MAIFI";#N/A,#N/A,FALSE,"Yearly MAIFI";#N/A,#N/A,FALSE,"Monthly Cust &gt;=4 Int"}</definedName>
    <definedName name="lsdjfsl" localSheetId="45" hidden="1">{#N/A,#N/A,FALSE,"Monthly SAIFI";#N/A,#N/A,FALSE,"Yearly SAIFI";#N/A,#N/A,FALSE,"Monthly CAIDI";#N/A,#N/A,FALSE,"Yearly CAIDI";#N/A,#N/A,FALSE,"Monthly SAIDI";#N/A,#N/A,FALSE,"Yearly SAIDI";#N/A,#N/A,FALSE,"Monthly MAIFI";#N/A,#N/A,FALSE,"Yearly MAIFI";#N/A,#N/A,FALSE,"Monthly Cust &gt;=4 Int"}</definedName>
    <definedName name="lsdjfsl" localSheetId="13"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6" hidden="1">{#N/A,#N/A,FALSE,"Monthly SAIFI";#N/A,#N/A,FALSE,"Yearly SAIFI";#N/A,#N/A,FALSE,"Monthly CAIDI";#N/A,#N/A,FALSE,"Yearly CAIDI";#N/A,#N/A,FALSE,"Monthly SAIDI";#N/A,#N/A,FALSE,"Yearly SAIDI";#N/A,#N/A,FALSE,"Monthly MAIFI";#N/A,#N/A,FALSE,"Yearly MAIFI";#N/A,#N/A,FALSE,"Monthly Cust &gt;=4 Int"}</definedName>
    <definedName name="lsjfls" localSheetId="28" hidden="1">{#N/A,#N/A,FALSE,"Monthly SAIFI";#N/A,#N/A,FALSE,"Yearly SAIFI";#N/A,#N/A,FALSE,"Monthly CAIDI";#N/A,#N/A,FALSE,"Yearly CAIDI";#N/A,#N/A,FALSE,"Monthly SAIDI";#N/A,#N/A,FALSE,"Yearly SAIDI";#N/A,#N/A,FALSE,"Monthly MAIFI";#N/A,#N/A,FALSE,"Yearly MAIFI";#N/A,#N/A,FALSE,"Monthly Cust &gt;=4 Int"}</definedName>
    <definedName name="lsjfls" localSheetId="33" hidden="1">{#N/A,#N/A,FALSE,"Monthly SAIFI";#N/A,#N/A,FALSE,"Yearly SAIFI";#N/A,#N/A,FALSE,"Monthly CAIDI";#N/A,#N/A,FALSE,"Yearly CAIDI";#N/A,#N/A,FALSE,"Monthly SAIDI";#N/A,#N/A,FALSE,"Yearly SAIDI";#N/A,#N/A,FALSE,"Monthly MAIFI";#N/A,#N/A,FALSE,"Yearly MAIFI";#N/A,#N/A,FALSE,"Monthly Cust &gt;=4 Int"}</definedName>
    <definedName name="lsjfls" localSheetId="35" hidden="1">{#N/A,#N/A,FALSE,"Monthly SAIFI";#N/A,#N/A,FALSE,"Yearly SAIFI";#N/A,#N/A,FALSE,"Monthly CAIDI";#N/A,#N/A,FALSE,"Yearly CAIDI";#N/A,#N/A,FALSE,"Monthly SAIDI";#N/A,#N/A,FALSE,"Yearly SAIDI";#N/A,#N/A,FALSE,"Monthly MAIFI";#N/A,#N/A,FALSE,"Yearly MAIFI";#N/A,#N/A,FALSE,"Monthly Cust &gt;=4 Int"}</definedName>
    <definedName name="lsjfls" localSheetId="45" hidden="1">{#N/A,#N/A,FALSE,"Monthly SAIFI";#N/A,#N/A,FALSE,"Yearly SAIFI";#N/A,#N/A,FALSE,"Monthly CAIDI";#N/A,#N/A,FALSE,"Yearly CAIDI";#N/A,#N/A,FALSE,"Monthly SAIDI";#N/A,#N/A,FALSE,"Yearly SAIDI";#N/A,#N/A,FALSE,"Monthly MAIFI";#N/A,#N/A,FALSE,"Yearly MAIFI";#N/A,#N/A,FALSE,"Monthly Cust &gt;=4 Int"}</definedName>
    <definedName name="lsjfls" localSheetId="13"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m" localSheetId="20" hidden="1">{"PI_Data",#N/A,TRUE,"P&amp;I Data"}</definedName>
    <definedName name="m" localSheetId="21" hidden="1">{"PI_Data",#N/A,TRUE,"P&amp;I Data"}</definedName>
    <definedName name="m" localSheetId="23" hidden="1">{"PI_Data",#N/A,TRUE,"P&amp;I Data"}</definedName>
    <definedName name="m" localSheetId="22" hidden="1">{"PI_Data",#N/A,TRUE,"P&amp;I Data"}</definedName>
    <definedName name="m" localSheetId="24" hidden="1">{"PI_Data",#N/A,TRUE,"P&amp;I Data"}</definedName>
    <definedName name="m" localSheetId="25" hidden="1">{"PI_Data",#N/A,TRUE,"P&amp;I Data"}</definedName>
    <definedName name="m" localSheetId="26" hidden="1">{"PI_Data",#N/A,TRUE,"P&amp;I Data"}</definedName>
    <definedName name="m" localSheetId="27" hidden="1">{"PI_Data",#N/A,TRUE,"P&amp;I Data"}</definedName>
    <definedName name="m" localSheetId="28" hidden="1">{"PI_Data",#N/A,TRUE,"P&amp;I Data"}</definedName>
    <definedName name="m" localSheetId="30" hidden="1">{"PI_Data",#N/A,TRUE,"P&amp;I Data"}</definedName>
    <definedName name="m" localSheetId="31" hidden="1">{"PI_Data",#N/A,TRUE,"P&amp;I Data"}</definedName>
    <definedName name="m" localSheetId="32" hidden="1">{"PI_Data",#N/A,TRUE,"P&amp;I Data"}</definedName>
    <definedName name="m" localSheetId="33" hidden="1">{"PI_Data",#N/A,TRUE,"P&amp;I Data"}</definedName>
    <definedName name="m" localSheetId="34" hidden="1">{"PI_Data",#N/A,TRUE,"P&amp;I Data"}</definedName>
    <definedName name="m" localSheetId="35" hidden="1">{"PI_Data",#N/A,TRUE,"P&amp;I Data"}</definedName>
    <definedName name="m" localSheetId="36" hidden="1">{"PI_Data",#N/A,TRUE,"P&amp;I Data"}</definedName>
    <definedName name="m" localSheetId="37" hidden="1">{"PI_Data",#N/A,TRUE,"P&amp;I Data"}</definedName>
    <definedName name="m" localSheetId="40" hidden="1">{"PI_Data",#N/A,TRUE,"P&amp;I Data"}</definedName>
    <definedName name="m" localSheetId="42" hidden="1">{"PI_Data",#N/A,TRUE,"P&amp;I Data"}</definedName>
    <definedName name="m" localSheetId="44" hidden="1">{"PI_Data",#N/A,TRUE,"P&amp;I Data"}</definedName>
    <definedName name="m" localSheetId="45" hidden="1">{"PI_Data",#N/A,TRUE,"P&amp;I Data"}</definedName>
    <definedName name="m" localSheetId="46" hidden="1">{"PI_Data",#N/A,TRUE,"P&amp;I Data"}</definedName>
    <definedName name="m" localSheetId="10" hidden="1">{"PI_Data",#N/A,TRUE,"P&amp;I Data"}</definedName>
    <definedName name="m" localSheetId="12" hidden="1">{"PI_Data",#N/A,TRUE,"P&amp;I Data"}</definedName>
    <definedName name="m" localSheetId="13" hidden="1">{"PI_Data",#N/A,TRUE,"P&amp;I Data"}</definedName>
    <definedName name="m" localSheetId="14" hidden="1">{"PI_Data",#N/A,TRUE,"P&amp;I Data"}</definedName>
    <definedName name="m" localSheetId="15" hidden="1">{"PI_Data",#N/A,TRUE,"P&amp;I Data"}</definedName>
    <definedName name="m" hidden="1">{"PI_Data",#N/A,TRUE,"P&amp;I Data"}</definedName>
    <definedName name="M21Laurie">#N/A</definedName>
    <definedName name="M2X" localSheetId="26" hidden="1">{"PI_Data",#N/A,TRUE,"P&amp;I Data"}</definedName>
    <definedName name="M2X" localSheetId="28" hidden="1">{"PI_Data",#N/A,TRUE,"P&amp;I Data"}</definedName>
    <definedName name="M2X" localSheetId="30" hidden="1">{"PI_Data",#N/A,TRUE,"P&amp;I Data"}</definedName>
    <definedName name="M2X" localSheetId="31" hidden="1">{"PI_Data",#N/A,TRUE,"P&amp;I Data"}</definedName>
    <definedName name="M2X" localSheetId="33" hidden="1">{"PI_Data",#N/A,TRUE,"P&amp;I Data"}</definedName>
    <definedName name="M2X" localSheetId="34" hidden="1">{"PI_Data",#N/A,TRUE,"P&amp;I Data"}</definedName>
    <definedName name="M2X" localSheetId="35" hidden="1">{"PI_Data",#N/A,TRUE,"P&amp;I Data"}</definedName>
    <definedName name="M2X" localSheetId="36" hidden="1">{"PI_Data",#N/A,TRUE,"P&amp;I Data"}</definedName>
    <definedName name="M2X" localSheetId="45" hidden="1">{"PI_Data",#N/A,TRUE,"P&amp;I Data"}</definedName>
    <definedName name="M2X" localSheetId="12" hidden="1">{"PI_Data",#N/A,TRUE,"P&amp;I Data"}</definedName>
    <definedName name="M2X" localSheetId="13" hidden="1">{"PI_Data",#N/A,TRUE,"P&amp;I Data"}</definedName>
    <definedName name="M2X" hidden="1">{"PI_Data",#N/A,TRUE,"P&amp;I Data"}</definedName>
    <definedName name="MACRO1">#REF!</definedName>
    <definedName name="Maintenance">0.15</definedName>
    <definedName name="Marty">#REF!</definedName>
    <definedName name="May" localSheetId="26" hidden="1">{#N/A,#N/A,FALSE,"CTC Summary - EOY";#N/A,#N/A,FALSE,"CTC Summary - Wtavg"}</definedName>
    <definedName name="May" localSheetId="28" hidden="1">{#N/A,#N/A,FALSE,"CTC Summary - EOY";#N/A,#N/A,FALSE,"CTC Summary - Wtavg"}</definedName>
    <definedName name="May" localSheetId="30" hidden="1">{#N/A,#N/A,FALSE,"CTC Summary - EOY";#N/A,#N/A,FALSE,"CTC Summary - Wtavg"}</definedName>
    <definedName name="May" localSheetId="31" hidden="1">{#N/A,#N/A,FALSE,"CTC Summary - EOY";#N/A,#N/A,FALSE,"CTC Summary - Wtavg"}</definedName>
    <definedName name="May" localSheetId="33" hidden="1">{#N/A,#N/A,FALSE,"CTC Summary - EOY";#N/A,#N/A,FALSE,"CTC Summary - Wtavg"}</definedName>
    <definedName name="May" localSheetId="34" hidden="1">{#N/A,#N/A,FALSE,"CTC Summary - EOY";#N/A,#N/A,FALSE,"CTC Summary - Wtavg"}</definedName>
    <definedName name="May" localSheetId="35" hidden="1">{#N/A,#N/A,FALSE,"CTC Summary - EOY";#N/A,#N/A,FALSE,"CTC Summary - Wtavg"}</definedName>
    <definedName name="May" localSheetId="36" hidden="1">{#N/A,#N/A,FALSE,"CTC Summary - EOY";#N/A,#N/A,FALSE,"CTC Summary - Wtavg"}</definedName>
    <definedName name="May" localSheetId="45" hidden="1">{#N/A,#N/A,FALSE,"CTC Summary - EOY";#N/A,#N/A,FALSE,"CTC Summary - Wtavg"}</definedName>
    <definedName name="May" localSheetId="12" hidden="1">{#N/A,#N/A,FALSE,"CTC Summary - EOY";#N/A,#N/A,FALSE,"CTC Summary - Wtavg"}</definedName>
    <definedName name="May" localSheetId="13" hidden="1">{#N/A,#N/A,FALSE,"CTC Summary - EOY";#N/A,#N/A,FALSE,"CTC Summary - Wtavg"}</definedName>
    <definedName name="May" hidden="1">{#N/A,#N/A,FALSE,"CTC Summary - EOY";#N/A,#N/A,FALSE,"CTC Summary - Wtavg"}</definedName>
    <definedName name="MEWarning" hidden="1">1</definedName>
    <definedName name="MFTSR">'[11]A.2 PTP'!$P$276</definedName>
    <definedName name="Mgmt">[61]Current!#REF!</definedName>
    <definedName name="million">1000000</definedName>
    <definedName name="minsys">#REF!</definedName>
    <definedName name="minus_S_W_2001">'[62]Last year''s minus S&amp;W'!$A$1</definedName>
    <definedName name="MISS1FAC">#REF!</definedName>
    <definedName name="MISS1LF">#REF!</definedName>
    <definedName name="MISS1MW">#REF!</definedName>
    <definedName name="MISS1MWH">#REF!</definedName>
    <definedName name="MISS2FAC">#REF!</definedName>
    <definedName name="MISS2LF">#REF!</definedName>
    <definedName name="MISS2MW">#REF!</definedName>
    <definedName name="MISS2MWH">#REF!</definedName>
    <definedName name="MM" localSheetId="26" hidden="1">{"PI_Data",#N/A,TRUE,"P&amp;I Data"}</definedName>
    <definedName name="MM" localSheetId="28" hidden="1">{"PI_Data",#N/A,TRUE,"P&amp;I Data"}</definedName>
    <definedName name="MM" localSheetId="30" hidden="1">{"PI_Data",#N/A,TRUE,"P&amp;I Data"}</definedName>
    <definedName name="MM" localSheetId="31" hidden="1">{"PI_Data",#N/A,TRUE,"P&amp;I Data"}</definedName>
    <definedName name="MM" localSheetId="33" hidden="1">{"PI_Data",#N/A,TRUE,"P&amp;I Data"}</definedName>
    <definedName name="MM" localSheetId="34" hidden="1">{"PI_Data",#N/A,TRUE,"P&amp;I Data"}</definedName>
    <definedName name="MM" localSheetId="35" hidden="1">{"PI_Data",#N/A,TRUE,"P&amp;I Data"}</definedName>
    <definedName name="MM" localSheetId="36" hidden="1">{"PI_Data",#N/A,TRUE,"P&amp;I Data"}</definedName>
    <definedName name="MM" localSheetId="45" hidden="1">{"PI_Data",#N/A,TRUE,"P&amp;I Data"}</definedName>
    <definedName name="MM" localSheetId="12" hidden="1">{"PI_Data",#N/A,TRUE,"P&amp;I Data"}</definedName>
    <definedName name="MM" localSheetId="13" hidden="1">{"PI_Data",#N/A,TRUE,"P&amp;I Data"}</definedName>
    <definedName name="MM" hidden="1">{"PI_Data",#N/A,TRUE,"P&amp;I Data"}</definedName>
    <definedName name="modelgrheader">[2]Model!$A$3</definedName>
    <definedName name="modelqreheader">[2]Model!$A$78</definedName>
    <definedName name="MONTH">#REF!</definedName>
    <definedName name="MONTH12">#REF!</definedName>
    <definedName name="MonthDate">[63]Index!$A$4</definedName>
    <definedName name="months">[38]Permanent!$A$24:$A$35</definedName>
    <definedName name="MREV">'[11]C. Input'!$F$295</definedName>
    <definedName name="MS">'[11]C. Input'!$F$242</definedName>
    <definedName name="MTC_Amortization">'[23]JFJ-3 MTC Rate'!$A$32:$F$82</definedName>
    <definedName name="n" localSheetId="26" hidden="1">{#N/A,#N/A,FALSE,"CTC Summary - EOY";#N/A,#N/A,FALSE,"CTC Summary - Wtavg"}</definedName>
    <definedName name="n" localSheetId="28" hidden="1">{#N/A,#N/A,FALSE,"CTC Summary - EOY";#N/A,#N/A,FALSE,"CTC Summary - Wtavg"}</definedName>
    <definedName name="n" localSheetId="30" hidden="1">{#N/A,#N/A,FALSE,"CTC Summary - EOY";#N/A,#N/A,FALSE,"CTC Summary - Wtavg"}</definedName>
    <definedName name="n" localSheetId="31" hidden="1">{#N/A,#N/A,FALSE,"CTC Summary - EOY";#N/A,#N/A,FALSE,"CTC Summary - Wtavg"}</definedName>
    <definedName name="n" localSheetId="33" hidden="1">{#N/A,#N/A,FALSE,"CTC Summary - EOY";#N/A,#N/A,FALSE,"CTC Summary - Wtavg"}</definedName>
    <definedName name="n" localSheetId="34" hidden="1">{#N/A,#N/A,FALSE,"CTC Summary - EOY";#N/A,#N/A,FALSE,"CTC Summary - Wtavg"}</definedName>
    <definedName name="n" localSheetId="35" hidden="1">{#N/A,#N/A,FALSE,"CTC Summary - EOY";#N/A,#N/A,FALSE,"CTC Summary - Wtavg"}</definedName>
    <definedName name="n" localSheetId="36" hidden="1">{#N/A,#N/A,FALSE,"CTC Summary - EOY";#N/A,#N/A,FALSE,"CTC Summary - Wtavg"}</definedName>
    <definedName name="n" localSheetId="45" hidden="1">{#N/A,#N/A,FALSE,"CTC Summary - EOY";#N/A,#N/A,FALSE,"CTC Summary - Wtavg"}</definedName>
    <definedName name="n" localSheetId="12" hidden="1">{#N/A,#N/A,FALSE,"CTC Summary - EOY";#N/A,#N/A,FALSE,"CTC Summary - Wtavg"}</definedName>
    <definedName name="n" localSheetId="13" hidden="1">{#N/A,#N/A,FALSE,"CTC Summary - EOY";#N/A,#N/A,FALSE,"CTC Summary - Wtavg"}</definedName>
    <definedName name="n" hidden="1">{#N/A,#N/A,FALSE,"CTC Summary - EOY";#N/A,#N/A,FALSE,"CTC Summary - Wtavg"}</definedName>
    <definedName name="NET_REVENUE">#REF!</definedName>
    <definedName name="New" localSheetId="26" hidden="1">{#N/A,#N/A,FALSE,"CTC Summary - EOY";#N/A,#N/A,FALSE,"CTC Summary - Wtavg"}</definedName>
    <definedName name="New" localSheetId="28" hidden="1">{#N/A,#N/A,FALSE,"CTC Summary - EOY";#N/A,#N/A,FALSE,"CTC Summary - Wtavg"}</definedName>
    <definedName name="New" localSheetId="30" hidden="1">{#N/A,#N/A,FALSE,"CTC Summary - EOY";#N/A,#N/A,FALSE,"CTC Summary - Wtavg"}</definedName>
    <definedName name="New" localSheetId="31" hidden="1">{#N/A,#N/A,FALSE,"CTC Summary - EOY";#N/A,#N/A,FALSE,"CTC Summary - Wtavg"}</definedName>
    <definedName name="New" localSheetId="33" hidden="1">{#N/A,#N/A,FALSE,"CTC Summary - EOY";#N/A,#N/A,FALSE,"CTC Summary - Wtavg"}</definedName>
    <definedName name="New" localSheetId="34" hidden="1">{#N/A,#N/A,FALSE,"CTC Summary - EOY";#N/A,#N/A,FALSE,"CTC Summary - Wtavg"}</definedName>
    <definedName name="New" localSheetId="35" hidden="1">{#N/A,#N/A,FALSE,"CTC Summary - EOY";#N/A,#N/A,FALSE,"CTC Summary - Wtavg"}</definedName>
    <definedName name="New" localSheetId="36" hidden="1">{#N/A,#N/A,FALSE,"CTC Summary - EOY";#N/A,#N/A,FALSE,"CTC Summary - Wtavg"}</definedName>
    <definedName name="New" localSheetId="45" hidden="1">{#N/A,#N/A,FALSE,"CTC Summary - EOY";#N/A,#N/A,FALSE,"CTC Summary - Wtavg"}</definedName>
    <definedName name="New" localSheetId="12" hidden="1">{#N/A,#N/A,FALSE,"CTC Summary - EOY";#N/A,#N/A,FALSE,"CTC Summary - Wtavg"}</definedName>
    <definedName name="New" localSheetId="13" hidden="1">{#N/A,#N/A,FALSE,"CTC Summary - EOY";#N/A,#N/A,FALSE,"CTC Summary - Wtavg"}</definedName>
    <definedName name="New" hidden="1">{#N/A,#N/A,FALSE,"CTC Summary - EOY";#N/A,#N/A,FALSE,"CTC Summary - Wtavg"}</definedName>
    <definedName name="New_99_IS">'[64]2nd qtr 2000'!$A$1:$I$58,'[64]2nd qtr 2000'!$K$1:$T$58,'[64]2nd qtr 2000'!$V$1:$AI$58</definedName>
    <definedName name="NewHire">8500</definedName>
    <definedName name="NEXT_STEP">[2]Comparison!$CK$14</definedName>
    <definedName name="Node">[65]Hierarchy!$B$2:$E$16455</definedName>
    <definedName name="non_cap_int">'[20]Input Page'!$E$15</definedName>
    <definedName name="NOTE">'[24]Consol Adj.'!#REF!</definedName>
    <definedName name="November09" localSheetId="26" hidden="1">{#N/A,#N/A,FALSE,"Monthly SAIFI";#N/A,#N/A,FALSE,"Yearly SAIFI";#N/A,#N/A,FALSE,"Monthly CAIDI";#N/A,#N/A,FALSE,"Yearly CAIDI";#N/A,#N/A,FALSE,"Monthly SAIDI";#N/A,#N/A,FALSE,"Yearly SAIDI";#N/A,#N/A,FALSE,"Monthly MAIFI";#N/A,#N/A,FALSE,"Yearly MAIFI";#N/A,#N/A,FALSE,"Monthly Cust &gt;=4 Int"}</definedName>
    <definedName name="November09" localSheetId="28" hidden="1">{#N/A,#N/A,FALSE,"Monthly SAIFI";#N/A,#N/A,FALSE,"Yearly SAIFI";#N/A,#N/A,FALSE,"Monthly CAIDI";#N/A,#N/A,FALSE,"Yearly CAIDI";#N/A,#N/A,FALSE,"Monthly SAIDI";#N/A,#N/A,FALSE,"Yearly SAIDI";#N/A,#N/A,FALSE,"Monthly MAIFI";#N/A,#N/A,FALSE,"Yearly MAIFI";#N/A,#N/A,FALSE,"Monthly Cust &gt;=4 Int"}</definedName>
    <definedName name="November09" localSheetId="33" hidden="1">{#N/A,#N/A,FALSE,"Monthly SAIFI";#N/A,#N/A,FALSE,"Yearly SAIFI";#N/A,#N/A,FALSE,"Monthly CAIDI";#N/A,#N/A,FALSE,"Yearly CAIDI";#N/A,#N/A,FALSE,"Monthly SAIDI";#N/A,#N/A,FALSE,"Yearly SAIDI";#N/A,#N/A,FALSE,"Monthly MAIFI";#N/A,#N/A,FALSE,"Yearly MAIFI";#N/A,#N/A,FALSE,"Monthly Cust &gt;=4 Int"}</definedName>
    <definedName name="November09" localSheetId="35" hidden="1">{#N/A,#N/A,FALSE,"Monthly SAIFI";#N/A,#N/A,FALSE,"Yearly SAIFI";#N/A,#N/A,FALSE,"Monthly CAIDI";#N/A,#N/A,FALSE,"Yearly CAIDI";#N/A,#N/A,FALSE,"Monthly SAIDI";#N/A,#N/A,FALSE,"Yearly SAIDI";#N/A,#N/A,FALSE,"Monthly MAIFI";#N/A,#N/A,FALSE,"Yearly MAIFI";#N/A,#N/A,FALSE,"Monthly Cust &gt;=4 Int"}</definedName>
    <definedName name="November09" localSheetId="45" hidden="1">{#N/A,#N/A,FALSE,"Monthly SAIFI";#N/A,#N/A,FALSE,"Yearly SAIFI";#N/A,#N/A,FALSE,"Monthly CAIDI";#N/A,#N/A,FALSE,"Yearly CAIDI";#N/A,#N/A,FALSE,"Monthly SAIDI";#N/A,#N/A,FALSE,"Yearly SAIDI";#N/A,#N/A,FALSE,"Monthly MAIFI";#N/A,#N/A,FALSE,"Yearly MAIFI";#N/A,#N/A,FALSE,"Monthly Cust &gt;=4 Int"}</definedName>
    <definedName name="November09" localSheetId="13"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OxpMB1">[56]Inputs!$D$294</definedName>
    <definedName name="NP">'[25]Actual Gross Rev'!$J$185</definedName>
    <definedName name="NPA">'[26]ATRR Act'!$F$45</definedName>
    <definedName name="NSP_COS">#REF!</definedName>
    <definedName name="NTDR">'[11]C. Input'!$F$234</definedName>
    <definedName name="NTPLT">'[11]C. Input'!$F$164</definedName>
    <definedName name="NTSRR">'[11]B.2 NITS '!$P$220</definedName>
    <definedName name="Nuclear_Secur_Date">[10]Assumptions!$E$21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[66]Sheet1!$H$75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OFF">'[3]DPLG-APRIL2001-TRANSCHECKOUT'!$F$2:$L$10</definedName>
    <definedName name="ok">"46A77S0J3A6DMSOD9MQSK0ZYO"</definedName>
    <definedName name="OMCustomer">#REF!</definedName>
    <definedName name="OMFunct">#REF!</definedName>
    <definedName name="ON">'[3]DPLG-APRIL2001-TRANSCHECKOUT'!$M$2:$AC$10</definedName>
    <definedName name="one">1</definedName>
    <definedName name="ORACLE_DEPRECIATION">'[67]Agriliance-allassets'!$A$1:$EG$15622</definedName>
    <definedName name="other_mix_cap">'[14]Input Page'!$G$10</definedName>
    <definedName name="other_mix_total">'[14]Input Page'!$G$11</definedName>
    <definedName name="OTR_TST">'[11]A.2 PTP'!$P$129</definedName>
    <definedName name="p" localSheetId="20" hidden="1">{"PI_Data",#N/A,TRUE,"P&amp;I Data"}</definedName>
    <definedName name="p" localSheetId="21" hidden="1">{"PI_Data",#N/A,TRUE,"P&amp;I Data"}</definedName>
    <definedName name="p" localSheetId="23" hidden="1">{"PI_Data",#N/A,TRUE,"P&amp;I Data"}</definedName>
    <definedName name="p" localSheetId="22" hidden="1">{"PI_Data",#N/A,TRUE,"P&amp;I Data"}</definedName>
    <definedName name="p" localSheetId="24" hidden="1">{"PI_Data",#N/A,TRUE,"P&amp;I Data"}</definedName>
    <definedName name="p" localSheetId="25" hidden="1">{"PI_Data",#N/A,TRUE,"P&amp;I Data"}</definedName>
    <definedName name="p" localSheetId="26" hidden="1">{"PI_Data",#N/A,TRUE,"P&amp;I Data"}</definedName>
    <definedName name="p" localSheetId="27" hidden="1">{"PI_Data",#N/A,TRUE,"P&amp;I Data"}</definedName>
    <definedName name="p" localSheetId="28" hidden="1">{"PI_Data",#N/A,TRUE,"P&amp;I Data"}</definedName>
    <definedName name="p" localSheetId="30" hidden="1">{"PI_Data",#N/A,TRUE,"P&amp;I Data"}</definedName>
    <definedName name="p" localSheetId="31" hidden="1">{"PI_Data",#N/A,TRUE,"P&amp;I Data"}</definedName>
    <definedName name="p" localSheetId="32" hidden="1">{"PI_Data",#N/A,TRUE,"P&amp;I Data"}</definedName>
    <definedName name="p" localSheetId="33" hidden="1">{"PI_Data",#N/A,TRUE,"P&amp;I Data"}</definedName>
    <definedName name="p" localSheetId="34" hidden="1">{"PI_Data",#N/A,TRUE,"P&amp;I Data"}</definedName>
    <definedName name="p" localSheetId="35" hidden="1">{"PI_Data",#N/A,TRUE,"P&amp;I Data"}</definedName>
    <definedName name="p" localSheetId="36" hidden="1">{"PI_Data",#N/A,TRUE,"P&amp;I Data"}</definedName>
    <definedName name="p" localSheetId="37" hidden="1">{"PI_Data",#N/A,TRUE,"P&amp;I Data"}</definedName>
    <definedName name="p" localSheetId="40" hidden="1">{"PI_Data",#N/A,TRUE,"P&amp;I Data"}</definedName>
    <definedName name="p" localSheetId="42" hidden="1">{"PI_Data",#N/A,TRUE,"P&amp;I Data"}</definedName>
    <definedName name="p" localSheetId="44" hidden="1">{"PI_Data",#N/A,TRUE,"P&amp;I Data"}</definedName>
    <definedName name="p" localSheetId="45" hidden="1">{"PI_Data",#N/A,TRUE,"P&amp;I Data"}</definedName>
    <definedName name="p" localSheetId="46" hidden="1">{"PI_Data",#N/A,TRUE,"P&amp;I Data"}</definedName>
    <definedName name="p" localSheetId="10" hidden="1">{"PI_Data",#N/A,TRUE,"P&amp;I Data"}</definedName>
    <definedName name="p" localSheetId="12" hidden="1">{"PI_Data",#N/A,TRUE,"P&amp;I Data"}</definedName>
    <definedName name="p" localSheetId="13" hidden="1">{"PI_Data",#N/A,TRUE,"P&amp;I Data"}</definedName>
    <definedName name="p" localSheetId="14" hidden="1">{"PI_Data",#N/A,TRUE,"P&amp;I Data"}</definedName>
    <definedName name="p" localSheetId="15" hidden="1">{"PI_Data",#N/A,TRUE,"P&amp;I Data"}</definedName>
    <definedName name="p" hidden="1">{"PI_Data",#N/A,TRUE,"P&amp;I Data"}</definedName>
    <definedName name="P2X" localSheetId="26" hidden="1">{"PI_Data",#N/A,TRUE,"P&amp;I Data"}</definedName>
    <definedName name="P2X" localSheetId="28" hidden="1">{"PI_Data",#N/A,TRUE,"P&amp;I Data"}</definedName>
    <definedName name="P2X" localSheetId="30" hidden="1">{"PI_Data",#N/A,TRUE,"P&amp;I Data"}</definedName>
    <definedName name="P2X" localSheetId="31" hidden="1">{"PI_Data",#N/A,TRUE,"P&amp;I Data"}</definedName>
    <definedName name="P2X" localSheetId="33" hidden="1">{"PI_Data",#N/A,TRUE,"P&amp;I Data"}</definedName>
    <definedName name="P2X" localSheetId="34" hidden="1">{"PI_Data",#N/A,TRUE,"P&amp;I Data"}</definedName>
    <definedName name="P2X" localSheetId="35" hidden="1">{"PI_Data",#N/A,TRUE,"P&amp;I Data"}</definedName>
    <definedName name="P2X" localSheetId="36" hidden="1">{"PI_Data",#N/A,TRUE,"P&amp;I Data"}</definedName>
    <definedName name="P2X" localSheetId="45" hidden="1">{"PI_Data",#N/A,TRUE,"P&amp;I Data"}</definedName>
    <definedName name="P2X" localSheetId="12" hidden="1">{"PI_Data",#N/A,TRUE,"P&amp;I Data"}</definedName>
    <definedName name="P2X" localSheetId="13" hidden="1">{"PI_Data",#N/A,TRUE,"P&amp;I Data"}</definedName>
    <definedName name="P2X" hidden="1">{"PI_Data",#N/A,TRUE,"P&amp;I Data"}</definedName>
    <definedName name="pctHW">[34]Input!$M$24</definedName>
    <definedName name="pctSWExp">[34]Input!$M$26</definedName>
    <definedName name="pctTraining">[34]Input!$M$25</definedName>
    <definedName name="pe">[2]Print!$A$2</definedName>
    <definedName name="PF">'[11]C. Input'!$F$35</definedName>
    <definedName name="PF_EAI">'[11]C. Input'!$I$35</definedName>
    <definedName name="PF_EGSI">'[11]C. Input'!$L$35</definedName>
    <definedName name="PF_ELI">'[11]C. Input'!$O$35</definedName>
    <definedName name="PF_EMI">'[11]C. Input'!$R$35</definedName>
    <definedName name="PF_ENOI">'[11]C. Input'!$X$35</definedName>
    <definedName name="Phase">'[2]Macro Tables'!$F$21</definedName>
    <definedName name="PIX" localSheetId="26" hidden="1">{"PI_Data",#N/A,TRUE,"P&amp;I Data"}</definedName>
    <definedName name="PIX" localSheetId="28" hidden="1">{"PI_Data",#N/A,TRUE,"P&amp;I Data"}</definedName>
    <definedName name="PIX" localSheetId="30" hidden="1">{"PI_Data",#N/A,TRUE,"P&amp;I Data"}</definedName>
    <definedName name="PIX" localSheetId="31" hidden="1">{"PI_Data",#N/A,TRUE,"P&amp;I Data"}</definedName>
    <definedName name="PIX" localSheetId="33" hidden="1">{"PI_Data",#N/A,TRUE,"P&amp;I Data"}</definedName>
    <definedName name="PIX" localSheetId="34" hidden="1">{"PI_Data",#N/A,TRUE,"P&amp;I Data"}</definedName>
    <definedName name="PIX" localSheetId="35" hidden="1">{"PI_Data",#N/A,TRUE,"P&amp;I Data"}</definedName>
    <definedName name="PIX" localSheetId="36" hidden="1">{"PI_Data",#N/A,TRUE,"P&amp;I Data"}</definedName>
    <definedName name="PIX" localSheetId="45" hidden="1">{"PI_Data",#N/A,TRUE,"P&amp;I Data"}</definedName>
    <definedName name="PIX" localSheetId="12" hidden="1">{"PI_Data",#N/A,TRUE,"P&amp;I Data"}</definedName>
    <definedName name="PIX" localSheetId="13" hidden="1">{"PI_Data",#N/A,TRUE,"P&amp;I Data"}</definedName>
    <definedName name="PIX" hidden="1">{"PI_Data",#N/A,TRUE,"P&amp;I Data"}</definedName>
    <definedName name="post_fossil">[23]Assumptions!$E$59</definedName>
    <definedName name="POWER_FACTOR">#REF!</definedName>
    <definedName name="Power51Header">#REF!</definedName>
    <definedName name="Power52">#REF!</definedName>
    <definedName name="Power52Header">#REF!</definedName>
    <definedName name="Power53">#REF!</definedName>
    <definedName name="Power53Header">#REF!</definedName>
    <definedName name="Power54">#REF!</definedName>
    <definedName name="Power54Header">#REF!</definedName>
    <definedName name="Power55">#REF!</definedName>
    <definedName name="Power55Header">#REF!</definedName>
    <definedName name="Power56">#REF!</definedName>
    <definedName name="Power56Header">#REF!</definedName>
    <definedName name="PowerHeader">#REF!</definedName>
    <definedName name="PowerSum">#REF!</definedName>
    <definedName name="PP" localSheetId="26" hidden="1">{"PI_Data",#N/A,TRUE,"P&amp;I Data"}</definedName>
    <definedName name="PP" localSheetId="28" hidden="1">{"PI_Data",#N/A,TRUE,"P&amp;I Data"}</definedName>
    <definedName name="PP" localSheetId="30" hidden="1">{"PI_Data",#N/A,TRUE,"P&amp;I Data"}</definedName>
    <definedName name="PP" localSheetId="31" hidden="1">{"PI_Data",#N/A,TRUE,"P&amp;I Data"}</definedName>
    <definedName name="PP" localSheetId="33" hidden="1">{"PI_Data",#N/A,TRUE,"P&amp;I Data"}</definedName>
    <definedName name="PP" localSheetId="34" hidden="1">{"PI_Data",#N/A,TRUE,"P&amp;I Data"}</definedName>
    <definedName name="PP" localSheetId="35" hidden="1">{"PI_Data",#N/A,TRUE,"P&amp;I Data"}</definedName>
    <definedName name="PP" localSheetId="36" hidden="1">{"PI_Data",#N/A,TRUE,"P&amp;I Data"}</definedName>
    <definedName name="PP" localSheetId="45" hidden="1">{"PI_Data",#N/A,TRUE,"P&amp;I Data"}</definedName>
    <definedName name="PP" localSheetId="12" hidden="1">{"PI_Data",#N/A,TRUE,"P&amp;I Data"}</definedName>
    <definedName name="PP" localSheetId="13" hidden="1">{"PI_Data",#N/A,TRUE,"P&amp;I Data"}</definedName>
    <definedName name="PP" hidden="1">{"PI_Data",#N/A,TRUE,"P&amp;I Data"}</definedName>
    <definedName name="PPA">[10]Assumptions!$E$38</definedName>
    <definedName name="PPLT">'[11]C. Input'!$F$152</definedName>
    <definedName name="ppppppppppppppppppppppppppppppp" localSheetId="26" hidden="1">{"PI_Data",#N/A,TRUE,"P&amp;I Data"}</definedName>
    <definedName name="ppppppppppppppppppppppppppppppp" localSheetId="28" hidden="1">{"PI_Data",#N/A,TRUE,"P&amp;I Data"}</definedName>
    <definedName name="ppppppppppppppppppppppppppppppp" localSheetId="30" hidden="1">{"PI_Data",#N/A,TRUE,"P&amp;I Data"}</definedName>
    <definedName name="ppppppppppppppppppppppppppppppp" localSheetId="31" hidden="1">{"PI_Data",#N/A,TRUE,"P&amp;I Data"}</definedName>
    <definedName name="ppppppppppppppppppppppppppppppp" localSheetId="33" hidden="1">{"PI_Data",#N/A,TRUE,"P&amp;I Data"}</definedName>
    <definedName name="ppppppppppppppppppppppppppppppp" localSheetId="34" hidden="1">{"PI_Data",#N/A,TRUE,"P&amp;I Data"}</definedName>
    <definedName name="ppppppppppppppppppppppppppppppp" localSheetId="35" hidden="1">{"PI_Data",#N/A,TRUE,"P&amp;I Data"}</definedName>
    <definedName name="ppppppppppppppppppppppppppppppp" localSheetId="36" hidden="1">{"PI_Data",#N/A,TRUE,"P&amp;I Data"}</definedName>
    <definedName name="ppppppppppppppppppppppppppppppp" localSheetId="45" hidden="1">{"PI_Data",#N/A,TRUE,"P&amp;I Data"}</definedName>
    <definedName name="ppppppppppppppppppppppppppppppp" localSheetId="12" hidden="1">{"PI_Data",#N/A,TRUE,"P&amp;I Data"}</definedName>
    <definedName name="ppppppppppppppppppppppppppppppp" localSheetId="13" hidden="1">{"PI_Data",#N/A,TRUE,"P&amp;I Data"}</definedName>
    <definedName name="ppppppppppppppppppppppppppppppp" hidden="1">{"PI_Data",#N/A,TRUE,"P&amp;I Data"}</definedName>
    <definedName name="pPRINT">'[3]DPLG-APRIL2001-TRANSCHECKOUT'!$A$1:$I$49</definedName>
    <definedName name="PPT">'[11]C. Input'!$F$244</definedName>
    <definedName name="PR">'[11]C. Input'!$F$25</definedName>
    <definedName name="PRet">'[25]Projected Gross Rev Req'!$L$228</definedName>
    <definedName name="PreTaxDebt">'[23]MTC Return'!$F$18</definedName>
    <definedName name="Print">#REF!</definedName>
    <definedName name="Print_99_IS">'[64]2nd qtr 2000'!$D$1:$I$58,'[64]2nd qtr 2000'!$N$1:$T$58,'[64]2nd qtr 2000'!$AA$1:$AH$57</definedName>
    <definedName name="_xlnm.Print_Area" localSheetId="20">'10-AccDep Corrected'!$A$1:$AD$137</definedName>
    <definedName name="_xlnm.Print_Area" localSheetId="21">'10-AccDep Original'!$A$1:$AD$137</definedName>
    <definedName name="_xlnm.Print_Area" localSheetId="25">'13-WorkCap'!$A$1:$J$69</definedName>
    <definedName name="_xlnm.Print_Area" localSheetId="26">'13-WorkCap Original'!$A$1:$J$69</definedName>
    <definedName name="_xlnm.Print_Area" localSheetId="27">'14-ADIT'!$A$1:$N$126</definedName>
    <definedName name="_xlnm.Print_Area" localSheetId="28">'14-ADIT Original'!$A$1:$N$126</definedName>
    <definedName name="_xlnm.Print_Area" localSheetId="29">'15-LossFactors'!$A$1:$H$29</definedName>
    <definedName name="_xlnm.Print_Area" localSheetId="30">'16-UnfundedReserves'!$A$1:$H$108</definedName>
    <definedName name="_xlnm.Print_Area" localSheetId="31">'16-UnfundedReserves_Original'!$A$1:$L$108</definedName>
    <definedName name="_xlnm.Print_Area" localSheetId="32">'17-RegAssets-1'!$A$1:$K$73</definedName>
    <definedName name="_xlnm.Print_Area" localSheetId="33">'17-RegAssets-1 Original'!$A$1:$K$73</definedName>
    <definedName name="_xlnm.Print_Area" localSheetId="34">'17-RegAssets-2'!$A$1:$BI$135</definedName>
    <definedName name="_xlnm.Print_Area" localSheetId="35">'17-RegAssets-2 Original'!$A$1:$BI$135</definedName>
    <definedName name="_xlnm.Print_Area" localSheetId="37">'18-OandM'!$A$1:$Q$37</definedName>
    <definedName name="_xlnm.Print_Area" localSheetId="39">'19-AandG'!$A$1:$M$78</definedName>
    <definedName name="_xlnm.Print_Area" localSheetId="38">'19-AandG_Original'!$A$1:$M$78</definedName>
    <definedName name="_xlnm.Print_Area" localSheetId="3">'1-DRR Corrected'!$A$1:$R$121</definedName>
    <definedName name="_xlnm.Print_Area" localSheetId="4">'1-DRR Original'!$A$1:$M$121</definedName>
    <definedName name="_xlnm.Print_Area" localSheetId="40">'20-RevenueCredits'!$A$1:$H$70</definedName>
    <definedName name="_xlnm.Print_Area" localSheetId="42">'22-TaxRates'!$A$1:$F$16</definedName>
    <definedName name="_xlnm.Print_Area" localSheetId="43">'23-CustServCharge'!$A$1:$E$42</definedName>
    <definedName name="_xlnm.Print_Area" localSheetId="44">'24-Allocators'!$A$1:$F$54</definedName>
    <definedName name="_xlnm.Print_Area" localSheetId="45">'24-Allocators Original'!$A$1:$F$54</definedName>
    <definedName name="_xlnm.Print_Area" localSheetId="46">'25-RevenueFeeFactors'!$A$1:$G$19</definedName>
    <definedName name="_xlnm.Print_Area" localSheetId="5">'2-True-upDRR Corrected'!$A$1:$Y$90</definedName>
    <definedName name="_xlnm.Print_Area" localSheetId="6">'2-True-upDRR Original'!$A$1:$M$90</definedName>
    <definedName name="_xlnm.Print_Area" localSheetId="7">'3-ATA Corrected'!$A$1:$L$361</definedName>
    <definedName name="_xlnm.Print_Area" localSheetId="8">'3-ATA Original'!$A$1:$L$361</definedName>
    <definedName name="_xlnm.Print_Area" localSheetId="10">'5-CostofCap-3'!$A$1:$H$27</definedName>
    <definedName name="_xlnm.Print_Area" localSheetId="11">'5-CostofCap-4'!$A$1:$L$47</definedName>
    <definedName name="_xlnm.Print_Area" localSheetId="12">'6-PlantJurisdiction'!$A$1:$I$95</definedName>
    <definedName name="_xlnm.Print_Area" localSheetId="13">'6-PlantJurisdiction_Original'!$A$1:$I$95</definedName>
    <definedName name="_xlnm.Print_Area" localSheetId="14">'7-PlantInService Corrected'!$A$1:$AD$137</definedName>
    <definedName name="_xlnm.Print_Area" localSheetId="15">'7-PlantInService Original'!$A$1:$AD$137</definedName>
    <definedName name="_xlnm.Print_Area" localSheetId="16">'8-DemandForAllocation Corrected'!$A$1:$N$49</definedName>
    <definedName name="_xlnm.Print_Area" localSheetId="17">'8-DemandForAllocation Original'!$A$1:$N$49</definedName>
    <definedName name="_xlnm.Print_Area" localSheetId="18">'9-WholesaleRevenues Corrected'!$A$1:$K$115</definedName>
    <definedName name="_xlnm.Print_Area" localSheetId="19">'9-WholesaleRevenues Original'!$A$1:$K$115</definedName>
    <definedName name="_xlnm.Print_Area" localSheetId="0">'Cover Page'!$A$1:$G$23</definedName>
    <definedName name="_xlnm.Print_Area">#REF!</definedName>
    <definedName name="Print_Area_MI" localSheetId="30">#REF!</definedName>
    <definedName name="Print_Area_MI" localSheetId="31">#REF!</definedName>
    <definedName name="Print_Area_MI" localSheetId="34">#REF!</definedName>
    <definedName name="Print_Area_MI" localSheetId="35">#REF!</definedName>
    <definedName name="Print_Area_MI" localSheetId="36">#REF!</definedName>
    <definedName name="Print_Area_MI">#REF!</definedName>
    <definedName name="Print_TFI_use">'[68]TFI use'!$A$1:$P$40,'[68]TFI use'!$A$42:$P$65,'[68]TFI use'!$A$67:$R$84</definedName>
    <definedName name="_xlnm.Print_Titles" localSheetId="20">'10-AccDep Corrected'!$1:$2</definedName>
    <definedName name="_xlnm.Print_Titles" localSheetId="21">'10-AccDep Original'!$1:$2</definedName>
    <definedName name="_xlnm.Print_Titles" localSheetId="23">'11-Depreciation Original'!$1:$2</definedName>
    <definedName name="_xlnm.Print_Titles" localSheetId="22">'11-Depreciation Updated'!$1:$2</definedName>
    <definedName name="_xlnm.Print_Titles" localSheetId="25">'13-WorkCap'!$1:$2</definedName>
    <definedName name="_xlnm.Print_Titles" localSheetId="26">'13-WorkCap Original'!$1:$2</definedName>
    <definedName name="_xlnm.Print_Titles" localSheetId="27">'14-ADIT'!$1:$2</definedName>
    <definedName name="_xlnm.Print_Titles" localSheetId="28">'14-ADIT Original'!$1:$2</definedName>
    <definedName name="_xlnm.Print_Titles" localSheetId="3">'1-DRR Corrected'!$1:$2</definedName>
    <definedName name="_xlnm.Print_Titles" localSheetId="4">'1-DRR Original'!$1:$2</definedName>
    <definedName name="_xlnm.Print_Titles" localSheetId="5">'2-True-upDRR Corrected'!$1:$2</definedName>
    <definedName name="_xlnm.Print_Titles" localSheetId="6">'2-True-upDRR Original'!$1:$2</definedName>
    <definedName name="_xlnm.Print_Titles" localSheetId="14">'7-PlantInService Corrected'!$1:$2</definedName>
    <definedName name="_xlnm.Print_Titles" localSheetId="15">'7-PlantInService Original'!$1:$2</definedName>
    <definedName name="Print_Titles_MI">'[69]DACTIVE$'!$A$1:$IV$4,'[69]DACTIVE$'!$A$1:$A$65536</definedName>
    <definedName name="Print1" localSheetId="26">#REF!</definedName>
    <definedName name="Print1" localSheetId="28">#REF!</definedName>
    <definedName name="Print1" localSheetId="33">#REF!</definedName>
    <definedName name="Print1" localSheetId="35">#REF!</definedName>
    <definedName name="Print1" localSheetId="45">#REF!</definedName>
    <definedName name="Print1" localSheetId="13">#REF!</definedName>
    <definedName name="Print1">#REF!</definedName>
    <definedName name="Print3" localSheetId="26">#REF!</definedName>
    <definedName name="Print3" localSheetId="28">#REF!</definedName>
    <definedName name="Print3" localSheetId="33">#REF!</definedName>
    <definedName name="Print3" localSheetId="35">#REF!</definedName>
    <definedName name="Print3" localSheetId="45">#REF!</definedName>
    <definedName name="Print3" localSheetId="13">#REF!</definedName>
    <definedName name="Print3">#REF!</definedName>
    <definedName name="Print4">#REF!</definedName>
    <definedName name="Print5">#REF!</definedName>
    <definedName name="PrintArea">#REF!</definedName>
    <definedName name="PrintareaDec">'[70]kWh-Mcf'!$E$97,'[70]kWh-Mcf'!$A$81:$E$118,'[70]kWh-Mcf'!$AM$86:$AO$118</definedName>
    <definedName name="prior_year_fuel_adj">'[14]Input Page'!$G$30</definedName>
    <definedName name="PriorYear">#REF!</definedName>
    <definedName name="prod_depr">'[20]Input Page'!$E$17</definedName>
    <definedName name="Proj_PIS">'[71]Final Summary Sheet'!$AB$132:$AM$141</definedName>
    <definedName name="Projection">"Projection"</definedName>
    <definedName name="ProjIDList">#REF!</definedName>
    <definedName name="ProposedRate91">#REF!</definedName>
    <definedName name="PSClass">#REF!</definedName>
    <definedName name="PSCo_COS">#REF!</definedName>
    <definedName name="psrate">#REF!</definedName>
    <definedName name="PTitle">'[25]Projected Net Rev Req'!$C$4</definedName>
    <definedName name="PXAG">'[11]C. Input'!$F$185</definedName>
    <definedName name="PYTX">'[11]C. Input'!$F$220</definedName>
    <definedName name="q" localSheetId="26" hidden="1">#REF!</definedName>
    <definedName name="q" localSheetId="28" hidden="1">#REF!</definedName>
    <definedName name="q" localSheetId="30" hidden="1">#REF!</definedName>
    <definedName name="q" localSheetId="31" hidden="1">#REF!</definedName>
    <definedName name="q" localSheetId="33" hidden="1">#REF!</definedName>
    <definedName name="q" localSheetId="35" hidden="1">#REF!</definedName>
    <definedName name="q" localSheetId="45" hidden="1">#REF!</definedName>
    <definedName name="q" localSheetId="13" hidden="1">#REF!</definedName>
    <definedName name="q" hidden="1">#REF!</definedName>
    <definedName name="q_MTEP06_App_AB_Facility" localSheetId="26">#REF!</definedName>
    <definedName name="q_MTEP06_App_AB_Facility" localSheetId="28">#REF!</definedName>
    <definedName name="q_MTEP06_App_AB_Facility" localSheetId="33">#REF!</definedName>
    <definedName name="q_MTEP06_App_AB_Facility" localSheetId="35">#REF!</definedName>
    <definedName name="q_MTEP06_App_AB_Facility" localSheetId="45">#REF!</definedName>
    <definedName name="q_MTEP06_App_AB_Facility" localSheetId="13">#REF!</definedName>
    <definedName name="q_MTEP06_App_AB_Facility">#REF!</definedName>
    <definedName name="q_MTEP06_App_AB_Projects">#REF!</definedName>
    <definedName name="QES">'[2]Gross_Rec:QRE''s'!$B$53:$N$112</definedName>
    <definedName name="qmat" localSheetId="26">#REF!</definedName>
    <definedName name="qmat" localSheetId="28">#REF!</definedName>
    <definedName name="qmat" localSheetId="33">#REF!</definedName>
    <definedName name="qmat" localSheetId="35">#REF!</definedName>
    <definedName name="qmat" localSheetId="45">#REF!</definedName>
    <definedName name="qmat" localSheetId="13">#REF!</definedName>
    <definedName name="qmat">#REF!</definedName>
    <definedName name="QRE_SUMMARY">'[2]QRE''s'!$A$7:$R$102</definedName>
    <definedName name="QTR">#REF!</definedName>
    <definedName name="qtrinfo">#REF!</definedName>
    <definedName name="query">'[72]Boston Edison'!$A$1:$M$3434</definedName>
    <definedName name="qw" localSheetId="26">{"'Metretek HTML'!$A$7:$W$42"}</definedName>
    <definedName name="qw" localSheetId="28">{"'Metretek HTML'!$A$7:$W$42"}</definedName>
    <definedName name="qw" localSheetId="33">{"'Metretek HTML'!$A$7:$W$42"}</definedName>
    <definedName name="qw" localSheetId="35">{"'Metretek HTML'!$A$7:$W$42"}</definedName>
    <definedName name="qw" localSheetId="45">{"'Metretek HTML'!$A$7:$W$42"}</definedName>
    <definedName name="qw" localSheetId="13">{"'Metretek HTML'!$A$7:$W$42"}</definedName>
    <definedName name="qw">{"'Metretek HTML'!$A$7:$W$42"}</definedName>
    <definedName name="qwer" localSheetId="20" hidden="1">{"PI_Data",#N/A,TRUE,"P&amp;I Data"}</definedName>
    <definedName name="qwer" localSheetId="21" hidden="1">{"PI_Data",#N/A,TRUE,"P&amp;I Data"}</definedName>
    <definedName name="qwer" localSheetId="23" hidden="1">{"PI_Data",#N/A,TRUE,"P&amp;I Data"}</definedName>
    <definedName name="qwer" localSheetId="22" hidden="1">{"PI_Data",#N/A,TRUE,"P&amp;I Data"}</definedName>
    <definedName name="qwer" localSheetId="24" hidden="1">{"PI_Data",#N/A,TRUE,"P&amp;I Data"}</definedName>
    <definedName name="qwer" localSheetId="25" hidden="1">{"PI_Data",#N/A,TRUE,"P&amp;I Data"}</definedName>
    <definedName name="qwer" localSheetId="26" hidden="1">{"PI_Data",#N/A,TRUE,"P&amp;I Data"}</definedName>
    <definedName name="qwer" localSheetId="27" hidden="1">{"PI_Data",#N/A,TRUE,"P&amp;I Data"}</definedName>
    <definedName name="qwer" localSheetId="28" hidden="1">{"PI_Data",#N/A,TRUE,"P&amp;I Data"}</definedName>
    <definedName name="qwer" localSheetId="30" hidden="1">{"PI_Data",#N/A,TRUE,"P&amp;I Data"}</definedName>
    <definedName name="qwer" localSheetId="31" hidden="1">{"PI_Data",#N/A,TRUE,"P&amp;I Data"}</definedName>
    <definedName name="qwer" localSheetId="32" hidden="1">{"PI_Data",#N/A,TRUE,"P&amp;I Data"}</definedName>
    <definedName name="qwer" localSheetId="33" hidden="1">{"PI_Data",#N/A,TRUE,"P&amp;I Data"}</definedName>
    <definedName name="qwer" localSheetId="34" hidden="1">{"PI_Data",#N/A,TRUE,"P&amp;I Data"}</definedName>
    <definedName name="qwer" localSheetId="35" hidden="1">{"PI_Data",#N/A,TRUE,"P&amp;I Data"}</definedName>
    <definedName name="qwer" localSheetId="36" hidden="1">{"PI_Data",#N/A,TRUE,"P&amp;I Data"}</definedName>
    <definedName name="qwer" localSheetId="37" hidden="1">{"PI_Data",#N/A,TRUE,"P&amp;I Data"}</definedName>
    <definedName name="qwer" localSheetId="40" hidden="1">{"PI_Data",#N/A,TRUE,"P&amp;I Data"}</definedName>
    <definedName name="qwer" localSheetId="42" hidden="1">{"PI_Data",#N/A,TRUE,"P&amp;I Data"}</definedName>
    <definedName name="qwer" localSheetId="44" hidden="1">{"PI_Data",#N/A,TRUE,"P&amp;I Data"}</definedName>
    <definedName name="qwer" localSheetId="45" hidden="1">{"PI_Data",#N/A,TRUE,"P&amp;I Data"}</definedName>
    <definedName name="qwer" localSheetId="46" hidden="1">{"PI_Data",#N/A,TRUE,"P&amp;I Data"}</definedName>
    <definedName name="qwer" localSheetId="10" hidden="1">{"PI_Data",#N/A,TRUE,"P&amp;I Data"}</definedName>
    <definedName name="qwer" localSheetId="12" hidden="1">{"PI_Data",#N/A,TRUE,"P&amp;I Data"}</definedName>
    <definedName name="qwer" localSheetId="13" hidden="1">{"PI_Data",#N/A,TRUE,"P&amp;I Data"}</definedName>
    <definedName name="qwer" localSheetId="14" hidden="1">{"PI_Data",#N/A,TRUE,"P&amp;I Data"}</definedName>
    <definedName name="qwer" localSheetId="15" hidden="1">{"PI_Data",#N/A,TRUE,"P&amp;I Data"}</definedName>
    <definedName name="qwer" hidden="1">{"PI_Data",#N/A,TRUE,"P&amp;I Data"}</definedName>
    <definedName name="QWER1" localSheetId="26" hidden="1">{"PI_Data",#N/A,TRUE,"P&amp;I Data"}</definedName>
    <definedName name="QWER1" localSheetId="28" hidden="1">{"PI_Data",#N/A,TRUE,"P&amp;I Data"}</definedName>
    <definedName name="QWER1" localSheetId="30" hidden="1">{"PI_Data",#N/A,TRUE,"P&amp;I Data"}</definedName>
    <definedName name="QWER1" localSheetId="31" hidden="1">{"PI_Data",#N/A,TRUE,"P&amp;I Data"}</definedName>
    <definedName name="QWER1" localSheetId="33" hidden="1">{"PI_Data",#N/A,TRUE,"P&amp;I Data"}</definedName>
    <definedName name="QWER1" localSheetId="34" hidden="1">{"PI_Data",#N/A,TRUE,"P&amp;I Data"}</definedName>
    <definedName name="QWER1" localSheetId="35" hidden="1">{"PI_Data",#N/A,TRUE,"P&amp;I Data"}</definedName>
    <definedName name="QWER1" localSheetId="36" hidden="1">{"PI_Data",#N/A,TRUE,"P&amp;I Data"}</definedName>
    <definedName name="QWER1" localSheetId="45" hidden="1">{"PI_Data",#N/A,TRUE,"P&amp;I Data"}</definedName>
    <definedName name="QWER1" localSheetId="12" hidden="1">{"PI_Data",#N/A,TRUE,"P&amp;I Data"}</definedName>
    <definedName name="QWER1" localSheetId="13" hidden="1">{"PI_Data",#N/A,TRUE,"P&amp;I Data"}</definedName>
    <definedName name="QWER1" hidden="1">{"PI_Data",#N/A,TRUE,"P&amp;I Data"}</definedName>
    <definedName name="qwer2" localSheetId="26" hidden="1">{"PI_Data",#N/A,TRUE,"P&amp;I Data"}</definedName>
    <definedName name="qwer2" localSheetId="28" hidden="1">{"PI_Data",#N/A,TRUE,"P&amp;I Data"}</definedName>
    <definedName name="qwer2" localSheetId="30" hidden="1">{"PI_Data",#N/A,TRUE,"P&amp;I Data"}</definedName>
    <definedName name="qwer2" localSheetId="31" hidden="1">{"PI_Data",#N/A,TRUE,"P&amp;I Data"}</definedName>
    <definedName name="qwer2" localSheetId="33" hidden="1">{"PI_Data",#N/A,TRUE,"P&amp;I Data"}</definedName>
    <definedName name="qwer2" localSheetId="34" hidden="1">{"PI_Data",#N/A,TRUE,"P&amp;I Data"}</definedName>
    <definedName name="qwer2" localSheetId="35" hidden="1">{"PI_Data",#N/A,TRUE,"P&amp;I Data"}</definedName>
    <definedName name="qwer2" localSheetId="36" hidden="1">{"PI_Data",#N/A,TRUE,"P&amp;I Data"}</definedName>
    <definedName name="qwer2" localSheetId="45" hidden="1">{"PI_Data",#N/A,TRUE,"P&amp;I Data"}</definedName>
    <definedName name="qwer2" localSheetId="12" hidden="1">{"PI_Data",#N/A,TRUE,"P&amp;I Data"}</definedName>
    <definedName name="qwer2" localSheetId="13" hidden="1">{"PI_Data",#N/A,TRUE,"P&amp;I Data"}</definedName>
    <definedName name="qwer2" hidden="1">{"PI_Data",#N/A,TRUE,"P&amp;I Data"}</definedName>
    <definedName name="QWERX" localSheetId="26" hidden="1">{"PI_Data",#N/A,TRUE,"P&amp;I Data"}</definedName>
    <definedName name="QWERX" localSheetId="28" hidden="1">{"PI_Data",#N/A,TRUE,"P&amp;I Data"}</definedName>
    <definedName name="QWERX" localSheetId="30" hidden="1">{"PI_Data",#N/A,TRUE,"P&amp;I Data"}</definedName>
    <definedName name="QWERX" localSheetId="31" hidden="1">{"PI_Data",#N/A,TRUE,"P&amp;I Data"}</definedName>
    <definedName name="QWERX" localSheetId="33" hidden="1">{"PI_Data",#N/A,TRUE,"P&amp;I Data"}</definedName>
    <definedName name="QWERX" localSheetId="34" hidden="1">{"PI_Data",#N/A,TRUE,"P&amp;I Data"}</definedName>
    <definedName name="QWERX" localSheetId="35" hidden="1">{"PI_Data",#N/A,TRUE,"P&amp;I Data"}</definedName>
    <definedName name="QWERX" localSheetId="36" hidden="1">{"PI_Data",#N/A,TRUE,"P&amp;I Data"}</definedName>
    <definedName name="QWERX" localSheetId="45" hidden="1">{"PI_Data",#N/A,TRUE,"P&amp;I Data"}</definedName>
    <definedName name="QWERX" localSheetId="12" hidden="1">{"PI_Data",#N/A,TRUE,"P&amp;I Data"}</definedName>
    <definedName name="QWERX" localSheetId="13" hidden="1">{"PI_Data",#N/A,TRUE,"P&amp;I Data"}</definedName>
    <definedName name="QWERX" hidden="1">{"PI_Data",#N/A,TRUE,"P&amp;I Data"}</definedName>
    <definedName name="RA">'[11]C. Input'!$F$343</definedName>
    <definedName name="RACC">#REF!</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ateClass">#REF!</definedName>
    <definedName name="ratios">#REF!</definedName>
    <definedName name="RBCustomer">#REF!</definedName>
    <definedName name="RCITYM">#REF!</definedName>
    <definedName name="RCITYS">#REF!</definedName>
    <definedName name="RCITYST">#REF!</definedName>
    <definedName name="RCITYT">#REF!</definedName>
    <definedName name="reawreqw" localSheetId="26" hidden="1">{#N/A,#N/A,FALSE,"Monthly SAIFI";#N/A,#N/A,FALSE,"Yearly SAIFI";#N/A,#N/A,FALSE,"Monthly CAIDI";#N/A,#N/A,FALSE,"Yearly CAIDI";#N/A,#N/A,FALSE,"Monthly SAIDI";#N/A,#N/A,FALSE,"Yearly SAIDI";#N/A,#N/A,FALSE,"Monthly MAIFI";#N/A,#N/A,FALSE,"Yearly MAIFI";#N/A,#N/A,FALSE,"Monthly Cust &gt;=4 Int"}</definedName>
    <definedName name="reawreqw" localSheetId="28" hidden="1">{#N/A,#N/A,FALSE,"Monthly SAIFI";#N/A,#N/A,FALSE,"Yearly SAIFI";#N/A,#N/A,FALSE,"Monthly CAIDI";#N/A,#N/A,FALSE,"Yearly CAIDI";#N/A,#N/A,FALSE,"Monthly SAIDI";#N/A,#N/A,FALSE,"Yearly SAIDI";#N/A,#N/A,FALSE,"Monthly MAIFI";#N/A,#N/A,FALSE,"Yearly MAIFI";#N/A,#N/A,FALSE,"Monthly Cust &gt;=4 Int"}</definedName>
    <definedName name="reawreqw" localSheetId="33" hidden="1">{#N/A,#N/A,FALSE,"Monthly SAIFI";#N/A,#N/A,FALSE,"Yearly SAIFI";#N/A,#N/A,FALSE,"Monthly CAIDI";#N/A,#N/A,FALSE,"Yearly CAIDI";#N/A,#N/A,FALSE,"Monthly SAIDI";#N/A,#N/A,FALSE,"Yearly SAIDI";#N/A,#N/A,FALSE,"Monthly MAIFI";#N/A,#N/A,FALSE,"Yearly MAIFI";#N/A,#N/A,FALSE,"Monthly Cust &gt;=4 Int"}</definedName>
    <definedName name="reawreqw" localSheetId="35" hidden="1">{#N/A,#N/A,FALSE,"Monthly SAIFI";#N/A,#N/A,FALSE,"Yearly SAIFI";#N/A,#N/A,FALSE,"Monthly CAIDI";#N/A,#N/A,FALSE,"Yearly CAIDI";#N/A,#N/A,FALSE,"Monthly SAIDI";#N/A,#N/A,FALSE,"Yearly SAIDI";#N/A,#N/A,FALSE,"Monthly MAIFI";#N/A,#N/A,FALSE,"Yearly MAIFI";#N/A,#N/A,FALSE,"Monthly Cust &gt;=4 Int"}</definedName>
    <definedName name="reawreqw" localSheetId="45" hidden="1">{#N/A,#N/A,FALSE,"Monthly SAIFI";#N/A,#N/A,FALSE,"Yearly SAIFI";#N/A,#N/A,FALSE,"Monthly CAIDI";#N/A,#N/A,FALSE,"Yearly CAIDI";#N/A,#N/A,FALSE,"Monthly SAIDI";#N/A,#N/A,FALSE,"Yearly SAIDI";#N/A,#N/A,FALSE,"Monthly MAIFI";#N/A,#N/A,FALSE,"Yearly MAIFI";#N/A,#N/A,FALSE,"Monthly Cust &gt;=4 Int"}</definedName>
    <definedName name="reawreqw" localSheetId="13"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rded_Year_Hours_per_month">#REF!</definedName>
    <definedName name="Recover">[73]Macro1!$A$124</definedName>
    <definedName name="reduced_credit">[2]Print!$I$22</definedName>
    <definedName name="reduced_credit_caption">[2]Print!$G$22</definedName>
    <definedName name="ReportTitle1">#REF!</definedName>
    <definedName name="Reserve2011">#REF!</definedName>
    <definedName name="respc">'[74]Employee Headcount'!$N$6:$S$803</definedName>
    <definedName name="retail" localSheetId="26" hidden="1">{#N/A,#N/A,FALSE,"Loans";#N/A,#N/A,FALSE,"Program Costs";#N/A,#N/A,FALSE,"Measures";#N/A,#N/A,FALSE,"Net Lost Rev";#N/A,#N/A,FALSE,"Incentive"}</definedName>
    <definedName name="retail" localSheetId="28" hidden="1">{#N/A,#N/A,FALSE,"Loans";#N/A,#N/A,FALSE,"Program Costs";#N/A,#N/A,FALSE,"Measures";#N/A,#N/A,FALSE,"Net Lost Rev";#N/A,#N/A,FALSE,"Incentive"}</definedName>
    <definedName name="retail" localSheetId="33" hidden="1">{#N/A,#N/A,FALSE,"Loans";#N/A,#N/A,FALSE,"Program Costs";#N/A,#N/A,FALSE,"Measures";#N/A,#N/A,FALSE,"Net Lost Rev";#N/A,#N/A,FALSE,"Incentive"}</definedName>
    <definedName name="retail" localSheetId="35" hidden="1">{#N/A,#N/A,FALSE,"Loans";#N/A,#N/A,FALSE,"Program Costs";#N/A,#N/A,FALSE,"Measures";#N/A,#N/A,FALSE,"Net Lost Rev";#N/A,#N/A,FALSE,"Incentive"}</definedName>
    <definedName name="retail" localSheetId="45"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26" hidden="1">{#N/A,#N/A,FALSE,"Loans";#N/A,#N/A,FALSE,"Program Costs";#N/A,#N/A,FALSE,"Measures";#N/A,#N/A,FALSE,"Net Lost Rev";#N/A,#N/A,FALSE,"Incentive"}</definedName>
    <definedName name="retail_CC" localSheetId="28" hidden="1">{#N/A,#N/A,FALSE,"Loans";#N/A,#N/A,FALSE,"Program Costs";#N/A,#N/A,FALSE,"Measures";#N/A,#N/A,FALSE,"Net Lost Rev";#N/A,#N/A,FALSE,"Incentive"}</definedName>
    <definedName name="retail_CC" localSheetId="33" hidden="1">{#N/A,#N/A,FALSE,"Loans";#N/A,#N/A,FALSE,"Program Costs";#N/A,#N/A,FALSE,"Measures";#N/A,#N/A,FALSE,"Net Lost Rev";#N/A,#N/A,FALSE,"Incentive"}</definedName>
    <definedName name="retail_CC" localSheetId="35" hidden="1">{#N/A,#N/A,FALSE,"Loans";#N/A,#N/A,FALSE,"Program Costs";#N/A,#N/A,FALSE,"Measures";#N/A,#N/A,FALSE,"Net Lost Rev";#N/A,#N/A,FALSE,"Incentive"}</definedName>
    <definedName name="retail_CC" localSheetId="45"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26" hidden="1">{#N/A,#N/A,FALSE,"Loans";#N/A,#N/A,FALSE,"Program Costs";#N/A,#N/A,FALSE,"Measures";#N/A,#N/A,FALSE,"Net Lost Rev";#N/A,#N/A,FALSE,"Incentive"}</definedName>
    <definedName name="retail_CC1" localSheetId="28" hidden="1">{#N/A,#N/A,FALSE,"Loans";#N/A,#N/A,FALSE,"Program Costs";#N/A,#N/A,FALSE,"Measures";#N/A,#N/A,FALSE,"Net Lost Rev";#N/A,#N/A,FALSE,"Incentive"}</definedName>
    <definedName name="retail_CC1" localSheetId="33" hidden="1">{#N/A,#N/A,FALSE,"Loans";#N/A,#N/A,FALSE,"Program Costs";#N/A,#N/A,FALSE,"Measures";#N/A,#N/A,FALSE,"Net Lost Rev";#N/A,#N/A,FALSE,"Incentive"}</definedName>
    <definedName name="retail_CC1" localSheetId="35" hidden="1">{#N/A,#N/A,FALSE,"Loans";#N/A,#N/A,FALSE,"Program Costs";#N/A,#N/A,FALSE,"Measures";#N/A,#N/A,FALSE,"Net Lost Rev";#N/A,#N/A,FALSE,"Incentive"}</definedName>
    <definedName name="retail_CC1" localSheetId="45"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hidden="1">{#N/A,#N/A,FALSE,"Loans";#N/A,#N/A,FALSE,"Program Costs";#N/A,#N/A,FALSE,"Measures";#N/A,#N/A,FALSE,"Net Lost Rev";#N/A,#N/A,FALSE,"Incentive"}</definedName>
    <definedName name="revreq">#REF!</definedName>
    <definedName name="revvar">#REF!</definedName>
    <definedName name="RF">'[35]Att. 15a.1 - TCJA DDIT and EDIT'!$E$69</definedName>
    <definedName name="RFRANM" localSheetId="26">#REF!</definedName>
    <definedName name="RFRANM" localSheetId="28">#REF!</definedName>
    <definedName name="RFRANM" localSheetId="33">#REF!</definedName>
    <definedName name="RFRANM" localSheetId="35">#REF!</definedName>
    <definedName name="RFRANM" localSheetId="45">#REF!</definedName>
    <definedName name="RFRANM" localSheetId="13">#REF!</definedName>
    <definedName name="RFRANM">#REF!</definedName>
    <definedName name="RFRANT" localSheetId="26">#REF!</definedName>
    <definedName name="RFRANT" localSheetId="28">#REF!</definedName>
    <definedName name="RFRANT" localSheetId="33">#REF!</definedName>
    <definedName name="RFRANT" localSheetId="35">#REF!</definedName>
    <definedName name="RFRANT" localSheetId="45">#REF!</definedName>
    <definedName name="RFRANT" localSheetId="13">#REF!</definedName>
    <definedName name="RFRANT">#REF!</definedName>
    <definedName name="right" localSheetId="26">#REF!</definedName>
    <definedName name="right" localSheetId="28">#REF!</definedName>
    <definedName name="right" localSheetId="33">#REF!</definedName>
    <definedName name="right" localSheetId="35">#REF!</definedName>
    <definedName name="right" localSheetId="45">#REF!</definedName>
    <definedName name="right" localSheetId="13">#REF!</definedName>
    <definedName name="right">#REF!</definedName>
    <definedName name="ROR">'[26]ATRR Est.'!$G$179</definedName>
    <definedName name="RowDetails1" localSheetId="26">#REF!</definedName>
    <definedName name="RowDetails1" localSheetId="28">#REF!</definedName>
    <definedName name="RowDetails1" localSheetId="33">#REF!</definedName>
    <definedName name="RowDetails1" localSheetId="35">#REF!</definedName>
    <definedName name="RowDetails1" localSheetId="45">#REF!</definedName>
    <definedName name="RowDetails1" localSheetId="13">#REF!</definedName>
    <definedName name="RowDetails1">#REF!</definedName>
    <definedName name="RRBT" localSheetId="26">#REF!</definedName>
    <definedName name="RRBT" localSheetId="28">#REF!</definedName>
    <definedName name="RRBT" localSheetId="33">#REF!</definedName>
    <definedName name="RRBT" localSheetId="35">#REF!</definedName>
    <definedName name="RRBT" localSheetId="45">#REF!</definedName>
    <definedName name="RRBT" localSheetId="13">#REF!</definedName>
    <definedName name="RRBT">#REF!</definedName>
    <definedName name="RRE">'[11]C. Input'!$F$207</definedName>
    <definedName name="rrrr" localSheetId="26" hidden="1">{#N/A,#N/A,FALSE,"O&amp;M by processes";#N/A,#N/A,FALSE,"Elec Act vs Bud";#N/A,#N/A,FALSE,"G&amp;A";#N/A,#N/A,FALSE,"BGS";#N/A,#N/A,FALSE,"Res Cost"}</definedName>
    <definedName name="rrrr" localSheetId="28" hidden="1">{#N/A,#N/A,FALSE,"O&amp;M by processes";#N/A,#N/A,FALSE,"Elec Act vs Bud";#N/A,#N/A,FALSE,"G&amp;A";#N/A,#N/A,FALSE,"BGS";#N/A,#N/A,FALSE,"Res Cost"}</definedName>
    <definedName name="rrrr" localSheetId="33" hidden="1">{#N/A,#N/A,FALSE,"O&amp;M by processes";#N/A,#N/A,FALSE,"Elec Act vs Bud";#N/A,#N/A,FALSE,"G&amp;A";#N/A,#N/A,FALSE,"BGS";#N/A,#N/A,FALSE,"Res Cost"}</definedName>
    <definedName name="rrrr" localSheetId="35" hidden="1">{#N/A,#N/A,FALSE,"O&amp;M by processes";#N/A,#N/A,FALSE,"Elec Act vs Bud";#N/A,#N/A,FALSE,"G&amp;A";#N/A,#N/A,FALSE,"BGS";#N/A,#N/A,FALSE,"Res Cost"}</definedName>
    <definedName name="rrrr" localSheetId="45" hidden="1">{#N/A,#N/A,FALSE,"O&amp;M by processes";#N/A,#N/A,FALSE,"Elec Act vs Bud";#N/A,#N/A,FALSE,"G&amp;A";#N/A,#N/A,FALSE,"BGS";#N/A,#N/A,FALSE,"Res Cost"}</definedName>
    <definedName name="rrrr" localSheetId="13" hidden="1">{#N/A,#N/A,FALSE,"O&amp;M by processes";#N/A,#N/A,FALSE,"Elec Act vs Bud";#N/A,#N/A,FALSE,"G&amp;A";#N/A,#N/A,FALSE,"BGS";#N/A,#N/A,FALSE,"Res Cost"}</definedName>
    <definedName name="rrrr" hidden="1">{#N/A,#N/A,FALSE,"O&amp;M by processes";#N/A,#N/A,FALSE,"Elec Act vs Bud";#N/A,#N/A,FALSE,"G&amp;A";#N/A,#N/A,FALSE,"BGS";#N/A,#N/A,FALSE,"Res Cost"}</definedName>
    <definedName name="RRUCO">#REF!</definedName>
    <definedName name="RSTATE">#REF!</definedName>
    <definedName name="RTX">'[11]C. Input'!$F$222</definedName>
    <definedName name="S">'[11]C. Input'!$F$76</definedName>
    <definedName name="SAPBEXdnldView">"49BGT7GXT9EX51LLJXMJKZ8Y6"</definedName>
    <definedName name="SAPBEXdnldView_1">"467GDHUY063FE1Q3S2Y9KSMQ8"</definedName>
    <definedName name="SAPBEXhrIndnt">1</definedName>
    <definedName name="SAPBEXrevision" localSheetId="34" hidden="1">23</definedName>
    <definedName name="SAPBEXrevision" localSheetId="35" hidden="1">23</definedName>
    <definedName name="SAPBEXrevision">9</definedName>
    <definedName name="SAPBEXsysID">"BPR"</definedName>
    <definedName name="SAPBEXwbID" localSheetId="34" hidden="1">"4HQ4VKTSPDVV7Z9R01RIJVVW7"</definedName>
    <definedName name="SAPBEXwbID" localSheetId="35" hidden="1">"4HQ4VKTSPDVV7Z9R01RIJVVW7"</definedName>
    <definedName name="SAPBEXwbID">"3XY8MM4SHGBHT4B7F8XEIC63B"</definedName>
    <definedName name="SAPBEXwbID2" localSheetId="34" hidden="1">"43PJT8J5QINLSBNFYJLE3ZU45"</definedName>
    <definedName name="SAPBEXwbID2" localSheetId="35" hidden="1">"43PJT8J5QINLSBNFYJLE3ZU45"</definedName>
    <definedName name="SAPBEXwbID2">"3W3Y8WU9D4KB8I8XZYLB5WWMT"</definedName>
    <definedName name="SAPCrosstab1">#REF!</definedName>
    <definedName name="SAPEXwbID1">"471C2VSNPC28U9XYPMV2AOH11"</definedName>
    <definedName name="SAPsysID">"708C5W7SBKP804JT78WJ0JNKI"</definedName>
    <definedName name="SAPwbID">"ARS"</definedName>
    <definedName name="saSAsa" localSheetId="26" hidden="1">{#N/A,#N/A,FALSE,"Monthly SAIFI";#N/A,#N/A,FALSE,"Yearly SAIFI";#N/A,#N/A,FALSE,"Monthly CAIDI";#N/A,#N/A,FALSE,"Yearly CAIDI";#N/A,#N/A,FALSE,"Monthly SAIDI";#N/A,#N/A,FALSE,"Yearly SAIDI";#N/A,#N/A,FALSE,"Monthly MAIFI";#N/A,#N/A,FALSE,"Yearly MAIFI";#N/A,#N/A,FALSE,"Monthly Cust &gt;=4 Int"}</definedName>
    <definedName name="saSAsa" localSheetId="28" hidden="1">{#N/A,#N/A,FALSE,"Monthly SAIFI";#N/A,#N/A,FALSE,"Yearly SAIFI";#N/A,#N/A,FALSE,"Monthly CAIDI";#N/A,#N/A,FALSE,"Yearly CAIDI";#N/A,#N/A,FALSE,"Monthly SAIDI";#N/A,#N/A,FALSE,"Yearly SAIDI";#N/A,#N/A,FALSE,"Monthly MAIFI";#N/A,#N/A,FALSE,"Yearly MAIFI";#N/A,#N/A,FALSE,"Monthly Cust &gt;=4 Int"}</definedName>
    <definedName name="saSAsa" localSheetId="33" hidden="1">{#N/A,#N/A,FALSE,"Monthly SAIFI";#N/A,#N/A,FALSE,"Yearly SAIFI";#N/A,#N/A,FALSE,"Monthly CAIDI";#N/A,#N/A,FALSE,"Yearly CAIDI";#N/A,#N/A,FALSE,"Monthly SAIDI";#N/A,#N/A,FALSE,"Yearly SAIDI";#N/A,#N/A,FALSE,"Monthly MAIFI";#N/A,#N/A,FALSE,"Yearly MAIFI";#N/A,#N/A,FALSE,"Monthly Cust &gt;=4 Int"}</definedName>
    <definedName name="saSAsa" localSheetId="35" hidden="1">{#N/A,#N/A,FALSE,"Monthly SAIFI";#N/A,#N/A,FALSE,"Yearly SAIFI";#N/A,#N/A,FALSE,"Monthly CAIDI";#N/A,#N/A,FALSE,"Yearly CAIDI";#N/A,#N/A,FALSE,"Monthly SAIDI";#N/A,#N/A,FALSE,"Yearly SAIDI";#N/A,#N/A,FALSE,"Monthly MAIFI";#N/A,#N/A,FALSE,"Yearly MAIFI";#N/A,#N/A,FALSE,"Monthly Cust &gt;=4 Int"}</definedName>
    <definedName name="saSAsa" localSheetId="45" hidden="1">{#N/A,#N/A,FALSE,"Monthly SAIFI";#N/A,#N/A,FALSE,"Yearly SAIFI";#N/A,#N/A,FALSE,"Monthly CAIDI";#N/A,#N/A,FALSE,"Yearly CAIDI";#N/A,#N/A,FALSE,"Monthly SAIDI";#N/A,#N/A,FALSE,"Yearly SAIDI";#N/A,#N/A,FALSE,"Monthly MAIFI";#N/A,#N/A,FALSE,"Yearly MAIFI";#N/A,#N/A,FALSE,"Monthly Cust &gt;=4 Int"}</definedName>
    <definedName name="saSAsa" localSheetId="13"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localSheetId="26" hidden="1">{#N/A,#N/A,FALSE,"Monthly SAIFI";#N/A,#N/A,FALSE,"Yearly SAIFI";#N/A,#N/A,FALSE,"Monthly CAIDI";#N/A,#N/A,FALSE,"Yearly CAIDI";#N/A,#N/A,FALSE,"Monthly SAIDI";#N/A,#N/A,FALSE,"Yearly SAIDI";#N/A,#N/A,FALSE,"Monthly MAIFI";#N/A,#N/A,FALSE,"Yearly MAIFI";#N/A,#N/A,FALSE,"Monthly Cust &gt;=4 Int"}</definedName>
    <definedName name="sdf" localSheetId="28" hidden="1">{#N/A,#N/A,FALSE,"Monthly SAIFI";#N/A,#N/A,FALSE,"Yearly SAIFI";#N/A,#N/A,FALSE,"Monthly CAIDI";#N/A,#N/A,FALSE,"Yearly CAIDI";#N/A,#N/A,FALSE,"Monthly SAIDI";#N/A,#N/A,FALSE,"Yearly SAIDI";#N/A,#N/A,FALSE,"Monthly MAIFI";#N/A,#N/A,FALSE,"Yearly MAIFI";#N/A,#N/A,FALSE,"Monthly Cust &gt;=4 Int"}</definedName>
    <definedName name="sdf" localSheetId="33" hidden="1">{#N/A,#N/A,FALSE,"Monthly SAIFI";#N/A,#N/A,FALSE,"Yearly SAIFI";#N/A,#N/A,FALSE,"Monthly CAIDI";#N/A,#N/A,FALSE,"Yearly CAIDI";#N/A,#N/A,FALSE,"Monthly SAIDI";#N/A,#N/A,FALSE,"Yearly SAIDI";#N/A,#N/A,FALSE,"Monthly MAIFI";#N/A,#N/A,FALSE,"Yearly MAIFI";#N/A,#N/A,FALSE,"Monthly Cust &gt;=4 Int"}</definedName>
    <definedName name="sdf" localSheetId="35" hidden="1">{#N/A,#N/A,FALSE,"Monthly SAIFI";#N/A,#N/A,FALSE,"Yearly SAIFI";#N/A,#N/A,FALSE,"Monthly CAIDI";#N/A,#N/A,FALSE,"Yearly CAIDI";#N/A,#N/A,FALSE,"Monthly SAIDI";#N/A,#N/A,FALSE,"Yearly SAIDI";#N/A,#N/A,FALSE,"Monthly MAIFI";#N/A,#N/A,FALSE,"Yearly MAIFI";#N/A,#N/A,FALSE,"Monthly Cust &gt;=4 Int"}</definedName>
    <definedName name="sdf" localSheetId="45" hidden="1">{#N/A,#N/A,FALSE,"Monthly SAIFI";#N/A,#N/A,FALSE,"Yearly SAIFI";#N/A,#N/A,FALSE,"Monthly CAIDI";#N/A,#N/A,FALSE,"Yearly CAIDI";#N/A,#N/A,FALSE,"Monthly SAIDI";#N/A,#N/A,FALSE,"Yearly SAIDI";#N/A,#N/A,FALSE,"Monthly MAIFI";#N/A,#N/A,FALSE,"Yearly MAIFI";#N/A,#N/A,FALSE,"Monthly Cust &gt;=4 Int"}</definedName>
    <definedName name="sdf" localSheetId="13"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6" hidden="1">{#N/A,#N/A,FALSE,"Monthly SAIFI";#N/A,#N/A,FALSE,"Yearly SAIFI";#N/A,#N/A,FALSE,"Monthly CAIDI";#N/A,#N/A,FALSE,"Yearly CAIDI";#N/A,#N/A,FALSE,"Monthly SAIDI";#N/A,#N/A,FALSE,"Yearly SAIDI";#N/A,#N/A,FALSE,"Monthly MAIFI";#N/A,#N/A,FALSE,"Yearly MAIFI";#N/A,#N/A,FALSE,"Monthly Cust &gt;=4 Int"}</definedName>
    <definedName name="sdfaadfasdfasdaasdfsdf" localSheetId="28" hidden="1">{#N/A,#N/A,FALSE,"Monthly SAIFI";#N/A,#N/A,FALSE,"Yearly SAIFI";#N/A,#N/A,FALSE,"Monthly CAIDI";#N/A,#N/A,FALSE,"Yearly CAIDI";#N/A,#N/A,FALSE,"Monthly SAIDI";#N/A,#N/A,FALSE,"Yearly SAIDI";#N/A,#N/A,FALSE,"Monthly MAIFI";#N/A,#N/A,FALSE,"Yearly MAIFI";#N/A,#N/A,FALSE,"Monthly Cust &gt;=4 Int"}</definedName>
    <definedName name="sdfaadfasdfasdaasdfsdf" localSheetId="33" hidden="1">{#N/A,#N/A,FALSE,"Monthly SAIFI";#N/A,#N/A,FALSE,"Yearly SAIFI";#N/A,#N/A,FALSE,"Monthly CAIDI";#N/A,#N/A,FALSE,"Yearly CAIDI";#N/A,#N/A,FALSE,"Monthly SAIDI";#N/A,#N/A,FALSE,"Yearly SAIDI";#N/A,#N/A,FALSE,"Monthly MAIFI";#N/A,#N/A,FALSE,"Yearly MAIFI";#N/A,#N/A,FALSE,"Monthly Cust &gt;=4 Int"}</definedName>
    <definedName name="sdfaadfasdfasdaasdfsdf" localSheetId="35" hidden="1">{#N/A,#N/A,FALSE,"Monthly SAIFI";#N/A,#N/A,FALSE,"Yearly SAIFI";#N/A,#N/A,FALSE,"Monthly CAIDI";#N/A,#N/A,FALSE,"Yearly CAIDI";#N/A,#N/A,FALSE,"Monthly SAIDI";#N/A,#N/A,FALSE,"Yearly SAIDI";#N/A,#N/A,FALSE,"Monthly MAIFI";#N/A,#N/A,FALSE,"Yearly MAIFI";#N/A,#N/A,FALSE,"Monthly Cust &gt;=4 Int"}</definedName>
    <definedName name="sdfaadfasdfasdaasdfsdf" localSheetId="45" hidden="1">{#N/A,#N/A,FALSE,"Monthly SAIFI";#N/A,#N/A,FALSE,"Yearly SAIFI";#N/A,#N/A,FALSE,"Monthly CAIDI";#N/A,#N/A,FALSE,"Yearly CAIDI";#N/A,#N/A,FALSE,"Monthly SAIDI";#N/A,#N/A,FALSE,"Yearly SAIDI";#N/A,#N/A,FALSE,"Monthly MAIFI";#N/A,#N/A,FALSE,"Yearly MAIFI";#N/A,#N/A,FALSE,"Monthly Cust &gt;=4 Int"}</definedName>
    <definedName name="sdfaadfasdfasdaasdfsdf" localSheetId="13"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6" hidden="1">{#N/A,#N/A,FALSE,"Monthly SAIFI";#N/A,#N/A,FALSE,"Yearly SAIFI";#N/A,#N/A,FALSE,"Monthly CAIDI";#N/A,#N/A,FALSE,"Yearly CAIDI";#N/A,#N/A,FALSE,"Monthly SAIDI";#N/A,#N/A,FALSE,"Yearly SAIDI";#N/A,#N/A,FALSE,"Monthly MAIFI";#N/A,#N/A,FALSE,"Yearly MAIFI";#N/A,#N/A,FALSE,"Monthly Cust &gt;=4 Int"}</definedName>
    <definedName name="sdfasdfasdfasdfasdfsdf" localSheetId="28" hidden="1">{#N/A,#N/A,FALSE,"Monthly SAIFI";#N/A,#N/A,FALSE,"Yearly SAIFI";#N/A,#N/A,FALSE,"Monthly CAIDI";#N/A,#N/A,FALSE,"Yearly CAIDI";#N/A,#N/A,FALSE,"Monthly SAIDI";#N/A,#N/A,FALSE,"Yearly SAIDI";#N/A,#N/A,FALSE,"Monthly MAIFI";#N/A,#N/A,FALSE,"Yearly MAIFI";#N/A,#N/A,FALSE,"Monthly Cust &gt;=4 Int"}</definedName>
    <definedName name="sdfasdfasdfasdfasdfsdf" localSheetId="33" hidden="1">{#N/A,#N/A,FALSE,"Monthly SAIFI";#N/A,#N/A,FALSE,"Yearly SAIFI";#N/A,#N/A,FALSE,"Monthly CAIDI";#N/A,#N/A,FALSE,"Yearly CAIDI";#N/A,#N/A,FALSE,"Monthly SAIDI";#N/A,#N/A,FALSE,"Yearly SAIDI";#N/A,#N/A,FALSE,"Monthly MAIFI";#N/A,#N/A,FALSE,"Yearly MAIFI";#N/A,#N/A,FALSE,"Monthly Cust &gt;=4 Int"}</definedName>
    <definedName name="sdfasdfasdfasdfasdfsdf" localSheetId="35" hidden="1">{#N/A,#N/A,FALSE,"Monthly SAIFI";#N/A,#N/A,FALSE,"Yearly SAIFI";#N/A,#N/A,FALSE,"Monthly CAIDI";#N/A,#N/A,FALSE,"Yearly CAIDI";#N/A,#N/A,FALSE,"Monthly SAIDI";#N/A,#N/A,FALSE,"Yearly SAIDI";#N/A,#N/A,FALSE,"Monthly MAIFI";#N/A,#N/A,FALSE,"Yearly MAIFI";#N/A,#N/A,FALSE,"Monthly Cust &gt;=4 Int"}</definedName>
    <definedName name="sdfasdfasdfasdfasdfsdf" localSheetId="45" hidden="1">{#N/A,#N/A,FALSE,"Monthly SAIFI";#N/A,#N/A,FALSE,"Yearly SAIFI";#N/A,#N/A,FALSE,"Monthly CAIDI";#N/A,#N/A,FALSE,"Yearly CAIDI";#N/A,#N/A,FALSE,"Monthly SAIDI";#N/A,#N/A,FALSE,"Yearly SAIDI";#N/A,#N/A,FALSE,"Monthly MAIFI";#N/A,#N/A,FALSE,"Yearly MAIFI";#N/A,#N/A,FALSE,"Monthly Cust &gt;=4 Int"}</definedName>
    <definedName name="sdfasdfasdfasdfasdfsdf" localSheetId="13"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6" hidden="1">{#N/A,#N/A,FALSE,"Monthly SAIFI";#N/A,#N/A,FALSE,"Yearly SAIFI";#N/A,#N/A,FALSE,"Monthly CAIDI";#N/A,#N/A,FALSE,"Yearly CAIDI";#N/A,#N/A,FALSE,"Monthly SAIDI";#N/A,#N/A,FALSE,"Yearly SAIDI";#N/A,#N/A,FALSE,"Monthly MAIFI";#N/A,#N/A,FALSE,"Yearly MAIFI";#N/A,#N/A,FALSE,"Monthly Cust &gt;=4 Int"}</definedName>
    <definedName name="sdfds" localSheetId="28" hidden="1">{#N/A,#N/A,FALSE,"Monthly SAIFI";#N/A,#N/A,FALSE,"Yearly SAIFI";#N/A,#N/A,FALSE,"Monthly CAIDI";#N/A,#N/A,FALSE,"Yearly CAIDI";#N/A,#N/A,FALSE,"Monthly SAIDI";#N/A,#N/A,FALSE,"Yearly SAIDI";#N/A,#N/A,FALSE,"Monthly MAIFI";#N/A,#N/A,FALSE,"Yearly MAIFI";#N/A,#N/A,FALSE,"Monthly Cust &gt;=4 Int"}</definedName>
    <definedName name="sdfds" localSheetId="33" hidden="1">{#N/A,#N/A,FALSE,"Monthly SAIFI";#N/A,#N/A,FALSE,"Yearly SAIFI";#N/A,#N/A,FALSE,"Monthly CAIDI";#N/A,#N/A,FALSE,"Yearly CAIDI";#N/A,#N/A,FALSE,"Monthly SAIDI";#N/A,#N/A,FALSE,"Yearly SAIDI";#N/A,#N/A,FALSE,"Monthly MAIFI";#N/A,#N/A,FALSE,"Yearly MAIFI";#N/A,#N/A,FALSE,"Monthly Cust &gt;=4 Int"}</definedName>
    <definedName name="sdfds" localSheetId="35" hidden="1">{#N/A,#N/A,FALSE,"Monthly SAIFI";#N/A,#N/A,FALSE,"Yearly SAIFI";#N/A,#N/A,FALSE,"Monthly CAIDI";#N/A,#N/A,FALSE,"Yearly CAIDI";#N/A,#N/A,FALSE,"Monthly SAIDI";#N/A,#N/A,FALSE,"Yearly SAIDI";#N/A,#N/A,FALSE,"Monthly MAIFI";#N/A,#N/A,FALSE,"Yearly MAIFI";#N/A,#N/A,FALSE,"Monthly Cust &gt;=4 Int"}</definedName>
    <definedName name="sdfds" localSheetId="45" hidden="1">{#N/A,#N/A,FALSE,"Monthly SAIFI";#N/A,#N/A,FALSE,"Yearly SAIFI";#N/A,#N/A,FALSE,"Monthly CAIDI";#N/A,#N/A,FALSE,"Yearly CAIDI";#N/A,#N/A,FALSE,"Monthly SAIDI";#N/A,#N/A,FALSE,"Yearly SAIDI";#N/A,#N/A,FALSE,"Monthly MAIFI";#N/A,#N/A,FALSE,"Yearly MAIFI";#N/A,#N/A,FALSE,"Monthly Cust &gt;=4 Int"}</definedName>
    <definedName name="sdfds" localSheetId="13"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6"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8" hidden="1">{#N/A,#N/A,FALSE,"Monthly SAIFI";#N/A,#N/A,FALSE,"Yearly SAIFI";#N/A,#N/A,FALSE,"Monthly CAIDI";#N/A,#N/A,FALSE,"Yearly CAIDI";#N/A,#N/A,FALSE,"Monthly SAIDI";#N/A,#N/A,FALSE,"Yearly SAIDI";#N/A,#N/A,FALSE,"Monthly MAIFI";#N/A,#N/A,FALSE,"Yearly MAIFI";#N/A,#N/A,FALSE,"Monthly Cust &gt;=4 Int"}</definedName>
    <definedName name="sdfsdffsdfasfsdfsfasfsdfsfsdf" localSheetId="33" hidden="1">{#N/A,#N/A,FALSE,"Monthly SAIFI";#N/A,#N/A,FALSE,"Yearly SAIFI";#N/A,#N/A,FALSE,"Monthly CAIDI";#N/A,#N/A,FALSE,"Yearly CAIDI";#N/A,#N/A,FALSE,"Monthly SAIDI";#N/A,#N/A,FALSE,"Yearly SAIDI";#N/A,#N/A,FALSE,"Monthly MAIFI";#N/A,#N/A,FALSE,"Yearly MAIFI";#N/A,#N/A,FALSE,"Monthly Cust &gt;=4 Int"}</definedName>
    <definedName name="sdfsdffsdfasfsdfsfasfsdfsfsdf" localSheetId="3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4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3"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6" hidden="1">{#N/A,#N/A,FALSE,"Monthly SAIFI";#N/A,#N/A,FALSE,"Yearly SAIFI";#N/A,#N/A,FALSE,"Monthly CAIDI";#N/A,#N/A,FALSE,"Yearly CAIDI";#N/A,#N/A,FALSE,"Monthly SAIDI";#N/A,#N/A,FALSE,"Yearly SAIDI";#N/A,#N/A,FALSE,"Monthly MAIFI";#N/A,#N/A,FALSE,"Yearly MAIFI";#N/A,#N/A,FALSE,"Monthly Cust &gt;=4 Int"}</definedName>
    <definedName name="sdfsdfsfsa" localSheetId="28" hidden="1">{#N/A,#N/A,FALSE,"Monthly SAIFI";#N/A,#N/A,FALSE,"Yearly SAIFI";#N/A,#N/A,FALSE,"Monthly CAIDI";#N/A,#N/A,FALSE,"Yearly CAIDI";#N/A,#N/A,FALSE,"Monthly SAIDI";#N/A,#N/A,FALSE,"Yearly SAIDI";#N/A,#N/A,FALSE,"Monthly MAIFI";#N/A,#N/A,FALSE,"Yearly MAIFI";#N/A,#N/A,FALSE,"Monthly Cust &gt;=4 Int"}</definedName>
    <definedName name="sdfsdfsfsa" localSheetId="33" hidden="1">{#N/A,#N/A,FALSE,"Monthly SAIFI";#N/A,#N/A,FALSE,"Yearly SAIFI";#N/A,#N/A,FALSE,"Monthly CAIDI";#N/A,#N/A,FALSE,"Yearly CAIDI";#N/A,#N/A,FALSE,"Monthly SAIDI";#N/A,#N/A,FALSE,"Yearly SAIDI";#N/A,#N/A,FALSE,"Monthly MAIFI";#N/A,#N/A,FALSE,"Yearly MAIFI";#N/A,#N/A,FALSE,"Monthly Cust &gt;=4 Int"}</definedName>
    <definedName name="sdfsdfsfsa" localSheetId="35" hidden="1">{#N/A,#N/A,FALSE,"Monthly SAIFI";#N/A,#N/A,FALSE,"Yearly SAIFI";#N/A,#N/A,FALSE,"Monthly CAIDI";#N/A,#N/A,FALSE,"Yearly CAIDI";#N/A,#N/A,FALSE,"Monthly SAIDI";#N/A,#N/A,FALSE,"Yearly SAIDI";#N/A,#N/A,FALSE,"Monthly MAIFI";#N/A,#N/A,FALSE,"Yearly MAIFI";#N/A,#N/A,FALSE,"Monthly Cust &gt;=4 Int"}</definedName>
    <definedName name="sdfsdfsfsa" localSheetId="45" hidden="1">{#N/A,#N/A,FALSE,"Monthly SAIFI";#N/A,#N/A,FALSE,"Yearly SAIFI";#N/A,#N/A,FALSE,"Monthly CAIDI";#N/A,#N/A,FALSE,"Yearly CAIDI";#N/A,#N/A,FALSE,"Monthly SAIDI";#N/A,#N/A,FALSE,"Yearly SAIDI";#N/A,#N/A,FALSE,"Monthly MAIFI";#N/A,#N/A,FALSE,"Yearly MAIFI";#N/A,#N/A,FALSE,"Monthly Cust &gt;=4 Int"}</definedName>
    <definedName name="sdfsdfsfsa" localSheetId="13"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 localSheetId="26" hidden="1">{"Summary","1",FALSE,"Summary"}</definedName>
    <definedName name="sds" localSheetId="28" hidden="1">{"Summary","1",FALSE,"Summary"}</definedName>
    <definedName name="sds" localSheetId="30" hidden="1">{"Summary","1",FALSE,"Summary"}</definedName>
    <definedName name="sds" localSheetId="31" hidden="1">{"Summary","1",FALSE,"Summary"}</definedName>
    <definedName name="sds" localSheetId="33" hidden="1">{"Summary","1",FALSE,"Summary"}</definedName>
    <definedName name="sds" localSheetId="34" hidden="1">{"Summary","1",FALSE,"Summary"}</definedName>
    <definedName name="sds" localSheetId="35" hidden="1">{"Summary","1",FALSE,"Summary"}</definedName>
    <definedName name="sds" localSheetId="36" hidden="1">{"Summary","1",FALSE,"Summary"}</definedName>
    <definedName name="sds" localSheetId="45" hidden="1">{"Summary","1",FALSE,"Summary"}</definedName>
    <definedName name="sds" localSheetId="12" hidden="1">{"Summary","1",FALSE,"Summary"}</definedName>
    <definedName name="sds" localSheetId="13" hidden="1">{"Summary","1",FALSE,"Summary"}</definedName>
    <definedName name="sds" hidden="1">{"Summary","1",FALSE,"Summary"}</definedName>
    <definedName name="sdsb" localSheetId="26" hidden="1">{"Summary","1",FALSE,"Summary"}</definedName>
    <definedName name="sdsb" localSheetId="28" hidden="1">{"Summary","1",FALSE,"Summary"}</definedName>
    <definedName name="sdsb" localSheetId="30" hidden="1">{"Summary","1",FALSE,"Summary"}</definedName>
    <definedName name="sdsb" localSheetId="31" hidden="1">{"Summary","1",FALSE,"Summary"}</definedName>
    <definedName name="sdsb" localSheetId="33" hidden="1">{"Summary","1",FALSE,"Summary"}</definedName>
    <definedName name="sdsb" localSheetId="34" hidden="1">{"Summary","1",FALSE,"Summary"}</definedName>
    <definedName name="sdsb" localSheetId="35" hidden="1">{"Summary","1",FALSE,"Summary"}</definedName>
    <definedName name="sdsb" localSheetId="36" hidden="1">{"Summary","1",FALSE,"Summary"}</definedName>
    <definedName name="sdsb" localSheetId="45" hidden="1">{"Summary","1",FALSE,"Summary"}</definedName>
    <definedName name="sdsb" localSheetId="12" hidden="1">{"Summary","1",FALSE,"Summary"}</definedName>
    <definedName name="sdsb" localSheetId="13" hidden="1">{"Summary","1",FALSE,"Summary"}</definedName>
    <definedName name="sdsb" hidden="1">{"Summary","1",FALSE,"Summary"}</definedName>
    <definedName name="Seasons">#REF!</definedName>
    <definedName name="SECUR_GI">'[11]C. Input'!$F$353</definedName>
    <definedName name="SECUR_IS">'[11]C. Input'!$F$357</definedName>
    <definedName name="SECUR_KR">'[11]C. Input'!$F$349</definedName>
    <definedName name="sencount">1</definedName>
    <definedName name="SENS_NET_CREDIT">[2]Sens_Model!$E$193</definedName>
    <definedName name="September09Billed" localSheetId="26" hidden="1">{#N/A,#N/A,FALSE,"Monthly SAIFI";#N/A,#N/A,FALSE,"Yearly SAIFI";#N/A,#N/A,FALSE,"Monthly CAIDI";#N/A,#N/A,FALSE,"Yearly CAIDI";#N/A,#N/A,FALSE,"Monthly SAIDI";#N/A,#N/A,FALSE,"Yearly SAIDI";#N/A,#N/A,FALSE,"Monthly MAIFI";#N/A,#N/A,FALSE,"Yearly MAIFI";#N/A,#N/A,FALSE,"Monthly Cust &gt;=4 Int"}</definedName>
    <definedName name="September09Billed" localSheetId="28" hidden="1">{#N/A,#N/A,FALSE,"Monthly SAIFI";#N/A,#N/A,FALSE,"Yearly SAIFI";#N/A,#N/A,FALSE,"Monthly CAIDI";#N/A,#N/A,FALSE,"Yearly CAIDI";#N/A,#N/A,FALSE,"Monthly SAIDI";#N/A,#N/A,FALSE,"Yearly SAIDI";#N/A,#N/A,FALSE,"Monthly MAIFI";#N/A,#N/A,FALSE,"Yearly MAIFI";#N/A,#N/A,FALSE,"Monthly Cust &gt;=4 Int"}</definedName>
    <definedName name="September09Billed" localSheetId="33" hidden="1">{#N/A,#N/A,FALSE,"Monthly SAIFI";#N/A,#N/A,FALSE,"Yearly SAIFI";#N/A,#N/A,FALSE,"Monthly CAIDI";#N/A,#N/A,FALSE,"Yearly CAIDI";#N/A,#N/A,FALSE,"Monthly SAIDI";#N/A,#N/A,FALSE,"Yearly SAIDI";#N/A,#N/A,FALSE,"Monthly MAIFI";#N/A,#N/A,FALSE,"Yearly MAIFI";#N/A,#N/A,FALSE,"Monthly Cust &gt;=4 Int"}</definedName>
    <definedName name="September09Billed" localSheetId="35" hidden="1">{#N/A,#N/A,FALSE,"Monthly SAIFI";#N/A,#N/A,FALSE,"Yearly SAIFI";#N/A,#N/A,FALSE,"Monthly CAIDI";#N/A,#N/A,FALSE,"Yearly CAIDI";#N/A,#N/A,FALSE,"Monthly SAIDI";#N/A,#N/A,FALSE,"Yearly SAIDI";#N/A,#N/A,FALSE,"Monthly MAIFI";#N/A,#N/A,FALSE,"Yearly MAIFI";#N/A,#N/A,FALSE,"Monthly Cust &gt;=4 Int"}</definedName>
    <definedName name="September09Billed" localSheetId="45" hidden="1">{#N/A,#N/A,FALSE,"Monthly SAIFI";#N/A,#N/A,FALSE,"Yearly SAIFI";#N/A,#N/A,FALSE,"Monthly CAIDI";#N/A,#N/A,FALSE,"Yearly CAIDI";#N/A,#N/A,FALSE,"Monthly SAIDI";#N/A,#N/A,FALSE,"Yearly SAIDI";#N/A,#N/A,FALSE,"Monthly MAIFI";#N/A,#N/A,FALSE,"Yearly MAIFI";#N/A,#N/A,FALSE,"Monthly Cust &gt;=4 Int"}</definedName>
    <definedName name="September09Billed" localSheetId="13"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ffsfa" localSheetId="26" hidden="1">{#N/A,#N/A,FALSE,"Monthly SAIFI";#N/A,#N/A,FALSE,"Yearly SAIFI";#N/A,#N/A,FALSE,"Monthly CAIDI";#N/A,#N/A,FALSE,"Yearly CAIDI";#N/A,#N/A,FALSE,"Monthly SAIDI";#N/A,#N/A,FALSE,"Yearly SAIDI";#N/A,#N/A,FALSE,"Monthly MAIFI";#N/A,#N/A,FALSE,"Yearly MAIFI";#N/A,#N/A,FALSE,"Monthly Cust &gt;=4 Int"}</definedName>
    <definedName name="sffsfa" localSheetId="28" hidden="1">{#N/A,#N/A,FALSE,"Monthly SAIFI";#N/A,#N/A,FALSE,"Yearly SAIFI";#N/A,#N/A,FALSE,"Monthly CAIDI";#N/A,#N/A,FALSE,"Yearly CAIDI";#N/A,#N/A,FALSE,"Monthly SAIDI";#N/A,#N/A,FALSE,"Yearly SAIDI";#N/A,#N/A,FALSE,"Monthly MAIFI";#N/A,#N/A,FALSE,"Yearly MAIFI";#N/A,#N/A,FALSE,"Monthly Cust &gt;=4 Int"}</definedName>
    <definedName name="sffsfa" localSheetId="33" hidden="1">{#N/A,#N/A,FALSE,"Monthly SAIFI";#N/A,#N/A,FALSE,"Yearly SAIFI";#N/A,#N/A,FALSE,"Monthly CAIDI";#N/A,#N/A,FALSE,"Yearly CAIDI";#N/A,#N/A,FALSE,"Monthly SAIDI";#N/A,#N/A,FALSE,"Yearly SAIDI";#N/A,#N/A,FALSE,"Monthly MAIFI";#N/A,#N/A,FALSE,"Yearly MAIFI";#N/A,#N/A,FALSE,"Monthly Cust &gt;=4 Int"}</definedName>
    <definedName name="sffsfa" localSheetId="35" hidden="1">{#N/A,#N/A,FALSE,"Monthly SAIFI";#N/A,#N/A,FALSE,"Yearly SAIFI";#N/A,#N/A,FALSE,"Monthly CAIDI";#N/A,#N/A,FALSE,"Yearly CAIDI";#N/A,#N/A,FALSE,"Monthly SAIDI";#N/A,#N/A,FALSE,"Yearly SAIDI";#N/A,#N/A,FALSE,"Monthly MAIFI";#N/A,#N/A,FALSE,"Yearly MAIFI";#N/A,#N/A,FALSE,"Monthly Cust &gt;=4 Int"}</definedName>
    <definedName name="sffsfa" localSheetId="45" hidden="1">{#N/A,#N/A,FALSE,"Monthly SAIFI";#N/A,#N/A,FALSE,"Yearly SAIFI";#N/A,#N/A,FALSE,"Monthly CAIDI";#N/A,#N/A,FALSE,"Yearly CAIDI";#N/A,#N/A,FALSE,"Monthly SAIDI";#N/A,#N/A,FALSE,"Yearly SAIDI";#N/A,#N/A,FALSE,"Monthly MAIFI";#N/A,#N/A,FALSE,"Yearly MAIFI";#N/A,#N/A,FALSE,"Monthly Cust &gt;=4 Int"}</definedName>
    <definedName name="sffsfa" localSheetId="13"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6" hidden="1">{#N/A,#N/A,FALSE,"Monthly SAIFI";#N/A,#N/A,FALSE,"Yearly SAIFI";#N/A,#N/A,FALSE,"Monthly CAIDI";#N/A,#N/A,FALSE,"Yearly CAIDI";#N/A,#N/A,FALSE,"Monthly SAIDI";#N/A,#N/A,FALSE,"Yearly SAIDI";#N/A,#N/A,FALSE,"Monthly MAIFI";#N/A,#N/A,FALSE,"Yearly MAIFI";#N/A,#N/A,FALSE,"Monthly Cust &gt;=4 Int"}</definedName>
    <definedName name="SFSFD" localSheetId="28" hidden="1">{#N/A,#N/A,FALSE,"Monthly SAIFI";#N/A,#N/A,FALSE,"Yearly SAIFI";#N/A,#N/A,FALSE,"Monthly CAIDI";#N/A,#N/A,FALSE,"Yearly CAIDI";#N/A,#N/A,FALSE,"Monthly SAIDI";#N/A,#N/A,FALSE,"Yearly SAIDI";#N/A,#N/A,FALSE,"Monthly MAIFI";#N/A,#N/A,FALSE,"Yearly MAIFI";#N/A,#N/A,FALSE,"Monthly Cust &gt;=4 Int"}</definedName>
    <definedName name="SFSFD" localSheetId="33" hidden="1">{#N/A,#N/A,FALSE,"Monthly SAIFI";#N/A,#N/A,FALSE,"Yearly SAIFI";#N/A,#N/A,FALSE,"Monthly CAIDI";#N/A,#N/A,FALSE,"Yearly CAIDI";#N/A,#N/A,FALSE,"Monthly SAIDI";#N/A,#N/A,FALSE,"Yearly SAIDI";#N/A,#N/A,FALSE,"Monthly MAIFI";#N/A,#N/A,FALSE,"Yearly MAIFI";#N/A,#N/A,FALSE,"Monthly Cust &gt;=4 Int"}</definedName>
    <definedName name="SFSFD" localSheetId="35" hidden="1">{#N/A,#N/A,FALSE,"Monthly SAIFI";#N/A,#N/A,FALSE,"Yearly SAIFI";#N/A,#N/A,FALSE,"Monthly CAIDI";#N/A,#N/A,FALSE,"Yearly CAIDI";#N/A,#N/A,FALSE,"Monthly SAIDI";#N/A,#N/A,FALSE,"Yearly SAIDI";#N/A,#N/A,FALSE,"Monthly MAIFI";#N/A,#N/A,FALSE,"Yearly MAIFI";#N/A,#N/A,FALSE,"Monthly Cust &gt;=4 Int"}</definedName>
    <definedName name="SFSFD" localSheetId="45" hidden="1">{#N/A,#N/A,FALSE,"Monthly SAIFI";#N/A,#N/A,FALSE,"Yearly SAIFI";#N/A,#N/A,FALSE,"Monthly CAIDI";#N/A,#N/A,FALSE,"Yearly CAIDI";#N/A,#N/A,FALSE,"Monthly SAIDI";#N/A,#N/A,FALSE,"Yearly SAIDI";#N/A,#N/A,FALSE,"Monthly MAIFI";#N/A,#N/A,FALSE,"Yearly MAIFI";#N/A,#N/A,FALSE,"Monthly Cust &gt;=4 Int"}</definedName>
    <definedName name="SFSFD" localSheetId="13"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localSheetId="26" hidden="1">{#N/A,#N/A,FALSE,"Monthly SAIFI";#N/A,#N/A,FALSE,"Yearly SAIFI";#N/A,#N/A,FALSE,"Monthly CAIDI";#N/A,#N/A,FALSE,"Yearly CAIDI";#N/A,#N/A,FALSE,"Monthly SAIDI";#N/A,#N/A,FALSE,"Yearly SAIDI";#N/A,#N/A,FALSE,"Monthly MAIFI";#N/A,#N/A,FALSE,"Yearly MAIFI";#N/A,#N/A,FALSE,"Monthly Cust &gt;=4 Int"}</definedName>
    <definedName name="Sheet1" localSheetId="28" hidden="1">{#N/A,#N/A,FALSE,"Monthly SAIFI";#N/A,#N/A,FALSE,"Yearly SAIFI";#N/A,#N/A,FALSE,"Monthly CAIDI";#N/A,#N/A,FALSE,"Yearly CAIDI";#N/A,#N/A,FALSE,"Monthly SAIDI";#N/A,#N/A,FALSE,"Yearly SAIDI";#N/A,#N/A,FALSE,"Monthly MAIFI";#N/A,#N/A,FALSE,"Yearly MAIFI";#N/A,#N/A,FALSE,"Monthly Cust &gt;=4 Int"}</definedName>
    <definedName name="Sheet1" localSheetId="33" hidden="1">{#N/A,#N/A,FALSE,"Monthly SAIFI";#N/A,#N/A,FALSE,"Yearly SAIFI";#N/A,#N/A,FALSE,"Monthly CAIDI";#N/A,#N/A,FALSE,"Yearly CAIDI";#N/A,#N/A,FALSE,"Monthly SAIDI";#N/A,#N/A,FALSE,"Yearly SAIDI";#N/A,#N/A,FALSE,"Monthly MAIFI";#N/A,#N/A,FALSE,"Yearly MAIFI";#N/A,#N/A,FALSE,"Monthly Cust &gt;=4 Int"}</definedName>
    <definedName name="Sheet1" localSheetId="35" hidden="1">{#N/A,#N/A,FALSE,"Monthly SAIFI";#N/A,#N/A,FALSE,"Yearly SAIFI";#N/A,#N/A,FALSE,"Monthly CAIDI";#N/A,#N/A,FALSE,"Yearly CAIDI";#N/A,#N/A,FALSE,"Monthly SAIDI";#N/A,#N/A,FALSE,"Yearly SAIDI";#N/A,#N/A,FALSE,"Monthly MAIFI";#N/A,#N/A,FALSE,"Yearly MAIFI";#N/A,#N/A,FALSE,"Monthly Cust &gt;=4 Int"}</definedName>
    <definedName name="Sheet1" localSheetId="45" hidden="1">{#N/A,#N/A,FALSE,"Monthly SAIFI";#N/A,#N/A,FALSE,"Yearly SAIFI";#N/A,#N/A,FALSE,"Monthly CAIDI";#N/A,#N/A,FALSE,"Yearly CAIDI";#N/A,#N/A,FALSE,"Monthly SAIDI";#N/A,#N/A,FALSE,"Yearly SAIDI";#N/A,#N/A,FALSE,"Monthly MAIFI";#N/A,#N/A,FALSE,"Yearly MAIFI";#N/A,#N/A,FALSE,"Monthly Cust &gt;=4 Int"}</definedName>
    <definedName name="Sheet1" localSheetId="13"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it" localSheetId="26" hidden="1">{"PRINT",#N/A,TRUE,"APPA";"PRINT",#N/A,TRUE,"APS";"PRINT",#N/A,TRUE,"BHPL";"PRINT",#N/A,TRUE,"BHPL2";"PRINT",#N/A,TRUE,"CDWR";"PRINT",#N/A,TRUE,"EWEB";"PRINT",#N/A,TRUE,"LADWP";"PRINT",#N/A,TRUE,"NEVBASE"}</definedName>
    <definedName name="shit" localSheetId="28" hidden="1">{"PRINT",#N/A,TRUE,"APPA";"PRINT",#N/A,TRUE,"APS";"PRINT",#N/A,TRUE,"BHPL";"PRINT",#N/A,TRUE,"BHPL2";"PRINT",#N/A,TRUE,"CDWR";"PRINT",#N/A,TRUE,"EWEB";"PRINT",#N/A,TRUE,"LADWP";"PRINT",#N/A,TRUE,"NEVBASE"}</definedName>
    <definedName name="shit" localSheetId="33" hidden="1">{"PRINT",#N/A,TRUE,"APPA";"PRINT",#N/A,TRUE,"APS";"PRINT",#N/A,TRUE,"BHPL";"PRINT",#N/A,TRUE,"BHPL2";"PRINT",#N/A,TRUE,"CDWR";"PRINT",#N/A,TRUE,"EWEB";"PRINT",#N/A,TRUE,"LADWP";"PRINT",#N/A,TRUE,"NEVBASE"}</definedName>
    <definedName name="shit" localSheetId="35" hidden="1">{"PRINT",#N/A,TRUE,"APPA";"PRINT",#N/A,TRUE,"APS";"PRINT",#N/A,TRUE,"BHPL";"PRINT",#N/A,TRUE,"BHPL2";"PRINT",#N/A,TRUE,"CDWR";"PRINT",#N/A,TRUE,"EWEB";"PRINT",#N/A,TRUE,"LADWP";"PRINT",#N/A,TRUE,"NEVBASE"}</definedName>
    <definedName name="shit" localSheetId="45"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localSheetId="26" hidden="1">{#N/A,#N/A,FALSE,"O&amp;M by processes";#N/A,#N/A,FALSE,"Elec Act vs Bud";#N/A,#N/A,FALSE,"G&amp;A";#N/A,#N/A,FALSE,"BGS";#N/A,#N/A,FALSE,"Res Cost"}</definedName>
    <definedName name="shiva" localSheetId="28" hidden="1">{#N/A,#N/A,FALSE,"O&amp;M by processes";#N/A,#N/A,FALSE,"Elec Act vs Bud";#N/A,#N/A,FALSE,"G&amp;A";#N/A,#N/A,FALSE,"BGS";#N/A,#N/A,FALSE,"Res Cost"}</definedName>
    <definedName name="shiva" localSheetId="33" hidden="1">{#N/A,#N/A,FALSE,"O&amp;M by processes";#N/A,#N/A,FALSE,"Elec Act vs Bud";#N/A,#N/A,FALSE,"G&amp;A";#N/A,#N/A,FALSE,"BGS";#N/A,#N/A,FALSE,"Res Cost"}</definedName>
    <definedName name="shiva" localSheetId="35" hidden="1">{#N/A,#N/A,FALSE,"O&amp;M by processes";#N/A,#N/A,FALSE,"Elec Act vs Bud";#N/A,#N/A,FALSE,"G&amp;A";#N/A,#N/A,FALSE,"BGS";#N/A,#N/A,FALSE,"Res Cost"}</definedName>
    <definedName name="shiva" localSheetId="45" hidden="1">{#N/A,#N/A,FALSE,"O&amp;M by processes";#N/A,#N/A,FALSE,"Elec Act vs Bud";#N/A,#N/A,FALSE,"G&amp;A";#N/A,#N/A,FALSE,"BGS";#N/A,#N/A,FALSE,"Res Cost"}</definedName>
    <definedName name="shiva" localSheetId="13" hidden="1">{#N/A,#N/A,FALSE,"O&amp;M by processes";#N/A,#N/A,FALSE,"Elec Act vs Bud";#N/A,#N/A,FALSE,"G&amp;A";#N/A,#N/A,FALSE,"BGS";#N/A,#N/A,FALSE,"Res Cost"}</definedName>
    <definedName name="shiva" hidden="1">{#N/A,#N/A,FALSE,"O&amp;M by processes";#N/A,#N/A,FALSE,"Elec Act vs Bud";#N/A,#N/A,FALSE,"G&amp;A";#N/A,#N/A,FALSE,"BGS";#N/A,#N/A,FALSE,"Res Cost"}</definedName>
    <definedName name="SILVERFAC">#REF!</definedName>
    <definedName name="SILVERLF">#REF!</definedName>
    <definedName name="SILVERMW">#REF!</definedName>
    <definedName name="SILVERMWH">#REF!</definedName>
    <definedName name="SIT">'[35]Attachment 15 - Income Taxes'!$K$8</definedName>
    <definedName name="slldk" localSheetId="26" hidden="1">{#N/A,#N/A,FALSE,"Monthly SAIFI";#N/A,#N/A,FALSE,"Yearly SAIFI";#N/A,#N/A,FALSE,"Monthly CAIDI";#N/A,#N/A,FALSE,"Yearly CAIDI";#N/A,#N/A,FALSE,"Monthly SAIDI";#N/A,#N/A,FALSE,"Yearly SAIDI";#N/A,#N/A,FALSE,"Monthly MAIFI";#N/A,#N/A,FALSE,"Yearly MAIFI";#N/A,#N/A,FALSE,"Monthly Cust &gt;=4 Int"}</definedName>
    <definedName name="slldk" localSheetId="28" hidden="1">{#N/A,#N/A,FALSE,"Monthly SAIFI";#N/A,#N/A,FALSE,"Yearly SAIFI";#N/A,#N/A,FALSE,"Monthly CAIDI";#N/A,#N/A,FALSE,"Yearly CAIDI";#N/A,#N/A,FALSE,"Monthly SAIDI";#N/A,#N/A,FALSE,"Yearly SAIDI";#N/A,#N/A,FALSE,"Monthly MAIFI";#N/A,#N/A,FALSE,"Yearly MAIFI";#N/A,#N/A,FALSE,"Monthly Cust &gt;=4 Int"}</definedName>
    <definedName name="slldk" localSheetId="33" hidden="1">{#N/A,#N/A,FALSE,"Monthly SAIFI";#N/A,#N/A,FALSE,"Yearly SAIFI";#N/A,#N/A,FALSE,"Monthly CAIDI";#N/A,#N/A,FALSE,"Yearly CAIDI";#N/A,#N/A,FALSE,"Monthly SAIDI";#N/A,#N/A,FALSE,"Yearly SAIDI";#N/A,#N/A,FALSE,"Monthly MAIFI";#N/A,#N/A,FALSE,"Yearly MAIFI";#N/A,#N/A,FALSE,"Monthly Cust &gt;=4 Int"}</definedName>
    <definedName name="slldk" localSheetId="35" hidden="1">{#N/A,#N/A,FALSE,"Monthly SAIFI";#N/A,#N/A,FALSE,"Yearly SAIFI";#N/A,#N/A,FALSE,"Monthly CAIDI";#N/A,#N/A,FALSE,"Yearly CAIDI";#N/A,#N/A,FALSE,"Monthly SAIDI";#N/A,#N/A,FALSE,"Yearly SAIDI";#N/A,#N/A,FALSE,"Monthly MAIFI";#N/A,#N/A,FALSE,"Yearly MAIFI";#N/A,#N/A,FALSE,"Monthly Cust &gt;=4 Int"}</definedName>
    <definedName name="slldk" localSheetId="45" hidden="1">{#N/A,#N/A,FALSE,"Monthly SAIFI";#N/A,#N/A,FALSE,"Yearly SAIFI";#N/A,#N/A,FALSE,"Monthly CAIDI";#N/A,#N/A,FALSE,"Yearly CAIDI";#N/A,#N/A,FALSE,"Monthly SAIDI";#N/A,#N/A,FALSE,"Yearly SAIDI";#N/A,#N/A,FALSE,"Monthly MAIFI";#N/A,#N/A,FALSE,"Yearly MAIFI";#N/A,#N/A,FALSE,"Monthly Cust &gt;=4 Int"}</definedName>
    <definedName name="slldk" localSheetId="13"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lver_lin" hidden="1">0</definedName>
    <definedName name="solver_num" hidden="1">0</definedName>
    <definedName name="solver_opt" localSheetId="20" hidden="1">#REF!</definedName>
    <definedName name="solver_opt" localSheetId="21" hidden="1">#REF!</definedName>
    <definedName name="solver_opt" localSheetId="23" hidden="1">#REF!</definedName>
    <definedName name="solver_opt" localSheetId="22" hidden="1">#REF!</definedName>
    <definedName name="solver_opt" localSheetId="24" hidden="1">#REF!</definedName>
    <definedName name="solver_opt" localSheetId="25" hidden="1">#REF!</definedName>
    <definedName name="solver_opt" localSheetId="26" hidden="1">#REF!</definedName>
    <definedName name="solver_opt" localSheetId="27" hidden="1">#REF!</definedName>
    <definedName name="solver_opt" localSheetId="28"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7" hidden="1">#REF!</definedName>
    <definedName name="solver_opt" localSheetId="40" hidden="1">#REF!</definedName>
    <definedName name="solver_opt" localSheetId="42" hidden="1">#REF!</definedName>
    <definedName name="solver_opt" localSheetId="44" hidden="1">#REF!</definedName>
    <definedName name="solver_opt" localSheetId="45" hidden="1">#REF!</definedName>
    <definedName name="solver_opt" localSheetId="46" hidden="1">#REF!</definedName>
    <definedName name="solver_opt" localSheetId="5" hidden="1">#REF!</definedName>
    <definedName name="solver_opt" localSheetId="6" hidden="1">#REF!</definedName>
    <definedName name="solver_opt" localSheetId="10" hidden="1">#REF!</definedName>
    <definedName name="solver_opt" localSheetId="12" hidden="1">#REF!</definedName>
    <definedName name="solver_opt" localSheetId="13" hidden="1">#REF!</definedName>
    <definedName name="solver_opt" localSheetId="14" hidden="1">#REF!</definedName>
    <definedName name="solver_opt" localSheetId="15" hidden="1">#REF!</definedName>
    <definedName name="solver_opt" hidden="1">#REF!</definedName>
    <definedName name="solver_typ" hidden="1">1</definedName>
    <definedName name="solver_val" hidden="1">0</definedName>
    <definedName name="SPS_COS">#REF!</definedName>
    <definedName name="ssd" localSheetId="26"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30"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3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33"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34"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36"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4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1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13"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26"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30"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3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33"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34"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36"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4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1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13"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ssssssss" localSheetId="26">{"'Metretek HTML'!$A$7:$W$42"}</definedName>
    <definedName name="ssssssssss" localSheetId="28">{"'Metretek HTML'!$A$7:$W$42"}</definedName>
    <definedName name="ssssssssss" localSheetId="33">{"'Metretek HTML'!$A$7:$W$42"}</definedName>
    <definedName name="ssssssssss" localSheetId="35">{"'Metretek HTML'!$A$7:$W$42"}</definedName>
    <definedName name="ssssssssss" localSheetId="45">{"'Metretek HTML'!$A$7:$W$42"}</definedName>
    <definedName name="ssssssssss" localSheetId="13">{"'Metretek HTML'!$A$7:$W$42"}</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#REF!</definedName>
    <definedName name="STATE">#REF!</definedName>
    <definedName name="statsrevised" localSheetId="26" hidden="1">{#N/A,#N/A,FALSE,"O&amp;M by processes";#N/A,#N/A,FALSE,"Elec Act vs Bud";#N/A,#N/A,FALSE,"G&amp;A";#N/A,#N/A,FALSE,"BGS";#N/A,#N/A,FALSE,"Res Cost"}</definedName>
    <definedName name="statsrevised" localSheetId="28" hidden="1">{#N/A,#N/A,FALSE,"O&amp;M by processes";#N/A,#N/A,FALSE,"Elec Act vs Bud";#N/A,#N/A,FALSE,"G&amp;A";#N/A,#N/A,FALSE,"BGS";#N/A,#N/A,FALSE,"Res Cost"}</definedName>
    <definedName name="statsrevised" localSheetId="33" hidden="1">{#N/A,#N/A,FALSE,"O&amp;M by processes";#N/A,#N/A,FALSE,"Elec Act vs Bud";#N/A,#N/A,FALSE,"G&amp;A";#N/A,#N/A,FALSE,"BGS";#N/A,#N/A,FALSE,"Res Cost"}</definedName>
    <definedName name="statsrevised" localSheetId="35" hidden="1">{#N/A,#N/A,FALSE,"O&amp;M by processes";#N/A,#N/A,FALSE,"Elec Act vs Bud";#N/A,#N/A,FALSE,"G&amp;A";#N/A,#N/A,FALSE,"BGS";#N/A,#N/A,FALSE,"Res Cost"}</definedName>
    <definedName name="statsrevised" localSheetId="45" hidden="1">{#N/A,#N/A,FALSE,"O&amp;M by processes";#N/A,#N/A,FALSE,"Elec Act vs Bud";#N/A,#N/A,FALSE,"G&amp;A";#N/A,#N/A,FALSE,"BGS";#N/A,#N/A,FALSE,"Res Cost"}</definedName>
    <definedName name="statsrevised" localSheetId="13" hidden="1">{#N/A,#N/A,FALSE,"O&amp;M by processes";#N/A,#N/A,FALSE,"Elec Act vs Bud";#N/A,#N/A,FALSE,"G&amp;A";#N/A,#N/A,FALSE,"BGS";#N/A,#N/A,FALSE,"Res Cost"}</definedName>
    <definedName name="statsrevised" hidden="1">{#N/A,#N/A,FALSE,"O&amp;M by processes";#N/A,#N/A,FALSE,"Elec Act vs Bud";#N/A,#N/A,FALSE,"G&amp;A";#N/A,#N/A,FALSE,"BGS";#N/A,#N/A,FALSE,"Res Cost"}</definedName>
    <definedName name="step1">#REF!</definedName>
    <definedName name="Step2" localSheetId="26" hidden="1">{#N/A,#N/A,FALSE,"CTC Summary - EOY";#N/A,#N/A,FALSE,"CTC Summary - Wtavg"}</definedName>
    <definedName name="Step2" localSheetId="28" hidden="1">{#N/A,#N/A,FALSE,"CTC Summary - EOY";#N/A,#N/A,FALSE,"CTC Summary - Wtavg"}</definedName>
    <definedName name="Step2" localSheetId="30" hidden="1">{#N/A,#N/A,FALSE,"CTC Summary - EOY";#N/A,#N/A,FALSE,"CTC Summary - Wtavg"}</definedName>
    <definedName name="Step2" localSheetId="31" hidden="1">{#N/A,#N/A,FALSE,"CTC Summary - EOY";#N/A,#N/A,FALSE,"CTC Summary - Wtavg"}</definedName>
    <definedName name="Step2" localSheetId="33" hidden="1">{#N/A,#N/A,FALSE,"CTC Summary - EOY";#N/A,#N/A,FALSE,"CTC Summary - Wtavg"}</definedName>
    <definedName name="Step2" localSheetId="34" hidden="1">{#N/A,#N/A,FALSE,"CTC Summary - EOY";#N/A,#N/A,FALSE,"CTC Summary - Wtavg"}</definedName>
    <definedName name="Step2" localSheetId="35" hidden="1">{#N/A,#N/A,FALSE,"CTC Summary - EOY";#N/A,#N/A,FALSE,"CTC Summary - Wtavg"}</definedName>
    <definedName name="Step2" localSheetId="36" hidden="1">{#N/A,#N/A,FALSE,"CTC Summary - EOY";#N/A,#N/A,FALSE,"CTC Summary - Wtavg"}</definedName>
    <definedName name="Step2" localSheetId="45" hidden="1">{#N/A,#N/A,FALSE,"CTC Summary - EOY";#N/A,#N/A,FALSE,"CTC Summary - Wtavg"}</definedName>
    <definedName name="Step2" localSheetId="12" hidden="1">{#N/A,#N/A,FALSE,"CTC Summary - EOY";#N/A,#N/A,FALSE,"CTC Summary - Wtavg"}</definedName>
    <definedName name="Step2" localSheetId="13" hidden="1">{#N/A,#N/A,FALSE,"CTC Summary - EOY";#N/A,#N/A,FALSE,"CTC Summary - Wtavg"}</definedName>
    <definedName name="Step2" hidden="1">{#N/A,#N/A,FALSE,"CTC Summary - EOY";#N/A,#N/A,FALSE,"CTC Summary - Wtavg"}</definedName>
    <definedName name="STILL1040">'[75]Addt''l 1040 Exclusions'!$A$5:$U$44</definedName>
    <definedName name="store_cap">'[20]Input Page'!$E$9</definedName>
    <definedName name="store_total">'[20]Input Page'!$E$10</definedName>
    <definedName name="SumForecast">#REF!</definedName>
    <definedName name="SumHistoric">#REF!</definedName>
    <definedName name="summary_caution">[2]Model!$A$202:$IV$207</definedName>
    <definedName name="SumPower">#REF!</definedName>
    <definedName name="SumPresRate">#REF!</definedName>
    <definedName name="SumPropRate">#REF!</definedName>
    <definedName name="SumRateBase">#REF!</definedName>
    <definedName name="SumRevClass">#REF!</definedName>
    <definedName name="SumRevPresRate">#REF!</definedName>
    <definedName name="SumRevPropRate">#REF!</definedName>
    <definedName name="SumRevRate">#REF!</definedName>
    <definedName name="SumRevReq">#REF!</definedName>
    <definedName name="SUPP">'[24]Consol Adj.'!#REF!</definedName>
    <definedName name="support" localSheetId="26" hidden="1">{#N/A,#N/A,FALSE,"O&amp;M by processes";#N/A,#N/A,FALSE,"Elec Act vs Bud";#N/A,#N/A,FALSE,"G&amp;A";#N/A,#N/A,FALSE,"BGS";#N/A,#N/A,FALSE,"Res Cost"}</definedName>
    <definedName name="support" localSheetId="28" hidden="1">{#N/A,#N/A,FALSE,"O&amp;M by processes";#N/A,#N/A,FALSE,"Elec Act vs Bud";#N/A,#N/A,FALSE,"G&amp;A";#N/A,#N/A,FALSE,"BGS";#N/A,#N/A,FALSE,"Res Cost"}</definedName>
    <definedName name="support" localSheetId="33" hidden="1">{#N/A,#N/A,FALSE,"O&amp;M by processes";#N/A,#N/A,FALSE,"Elec Act vs Bud";#N/A,#N/A,FALSE,"G&amp;A";#N/A,#N/A,FALSE,"BGS";#N/A,#N/A,FALSE,"Res Cost"}</definedName>
    <definedName name="support" localSheetId="35" hidden="1">{#N/A,#N/A,FALSE,"O&amp;M by processes";#N/A,#N/A,FALSE,"Elec Act vs Bud";#N/A,#N/A,FALSE,"G&amp;A";#N/A,#N/A,FALSE,"BGS";#N/A,#N/A,FALSE,"Res Cost"}</definedName>
    <definedName name="support" localSheetId="45" hidden="1">{#N/A,#N/A,FALSE,"O&amp;M by processes";#N/A,#N/A,FALSE,"Elec Act vs Bud";#N/A,#N/A,FALSE,"G&amp;A";#N/A,#N/A,FALSE,"BGS";#N/A,#N/A,FALSE,"Res Cost"}</definedName>
    <definedName name="support" localSheetId="13" hidden="1">{#N/A,#N/A,FALSE,"O&amp;M by processes";#N/A,#N/A,FALSE,"Elec Act vs Bud";#N/A,#N/A,FALSE,"G&amp;A";#N/A,#N/A,FALSE,"BGS";#N/A,#N/A,FALSE,"Res Cost"}</definedName>
    <definedName name="support" hidden="1">{#N/A,#N/A,FALSE,"O&amp;M by processes";#N/A,#N/A,FALSE,"Elec Act vs Bud";#N/A,#N/A,FALSE,"G&amp;A";#N/A,#N/A,FALSE,"BGS";#N/A,#N/A,FALSE,"Res Cost"}</definedName>
    <definedName name="supporti" localSheetId="26" hidden="1">{#N/A,#N/A,FALSE,"O&amp;M by processes";#N/A,#N/A,FALSE,"Elec Act vs Bud";#N/A,#N/A,FALSE,"G&amp;A";#N/A,#N/A,FALSE,"BGS";#N/A,#N/A,FALSE,"Res Cost"}</definedName>
    <definedName name="supporti" localSheetId="28" hidden="1">{#N/A,#N/A,FALSE,"O&amp;M by processes";#N/A,#N/A,FALSE,"Elec Act vs Bud";#N/A,#N/A,FALSE,"G&amp;A";#N/A,#N/A,FALSE,"BGS";#N/A,#N/A,FALSE,"Res Cost"}</definedName>
    <definedName name="supporti" localSheetId="33" hidden="1">{#N/A,#N/A,FALSE,"O&amp;M by processes";#N/A,#N/A,FALSE,"Elec Act vs Bud";#N/A,#N/A,FALSE,"G&amp;A";#N/A,#N/A,FALSE,"BGS";#N/A,#N/A,FALSE,"Res Cost"}</definedName>
    <definedName name="supporti" localSheetId="35" hidden="1">{#N/A,#N/A,FALSE,"O&amp;M by processes";#N/A,#N/A,FALSE,"Elec Act vs Bud";#N/A,#N/A,FALSE,"G&amp;A";#N/A,#N/A,FALSE,"BGS";#N/A,#N/A,FALSE,"Res Cost"}</definedName>
    <definedName name="supporti" localSheetId="45" hidden="1">{#N/A,#N/A,FALSE,"O&amp;M by processes";#N/A,#N/A,FALSE,"Elec Act vs Bud";#N/A,#N/A,FALSE,"G&amp;A";#N/A,#N/A,FALSE,"BGS";#N/A,#N/A,FALSE,"Res Cost"}</definedName>
    <definedName name="supporti" localSheetId="13" hidden="1">{#N/A,#N/A,FALSE,"O&amp;M by processes";#N/A,#N/A,FALSE,"Elec Act vs Bud";#N/A,#N/A,FALSE,"G&amp;A";#N/A,#N/A,FALSE,"BGS";#N/A,#N/A,FALSE,"Res Cost"}</definedName>
    <definedName name="supporti" hidden="1">{#N/A,#N/A,FALSE,"O&amp;M by processes";#N/A,#N/A,FALSE,"Elec Act vs Bud";#N/A,#N/A,FALSE,"G&amp;A";#N/A,#N/A,FALSE,"BGS";#N/A,#N/A,FALSE,"Res Cost"}</definedName>
    <definedName name="Swap_Amort">'[23]Keystone Swap Amort Sched'!$A$1:$F$241</definedName>
    <definedName name="T" localSheetId="20" hidden="1">{"PI_Data",#N/A,TRUE,"P&amp;I Data"}</definedName>
    <definedName name="T" localSheetId="21" hidden="1">{"PI_Data",#N/A,TRUE,"P&amp;I Data"}</definedName>
    <definedName name="T" localSheetId="23" hidden="1">{"PI_Data",#N/A,TRUE,"P&amp;I Data"}</definedName>
    <definedName name="T" localSheetId="22" hidden="1">{"PI_Data",#N/A,TRUE,"P&amp;I Data"}</definedName>
    <definedName name="T" localSheetId="24" hidden="1">{"PI_Data",#N/A,TRUE,"P&amp;I Data"}</definedName>
    <definedName name="T" localSheetId="25" hidden="1">{"PI_Data",#N/A,TRUE,"P&amp;I Data"}</definedName>
    <definedName name="T" localSheetId="26" hidden="1">{"PI_Data",#N/A,TRUE,"P&amp;I Data"}</definedName>
    <definedName name="T" localSheetId="27" hidden="1">{"PI_Data",#N/A,TRUE,"P&amp;I Data"}</definedName>
    <definedName name="T" localSheetId="28" hidden="1">{"PI_Data",#N/A,TRUE,"P&amp;I Data"}</definedName>
    <definedName name="T" localSheetId="30" hidden="1">{"PI_Data",#N/A,TRUE,"P&amp;I Data"}</definedName>
    <definedName name="T" localSheetId="31" hidden="1">{"PI_Data",#N/A,TRUE,"P&amp;I Data"}</definedName>
    <definedName name="T" localSheetId="32" hidden="1">{"PI_Data",#N/A,TRUE,"P&amp;I Data"}</definedName>
    <definedName name="T" localSheetId="33" hidden="1">{"PI_Data",#N/A,TRUE,"P&amp;I Data"}</definedName>
    <definedName name="T" localSheetId="34" hidden="1">{"PI_Data",#N/A,TRUE,"P&amp;I Data"}</definedName>
    <definedName name="T" localSheetId="35" hidden="1">{"PI_Data",#N/A,TRUE,"P&amp;I Data"}</definedName>
    <definedName name="T" localSheetId="36" hidden="1">{"PI_Data",#N/A,TRUE,"P&amp;I Data"}</definedName>
    <definedName name="T" localSheetId="37" hidden="1">{"PI_Data",#N/A,TRUE,"P&amp;I Data"}</definedName>
    <definedName name="T" localSheetId="40" hidden="1">{"PI_Data",#N/A,TRUE,"P&amp;I Data"}</definedName>
    <definedName name="T" localSheetId="42" hidden="1">{"PI_Data",#N/A,TRUE,"P&amp;I Data"}</definedName>
    <definedName name="T" localSheetId="44" hidden="1">{"PI_Data",#N/A,TRUE,"P&amp;I Data"}</definedName>
    <definedName name="T" localSheetId="45" hidden="1">{"PI_Data",#N/A,TRUE,"P&amp;I Data"}</definedName>
    <definedName name="T" localSheetId="46" hidden="1">{"PI_Data",#N/A,TRUE,"P&amp;I Data"}</definedName>
    <definedName name="T" localSheetId="10" hidden="1">{"PI_Data",#N/A,TRUE,"P&amp;I Data"}</definedName>
    <definedName name="T" localSheetId="12" hidden="1">{"PI_Data",#N/A,TRUE,"P&amp;I Data"}</definedName>
    <definedName name="T" localSheetId="13" hidden="1">{"PI_Data",#N/A,TRUE,"P&amp;I Data"}</definedName>
    <definedName name="T" localSheetId="14" hidden="1">{"PI_Data",#N/A,TRUE,"P&amp;I Data"}</definedName>
    <definedName name="T" localSheetId="15" hidden="1">{"PI_Data",#N/A,TRUE,"P&amp;I Data"}</definedName>
    <definedName name="T" hidden="1">{"PI_Data",#N/A,TRUE,"P&amp;I Data"}</definedName>
    <definedName name="T2X" localSheetId="26" hidden="1">{"PI_Data",#N/A,TRUE,"P&amp;I Data"}</definedName>
    <definedName name="T2X" localSheetId="28" hidden="1">{"PI_Data",#N/A,TRUE,"P&amp;I Data"}</definedName>
    <definedName name="T2X" localSheetId="30" hidden="1">{"PI_Data",#N/A,TRUE,"P&amp;I Data"}</definedName>
    <definedName name="T2X" localSheetId="31" hidden="1">{"PI_Data",#N/A,TRUE,"P&amp;I Data"}</definedName>
    <definedName name="T2X" localSheetId="33" hidden="1">{"PI_Data",#N/A,TRUE,"P&amp;I Data"}</definedName>
    <definedName name="T2X" localSheetId="34" hidden="1">{"PI_Data",#N/A,TRUE,"P&amp;I Data"}</definedName>
    <definedName name="T2X" localSheetId="35" hidden="1">{"PI_Data",#N/A,TRUE,"P&amp;I Data"}</definedName>
    <definedName name="T2X" localSheetId="36" hidden="1">{"PI_Data",#N/A,TRUE,"P&amp;I Data"}</definedName>
    <definedName name="T2X" localSheetId="45" hidden="1">{"PI_Data",#N/A,TRUE,"P&amp;I Data"}</definedName>
    <definedName name="T2X" localSheetId="12" hidden="1">{"PI_Data",#N/A,TRUE,"P&amp;I Data"}</definedName>
    <definedName name="T2X" localSheetId="13" hidden="1">{"PI_Data",#N/A,TRUE,"P&amp;I Data"}</definedName>
    <definedName name="T2X" hidden="1">{"PI_Data",#N/A,TRUE,"P&amp;I Data"}</definedName>
    <definedName name="TableName">"Dummy"</definedName>
    <definedName name="TableOfContents">#REF!</definedName>
    <definedName name="Tacx_Factor">[23]Assumptions!$E$52</definedName>
    <definedName name="tax_base_on_inc">'[20]Input Page'!$E$14</definedName>
    <definedName name="tax_basis">'[20]Input Page'!$E$18</definedName>
    <definedName name="taxcalc">#REF!</definedName>
    <definedName name="TAXES">#REF!</definedName>
    <definedName name="Taxrate">'[76]Case study '!$C$28</definedName>
    <definedName name="tblCharts">'[2]Macro Tables'!$I$5:$I$16</definedName>
    <definedName name="TBLHeader">#REF!</definedName>
    <definedName name="tblHelp">'[2]Macro Tables'!$N$5:$N$16</definedName>
    <definedName name="tblReports">'[2]Macro Tables'!$B$5:$B$16</definedName>
    <definedName name="tblWorksheets">'[2]Macro Tables'!$E$5:$E$16</definedName>
    <definedName name="TDRXS">'[11]C. Input'!$F$234</definedName>
    <definedName name="TDX">'[11]C. Input'!$F$304</definedName>
    <definedName name="TE">'[25]Actual Gross Rev'!$L$159</definedName>
    <definedName name="TEQ">'[11]C. Input'!$F$277</definedName>
    <definedName name="test" localSheetId="20" hidden="1">{"PI_Data",#N/A,TRUE,"P&amp;I Data"}</definedName>
    <definedName name="test" localSheetId="21" hidden="1">{"PI_Data",#N/A,TRUE,"P&amp;I Data"}</definedName>
    <definedName name="test" localSheetId="23" hidden="1">{"PI_Data",#N/A,TRUE,"P&amp;I Data"}</definedName>
    <definedName name="test" localSheetId="22" hidden="1">{"PI_Data",#N/A,TRUE,"P&amp;I Data"}</definedName>
    <definedName name="test" localSheetId="24" hidden="1">{"PI_Data",#N/A,TRUE,"P&amp;I Data"}</definedName>
    <definedName name="test" localSheetId="25" hidden="1">{"PI_Data",#N/A,TRUE,"P&amp;I Data"}</definedName>
    <definedName name="test" localSheetId="26" hidden="1">{"PI_Data",#N/A,TRUE,"P&amp;I Data"}</definedName>
    <definedName name="test" localSheetId="27" hidden="1">{"PI_Data",#N/A,TRUE,"P&amp;I Data"}</definedName>
    <definedName name="test" localSheetId="28" hidden="1">{"PI_Data",#N/A,TRUE,"P&amp;I Data"}</definedName>
    <definedName name="test" localSheetId="30" hidden="1">{"PI_Data",#N/A,TRUE,"P&amp;I Data"}</definedName>
    <definedName name="test" localSheetId="31" hidden="1">{"PI_Data",#N/A,TRUE,"P&amp;I Data"}</definedName>
    <definedName name="test" localSheetId="32" hidden="1">{"PI_Data",#N/A,TRUE,"P&amp;I Data"}</definedName>
    <definedName name="test" localSheetId="33" hidden="1">{"PI_Data",#N/A,TRUE,"P&amp;I Data"}</definedName>
    <definedName name="test" localSheetId="34" hidden="1">{"PI_Data",#N/A,TRUE,"P&amp;I Data"}</definedName>
    <definedName name="test" localSheetId="35" hidden="1">{"PI_Data",#N/A,TRUE,"P&amp;I Data"}</definedName>
    <definedName name="test" localSheetId="36" hidden="1">{"PI_Data",#N/A,TRUE,"P&amp;I Data"}</definedName>
    <definedName name="test" localSheetId="37" hidden="1">{"PI_Data",#N/A,TRUE,"P&amp;I Data"}</definedName>
    <definedName name="test" localSheetId="40" hidden="1">{"PI_Data",#N/A,TRUE,"P&amp;I Data"}</definedName>
    <definedName name="test" localSheetId="42" hidden="1">{"PI_Data",#N/A,TRUE,"P&amp;I Data"}</definedName>
    <definedName name="test" localSheetId="44" hidden="1">{"PI_Data",#N/A,TRUE,"P&amp;I Data"}</definedName>
    <definedName name="test" localSheetId="45" hidden="1">{"PI_Data",#N/A,TRUE,"P&amp;I Data"}</definedName>
    <definedName name="test" localSheetId="46" hidden="1">{"PI_Data",#N/A,TRUE,"P&amp;I Data"}</definedName>
    <definedName name="test" localSheetId="10" hidden="1">{"PI_Data",#N/A,TRUE,"P&amp;I Data"}</definedName>
    <definedName name="test" localSheetId="12" hidden="1">{"PI_Data",#N/A,TRUE,"P&amp;I Data"}</definedName>
    <definedName name="test" localSheetId="13" hidden="1">{"PI_Data",#N/A,TRUE,"P&amp;I Data"}</definedName>
    <definedName name="test" localSheetId="14" hidden="1">{"PI_Data",#N/A,TRUE,"P&amp;I Data"}</definedName>
    <definedName name="test" localSheetId="15" hidden="1">{"PI_Data",#N/A,TRUE,"P&amp;I Data"}</definedName>
    <definedName name="test" hidden="1">{"PI_Data",#N/A,TRUE,"P&amp;I Data"}</definedName>
    <definedName name="test1" localSheetId="26" hidden="1">{"LBO Summary",#N/A,FALSE,"Summary";"Income Statement",#N/A,FALSE,"Model";"Cash Flow",#N/A,FALSE,"Model";"Balance Sheet",#N/A,FALSE,"Model";"Working Capital",#N/A,FALSE,"Model";"Pro Forma Balance Sheets",#N/A,FALSE,"PFBS";"Debt Balances",#N/A,FALSE,"Model";"Fee Schedules",#N/A,FALSE,"Model"}</definedName>
    <definedName name="test1" localSheetId="28" hidden="1">{"LBO Summary",#N/A,FALSE,"Summary";"Income Statement",#N/A,FALSE,"Model";"Cash Flow",#N/A,FALSE,"Model";"Balance Sheet",#N/A,FALSE,"Model";"Working Capital",#N/A,FALSE,"Model";"Pro Forma Balance Sheets",#N/A,FALSE,"PFBS";"Debt Balances",#N/A,FALSE,"Model";"Fee Schedules",#N/A,FALSE,"Model"}</definedName>
    <definedName name="test1" localSheetId="33" hidden="1">{"LBO Summary",#N/A,FALSE,"Summary";"Income Statement",#N/A,FALSE,"Model";"Cash Flow",#N/A,FALSE,"Model";"Balance Sheet",#N/A,FALSE,"Model";"Working Capital",#N/A,FALSE,"Model";"Pro Forma Balance Sheets",#N/A,FALSE,"PFBS";"Debt Balances",#N/A,FALSE,"Model";"Fee Schedules",#N/A,FALSE,"Model"}</definedName>
    <definedName name="test1" localSheetId="35" hidden="1">{"LBO Summary",#N/A,FALSE,"Summary";"Income Statement",#N/A,FALSE,"Model";"Cash Flow",#N/A,FALSE,"Model";"Balance Sheet",#N/A,FALSE,"Model";"Working Capital",#N/A,FALSE,"Model";"Pro Forma Balance Sheets",#N/A,FALSE,"PFBS";"Debt Balances",#N/A,FALSE,"Model";"Fee Schedules",#N/A,FALSE,"Model"}</definedName>
    <definedName name="test1" localSheetId="45" hidden="1">{"LBO Summary",#N/A,FALSE,"Summary";"Income Statement",#N/A,FALSE,"Model";"Cash Flow",#N/A,FALSE,"Model";"Balance Sheet",#N/A,FALSE,"Model";"Working Capital",#N/A,FALSE,"Model";"Pro Forma Balance Sheets",#N/A,FALSE,"PFBS";"Debt Balances",#N/A,FALSE,"Model";"Fee Schedules",#N/A,FALSE,"Model"}</definedName>
    <definedName name="test1" localSheetId="13" hidden="1">{"LBO Summary",#N/A,FALSE,"Summary";"Income Statement",#N/A,FALSE,"Model";"Cash Flow",#N/A,FALSE,"Model";"Balance Sheet",#N/A,FALSE,"Model";"Working Capital",#N/A,FALSE,"Model";"Pro Forma Balance Sheets",#N/A,FALSE,"PFBS";"Debt Balances",#N/A,FALSE,"Model";"Fee Schedules",#N/A,FALSE,"Model"}</definedName>
    <definedName name="test1" hidden="1">{"LBO Summary",#N/A,FALSE,"Summary";"Income Statement",#N/A,FALSE,"Model";"Cash Flow",#N/A,FALSE,"Model";"Balance Sheet",#N/A,FALSE,"Model";"Working Capital",#N/A,FALSE,"Model";"Pro Forma Balance Sheets",#N/A,FALSE,"PFBS";"Debt Balances",#N/A,FALSE,"Model";"Fee Schedules",#N/A,FALSE,"Model"}</definedName>
    <definedName name="test10" localSheetId="26" hidden="1">{"LBO Summary",#N/A,FALSE,"Summary";"Income Statement",#N/A,FALSE,"Model";"Cash Flow",#N/A,FALSE,"Model";"Balance Sheet",#N/A,FALSE,"Model";"Working Capital",#N/A,FALSE,"Model";"Pro Forma Balance Sheets",#N/A,FALSE,"PFBS";"Debt Balances",#N/A,FALSE,"Model";"Fee Schedules",#N/A,FALSE,"Model"}</definedName>
    <definedName name="test10" localSheetId="28" hidden="1">{"LBO Summary",#N/A,FALSE,"Summary";"Income Statement",#N/A,FALSE,"Model";"Cash Flow",#N/A,FALSE,"Model";"Balance Sheet",#N/A,FALSE,"Model";"Working Capital",#N/A,FALSE,"Model";"Pro Forma Balance Sheets",#N/A,FALSE,"PFBS";"Debt Balances",#N/A,FALSE,"Model";"Fee Schedules",#N/A,FALSE,"Model"}</definedName>
    <definedName name="test10" localSheetId="33" hidden="1">{"LBO Summary",#N/A,FALSE,"Summary";"Income Statement",#N/A,FALSE,"Model";"Cash Flow",#N/A,FALSE,"Model";"Balance Sheet",#N/A,FALSE,"Model";"Working Capital",#N/A,FALSE,"Model";"Pro Forma Balance Sheets",#N/A,FALSE,"PFBS";"Debt Balances",#N/A,FALSE,"Model";"Fee Schedules",#N/A,FALSE,"Model"}</definedName>
    <definedName name="test10" localSheetId="35" hidden="1">{"LBO Summary",#N/A,FALSE,"Summary";"Income Statement",#N/A,FALSE,"Model";"Cash Flow",#N/A,FALSE,"Model";"Balance Sheet",#N/A,FALSE,"Model";"Working Capital",#N/A,FALSE,"Model";"Pro Forma Balance Sheets",#N/A,FALSE,"PFBS";"Debt Balances",#N/A,FALSE,"Model";"Fee Schedules",#N/A,FALSE,"Model"}</definedName>
    <definedName name="test10" localSheetId="45" hidden="1">{"LBO Summary",#N/A,FALSE,"Summary";"Income Statement",#N/A,FALSE,"Model";"Cash Flow",#N/A,FALSE,"Model";"Balance Sheet",#N/A,FALSE,"Model";"Working Capital",#N/A,FALSE,"Model";"Pro Forma Balance Sheets",#N/A,FALSE,"PFBS";"Debt Balances",#N/A,FALSE,"Model";"Fee Schedules",#N/A,FALSE,"Model"}</definedName>
    <definedName name="test10" localSheetId="13"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26" hidden="1">{"LBO Summary",#N/A,FALSE,"Summary"}</definedName>
    <definedName name="test11" localSheetId="28" hidden="1">{"LBO Summary",#N/A,FALSE,"Summary"}</definedName>
    <definedName name="test11" localSheetId="33" hidden="1">{"LBO Summary",#N/A,FALSE,"Summary"}</definedName>
    <definedName name="test11" localSheetId="35" hidden="1">{"LBO Summary",#N/A,FALSE,"Summary"}</definedName>
    <definedName name="test11" localSheetId="45" hidden="1">{"LBO Summary",#N/A,FALSE,"Summary"}</definedName>
    <definedName name="test11" localSheetId="13" hidden="1">{"LBO Summary",#N/A,FALSE,"Summary"}</definedName>
    <definedName name="test11" hidden="1">{"LBO Summary",#N/A,FALSE,"Summary"}</definedName>
    <definedName name="test12" localSheetId="26" hidden="1">{"assumptions",#N/A,FALSE,"Scenario 1";"valuation",#N/A,FALSE,"Scenario 1"}</definedName>
    <definedName name="test12" localSheetId="28" hidden="1">{"assumptions",#N/A,FALSE,"Scenario 1";"valuation",#N/A,FALSE,"Scenario 1"}</definedName>
    <definedName name="test12" localSheetId="33" hidden="1">{"assumptions",#N/A,FALSE,"Scenario 1";"valuation",#N/A,FALSE,"Scenario 1"}</definedName>
    <definedName name="test12" localSheetId="35" hidden="1">{"assumptions",#N/A,FALSE,"Scenario 1";"valuation",#N/A,FALSE,"Scenario 1"}</definedName>
    <definedName name="test12" localSheetId="45" hidden="1">{"assumptions",#N/A,FALSE,"Scenario 1";"valuation",#N/A,FALSE,"Scenario 1"}</definedName>
    <definedName name="test12" localSheetId="13" hidden="1">{"assumptions",#N/A,FALSE,"Scenario 1";"valuation",#N/A,FALSE,"Scenario 1"}</definedName>
    <definedName name="test12" hidden="1">{"assumptions",#N/A,FALSE,"Scenario 1";"valuation",#N/A,FALSE,"Scenario 1"}</definedName>
    <definedName name="test13" localSheetId="26" hidden="1">{"LBO Summary",#N/A,FALSE,"Summary"}</definedName>
    <definedName name="test13" localSheetId="28" hidden="1">{"LBO Summary",#N/A,FALSE,"Summary"}</definedName>
    <definedName name="test13" localSheetId="33" hidden="1">{"LBO Summary",#N/A,FALSE,"Summary"}</definedName>
    <definedName name="test13" localSheetId="35" hidden="1">{"LBO Summary",#N/A,FALSE,"Summary"}</definedName>
    <definedName name="test13" localSheetId="45" hidden="1">{"LBO Summary",#N/A,FALSE,"Summary"}</definedName>
    <definedName name="test13" localSheetId="13" hidden="1">{"LBO Summary",#N/A,FALSE,"Summary"}</definedName>
    <definedName name="test13" hidden="1">{"LBO Summary",#N/A,FALSE,"Summary"}</definedName>
    <definedName name="test14" localSheetId="26" hidden="1">{"LBO Summary",#N/A,FALSE,"Summary";"Income Statement",#N/A,FALSE,"Model";"Cash Flow",#N/A,FALSE,"Model";"Balance Sheet",#N/A,FALSE,"Model";"Working Capital",#N/A,FALSE,"Model";"Pro Forma Balance Sheets",#N/A,FALSE,"PFBS";"Debt Balances",#N/A,FALSE,"Model";"Fee Schedules",#N/A,FALSE,"Model"}</definedName>
    <definedName name="test14" localSheetId="28" hidden="1">{"LBO Summary",#N/A,FALSE,"Summary";"Income Statement",#N/A,FALSE,"Model";"Cash Flow",#N/A,FALSE,"Model";"Balance Sheet",#N/A,FALSE,"Model";"Working Capital",#N/A,FALSE,"Model";"Pro Forma Balance Sheets",#N/A,FALSE,"PFBS";"Debt Balances",#N/A,FALSE,"Model";"Fee Schedules",#N/A,FALSE,"Model"}</definedName>
    <definedName name="test14" localSheetId="33" hidden="1">{"LBO Summary",#N/A,FALSE,"Summary";"Income Statement",#N/A,FALSE,"Model";"Cash Flow",#N/A,FALSE,"Model";"Balance Sheet",#N/A,FALSE,"Model";"Working Capital",#N/A,FALSE,"Model";"Pro Forma Balance Sheets",#N/A,FALSE,"PFBS";"Debt Balances",#N/A,FALSE,"Model";"Fee Schedules",#N/A,FALSE,"Model"}</definedName>
    <definedName name="test14" localSheetId="35" hidden="1">{"LBO Summary",#N/A,FALSE,"Summary";"Income Statement",#N/A,FALSE,"Model";"Cash Flow",#N/A,FALSE,"Model";"Balance Sheet",#N/A,FALSE,"Model";"Working Capital",#N/A,FALSE,"Model";"Pro Forma Balance Sheets",#N/A,FALSE,"PFBS";"Debt Balances",#N/A,FALSE,"Model";"Fee Schedules",#N/A,FALSE,"Model"}</definedName>
    <definedName name="test14" localSheetId="45" hidden="1">{"LBO Summary",#N/A,FALSE,"Summary";"Income Statement",#N/A,FALSE,"Model";"Cash Flow",#N/A,FALSE,"Model";"Balance Sheet",#N/A,FALSE,"Model";"Working Capital",#N/A,FALSE,"Model";"Pro Forma Balance Sheets",#N/A,FALSE,"PFBS";"Debt Balances",#N/A,FALSE,"Model";"Fee Schedules",#N/A,FALSE,"Model"}</definedName>
    <definedName name="test14" localSheetId="13"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26" hidden="1">{"LBO Summary",#N/A,FALSE,"Summary";"Income Statement",#N/A,FALSE,"Model";"Cash Flow",#N/A,FALSE,"Model";"Balance Sheet",#N/A,FALSE,"Model";"Working Capital",#N/A,FALSE,"Model";"Pro Forma Balance Sheets",#N/A,FALSE,"PFBS";"Debt Balances",#N/A,FALSE,"Model";"Fee Schedules",#N/A,FALSE,"Model"}</definedName>
    <definedName name="test15" localSheetId="28" hidden="1">{"LBO Summary",#N/A,FALSE,"Summary";"Income Statement",#N/A,FALSE,"Model";"Cash Flow",#N/A,FALSE,"Model";"Balance Sheet",#N/A,FALSE,"Model";"Working Capital",#N/A,FALSE,"Model";"Pro Forma Balance Sheets",#N/A,FALSE,"PFBS";"Debt Balances",#N/A,FALSE,"Model";"Fee Schedules",#N/A,FALSE,"Model"}</definedName>
    <definedName name="test15" localSheetId="33" hidden="1">{"LBO Summary",#N/A,FALSE,"Summary";"Income Statement",#N/A,FALSE,"Model";"Cash Flow",#N/A,FALSE,"Model";"Balance Sheet",#N/A,FALSE,"Model";"Working Capital",#N/A,FALSE,"Model";"Pro Forma Balance Sheets",#N/A,FALSE,"PFBS";"Debt Balances",#N/A,FALSE,"Model";"Fee Schedules",#N/A,FALSE,"Model"}</definedName>
    <definedName name="test15" localSheetId="35" hidden="1">{"LBO Summary",#N/A,FALSE,"Summary";"Income Statement",#N/A,FALSE,"Model";"Cash Flow",#N/A,FALSE,"Model";"Balance Sheet",#N/A,FALSE,"Model";"Working Capital",#N/A,FALSE,"Model";"Pro Forma Balance Sheets",#N/A,FALSE,"PFBS";"Debt Balances",#N/A,FALSE,"Model";"Fee Schedules",#N/A,FALSE,"Model"}</definedName>
    <definedName name="test15" localSheetId="45" hidden="1">{"LBO Summary",#N/A,FALSE,"Summary";"Income Statement",#N/A,FALSE,"Model";"Cash Flow",#N/A,FALSE,"Model";"Balance Sheet",#N/A,FALSE,"Model";"Working Capital",#N/A,FALSE,"Model";"Pro Forma Balance Sheets",#N/A,FALSE,"PFBS";"Debt Balances",#N/A,FALSE,"Model";"Fee Schedules",#N/A,FALSE,"Model"}</definedName>
    <definedName name="test15" localSheetId="13"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26" hidden="1">{"LBO Summary",#N/A,FALSE,"Summary";"Income Statement",#N/A,FALSE,"Model";"Cash Flow",#N/A,FALSE,"Model";"Balance Sheet",#N/A,FALSE,"Model";"Working Capital",#N/A,FALSE,"Model";"Pro Forma Balance Sheets",#N/A,FALSE,"PFBS";"Debt Balances",#N/A,FALSE,"Model";"Fee Schedules",#N/A,FALSE,"Model"}</definedName>
    <definedName name="test16" localSheetId="28" hidden="1">{"LBO Summary",#N/A,FALSE,"Summary";"Income Statement",#N/A,FALSE,"Model";"Cash Flow",#N/A,FALSE,"Model";"Balance Sheet",#N/A,FALSE,"Model";"Working Capital",#N/A,FALSE,"Model";"Pro Forma Balance Sheets",#N/A,FALSE,"PFBS";"Debt Balances",#N/A,FALSE,"Model";"Fee Schedules",#N/A,FALSE,"Model"}</definedName>
    <definedName name="test16" localSheetId="33" hidden="1">{"LBO Summary",#N/A,FALSE,"Summary";"Income Statement",#N/A,FALSE,"Model";"Cash Flow",#N/A,FALSE,"Model";"Balance Sheet",#N/A,FALSE,"Model";"Working Capital",#N/A,FALSE,"Model";"Pro Forma Balance Sheets",#N/A,FALSE,"PFBS";"Debt Balances",#N/A,FALSE,"Model";"Fee Schedules",#N/A,FALSE,"Model"}</definedName>
    <definedName name="test16" localSheetId="35" hidden="1">{"LBO Summary",#N/A,FALSE,"Summary";"Income Statement",#N/A,FALSE,"Model";"Cash Flow",#N/A,FALSE,"Model";"Balance Sheet",#N/A,FALSE,"Model";"Working Capital",#N/A,FALSE,"Model";"Pro Forma Balance Sheets",#N/A,FALSE,"PFBS";"Debt Balances",#N/A,FALSE,"Model";"Fee Schedules",#N/A,FALSE,"Model"}</definedName>
    <definedName name="test16" localSheetId="45" hidden="1">{"LBO Summary",#N/A,FALSE,"Summary";"Income Statement",#N/A,FALSE,"Model";"Cash Flow",#N/A,FALSE,"Model";"Balance Sheet",#N/A,FALSE,"Model";"Working Capital",#N/A,FALSE,"Model";"Pro Forma Balance Sheets",#N/A,FALSE,"PFBS";"Debt Balances",#N/A,FALSE,"Model";"Fee Schedules",#N/A,FALSE,"Model"}</definedName>
    <definedName name="test16" localSheetId="13"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26" hidden="1">{"LBO Summary",#N/A,FALSE,"Summary"}</definedName>
    <definedName name="test2" localSheetId="28" hidden="1">{"LBO Summary",#N/A,FALSE,"Summary"}</definedName>
    <definedName name="test2" localSheetId="33" hidden="1">{"LBO Summary",#N/A,FALSE,"Summary"}</definedName>
    <definedName name="test2" localSheetId="35" hidden="1">{"LBO Summary",#N/A,FALSE,"Summary"}</definedName>
    <definedName name="test2" localSheetId="45" hidden="1">{"LBO Summary",#N/A,FALSE,"Summary"}</definedName>
    <definedName name="test2" localSheetId="13" hidden="1">{"LBO Summary",#N/A,FALSE,"Summary"}</definedName>
    <definedName name="test2" hidden="1">{"LBO Summary",#N/A,FALSE,"Summary"}</definedName>
    <definedName name="test4" localSheetId="26" hidden="1">{"assumptions",#N/A,FALSE,"Scenario 1";"valuation",#N/A,FALSE,"Scenario 1"}</definedName>
    <definedName name="test4" localSheetId="28" hidden="1">{"assumptions",#N/A,FALSE,"Scenario 1";"valuation",#N/A,FALSE,"Scenario 1"}</definedName>
    <definedName name="test4" localSheetId="33" hidden="1">{"assumptions",#N/A,FALSE,"Scenario 1";"valuation",#N/A,FALSE,"Scenario 1"}</definedName>
    <definedName name="test4" localSheetId="35" hidden="1">{"assumptions",#N/A,FALSE,"Scenario 1";"valuation",#N/A,FALSE,"Scenario 1"}</definedName>
    <definedName name="test4" localSheetId="45" hidden="1">{"assumptions",#N/A,FALSE,"Scenario 1";"valuation",#N/A,FALSE,"Scenario 1"}</definedName>
    <definedName name="test4" localSheetId="13" hidden="1">{"assumptions",#N/A,FALSE,"Scenario 1";"valuation",#N/A,FALSE,"Scenario 1"}</definedName>
    <definedName name="test4" hidden="1">{"assumptions",#N/A,FALSE,"Scenario 1";"valuation",#N/A,FALSE,"Scenario 1"}</definedName>
    <definedName name="test6" localSheetId="26" hidden="1">{"LBO Summary",#N/A,FALSE,"Summary"}</definedName>
    <definedName name="test6" localSheetId="28" hidden="1">{"LBO Summary",#N/A,FALSE,"Summary"}</definedName>
    <definedName name="test6" localSheetId="33" hidden="1">{"LBO Summary",#N/A,FALSE,"Summary"}</definedName>
    <definedName name="test6" localSheetId="35" hidden="1">{"LBO Summary",#N/A,FALSE,"Summary"}</definedName>
    <definedName name="test6" localSheetId="45" hidden="1">{"LBO Summary",#N/A,FALSE,"Summary"}</definedName>
    <definedName name="test6" localSheetId="13" hidden="1">{"LBO Summary",#N/A,FALSE,"Summary"}</definedName>
    <definedName name="test6" hidden="1">{"LBO Summary",#N/A,FALSE,"Summary"}</definedName>
    <definedName name="testcust">#REF!</definedName>
    <definedName name="testdate">#REF!</definedName>
    <definedName name="testkwh">#REF!</definedName>
    <definedName name="TestYear">#REF!</definedName>
    <definedName name="text">"($ in '000s)"</definedName>
    <definedName name="TextRefCopyRangeCount" hidden="1">1</definedName>
    <definedName name="TGUF">'[35]Attachment 15 - Income Taxes'!$E$15</definedName>
    <definedName name="thousand">1000</definedName>
    <definedName name="Time" hidden="1">"b1"</definedName>
    <definedName name="TKW">'[11]C. Input'!$F$330</definedName>
    <definedName name="TL">'[11]C. Input'!$F$178</definedName>
    <definedName name="TLR_TST">'[11]A.2 PTP'!$P$91</definedName>
    <definedName name="TMCFAC">#REF!</definedName>
    <definedName name="TMCLF">#REF!</definedName>
    <definedName name="TMCMW">#REF!</definedName>
    <definedName name="TMCMWH">#REF!</definedName>
    <definedName name="Toggle" localSheetId="26">Projection</definedName>
    <definedName name="Toggle" localSheetId="28">Projection</definedName>
    <definedName name="Toggle" localSheetId="33">Projection</definedName>
    <definedName name="Toggle" localSheetId="35">Projection</definedName>
    <definedName name="Toggle" localSheetId="45">Projection</definedName>
    <definedName name="Toggle" localSheetId="13">Projection</definedName>
    <definedName name="Toggle">Projection</definedName>
    <definedName name="Toggle.list">'[39]Appendix A'!$P$5:$P$6</definedName>
    <definedName name="TOM">'[11]C. Input'!$F$270</definedName>
    <definedName name="toma" localSheetId="26" hidden="1">{#N/A,#N/A,FALSE,"O&amp;M by processes";#N/A,#N/A,FALSE,"Elec Act vs Bud";#N/A,#N/A,FALSE,"G&amp;A";#N/A,#N/A,FALSE,"BGS";#N/A,#N/A,FALSE,"Res Cost"}</definedName>
    <definedName name="toma" localSheetId="28" hidden="1">{#N/A,#N/A,FALSE,"O&amp;M by processes";#N/A,#N/A,FALSE,"Elec Act vs Bud";#N/A,#N/A,FALSE,"G&amp;A";#N/A,#N/A,FALSE,"BGS";#N/A,#N/A,FALSE,"Res Cost"}</definedName>
    <definedName name="toma" localSheetId="33" hidden="1">{#N/A,#N/A,FALSE,"O&amp;M by processes";#N/A,#N/A,FALSE,"Elec Act vs Bud";#N/A,#N/A,FALSE,"G&amp;A";#N/A,#N/A,FALSE,"BGS";#N/A,#N/A,FALSE,"Res Cost"}</definedName>
    <definedName name="toma" localSheetId="35" hidden="1">{#N/A,#N/A,FALSE,"O&amp;M by processes";#N/A,#N/A,FALSE,"Elec Act vs Bud";#N/A,#N/A,FALSE,"G&amp;A";#N/A,#N/A,FALSE,"BGS";#N/A,#N/A,FALSE,"Res Cost"}</definedName>
    <definedName name="toma" localSheetId="45" hidden="1">{#N/A,#N/A,FALSE,"O&amp;M by processes";#N/A,#N/A,FALSE,"Elec Act vs Bud";#N/A,#N/A,FALSE,"G&amp;A";#N/A,#N/A,FALSE,"BGS";#N/A,#N/A,FALSE,"Res Cost"}</definedName>
    <definedName name="toma" localSheetId="13"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6" hidden="1">{#N/A,#N/A,FALSE,"O&amp;M by processes";#N/A,#N/A,FALSE,"Elec Act vs Bud";#N/A,#N/A,FALSE,"G&amp;A";#N/A,#N/A,FALSE,"BGS";#N/A,#N/A,FALSE,"Res Cost"}</definedName>
    <definedName name="tomb" localSheetId="28" hidden="1">{#N/A,#N/A,FALSE,"O&amp;M by processes";#N/A,#N/A,FALSE,"Elec Act vs Bud";#N/A,#N/A,FALSE,"G&amp;A";#N/A,#N/A,FALSE,"BGS";#N/A,#N/A,FALSE,"Res Cost"}</definedName>
    <definedName name="tomb" localSheetId="33" hidden="1">{#N/A,#N/A,FALSE,"O&amp;M by processes";#N/A,#N/A,FALSE,"Elec Act vs Bud";#N/A,#N/A,FALSE,"G&amp;A";#N/A,#N/A,FALSE,"BGS";#N/A,#N/A,FALSE,"Res Cost"}</definedName>
    <definedName name="tomb" localSheetId="35" hidden="1">{#N/A,#N/A,FALSE,"O&amp;M by processes";#N/A,#N/A,FALSE,"Elec Act vs Bud";#N/A,#N/A,FALSE,"G&amp;A";#N/A,#N/A,FALSE,"BGS";#N/A,#N/A,FALSE,"Res Cost"}</definedName>
    <definedName name="tomb" localSheetId="45" hidden="1">{#N/A,#N/A,FALSE,"O&amp;M by processes";#N/A,#N/A,FALSE,"Elec Act vs Bud";#N/A,#N/A,FALSE,"G&amp;A";#N/A,#N/A,FALSE,"BGS";#N/A,#N/A,FALSE,"Res Cost"}</definedName>
    <definedName name="tomb" localSheetId="13"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6" hidden="1">{#N/A,#N/A,FALSE,"O&amp;M by processes";#N/A,#N/A,FALSE,"Elec Act vs Bud";#N/A,#N/A,FALSE,"G&amp;A";#N/A,#N/A,FALSE,"BGS";#N/A,#N/A,FALSE,"Res Cost"}</definedName>
    <definedName name="tomc" localSheetId="28" hidden="1">{#N/A,#N/A,FALSE,"O&amp;M by processes";#N/A,#N/A,FALSE,"Elec Act vs Bud";#N/A,#N/A,FALSE,"G&amp;A";#N/A,#N/A,FALSE,"BGS";#N/A,#N/A,FALSE,"Res Cost"}</definedName>
    <definedName name="tomc" localSheetId="33" hidden="1">{#N/A,#N/A,FALSE,"O&amp;M by processes";#N/A,#N/A,FALSE,"Elec Act vs Bud";#N/A,#N/A,FALSE,"G&amp;A";#N/A,#N/A,FALSE,"BGS";#N/A,#N/A,FALSE,"Res Cost"}</definedName>
    <definedName name="tomc" localSheetId="35" hidden="1">{#N/A,#N/A,FALSE,"O&amp;M by processes";#N/A,#N/A,FALSE,"Elec Act vs Bud";#N/A,#N/A,FALSE,"G&amp;A";#N/A,#N/A,FALSE,"BGS";#N/A,#N/A,FALSE,"Res Cost"}</definedName>
    <definedName name="tomc" localSheetId="45" hidden="1">{#N/A,#N/A,FALSE,"O&amp;M by processes";#N/A,#N/A,FALSE,"Elec Act vs Bud";#N/A,#N/A,FALSE,"G&amp;A";#N/A,#N/A,FALSE,"BGS";#N/A,#N/A,FALSE,"Res Cost"}</definedName>
    <definedName name="tomc" localSheetId="13"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6" hidden="1">{#N/A,#N/A,FALSE,"O&amp;M by processes";#N/A,#N/A,FALSE,"Elec Act vs Bud";#N/A,#N/A,FALSE,"G&amp;A";#N/A,#N/A,FALSE,"BGS";#N/A,#N/A,FALSE,"Res Cost"}</definedName>
    <definedName name="tomd" localSheetId="28" hidden="1">{#N/A,#N/A,FALSE,"O&amp;M by processes";#N/A,#N/A,FALSE,"Elec Act vs Bud";#N/A,#N/A,FALSE,"G&amp;A";#N/A,#N/A,FALSE,"BGS";#N/A,#N/A,FALSE,"Res Cost"}</definedName>
    <definedName name="tomd" localSheetId="33" hidden="1">{#N/A,#N/A,FALSE,"O&amp;M by processes";#N/A,#N/A,FALSE,"Elec Act vs Bud";#N/A,#N/A,FALSE,"G&amp;A";#N/A,#N/A,FALSE,"BGS";#N/A,#N/A,FALSE,"Res Cost"}</definedName>
    <definedName name="tomd" localSheetId="35" hidden="1">{#N/A,#N/A,FALSE,"O&amp;M by processes";#N/A,#N/A,FALSE,"Elec Act vs Bud";#N/A,#N/A,FALSE,"G&amp;A";#N/A,#N/A,FALSE,"BGS";#N/A,#N/A,FALSE,"Res Cost"}</definedName>
    <definedName name="tomd" localSheetId="45" hidden="1">{#N/A,#N/A,FALSE,"O&amp;M by processes";#N/A,#N/A,FALSE,"Elec Act vs Bud";#N/A,#N/A,FALSE,"G&amp;A";#N/A,#N/A,FALSE,"BGS";#N/A,#N/A,FALSE,"Res Cost"}</definedName>
    <definedName name="tomd" localSheetId="13"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6" hidden="1">{#N/A,#N/A,FALSE,"O&amp;M by processes";#N/A,#N/A,FALSE,"Elec Act vs Bud";#N/A,#N/A,FALSE,"G&amp;A";#N/A,#N/A,FALSE,"BGS";#N/A,#N/A,FALSE,"Res Cost"}</definedName>
    <definedName name="tomx" localSheetId="28" hidden="1">{#N/A,#N/A,FALSE,"O&amp;M by processes";#N/A,#N/A,FALSE,"Elec Act vs Bud";#N/A,#N/A,FALSE,"G&amp;A";#N/A,#N/A,FALSE,"BGS";#N/A,#N/A,FALSE,"Res Cost"}</definedName>
    <definedName name="tomx" localSheetId="33" hidden="1">{#N/A,#N/A,FALSE,"O&amp;M by processes";#N/A,#N/A,FALSE,"Elec Act vs Bud";#N/A,#N/A,FALSE,"G&amp;A";#N/A,#N/A,FALSE,"BGS";#N/A,#N/A,FALSE,"Res Cost"}</definedName>
    <definedName name="tomx" localSheetId="35" hidden="1">{#N/A,#N/A,FALSE,"O&amp;M by processes";#N/A,#N/A,FALSE,"Elec Act vs Bud";#N/A,#N/A,FALSE,"G&amp;A";#N/A,#N/A,FALSE,"BGS";#N/A,#N/A,FALSE,"Res Cost"}</definedName>
    <definedName name="tomx" localSheetId="45" hidden="1">{#N/A,#N/A,FALSE,"O&amp;M by processes";#N/A,#N/A,FALSE,"Elec Act vs Bud";#N/A,#N/A,FALSE,"G&amp;A";#N/A,#N/A,FALSE,"BGS";#N/A,#N/A,FALSE,"Res Cost"}</definedName>
    <definedName name="tomx" localSheetId="13"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6" hidden="1">{#N/A,#N/A,FALSE,"O&amp;M by processes";#N/A,#N/A,FALSE,"Elec Act vs Bud";#N/A,#N/A,FALSE,"G&amp;A";#N/A,#N/A,FALSE,"BGS";#N/A,#N/A,FALSE,"Res Cost"}</definedName>
    <definedName name="tomy" localSheetId="28" hidden="1">{#N/A,#N/A,FALSE,"O&amp;M by processes";#N/A,#N/A,FALSE,"Elec Act vs Bud";#N/A,#N/A,FALSE,"G&amp;A";#N/A,#N/A,FALSE,"BGS";#N/A,#N/A,FALSE,"Res Cost"}</definedName>
    <definedName name="tomy" localSheetId="33" hidden="1">{#N/A,#N/A,FALSE,"O&amp;M by processes";#N/A,#N/A,FALSE,"Elec Act vs Bud";#N/A,#N/A,FALSE,"G&amp;A";#N/A,#N/A,FALSE,"BGS";#N/A,#N/A,FALSE,"Res Cost"}</definedName>
    <definedName name="tomy" localSheetId="35" hidden="1">{#N/A,#N/A,FALSE,"O&amp;M by processes";#N/A,#N/A,FALSE,"Elec Act vs Bud";#N/A,#N/A,FALSE,"G&amp;A";#N/A,#N/A,FALSE,"BGS";#N/A,#N/A,FALSE,"Res Cost"}</definedName>
    <definedName name="tomy" localSheetId="45" hidden="1">{#N/A,#N/A,FALSE,"O&amp;M by processes";#N/A,#N/A,FALSE,"Elec Act vs Bud";#N/A,#N/A,FALSE,"G&amp;A";#N/A,#N/A,FALSE,"BGS";#N/A,#N/A,FALSE,"Res Cost"}</definedName>
    <definedName name="tomy" localSheetId="13"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6" hidden="1">{#N/A,#N/A,FALSE,"O&amp;M by processes";#N/A,#N/A,FALSE,"Elec Act vs Bud";#N/A,#N/A,FALSE,"G&amp;A";#N/A,#N/A,FALSE,"BGS";#N/A,#N/A,FALSE,"Res Cost"}</definedName>
    <definedName name="tomz" localSheetId="28" hidden="1">{#N/A,#N/A,FALSE,"O&amp;M by processes";#N/A,#N/A,FALSE,"Elec Act vs Bud";#N/A,#N/A,FALSE,"G&amp;A";#N/A,#N/A,FALSE,"BGS";#N/A,#N/A,FALSE,"Res Cost"}</definedName>
    <definedName name="tomz" localSheetId="33" hidden="1">{#N/A,#N/A,FALSE,"O&amp;M by processes";#N/A,#N/A,FALSE,"Elec Act vs Bud";#N/A,#N/A,FALSE,"G&amp;A";#N/A,#N/A,FALSE,"BGS";#N/A,#N/A,FALSE,"Res Cost"}</definedName>
    <definedName name="tomz" localSheetId="35" hidden="1">{#N/A,#N/A,FALSE,"O&amp;M by processes";#N/A,#N/A,FALSE,"Elec Act vs Bud";#N/A,#N/A,FALSE,"G&amp;A";#N/A,#N/A,FALSE,"BGS";#N/A,#N/A,FALSE,"Res Cost"}</definedName>
    <definedName name="tomz" localSheetId="45" hidden="1">{#N/A,#N/A,FALSE,"O&amp;M by processes";#N/A,#N/A,FALSE,"Elec Act vs Bud";#N/A,#N/A,FALSE,"G&amp;A";#N/A,#N/A,FALSE,"BGS";#N/A,#N/A,FALSE,"Res Cost"}</definedName>
    <definedName name="tomz" localSheetId="13" hidden="1">{#N/A,#N/A,FALSE,"O&amp;M by processes";#N/A,#N/A,FALSE,"Elec Act vs Bud";#N/A,#N/A,FALSE,"G&amp;A";#N/A,#N/A,FALSE,"BGS";#N/A,#N/A,FALSE,"Res Cost"}</definedName>
    <definedName name="tomz" hidden="1">{#N/A,#N/A,FALSE,"O&amp;M by processes";#N/A,#N/A,FALSE,"Elec Act vs Bud";#N/A,#N/A,FALSE,"G&amp;A";#N/A,#N/A,FALSE,"BGS";#N/A,#N/A,FALSE,"Res Cost"}</definedName>
    <definedName name="tot_ded">'[20]Input Page'!$E$12</definedName>
    <definedName name="Tota_Deferred">#REF!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'[25]Actual Gross Rev'!$L$158</definedName>
    <definedName name="TP_Footer_Path" hidden="1">"S:\23150\05RET\exec calcs\Chinn\"</definedName>
    <definedName name="TP_Footer_Path1" hidden="1">"S:\74639\03RET\(852) Pension Val - OOS\Contribution Allocations\"</definedName>
    <definedName name="TP_Footer_User" hidden="1">"CORBINP"</definedName>
    <definedName name="TP_Footer_Version" hidden="1">"v3.00"</definedName>
    <definedName name="TPA">'[26]ATRR Act'!$G$158</definedName>
    <definedName name="TPLT">'[11]C. Input'!$F$161</definedName>
    <definedName name="TPLTXS">'[11]C. Input'!$F$164</definedName>
    <definedName name="TPR_TST">'[11]A.2 PTP'!$P$75</definedName>
    <definedName name="TrackerCust">#REF!</definedName>
    <definedName name="TrackerPrice">#REF!</definedName>
    <definedName name="transmission.fixed.charge.rate">0.1525</definedName>
    <definedName name="TRB">'[11]A.2 PTP'!$P$165</definedName>
    <definedName name="TREV">'[11]C. Input'!$F$287</definedName>
    <definedName name="True_up">'[39]Appendix A'!$P$6</definedName>
    <definedName name="tsgsf">"467GDHUY063FE1Q3S2Y9KSMQ8"</definedName>
    <definedName name="TT" localSheetId="26" hidden="1">{"PI_Data",#N/A,TRUE,"P&amp;I Data"}</definedName>
    <definedName name="TT" localSheetId="28" hidden="1">{"PI_Data",#N/A,TRUE,"P&amp;I Data"}</definedName>
    <definedName name="TT" localSheetId="30" hidden="1">{"PI_Data",#N/A,TRUE,"P&amp;I Data"}</definedName>
    <definedName name="TT" localSheetId="31" hidden="1">{"PI_Data",#N/A,TRUE,"P&amp;I Data"}</definedName>
    <definedName name="TT" localSheetId="33" hidden="1">{"PI_Data",#N/A,TRUE,"P&amp;I Data"}</definedName>
    <definedName name="TT" localSheetId="34" hidden="1">{"PI_Data",#N/A,TRUE,"P&amp;I Data"}</definedName>
    <definedName name="TT" localSheetId="35" hidden="1">{"PI_Data",#N/A,TRUE,"P&amp;I Data"}</definedName>
    <definedName name="TT" localSheetId="36" hidden="1">{"PI_Data",#N/A,TRUE,"P&amp;I Data"}</definedName>
    <definedName name="TT" localSheetId="45" hidden="1">{"PI_Data",#N/A,TRUE,"P&amp;I Data"}</definedName>
    <definedName name="TT" localSheetId="12" hidden="1">{"PI_Data",#N/A,TRUE,"P&amp;I Data"}</definedName>
    <definedName name="TT" localSheetId="13" hidden="1">{"PI_Data",#N/A,TRUE,"P&amp;I Data"}</definedName>
    <definedName name="TT" hidden="1">{"PI_Data",#N/A,TRUE,"P&amp;I Data"}</definedName>
    <definedName name="ttttttttttttttttttttttaaaaaaaaaaaa" localSheetId="26" hidden="1">{"PI_Data",#N/A,TRUE,"P&amp;I Data"}</definedName>
    <definedName name="ttttttttttttttttttttttaaaaaaaaaaaa" localSheetId="28" hidden="1">{"PI_Data",#N/A,TRUE,"P&amp;I Data"}</definedName>
    <definedName name="ttttttttttttttttttttttaaaaaaaaaaaa" localSheetId="30" hidden="1">{"PI_Data",#N/A,TRUE,"P&amp;I Data"}</definedName>
    <definedName name="ttttttttttttttttttttttaaaaaaaaaaaa" localSheetId="31" hidden="1">{"PI_Data",#N/A,TRUE,"P&amp;I Data"}</definedName>
    <definedName name="ttttttttttttttttttttttaaaaaaaaaaaa" localSheetId="33" hidden="1">{"PI_Data",#N/A,TRUE,"P&amp;I Data"}</definedName>
    <definedName name="ttttttttttttttttttttttaaaaaaaaaaaa" localSheetId="34" hidden="1">{"PI_Data",#N/A,TRUE,"P&amp;I Data"}</definedName>
    <definedName name="ttttttttttttttttttttttaaaaaaaaaaaa" localSheetId="35" hidden="1">{"PI_Data",#N/A,TRUE,"P&amp;I Data"}</definedName>
    <definedName name="ttttttttttttttttttttttaaaaaaaaaaaa" localSheetId="36" hidden="1">{"PI_Data",#N/A,TRUE,"P&amp;I Data"}</definedName>
    <definedName name="ttttttttttttttttttttttaaaaaaaaaaaa" localSheetId="45" hidden="1">{"PI_Data",#N/A,TRUE,"P&amp;I Data"}</definedName>
    <definedName name="ttttttttttttttttttttttaaaaaaaaaaaa" localSheetId="12" hidden="1">{"PI_Data",#N/A,TRUE,"P&amp;I Data"}</definedName>
    <definedName name="ttttttttttttttttttttttaaaaaaaaaaaa" localSheetId="13" hidden="1">{"PI_Data",#N/A,TRUE,"P&amp;I Data"}</definedName>
    <definedName name="ttttttttttttttttttttttaaaaaaaaaaaa" hidden="1">{"PI_Data",#N/A,TRUE,"P&amp;I Data"}</definedName>
    <definedName name="TU">#REF!</definedName>
    <definedName name="TX">'[11]A.2 PTP'!$P$31</definedName>
    <definedName name="TXO">'[11]C. Input'!$F$215</definedName>
    <definedName name="TXP_TST">'[11]A.2 PTP'!$P$212</definedName>
    <definedName name="Typist" hidden="1">"b1"</definedName>
    <definedName name="tyty" localSheetId="26" hidden="1">{#N/A,#N/A,FALSE,"Monthly SAIFI";#N/A,#N/A,FALSE,"Yearly SAIFI";#N/A,#N/A,FALSE,"Monthly CAIDI";#N/A,#N/A,FALSE,"Yearly CAIDI";#N/A,#N/A,FALSE,"Monthly SAIDI";#N/A,#N/A,FALSE,"Yearly SAIDI";#N/A,#N/A,FALSE,"Monthly MAIFI";#N/A,#N/A,FALSE,"Yearly MAIFI";#N/A,#N/A,FALSE,"Monthly Cust &gt;=4 Int"}</definedName>
    <definedName name="tyty" localSheetId="28" hidden="1">{#N/A,#N/A,FALSE,"Monthly SAIFI";#N/A,#N/A,FALSE,"Yearly SAIFI";#N/A,#N/A,FALSE,"Monthly CAIDI";#N/A,#N/A,FALSE,"Yearly CAIDI";#N/A,#N/A,FALSE,"Monthly SAIDI";#N/A,#N/A,FALSE,"Yearly SAIDI";#N/A,#N/A,FALSE,"Monthly MAIFI";#N/A,#N/A,FALSE,"Yearly MAIFI";#N/A,#N/A,FALSE,"Monthly Cust &gt;=4 Int"}</definedName>
    <definedName name="tyty" localSheetId="33" hidden="1">{#N/A,#N/A,FALSE,"Monthly SAIFI";#N/A,#N/A,FALSE,"Yearly SAIFI";#N/A,#N/A,FALSE,"Monthly CAIDI";#N/A,#N/A,FALSE,"Yearly CAIDI";#N/A,#N/A,FALSE,"Monthly SAIDI";#N/A,#N/A,FALSE,"Yearly SAIDI";#N/A,#N/A,FALSE,"Monthly MAIFI";#N/A,#N/A,FALSE,"Yearly MAIFI";#N/A,#N/A,FALSE,"Monthly Cust &gt;=4 Int"}</definedName>
    <definedName name="tyty" localSheetId="35" hidden="1">{#N/A,#N/A,FALSE,"Monthly SAIFI";#N/A,#N/A,FALSE,"Yearly SAIFI";#N/A,#N/A,FALSE,"Monthly CAIDI";#N/A,#N/A,FALSE,"Yearly CAIDI";#N/A,#N/A,FALSE,"Monthly SAIDI";#N/A,#N/A,FALSE,"Yearly SAIDI";#N/A,#N/A,FALSE,"Monthly MAIFI";#N/A,#N/A,FALSE,"Yearly MAIFI";#N/A,#N/A,FALSE,"Monthly Cust &gt;=4 Int"}</definedName>
    <definedName name="tyty" localSheetId="45" hidden="1">{#N/A,#N/A,FALSE,"Monthly SAIFI";#N/A,#N/A,FALSE,"Yearly SAIFI";#N/A,#N/A,FALSE,"Monthly CAIDI";#N/A,#N/A,FALSE,"Yearly CAIDI";#N/A,#N/A,FALSE,"Monthly SAIDI";#N/A,#N/A,FALSE,"Yearly SAIDI";#N/A,#N/A,FALSE,"Monthly MAIFI";#N/A,#N/A,FALSE,"Yearly MAIFI";#N/A,#N/A,FALSE,"Monthly Cust &gt;=4 Int"}</definedName>
    <definedName name="tyty" localSheetId="13"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ACHRPFAC">#REF!</definedName>
    <definedName name="UACHRPLF">#REF!</definedName>
    <definedName name="UACHRPMW">#REF!</definedName>
    <definedName name="UACHRPMWH">#REF!</definedName>
    <definedName name="UAMAINFAC">#REF!</definedName>
    <definedName name="UAMAINLF">#REF!</definedName>
    <definedName name="UAMAINMW">#REF!</definedName>
    <definedName name="UAMAINMWH">#REF!</definedName>
    <definedName name="UAMEDFAC">#REF!</definedName>
    <definedName name="UAMEDLF">#REF!</definedName>
    <definedName name="UAMEDMW">#REF!</definedName>
    <definedName name="UAMEDMWH">#REF!</definedName>
    <definedName name="UCC_500" localSheetId="30" hidden="1">'[77]1_1'!$Z$78:$AA$92</definedName>
    <definedName name="UCC_500" localSheetId="31" hidden="1">'[77]1_1'!$Z$78:$AA$92</definedName>
    <definedName name="UCC_500" localSheetId="34" hidden="1">'[78]1_1'!$Z$78:$AA$92</definedName>
    <definedName name="UCC_500" localSheetId="35" hidden="1">'[78]1_1'!$Z$78:$AA$92</definedName>
    <definedName name="UCC_500" localSheetId="36" hidden="1">'[78]1_1'!$Z$78:$AA$92</definedName>
    <definedName name="UCC_500" hidden="1">'[78]1_1'!$Z$78:$AA$92</definedName>
    <definedName name="UCC_510" localSheetId="30" hidden="1">'[77]1_1'!$Z$78:$AB$83</definedName>
    <definedName name="UCC_510" localSheetId="31" hidden="1">'[77]1_1'!$Z$78:$AB$83</definedName>
    <definedName name="UCC_510" localSheetId="34" hidden="1">'[78]1_1'!$Z$78:$AB$83</definedName>
    <definedName name="UCC_510" localSheetId="35" hidden="1">'[78]1_1'!$Z$78:$AB$83</definedName>
    <definedName name="UCC_510" localSheetId="36" hidden="1">'[78]1_1'!$Z$78:$AB$83</definedName>
    <definedName name="UCC_510" hidden="1">'[78]1_1'!$Z$78:$AB$83</definedName>
    <definedName name="UCC_800" localSheetId="30" hidden="1">'[77]1_1'!$Y$48:$Z$97</definedName>
    <definedName name="UCC_800" localSheetId="31" hidden="1">'[77]1_1'!$Y$48:$Z$97</definedName>
    <definedName name="UCC_800" localSheetId="34" hidden="1">'[78]1_1'!$Y$48:$Z$97</definedName>
    <definedName name="UCC_800" localSheetId="35" hidden="1">'[78]1_1'!$Y$48:$Z$97</definedName>
    <definedName name="UCC_800" localSheetId="36" hidden="1">'[78]1_1'!$Y$48:$Z$97</definedName>
    <definedName name="UCC_800" hidden="1">'[78]1_1'!$Y$48:$Z$97</definedName>
    <definedName name="UCC_801" localSheetId="30" hidden="1">'[77]1_1'!$Z$54:$AB$74</definedName>
    <definedName name="UCC_801" localSheetId="31" hidden="1">'[77]1_1'!$Z$54:$AB$74</definedName>
    <definedName name="UCC_801" localSheetId="34" hidden="1">'[78]1_1'!$Z$54:$AB$74</definedName>
    <definedName name="UCC_801" localSheetId="35" hidden="1">'[78]1_1'!$Z$54:$AB$74</definedName>
    <definedName name="UCC_801" localSheetId="36" hidden="1">'[78]1_1'!$Z$54:$AB$74</definedName>
    <definedName name="UCC_801" hidden="1">'[78]1_1'!$Z$54:$AB$74</definedName>
    <definedName name="UCC_802" localSheetId="30" hidden="1">'[77]1_1'!$Z$78:$AC$97</definedName>
    <definedName name="UCC_802" localSheetId="31" hidden="1">'[77]1_1'!$Z$78:$AC$97</definedName>
    <definedName name="UCC_802" localSheetId="34" hidden="1">'[78]1_1'!$Z$78:$AC$97</definedName>
    <definedName name="UCC_802" localSheetId="35" hidden="1">'[78]1_1'!$Z$78:$AC$97</definedName>
    <definedName name="UCC_802" localSheetId="36" hidden="1">'[78]1_1'!$Z$78:$AC$97</definedName>
    <definedName name="UCC_802" hidden="1">'[78]1_1'!$Z$78:$AC$97</definedName>
    <definedName name="Unbundle_Rate_Base" localSheetId="26">#REF!</definedName>
    <definedName name="Unbundle_Rate_Base" localSheetId="28">#REF!</definedName>
    <definedName name="Unbundle_Rate_Base" localSheetId="33">#REF!</definedName>
    <definedName name="Unbundle_Rate_Base" localSheetId="35">#REF!</definedName>
    <definedName name="Unbundle_Rate_Base" localSheetId="45">#REF!</definedName>
    <definedName name="Unbundle_Rate_Base" localSheetId="13">#REF!</definedName>
    <definedName name="Unbundle_Rate_Base">#REF!</definedName>
    <definedName name="Unbundle_Rev_Req" localSheetId="26">#REF!</definedName>
    <definedName name="Unbundle_Rev_Req" localSheetId="28">#REF!</definedName>
    <definedName name="Unbundle_Rev_Req" localSheetId="33">#REF!</definedName>
    <definedName name="Unbundle_Rev_Req" localSheetId="35">#REF!</definedName>
    <definedName name="Unbundle_Rev_Req" localSheetId="45">#REF!</definedName>
    <definedName name="Unbundle_Rev_Req" localSheetId="13">#REF!</definedName>
    <definedName name="Unbundle_Rev_Req">#REF!</definedName>
    <definedName name="Unbundling_Unit_Cost" localSheetId="26">#REF!</definedName>
    <definedName name="Unbundling_Unit_Cost" localSheetId="28">#REF!</definedName>
    <definedName name="Unbundling_Unit_Cost" localSheetId="33">#REF!</definedName>
    <definedName name="Unbundling_Unit_Cost" localSheetId="35">#REF!</definedName>
    <definedName name="Unbundling_Unit_Cost" localSheetId="45">#REF!</definedName>
    <definedName name="Unbundling_Unit_Cost" localSheetId="13">#REF!</definedName>
    <definedName name="Unbundling_Unit_Cost">#REF!</definedName>
    <definedName name="Unbundling_Unit_Title">#REF!</definedName>
    <definedName name="unitcost">#REF!</definedName>
    <definedName name="UnitCost21">#REF!</definedName>
    <definedName name="UnitCost22">#REF!</definedName>
    <definedName name="UP">#REF!</definedName>
    <definedName name="URA">'[11]C. Input'!$F$337</definedName>
    <definedName name="utility">#REF!</definedName>
    <definedName name="utilstt">#REF!</definedName>
    <definedName name="v">[79]Cover!$A$9</definedName>
    <definedName name="valDate">[32]Inputs!$B$1</definedName>
    <definedName name="Value" localSheetId="26" hidden="1">{"assumptions",#N/A,FALSE,"Scenario 1";"valuation",#N/A,FALSE,"Scenario 1"}</definedName>
    <definedName name="Value" localSheetId="28" hidden="1">{"assumptions",#N/A,FALSE,"Scenario 1";"valuation",#N/A,FALSE,"Scenario 1"}</definedName>
    <definedName name="Value" localSheetId="33" hidden="1">{"assumptions",#N/A,FALSE,"Scenario 1";"valuation",#N/A,FALSE,"Scenario 1"}</definedName>
    <definedName name="Value" localSheetId="35" hidden="1">{"assumptions",#N/A,FALSE,"Scenario 1";"valuation",#N/A,FALSE,"Scenario 1"}</definedName>
    <definedName name="Value" localSheetId="45" hidden="1">{"assumptions",#N/A,FALSE,"Scenario 1";"valuation",#N/A,FALSE,"Scenario 1"}</definedName>
    <definedName name="Value" localSheetId="13" hidden="1">{"assumptions",#N/A,FALSE,"Scenario 1";"valuation",#N/A,FALSE,"Scenario 1"}</definedName>
    <definedName name="Value" hidden="1">{"assumptions",#N/A,FALSE,"Scenario 1";"valuation",#N/A,FALSE,"Scenario 1"}</definedName>
    <definedName name="vcbcvbcv" localSheetId="26" hidden="1">{#N/A,#N/A,FALSE,"Monthly SAIFI";#N/A,#N/A,FALSE,"Yearly SAIFI";#N/A,#N/A,FALSE,"Monthly CAIDI";#N/A,#N/A,FALSE,"Yearly CAIDI";#N/A,#N/A,FALSE,"Monthly SAIDI";#N/A,#N/A,FALSE,"Yearly SAIDI";#N/A,#N/A,FALSE,"Monthly MAIFI";#N/A,#N/A,FALSE,"Yearly MAIFI";#N/A,#N/A,FALSE,"Monthly Cust &gt;=4 Int"}</definedName>
    <definedName name="vcbcvbcv" localSheetId="28" hidden="1">{#N/A,#N/A,FALSE,"Monthly SAIFI";#N/A,#N/A,FALSE,"Yearly SAIFI";#N/A,#N/A,FALSE,"Monthly CAIDI";#N/A,#N/A,FALSE,"Yearly CAIDI";#N/A,#N/A,FALSE,"Monthly SAIDI";#N/A,#N/A,FALSE,"Yearly SAIDI";#N/A,#N/A,FALSE,"Monthly MAIFI";#N/A,#N/A,FALSE,"Yearly MAIFI";#N/A,#N/A,FALSE,"Monthly Cust &gt;=4 Int"}</definedName>
    <definedName name="vcbcvbcv" localSheetId="33" hidden="1">{#N/A,#N/A,FALSE,"Monthly SAIFI";#N/A,#N/A,FALSE,"Yearly SAIFI";#N/A,#N/A,FALSE,"Monthly CAIDI";#N/A,#N/A,FALSE,"Yearly CAIDI";#N/A,#N/A,FALSE,"Monthly SAIDI";#N/A,#N/A,FALSE,"Yearly SAIDI";#N/A,#N/A,FALSE,"Monthly MAIFI";#N/A,#N/A,FALSE,"Yearly MAIFI";#N/A,#N/A,FALSE,"Monthly Cust &gt;=4 Int"}</definedName>
    <definedName name="vcbcvbcv" localSheetId="35" hidden="1">{#N/A,#N/A,FALSE,"Monthly SAIFI";#N/A,#N/A,FALSE,"Yearly SAIFI";#N/A,#N/A,FALSE,"Monthly CAIDI";#N/A,#N/A,FALSE,"Yearly CAIDI";#N/A,#N/A,FALSE,"Monthly SAIDI";#N/A,#N/A,FALSE,"Yearly SAIDI";#N/A,#N/A,FALSE,"Monthly MAIFI";#N/A,#N/A,FALSE,"Yearly MAIFI";#N/A,#N/A,FALSE,"Monthly Cust &gt;=4 Int"}</definedName>
    <definedName name="vcbcvbcv" localSheetId="45" hidden="1">{#N/A,#N/A,FALSE,"Monthly SAIFI";#N/A,#N/A,FALSE,"Yearly SAIFI";#N/A,#N/A,FALSE,"Monthly CAIDI";#N/A,#N/A,FALSE,"Yearly CAIDI";#N/A,#N/A,FALSE,"Monthly SAIDI";#N/A,#N/A,FALSE,"Yearly SAIDI";#N/A,#N/A,FALSE,"Monthly MAIFI";#N/A,#N/A,FALSE,"Yearly MAIFI";#N/A,#N/A,FALSE,"Monthly Cust &gt;=4 Int"}</definedName>
    <definedName name="vcbcvbcv" localSheetId="13"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 hidden="1">"a1"</definedName>
    <definedName name="WCCGCR2">[80]Rates!$B$96:$C$190</definedName>
    <definedName name="WCLTD">'[35]Attachment H-4A JCP&amp;L '!$I$212</definedName>
    <definedName name="we" localSheetId="26">{"'Metretek HTML'!$A$7:$W$42"}</definedName>
    <definedName name="we" localSheetId="28">{"'Metretek HTML'!$A$7:$W$42"}</definedName>
    <definedName name="we" localSheetId="33">{"'Metretek HTML'!$A$7:$W$42"}</definedName>
    <definedName name="we" localSheetId="35">{"'Metretek HTML'!$A$7:$W$42"}</definedName>
    <definedName name="we" localSheetId="45">{"'Metretek HTML'!$A$7:$W$42"}</definedName>
    <definedName name="we" localSheetId="13">{"'Metretek HTML'!$A$7:$W$42"}</definedName>
    <definedName name="we">{"'Metretek HTML'!$A$7:$W$42"}</definedName>
    <definedName name="WEEK">[42]A!$Q$59</definedName>
    <definedName name="wer" localSheetId="26" hidden="1">{#N/A,#N/A,FALSE,"Monthly SAIFI";#N/A,#N/A,FALSE,"Yearly SAIFI";#N/A,#N/A,FALSE,"Monthly CAIDI";#N/A,#N/A,FALSE,"Yearly CAIDI";#N/A,#N/A,FALSE,"Monthly SAIDI";#N/A,#N/A,FALSE,"Yearly SAIDI";#N/A,#N/A,FALSE,"Monthly MAIFI";#N/A,#N/A,FALSE,"Yearly MAIFI";#N/A,#N/A,FALSE,"Monthly Cust &gt;=4 Int"}</definedName>
    <definedName name="wer" localSheetId="28" hidden="1">{#N/A,#N/A,FALSE,"Monthly SAIFI";#N/A,#N/A,FALSE,"Yearly SAIFI";#N/A,#N/A,FALSE,"Monthly CAIDI";#N/A,#N/A,FALSE,"Yearly CAIDI";#N/A,#N/A,FALSE,"Monthly SAIDI";#N/A,#N/A,FALSE,"Yearly SAIDI";#N/A,#N/A,FALSE,"Monthly MAIFI";#N/A,#N/A,FALSE,"Yearly MAIFI";#N/A,#N/A,FALSE,"Monthly Cust &gt;=4 Int"}</definedName>
    <definedName name="wer" localSheetId="33" hidden="1">{#N/A,#N/A,FALSE,"Monthly SAIFI";#N/A,#N/A,FALSE,"Yearly SAIFI";#N/A,#N/A,FALSE,"Monthly CAIDI";#N/A,#N/A,FALSE,"Yearly CAIDI";#N/A,#N/A,FALSE,"Monthly SAIDI";#N/A,#N/A,FALSE,"Yearly SAIDI";#N/A,#N/A,FALSE,"Monthly MAIFI";#N/A,#N/A,FALSE,"Yearly MAIFI";#N/A,#N/A,FALSE,"Monthly Cust &gt;=4 Int"}</definedName>
    <definedName name="wer" localSheetId="35" hidden="1">{#N/A,#N/A,FALSE,"Monthly SAIFI";#N/A,#N/A,FALSE,"Yearly SAIFI";#N/A,#N/A,FALSE,"Monthly CAIDI";#N/A,#N/A,FALSE,"Yearly CAIDI";#N/A,#N/A,FALSE,"Monthly SAIDI";#N/A,#N/A,FALSE,"Yearly SAIDI";#N/A,#N/A,FALSE,"Monthly MAIFI";#N/A,#N/A,FALSE,"Yearly MAIFI";#N/A,#N/A,FALSE,"Monthly Cust &gt;=4 Int"}</definedName>
    <definedName name="wer" localSheetId="45" hidden="1">{#N/A,#N/A,FALSE,"Monthly SAIFI";#N/A,#N/A,FALSE,"Yearly SAIFI";#N/A,#N/A,FALSE,"Monthly CAIDI";#N/A,#N/A,FALSE,"Yearly CAIDI";#N/A,#N/A,FALSE,"Monthly SAIDI";#N/A,#N/A,FALSE,"Yearly SAIDI";#N/A,#N/A,FALSE,"Monthly MAIFI";#N/A,#N/A,FALSE,"Yearly MAIFI";#N/A,#N/A,FALSE,"Monthly Cust &gt;=4 Int"}</definedName>
    <definedName name="wer" localSheetId="13"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'[11]A.2 PTP'!$P$282</definedName>
    <definedName name="wh" localSheetId="26" hidden="1">{#N/A,#N/A,FALSE,"O&amp;M by processes";#N/A,#N/A,FALSE,"Elec Act vs Bud";#N/A,#N/A,FALSE,"G&amp;A";#N/A,#N/A,FALSE,"BGS";#N/A,#N/A,FALSE,"Res Cost"}</definedName>
    <definedName name="wh" localSheetId="28" hidden="1">{#N/A,#N/A,FALSE,"O&amp;M by processes";#N/A,#N/A,FALSE,"Elec Act vs Bud";#N/A,#N/A,FALSE,"G&amp;A";#N/A,#N/A,FALSE,"BGS";#N/A,#N/A,FALSE,"Res Cost"}</definedName>
    <definedName name="wh" localSheetId="33" hidden="1">{#N/A,#N/A,FALSE,"O&amp;M by processes";#N/A,#N/A,FALSE,"Elec Act vs Bud";#N/A,#N/A,FALSE,"G&amp;A";#N/A,#N/A,FALSE,"BGS";#N/A,#N/A,FALSE,"Res Cost"}</definedName>
    <definedName name="wh" localSheetId="35" hidden="1">{#N/A,#N/A,FALSE,"O&amp;M by processes";#N/A,#N/A,FALSE,"Elec Act vs Bud";#N/A,#N/A,FALSE,"G&amp;A";#N/A,#N/A,FALSE,"BGS";#N/A,#N/A,FALSE,"Res Cost"}</definedName>
    <definedName name="wh" localSheetId="45" hidden="1">{#N/A,#N/A,FALSE,"O&amp;M by processes";#N/A,#N/A,FALSE,"Elec Act vs Bud";#N/A,#N/A,FALSE,"G&amp;A";#N/A,#N/A,FALSE,"BGS";#N/A,#N/A,FALSE,"Res Cost"}</definedName>
    <definedName name="wh" localSheetId="13"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6" hidden="1">{#N/A,#N/A,FALSE,"O&amp;M by processes";#N/A,#N/A,FALSE,"Elec Act vs Bud";#N/A,#N/A,FALSE,"G&amp;A";#N/A,#N/A,FALSE,"BGS";#N/A,#N/A,FALSE,"Res Cost"}</definedName>
    <definedName name="what" localSheetId="28" hidden="1">{#N/A,#N/A,FALSE,"O&amp;M by processes";#N/A,#N/A,FALSE,"Elec Act vs Bud";#N/A,#N/A,FALSE,"G&amp;A";#N/A,#N/A,FALSE,"BGS";#N/A,#N/A,FALSE,"Res Cost"}</definedName>
    <definedName name="what" localSheetId="33" hidden="1">{#N/A,#N/A,FALSE,"O&amp;M by processes";#N/A,#N/A,FALSE,"Elec Act vs Bud";#N/A,#N/A,FALSE,"G&amp;A";#N/A,#N/A,FALSE,"BGS";#N/A,#N/A,FALSE,"Res Cost"}</definedName>
    <definedName name="what" localSheetId="35" hidden="1">{#N/A,#N/A,FALSE,"O&amp;M by processes";#N/A,#N/A,FALSE,"Elec Act vs Bud";#N/A,#N/A,FALSE,"G&amp;A";#N/A,#N/A,FALSE,"BGS";#N/A,#N/A,FALSE,"Res Cost"}</definedName>
    <definedName name="what" localSheetId="45" hidden="1">{#N/A,#N/A,FALSE,"O&amp;M by processes";#N/A,#N/A,FALSE,"Elec Act vs Bud";#N/A,#N/A,FALSE,"G&amp;A";#N/A,#N/A,FALSE,"BGS";#N/A,#N/A,FALSE,"Res Cost"}</definedName>
    <definedName name="what" localSheetId="13" hidden="1">{#N/A,#N/A,FALSE,"O&amp;M by processes";#N/A,#N/A,FALSE,"Elec Act vs Bud";#N/A,#N/A,FALSE,"G&amp;A";#N/A,#N/A,FALSE,"BGS";#N/A,#N/A,FALSE,"Res Cost"}</definedName>
    <definedName name="what" hidden="1">{#N/A,#N/A,FALSE,"O&amp;M by processes";#N/A,#N/A,FALSE,"Elec Act vs Bud";#N/A,#N/A,FALSE,"G&amp;A";#N/A,#N/A,FALSE,"BGS";#N/A,#N/A,FALSE,"Res Cost"}</definedName>
    <definedName name="whatever">#REF!</definedName>
    <definedName name="Whatwhat" localSheetId="26" hidden="1">{#N/A,#N/A,FALSE,"O&amp;M by processes";#N/A,#N/A,FALSE,"Elec Act vs Bud";#N/A,#N/A,FALSE,"G&amp;A";#N/A,#N/A,FALSE,"BGS";#N/A,#N/A,FALSE,"Res Cost"}</definedName>
    <definedName name="Whatwhat" localSheetId="28" hidden="1">{#N/A,#N/A,FALSE,"O&amp;M by processes";#N/A,#N/A,FALSE,"Elec Act vs Bud";#N/A,#N/A,FALSE,"G&amp;A";#N/A,#N/A,FALSE,"BGS";#N/A,#N/A,FALSE,"Res Cost"}</definedName>
    <definedName name="Whatwhat" localSheetId="33" hidden="1">{#N/A,#N/A,FALSE,"O&amp;M by processes";#N/A,#N/A,FALSE,"Elec Act vs Bud";#N/A,#N/A,FALSE,"G&amp;A";#N/A,#N/A,FALSE,"BGS";#N/A,#N/A,FALSE,"Res Cost"}</definedName>
    <definedName name="Whatwhat" localSheetId="35" hidden="1">{#N/A,#N/A,FALSE,"O&amp;M by processes";#N/A,#N/A,FALSE,"Elec Act vs Bud";#N/A,#N/A,FALSE,"G&amp;A";#N/A,#N/A,FALSE,"BGS";#N/A,#N/A,FALSE,"Res Cost"}</definedName>
    <definedName name="Whatwhat" localSheetId="45" hidden="1">{#N/A,#N/A,FALSE,"O&amp;M by processes";#N/A,#N/A,FALSE,"Elec Act vs Bud";#N/A,#N/A,FALSE,"G&amp;A";#N/A,#N/A,FALSE,"BGS";#N/A,#N/A,FALSE,"Res Cost"}</definedName>
    <definedName name="Whatwhat" localSheetId="13"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6" hidden="1">{#N/A,#N/A,FALSE,"O&amp;M by processes";#N/A,#N/A,FALSE,"Elec Act vs Bud";#N/A,#N/A,FALSE,"G&amp;A";#N/A,#N/A,FALSE,"BGS";#N/A,#N/A,FALSE,"Res Cost"}</definedName>
    <definedName name="who" localSheetId="28" hidden="1">{#N/A,#N/A,FALSE,"O&amp;M by processes";#N/A,#N/A,FALSE,"Elec Act vs Bud";#N/A,#N/A,FALSE,"G&amp;A";#N/A,#N/A,FALSE,"BGS";#N/A,#N/A,FALSE,"Res Cost"}</definedName>
    <definedName name="who" localSheetId="33" hidden="1">{#N/A,#N/A,FALSE,"O&amp;M by processes";#N/A,#N/A,FALSE,"Elec Act vs Bud";#N/A,#N/A,FALSE,"G&amp;A";#N/A,#N/A,FALSE,"BGS";#N/A,#N/A,FALSE,"Res Cost"}</definedName>
    <definedName name="who" localSheetId="35" hidden="1">{#N/A,#N/A,FALSE,"O&amp;M by processes";#N/A,#N/A,FALSE,"Elec Act vs Bud";#N/A,#N/A,FALSE,"G&amp;A";#N/A,#N/A,FALSE,"BGS";#N/A,#N/A,FALSE,"Res Cost"}</definedName>
    <definedName name="who" localSheetId="45" hidden="1">{#N/A,#N/A,FALSE,"O&amp;M by processes";#N/A,#N/A,FALSE,"Elec Act vs Bud";#N/A,#N/A,FALSE,"G&amp;A";#N/A,#N/A,FALSE,"BGS";#N/A,#N/A,FALSE,"Res Cost"}</definedName>
    <definedName name="who" localSheetId="13"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6" hidden="1">{#N/A,#N/A,FALSE,"O&amp;M by processes";#N/A,#N/A,FALSE,"Elec Act vs Bud";#N/A,#N/A,FALSE,"G&amp;A";#N/A,#N/A,FALSE,"BGS";#N/A,#N/A,FALSE,"Res Cost"}</definedName>
    <definedName name="whowho" localSheetId="28" hidden="1">{#N/A,#N/A,FALSE,"O&amp;M by processes";#N/A,#N/A,FALSE,"Elec Act vs Bud";#N/A,#N/A,FALSE,"G&amp;A";#N/A,#N/A,FALSE,"BGS";#N/A,#N/A,FALSE,"Res Cost"}</definedName>
    <definedName name="whowho" localSheetId="33" hidden="1">{#N/A,#N/A,FALSE,"O&amp;M by processes";#N/A,#N/A,FALSE,"Elec Act vs Bud";#N/A,#N/A,FALSE,"G&amp;A";#N/A,#N/A,FALSE,"BGS";#N/A,#N/A,FALSE,"Res Cost"}</definedName>
    <definedName name="whowho" localSheetId="35" hidden="1">{#N/A,#N/A,FALSE,"O&amp;M by processes";#N/A,#N/A,FALSE,"Elec Act vs Bud";#N/A,#N/A,FALSE,"G&amp;A";#N/A,#N/A,FALSE,"BGS";#N/A,#N/A,FALSE,"Res Cost"}</definedName>
    <definedName name="whowho" localSheetId="45" hidden="1">{#N/A,#N/A,FALSE,"O&amp;M by processes";#N/A,#N/A,FALSE,"Elec Act vs Bud";#N/A,#N/A,FALSE,"G&amp;A";#N/A,#N/A,FALSE,"BGS";#N/A,#N/A,FALSE,"Res Cost"}</definedName>
    <definedName name="whowho" localSheetId="13"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6" hidden="1">{#N/A,#N/A,FALSE,"O&amp;M by processes";#N/A,#N/A,FALSE,"Elec Act vs Bud";#N/A,#N/A,FALSE,"G&amp;A";#N/A,#N/A,FALSE,"BGS";#N/A,#N/A,FALSE,"Res Cost"}</definedName>
    <definedName name="whwh" localSheetId="28" hidden="1">{#N/A,#N/A,FALSE,"O&amp;M by processes";#N/A,#N/A,FALSE,"Elec Act vs Bud";#N/A,#N/A,FALSE,"G&amp;A";#N/A,#N/A,FALSE,"BGS";#N/A,#N/A,FALSE,"Res Cost"}</definedName>
    <definedName name="whwh" localSheetId="33" hidden="1">{#N/A,#N/A,FALSE,"O&amp;M by processes";#N/A,#N/A,FALSE,"Elec Act vs Bud";#N/A,#N/A,FALSE,"G&amp;A";#N/A,#N/A,FALSE,"BGS";#N/A,#N/A,FALSE,"Res Cost"}</definedName>
    <definedName name="whwh" localSheetId="35" hidden="1">{#N/A,#N/A,FALSE,"O&amp;M by processes";#N/A,#N/A,FALSE,"Elec Act vs Bud";#N/A,#N/A,FALSE,"G&amp;A";#N/A,#N/A,FALSE,"BGS";#N/A,#N/A,FALSE,"Res Cost"}</definedName>
    <definedName name="whwh" localSheetId="45" hidden="1">{#N/A,#N/A,FALSE,"O&amp;M by processes";#N/A,#N/A,FALSE,"Elec Act vs Bud";#N/A,#N/A,FALSE,"G&amp;A";#N/A,#N/A,FALSE,"BGS";#N/A,#N/A,FALSE,"Res Cost"}</definedName>
    <definedName name="whwh" localSheetId="13"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6" hidden="1">{#N/A,#N/A,FALSE,"O&amp;M by processes";#N/A,#N/A,FALSE,"Elec Act vs Bud";#N/A,#N/A,FALSE,"G&amp;A";#N/A,#N/A,FALSE,"BGS";#N/A,#N/A,FALSE,"Res Cost"}</definedName>
    <definedName name="why" localSheetId="28" hidden="1">{#N/A,#N/A,FALSE,"O&amp;M by processes";#N/A,#N/A,FALSE,"Elec Act vs Bud";#N/A,#N/A,FALSE,"G&amp;A";#N/A,#N/A,FALSE,"BGS";#N/A,#N/A,FALSE,"Res Cost"}</definedName>
    <definedName name="why" localSheetId="33" hidden="1">{#N/A,#N/A,FALSE,"O&amp;M by processes";#N/A,#N/A,FALSE,"Elec Act vs Bud";#N/A,#N/A,FALSE,"G&amp;A";#N/A,#N/A,FALSE,"BGS";#N/A,#N/A,FALSE,"Res Cost"}</definedName>
    <definedName name="why" localSheetId="35" hidden="1">{#N/A,#N/A,FALSE,"O&amp;M by processes";#N/A,#N/A,FALSE,"Elec Act vs Bud";#N/A,#N/A,FALSE,"G&amp;A";#N/A,#N/A,FALSE,"BGS";#N/A,#N/A,FALSE,"Res Cost"}</definedName>
    <definedName name="why" localSheetId="45" hidden="1">{#N/A,#N/A,FALSE,"O&amp;M by processes";#N/A,#N/A,FALSE,"Elec Act vs Bud";#N/A,#N/A,FALSE,"G&amp;A";#N/A,#N/A,FALSE,"BGS";#N/A,#N/A,FALSE,"Res Cost"}</definedName>
    <definedName name="why" localSheetId="13" hidden="1">{#N/A,#N/A,FALSE,"O&amp;M by processes";#N/A,#N/A,FALSE,"Elec Act vs Bud";#N/A,#N/A,FALSE,"G&amp;A";#N/A,#N/A,FALSE,"BGS";#N/A,#N/A,FALSE,"Res Cost"}</definedName>
    <definedName name="why" hidden="1">{#N/A,#N/A,FALSE,"O&amp;M by processes";#N/A,#N/A,FALSE,"Elec Act vs Bud";#N/A,#N/A,FALSE,"G&amp;A";#N/A,#N/A,FALSE,"BGS";#N/A,#N/A,FALSE,"Res Cost"}</definedName>
    <definedName name="WO_Description">'[81]WO Info'!$A$1:$F$17972</definedName>
    <definedName name="wrn" localSheetId="26" hidden="1">{#N/A,#N/A,FALSE,"O&amp;M by processes";#N/A,#N/A,FALSE,"Elec Act vs Bud";#N/A,#N/A,FALSE,"G&amp;A";#N/A,#N/A,FALSE,"BGS";#N/A,#N/A,FALSE,"Res Cost"}</definedName>
    <definedName name="wrn" localSheetId="28" hidden="1">{#N/A,#N/A,FALSE,"O&amp;M by processes";#N/A,#N/A,FALSE,"Elec Act vs Bud";#N/A,#N/A,FALSE,"G&amp;A";#N/A,#N/A,FALSE,"BGS";#N/A,#N/A,FALSE,"Res Cost"}</definedName>
    <definedName name="wrn" localSheetId="33" hidden="1">{#N/A,#N/A,FALSE,"O&amp;M by processes";#N/A,#N/A,FALSE,"Elec Act vs Bud";#N/A,#N/A,FALSE,"G&amp;A";#N/A,#N/A,FALSE,"BGS";#N/A,#N/A,FALSE,"Res Cost"}</definedName>
    <definedName name="wrn" localSheetId="35" hidden="1">{#N/A,#N/A,FALSE,"O&amp;M by processes";#N/A,#N/A,FALSE,"Elec Act vs Bud";#N/A,#N/A,FALSE,"G&amp;A";#N/A,#N/A,FALSE,"BGS";#N/A,#N/A,FALSE,"Res Cost"}</definedName>
    <definedName name="wrn" localSheetId="45" hidden="1">{#N/A,#N/A,FALSE,"O&amp;M by processes";#N/A,#N/A,FALSE,"Elec Act vs Bud";#N/A,#N/A,FALSE,"G&amp;A";#N/A,#N/A,FALSE,"BGS";#N/A,#N/A,FALSE,"Res Cost"}</definedName>
    <definedName name="wrn" localSheetId="13"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6" hidden="1">{#N/A,#N/A,FALSE,"CURRENT"}</definedName>
    <definedName name="wrn.722." localSheetId="28" hidden="1">{#N/A,#N/A,FALSE,"CURRENT"}</definedName>
    <definedName name="wrn.722." localSheetId="33" hidden="1">{#N/A,#N/A,FALSE,"CURRENT"}</definedName>
    <definedName name="wrn.722." localSheetId="35" hidden="1">{#N/A,#N/A,FALSE,"CURRENT"}</definedName>
    <definedName name="wrn.722." localSheetId="45" hidden="1">{#N/A,#N/A,FALSE,"CURRENT"}</definedName>
    <definedName name="wrn.722." localSheetId="13" hidden="1">{#N/A,#N/A,FALSE,"CURRENT"}</definedName>
    <definedName name="wrn.722." hidden="1">{#N/A,#N/A,FALSE,"CURRENT"}</definedName>
    <definedName name="wrn.Accelerated." localSheetId="20" hidden="1">{#N/A,#N/A,FALSE,"CTC Summary - EOY";#N/A,#N/A,FALSE,"CTC Summary - Wtavg"}</definedName>
    <definedName name="wrn.Accelerated." localSheetId="21" hidden="1">{#N/A,#N/A,FALSE,"CTC Summary - EOY";#N/A,#N/A,FALSE,"CTC Summary - Wtavg"}</definedName>
    <definedName name="wrn.Accelerated." localSheetId="23" hidden="1">{#N/A,#N/A,FALSE,"CTC Summary - EOY";#N/A,#N/A,FALSE,"CTC Summary - Wtavg"}</definedName>
    <definedName name="wrn.Accelerated." localSheetId="22" hidden="1">{#N/A,#N/A,FALSE,"CTC Summary - EOY";#N/A,#N/A,FALSE,"CTC Summary - Wtavg"}</definedName>
    <definedName name="wrn.Accelerated." localSheetId="24" hidden="1">{#N/A,#N/A,FALSE,"CTC Summary - EOY";#N/A,#N/A,FALSE,"CTC Summary - Wtavg"}</definedName>
    <definedName name="wrn.Accelerated." localSheetId="25" hidden="1">{#N/A,#N/A,FALSE,"CTC Summary - EOY";#N/A,#N/A,FALSE,"CTC Summary - Wtavg"}</definedName>
    <definedName name="wrn.Accelerated." localSheetId="26" hidden="1">{#N/A,#N/A,FALSE,"CTC Summary - EOY";#N/A,#N/A,FALSE,"CTC Summary - Wtavg"}</definedName>
    <definedName name="wrn.Accelerated." localSheetId="27" hidden="1">{#N/A,#N/A,FALSE,"CTC Summary - EOY";#N/A,#N/A,FALSE,"CTC Summary - Wtavg"}</definedName>
    <definedName name="wrn.Accelerated." localSheetId="28" hidden="1">{#N/A,#N/A,FALSE,"CTC Summary - EOY";#N/A,#N/A,FALSE,"CTC Summary - Wtavg"}</definedName>
    <definedName name="wrn.Accelerated." localSheetId="30" hidden="1">{#N/A,#N/A,FALSE,"CTC Summary - EOY";#N/A,#N/A,FALSE,"CTC Summary - Wtavg"}</definedName>
    <definedName name="wrn.Accelerated." localSheetId="31" hidden="1">{#N/A,#N/A,FALSE,"CTC Summary - EOY";#N/A,#N/A,FALSE,"CTC Summary - Wtavg"}</definedName>
    <definedName name="wrn.Accelerated." localSheetId="32" hidden="1">{#N/A,#N/A,FALSE,"CTC Summary - EOY";#N/A,#N/A,FALSE,"CTC Summary - Wtavg"}</definedName>
    <definedName name="wrn.Accelerated." localSheetId="33" hidden="1">{#N/A,#N/A,FALSE,"CTC Summary - EOY";#N/A,#N/A,FALSE,"CTC Summary - Wtavg"}</definedName>
    <definedName name="wrn.Accelerated." localSheetId="34" hidden="1">{#N/A,#N/A,FALSE,"CTC Summary - EOY";#N/A,#N/A,FALSE,"CTC Summary - Wtavg"}</definedName>
    <definedName name="wrn.Accelerated." localSheetId="35" hidden="1">{#N/A,#N/A,FALSE,"CTC Summary - EOY";#N/A,#N/A,FALSE,"CTC Summary - Wtavg"}</definedName>
    <definedName name="wrn.Accelerated." localSheetId="36" hidden="1">{#N/A,#N/A,FALSE,"CTC Summary - EOY";#N/A,#N/A,FALSE,"CTC Summary - Wtavg"}</definedName>
    <definedName name="wrn.Accelerated." localSheetId="37" hidden="1">{#N/A,#N/A,FALSE,"CTC Summary - EOY";#N/A,#N/A,FALSE,"CTC Summary - Wtavg"}</definedName>
    <definedName name="wrn.Accelerated." localSheetId="40" hidden="1">{#N/A,#N/A,FALSE,"CTC Summary - EOY";#N/A,#N/A,FALSE,"CTC Summary - Wtavg"}</definedName>
    <definedName name="wrn.Accelerated." localSheetId="42" hidden="1">{#N/A,#N/A,FALSE,"CTC Summary - EOY";#N/A,#N/A,FALSE,"CTC Summary - Wtavg"}</definedName>
    <definedName name="wrn.Accelerated." localSheetId="44" hidden="1">{#N/A,#N/A,FALSE,"CTC Summary - EOY";#N/A,#N/A,FALSE,"CTC Summary - Wtavg"}</definedName>
    <definedName name="wrn.Accelerated." localSheetId="45" hidden="1">{#N/A,#N/A,FALSE,"CTC Summary - EOY";#N/A,#N/A,FALSE,"CTC Summary - Wtavg"}</definedName>
    <definedName name="wrn.Accelerated." localSheetId="46" hidden="1">{#N/A,#N/A,FALSE,"CTC Summary - EOY";#N/A,#N/A,FALSE,"CTC Summary - Wtavg"}</definedName>
    <definedName name="wrn.Accelerated." localSheetId="10" hidden="1">{#N/A,#N/A,FALSE,"CTC Summary - EOY";#N/A,#N/A,FALSE,"CTC Summary - Wtavg"}</definedName>
    <definedName name="wrn.Accelerated." localSheetId="12" hidden="1">{#N/A,#N/A,FALSE,"CTC Summary - EOY";#N/A,#N/A,FALSE,"CTC Summary - Wtavg"}</definedName>
    <definedName name="wrn.Accelerated." localSheetId="13" hidden="1">{#N/A,#N/A,FALSE,"CTC Summary - EOY";#N/A,#N/A,FALSE,"CTC Summary - Wtavg"}</definedName>
    <definedName name="wrn.Accelerated." localSheetId="14" hidden="1">{#N/A,#N/A,FALSE,"CTC Summary - EOY";#N/A,#N/A,FALSE,"CTC Summary - Wtavg"}</definedName>
    <definedName name="wrn.Accelerated." localSheetId="15" hidden="1">{#N/A,#N/A,FALSE,"CTC Summary - EOY";#N/A,#N/A,FALSE,"CTC Summary - Wtavg"}</definedName>
    <definedName name="wrn.Accelerated." hidden="1">{#N/A,#N/A,FALSE,"CTC Summary - EOY";#N/A,#N/A,FALSE,"CTC Summary - Wtavg"}</definedName>
    <definedName name="wrn.accellerated1" localSheetId="20" hidden="1">{#N/A,#N/A,FALSE,"CTC Summary - EOY";#N/A,#N/A,FALSE,"CTC Summary - Wtavg"}</definedName>
    <definedName name="wrn.accellerated1" localSheetId="21" hidden="1">{#N/A,#N/A,FALSE,"CTC Summary - EOY";#N/A,#N/A,FALSE,"CTC Summary - Wtavg"}</definedName>
    <definedName name="wrn.accellerated1" localSheetId="23" hidden="1">{#N/A,#N/A,FALSE,"CTC Summary - EOY";#N/A,#N/A,FALSE,"CTC Summary - Wtavg"}</definedName>
    <definedName name="wrn.accellerated1" localSheetId="22" hidden="1">{#N/A,#N/A,FALSE,"CTC Summary - EOY";#N/A,#N/A,FALSE,"CTC Summary - Wtavg"}</definedName>
    <definedName name="wrn.accellerated1" localSheetId="24" hidden="1">{#N/A,#N/A,FALSE,"CTC Summary - EOY";#N/A,#N/A,FALSE,"CTC Summary - Wtavg"}</definedName>
    <definedName name="wrn.accellerated1" localSheetId="25" hidden="1">{#N/A,#N/A,FALSE,"CTC Summary - EOY";#N/A,#N/A,FALSE,"CTC Summary - Wtavg"}</definedName>
    <definedName name="wrn.accellerated1" localSheetId="26" hidden="1">{#N/A,#N/A,FALSE,"CTC Summary - EOY";#N/A,#N/A,FALSE,"CTC Summary - Wtavg"}</definedName>
    <definedName name="wrn.accellerated1" localSheetId="27" hidden="1">{#N/A,#N/A,FALSE,"CTC Summary - EOY";#N/A,#N/A,FALSE,"CTC Summary - Wtavg"}</definedName>
    <definedName name="wrn.accellerated1" localSheetId="28" hidden="1">{#N/A,#N/A,FALSE,"CTC Summary - EOY";#N/A,#N/A,FALSE,"CTC Summary - Wtavg"}</definedName>
    <definedName name="wrn.accellerated1" localSheetId="30" hidden="1">{#N/A,#N/A,FALSE,"CTC Summary - EOY";#N/A,#N/A,FALSE,"CTC Summary - Wtavg"}</definedName>
    <definedName name="wrn.accellerated1" localSheetId="31" hidden="1">{#N/A,#N/A,FALSE,"CTC Summary - EOY";#N/A,#N/A,FALSE,"CTC Summary - Wtavg"}</definedName>
    <definedName name="wrn.accellerated1" localSheetId="32" hidden="1">{#N/A,#N/A,FALSE,"CTC Summary - EOY";#N/A,#N/A,FALSE,"CTC Summary - Wtavg"}</definedName>
    <definedName name="wrn.accellerated1" localSheetId="33" hidden="1">{#N/A,#N/A,FALSE,"CTC Summary - EOY";#N/A,#N/A,FALSE,"CTC Summary - Wtavg"}</definedName>
    <definedName name="wrn.accellerated1" localSheetId="34" hidden="1">{#N/A,#N/A,FALSE,"CTC Summary - EOY";#N/A,#N/A,FALSE,"CTC Summary - Wtavg"}</definedName>
    <definedName name="wrn.accellerated1" localSheetId="35" hidden="1">{#N/A,#N/A,FALSE,"CTC Summary - EOY";#N/A,#N/A,FALSE,"CTC Summary - Wtavg"}</definedName>
    <definedName name="wrn.accellerated1" localSheetId="36" hidden="1">{#N/A,#N/A,FALSE,"CTC Summary - EOY";#N/A,#N/A,FALSE,"CTC Summary - Wtavg"}</definedName>
    <definedName name="wrn.accellerated1" localSheetId="37" hidden="1">{#N/A,#N/A,FALSE,"CTC Summary - EOY";#N/A,#N/A,FALSE,"CTC Summary - Wtavg"}</definedName>
    <definedName name="wrn.accellerated1" localSheetId="40" hidden="1">{#N/A,#N/A,FALSE,"CTC Summary - EOY";#N/A,#N/A,FALSE,"CTC Summary - Wtavg"}</definedName>
    <definedName name="wrn.accellerated1" localSheetId="42" hidden="1">{#N/A,#N/A,FALSE,"CTC Summary - EOY";#N/A,#N/A,FALSE,"CTC Summary - Wtavg"}</definedName>
    <definedName name="wrn.accellerated1" localSheetId="44" hidden="1">{#N/A,#N/A,FALSE,"CTC Summary - EOY";#N/A,#N/A,FALSE,"CTC Summary - Wtavg"}</definedName>
    <definedName name="wrn.accellerated1" localSheetId="45" hidden="1">{#N/A,#N/A,FALSE,"CTC Summary - EOY";#N/A,#N/A,FALSE,"CTC Summary - Wtavg"}</definedName>
    <definedName name="wrn.accellerated1" localSheetId="46" hidden="1">{#N/A,#N/A,FALSE,"CTC Summary - EOY";#N/A,#N/A,FALSE,"CTC Summary - Wtavg"}</definedName>
    <definedName name="wrn.accellerated1" localSheetId="10" hidden="1">{#N/A,#N/A,FALSE,"CTC Summary - EOY";#N/A,#N/A,FALSE,"CTC Summary - Wtavg"}</definedName>
    <definedName name="wrn.accellerated1" localSheetId="12" hidden="1">{#N/A,#N/A,FALSE,"CTC Summary - EOY";#N/A,#N/A,FALSE,"CTC Summary - Wtavg"}</definedName>
    <definedName name="wrn.accellerated1" localSheetId="13" hidden="1">{#N/A,#N/A,FALSE,"CTC Summary - EOY";#N/A,#N/A,FALSE,"CTC Summary - Wtavg"}</definedName>
    <definedName name="wrn.accellerated1" localSheetId="14" hidden="1">{#N/A,#N/A,FALSE,"CTC Summary - EOY";#N/A,#N/A,FALSE,"CTC Summary - Wtavg"}</definedName>
    <definedName name="wrn.accellerated1" localSheetId="15" hidden="1">{#N/A,#N/A,FALSE,"CTC Summary - EOY";#N/A,#N/A,FALSE,"CTC Summary - Wtavg"}</definedName>
    <definedName name="wrn.accellerated1" hidden="1">{#N/A,#N/A,FALSE,"CTC Summary - EOY";#N/A,#N/A,FALSE,"CTC Summary - Wtavg"}</definedName>
    <definedName name="wrn.AG." localSheetId="26" hidden="1">{#N/A,#N/A,FALSE,"AG-1";#N/A,#N/A,FALSE,"AG-R";#N/A,#N/A,FALSE,"AG-V";#N/A,#N/A,FALSE,"AG-4";#N/A,#N/A,FALSE,"AG-5";#N/A,#N/A,FALSE,"AG-6";#N/A,#N/A,FALSE,"AG-7"}</definedName>
    <definedName name="wrn.AG." localSheetId="28" hidden="1">{#N/A,#N/A,FALSE,"AG-1";#N/A,#N/A,FALSE,"AG-R";#N/A,#N/A,FALSE,"AG-V";#N/A,#N/A,FALSE,"AG-4";#N/A,#N/A,FALSE,"AG-5";#N/A,#N/A,FALSE,"AG-6";#N/A,#N/A,FALSE,"AG-7"}</definedName>
    <definedName name="wrn.AG." localSheetId="30" hidden="1">{#N/A,#N/A,FALSE,"AG-1";#N/A,#N/A,FALSE,"AG-R";#N/A,#N/A,FALSE,"AG-V";#N/A,#N/A,FALSE,"AG-4";#N/A,#N/A,FALSE,"AG-5";#N/A,#N/A,FALSE,"AG-6";#N/A,#N/A,FALSE,"AG-7"}</definedName>
    <definedName name="wrn.AG." localSheetId="31" hidden="1">{#N/A,#N/A,FALSE,"AG-1";#N/A,#N/A,FALSE,"AG-R";#N/A,#N/A,FALSE,"AG-V";#N/A,#N/A,FALSE,"AG-4";#N/A,#N/A,FALSE,"AG-5";#N/A,#N/A,FALSE,"AG-6";#N/A,#N/A,FALSE,"AG-7"}</definedName>
    <definedName name="wrn.AG." localSheetId="33" hidden="1">{#N/A,#N/A,FALSE,"AG-1";#N/A,#N/A,FALSE,"AG-R";#N/A,#N/A,FALSE,"AG-V";#N/A,#N/A,FALSE,"AG-4";#N/A,#N/A,FALSE,"AG-5";#N/A,#N/A,FALSE,"AG-6";#N/A,#N/A,FALSE,"AG-7"}</definedName>
    <definedName name="wrn.AG." localSheetId="34" hidden="1">{#N/A,#N/A,FALSE,"AG-1";#N/A,#N/A,FALSE,"AG-R";#N/A,#N/A,FALSE,"AG-V";#N/A,#N/A,FALSE,"AG-4";#N/A,#N/A,FALSE,"AG-5";#N/A,#N/A,FALSE,"AG-6";#N/A,#N/A,FALSE,"AG-7"}</definedName>
    <definedName name="wrn.AG." localSheetId="35" hidden="1">{#N/A,#N/A,FALSE,"AG-1";#N/A,#N/A,FALSE,"AG-R";#N/A,#N/A,FALSE,"AG-V";#N/A,#N/A,FALSE,"AG-4";#N/A,#N/A,FALSE,"AG-5";#N/A,#N/A,FALSE,"AG-6";#N/A,#N/A,FALSE,"AG-7"}</definedName>
    <definedName name="wrn.AG." localSheetId="36" hidden="1">{#N/A,#N/A,FALSE,"AG-1";#N/A,#N/A,FALSE,"AG-R";#N/A,#N/A,FALSE,"AG-V";#N/A,#N/A,FALSE,"AG-4";#N/A,#N/A,FALSE,"AG-5";#N/A,#N/A,FALSE,"AG-6";#N/A,#N/A,FALSE,"AG-7"}</definedName>
    <definedName name="wrn.AG." localSheetId="45" hidden="1">{#N/A,#N/A,FALSE,"AG-1";#N/A,#N/A,FALSE,"AG-R";#N/A,#N/A,FALSE,"AG-V";#N/A,#N/A,FALSE,"AG-4";#N/A,#N/A,FALSE,"AG-5";#N/A,#N/A,FALSE,"AG-6";#N/A,#N/A,FALSE,"AG-7"}</definedName>
    <definedName name="wrn.AG." localSheetId="12" hidden="1">{#N/A,#N/A,FALSE,"AG-1";#N/A,#N/A,FALSE,"AG-R";#N/A,#N/A,FALSE,"AG-V";#N/A,#N/A,FALSE,"AG-4";#N/A,#N/A,FALSE,"AG-5";#N/A,#N/A,FALSE,"AG-6";#N/A,#N/A,FALSE,"AG-7"}</definedName>
    <definedName name="wrn.AG." localSheetId="13" hidden="1">{#N/A,#N/A,FALSE,"AG-1";#N/A,#N/A,FALSE,"AG-R";#N/A,#N/A,FALSE,"AG-V";#N/A,#N/A,FALSE,"AG-4";#N/A,#N/A,FALSE,"AG-5";#N/A,#N/A,FALSE,"AG-6";#N/A,#N/A,FALSE,"AG-7"}</definedName>
    <definedName name="wrn.AG." hidden="1">{#N/A,#N/A,FALSE,"AG-1";#N/A,#N/A,FALSE,"AG-R";#N/A,#N/A,FALSE,"AG-V";#N/A,#N/A,FALSE,"AG-4";#N/A,#N/A,FALSE,"AG-5";#N/A,#N/A,FALSE,"AG-6";#N/A,#N/A,FALSE,"AG-7"}</definedName>
    <definedName name="wrn.AGa." localSheetId="26" hidden="1">{#N/A,#N/A,FALSE,"UN-AGRA";#N/A,#N/A,FALSE,"UN-AG1A";#N/A,#N/A,FALSE,"UN-AGVA";#N/A,#N/A,FALSE,"UN-AG4A ";#N/A,#N/A,FALSE,"UN-AG5A";#N/A,#N/A,FALSE,"UN-AG6A";#N/A,#N/A,FALSE,"Dist Calcs";#N/A,#N/A,FALSE,"7A-Avg.";#N/A,#N/A,FALSE,"7A Tier1-avg";#N/A,#N/A,FALSE,"7A Tier2-avg";#N/A,#N/A,FALSE,"Ag-7A Dist Calc"}</definedName>
    <definedName name="wrn.AGa." localSheetId="28" hidden="1">{#N/A,#N/A,FALSE,"UN-AGRA";#N/A,#N/A,FALSE,"UN-AG1A";#N/A,#N/A,FALSE,"UN-AGVA";#N/A,#N/A,FALSE,"UN-AG4A ";#N/A,#N/A,FALSE,"UN-AG5A";#N/A,#N/A,FALSE,"UN-AG6A";#N/A,#N/A,FALSE,"Dist Calcs";#N/A,#N/A,FALSE,"7A-Avg.";#N/A,#N/A,FALSE,"7A Tier1-avg";#N/A,#N/A,FALSE,"7A Tier2-avg";#N/A,#N/A,FALSE,"Ag-7A Dist Calc"}</definedName>
    <definedName name="wrn.AGa." localSheetId="30" hidden="1">{#N/A,#N/A,FALSE,"UN-AGRA";#N/A,#N/A,FALSE,"UN-AG1A";#N/A,#N/A,FALSE,"UN-AGVA";#N/A,#N/A,FALSE,"UN-AG4A ";#N/A,#N/A,FALSE,"UN-AG5A";#N/A,#N/A,FALSE,"UN-AG6A";#N/A,#N/A,FALSE,"Dist Calcs";#N/A,#N/A,FALSE,"7A-Avg.";#N/A,#N/A,FALSE,"7A Tier1-avg";#N/A,#N/A,FALSE,"7A Tier2-avg";#N/A,#N/A,FALSE,"Ag-7A Dist Calc"}</definedName>
    <definedName name="wrn.AGa." localSheetId="31" hidden="1">{#N/A,#N/A,FALSE,"UN-AGRA";#N/A,#N/A,FALSE,"UN-AG1A";#N/A,#N/A,FALSE,"UN-AGVA";#N/A,#N/A,FALSE,"UN-AG4A ";#N/A,#N/A,FALSE,"UN-AG5A";#N/A,#N/A,FALSE,"UN-AG6A";#N/A,#N/A,FALSE,"Dist Calcs";#N/A,#N/A,FALSE,"7A-Avg.";#N/A,#N/A,FALSE,"7A Tier1-avg";#N/A,#N/A,FALSE,"7A Tier2-avg";#N/A,#N/A,FALSE,"Ag-7A Dist Calc"}</definedName>
    <definedName name="wrn.AGa." localSheetId="33" hidden="1">{#N/A,#N/A,FALSE,"UN-AGRA";#N/A,#N/A,FALSE,"UN-AG1A";#N/A,#N/A,FALSE,"UN-AGVA";#N/A,#N/A,FALSE,"UN-AG4A ";#N/A,#N/A,FALSE,"UN-AG5A";#N/A,#N/A,FALSE,"UN-AG6A";#N/A,#N/A,FALSE,"Dist Calcs";#N/A,#N/A,FALSE,"7A-Avg.";#N/A,#N/A,FALSE,"7A Tier1-avg";#N/A,#N/A,FALSE,"7A Tier2-avg";#N/A,#N/A,FALSE,"Ag-7A Dist Calc"}</definedName>
    <definedName name="wrn.AGa." localSheetId="34" hidden="1">{#N/A,#N/A,FALSE,"UN-AGRA";#N/A,#N/A,FALSE,"UN-AG1A";#N/A,#N/A,FALSE,"UN-AGVA";#N/A,#N/A,FALSE,"UN-AG4A ";#N/A,#N/A,FALSE,"UN-AG5A";#N/A,#N/A,FALSE,"UN-AG6A";#N/A,#N/A,FALSE,"Dist Calcs";#N/A,#N/A,FALSE,"7A-Avg.";#N/A,#N/A,FALSE,"7A Tier1-avg";#N/A,#N/A,FALSE,"7A Tier2-avg";#N/A,#N/A,FALSE,"Ag-7A Dist Calc"}</definedName>
    <definedName name="wrn.AGa." localSheetId="35" hidden="1">{#N/A,#N/A,FALSE,"UN-AGRA";#N/A,#N/A,FALSE,"UN-AG1A";#N/A,#N/A,FALSE,"UN-AGVA";#N/A,#N/A,FALSE,"UN-AG4A ";#N/A,#N/A,FALSE,"UN-AG5A";#N/A,#N/A,FALSE,"UN-AG6A";#N/A,#N/A,FALSE,"Dist Calcs";#N/A,#N/A,FALSE,"7A-Avg.";#N/A,#N/A,FALSE,"7A Tier1-avg";#N/A,#N/A,FALSE,"7A Tier2-avg";#N/A,#N/A,FALSE,"Ag-7A Dist Calc"}</definedName>
    <definedName name="wrn.AGa." localSheetId="36" hidden="1">{#N/A,#N/A,FALSE,"UN-AGRA";#N/A,#N/A,FALSE,"UN-AG1A";#N/A,#N/A,FALSE,"UN-AGVA";#N/A,#N/A,FALSE,"UN-AG4A ";#N/A,#N/A,FALSE,"UN-AG5A";#N/A,#N/A,FALSE,"UN-AG6A";#N/A,#N/A,FALSE,"Dist Calcs";#N/A,#N/A,FALSE,"7A-Avg.";#N/A,#N/A,FALSE,"7A Tier1-avg";#N/A,#N/A,FALSE,"7A Tier2-avg";#N/A,#N/A,FALSE,"Ag-7A Dist Calc"}</definedName>
    <definedName name="wrn.AGa." localSheetId="45" hidden="1">{#N/A,#N/A,FALSE,"UN-AGRA";#N/A,#N/A,FALSE,"UN-AG1A";#N/A,#N/A,FALSE,"UN-AGVA";#N/A,#N/A,FALSE,"UN-AG4A ";#N/A,#N/A,FALSE,"UN-AG5A";#N/A,#N/A,FALSE,"UN-AG6A";#N/A,#N/A,FALSE,"Dist Calcs";#N/A,#N/A,FALSE,"7A-Avg.";#N/A,#N/A,FALSE,"7A Tier1-avg";#N/A,#N/A,FALSE,"7A Tier2-avg";#N/A,#N/A,FALSE,"Ag-7A Dist Calc"}</definedName>
    <definedName name="wrn.AGa." localSheetId="12" hidden="1">{#N/A,#N/A,FALSE,"UN-AGRA";#N/A,#N/A,FALSE,"UN-AG1A";#N/A,#N/A,FALSE,"UN-AGVA";#N/A,#N/A,FALSE,"UN-AG4A ";#N/A,#N/A,FALSE,"UN-AG5A";#N/A,#N/A,FALSE,"UN-AG6A";#N/A,#N/A,FALSE,"Dist Calcs";#N/A,#N/A,FALSE,"7A-Avg.";#N/A,#N/A,FALSE,"7A Tier1-avg";#N/A,#N/A,FALSE,"7A Tier2-avg";#N/A,#N/A,FALSE,"Ag-7A Dist Calc"}</definedName>
    <definedName name="wrn.AGa." localSheetId="13" hidden="1">{#N/A,#N/A,FALSE,"UN-AGRA";#N/A,#N/A,FALSE,"UN-AG1A";#N/A,#N/A,FALSE,"UN-AGVA";#N/A,#N/A,FALSE,"UN-AG4A ";#N/A,#N/A,FALSE,"UN-AG5A";#N/A,#N/A,FALSE,"UN-AG6A";#N/A,#N/A,FALSE,"Dist Calcs";#N/A,#N/A,FALSE,"7A-Avg.";#N/A,#N/A,FALSE,"7A Tier1-avg";#N/A,#N/A,FALSE,"7A Tier2-avg";#N/A,#N/A,FALSE,"Ag-7A Dist Calc"}</definedName>
    <definedName name="wrn.AGa." hidden="1">{#N/A,#N/A,FALSE,"UN-AGRA";#N/A,#N/A,FALSE,"UN-AG1A";#N/A,#N/A,FALSE,"UN-AGVA";#N/A,#N/A,FALSE,"UN-AG4A ";#N/A,#N/A,FALSE,"UN-AG5A";#N/A,#N/A,FALSE,"UN-AG6A";#N/A,#N/A,FALSE,"Dist Calcs";#N/A,#N/A,FALSE,"7A-Avg.";#N/A,#N/A,FALSE,"7A Tier1-avg";#N/A,#N/A,FALSE,"7A Tier2-avg";#N/A,#N/A,FALSE,"Ag-7A Dist Calc"}</definedName>
    <definedName name="wrn.Agb." localSheetId="26"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28"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30"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31"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33"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34"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35"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36"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45"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12"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13"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hidden="1">{#N/A,#N/A,FALSE,"UN-AG1B";#N/A,#N/A,FALSE,"UN-AGRB  ";#N/A,#N/A,FALSE,"UN-AGVB ";#N/A,#N/A,FALSE,"UN-AG4B";#N/A,#N/A,FALSE,"UN-AG4C";#N/A,#N/A,FALSE,"UN-AG5B";#N/A,#N/A,FALSE,"UN-AG5C ";#N/A,#N/A,FALSE,"UN-AG6B";#N/A,#N/A,FALSE,"Dist Cals";#N/A,#N/A,FALSE,"7B-Avg.";#N/A,#N/A,FALSE,"7B Tier1-avg";#N/A,#N/A,FALSE,"7B Tier2-avg";#N/A,#N/A,FALSE,"Ag-7B Dist Calc";#N/A,#N/A,FALSE,"AG RL Calc"}</definedName>
    <definedName name="wrn.Aging._.and._.Trend._.Analysis." localSheetId="26" hidden="1">{#N/A,#N/A,FALSE,"Aging Summary";#N/A,#N/A,FALSE,"Ratio Analysis";#N/A,#N/A,FALSE,"Test 120 Day Accts";#N/A,#N/A,FALSE,"Tickmarks"}</definedName>
    <definedName name="wrn.Aging._.and._.Trend._.Analysis." localSheetId="28" hidden="1">{#N/A,#N/A,FALSE,"Aging Summary";#N/A,#N/A,FALSE,"Ratio Analysis";#N/A,#N/A,FALSE,"Test 120 Day Accts";#N/A,#N/A,FALSE,"Tickmarks"}</definedName>
    <definedName name="wrn.Aging._.and._.Trend._.Analysis." localSheetId="33" hidden="1">{#N/A,#N/A,FALSE,"Aging Summary";#N/A,#N/A,FALSE,"Ratio Analysis";#N/A,#N/A,FALSE,"Test 120 Day Accts";#N/A,#N/A,FALSE,"Tickmarks"}</definedName>
    <definedName name="wrn.Aging._.and._.Trend._.Analysis." localSheetId="35" hidden="1">{#N/A,#N/A,FALSE,"Aging Summary";#N/A,#N/A,FALSE,"Ratio Analysis";#N/A,#N/A,FALSE,"Test 120 Day Accts";#N/A,#N/A,FALSE,"Tickmarks"}</definedName>
    <definedName name="wrn.Aging._.and._.Trend._.Analysis." localSheetId="45"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6" hidden="1">{"AGT",#N/A,FALSE,"Revenue"}</definedName>
    <definedName name="wrn.AGT." localSheetId="28" hidden="1">{"AGT",#N/A,FALSE,"Revenue"}</definedName>
    <definedName name="wrn.AGT." localSheetId="33" hidden="1">{"AGT",#N/A,FALSE,"Revenue"}</definedName>
    <definedName name="wrn.AGT." localSheetId="35" hidden="1">{"AGT",#N/A,FALSE,"Revenue"}</definedName>
    <definedName name="wrn.AGT." localSheetId="45" hidden="1">{"AGT",#N/A,FALSE,"Revenue"}</definedName>
    <definedName name="wrn.AGT." localSheetId="13" hidden="1">{"AGT",#N/A,FALSE,"Revenue"}</definedName>
    <definedName name="wrn.AGT." hidden="1">{"AGT",#N/A,FALSE,"Revenue"}</definedName>
    <definedName name="wrn.All._.Pages." localSheetId="26" hidden="1">{#N/A,#N/A,FALSE,"Cover";#N/A,#N/A,FALSE,"Lead Sheet";#N/A,#N/A,FALSE,"T-Accounts";#N/A,#N/A,FALSE,"Ins &amp; Prem ActualEstimates"}</definedName>
    <definedName name="wrn.All._.Pages." localSheetId="28" hidden="1">{#N/A,#N/A,FALSE,"Cover";#N/A,#N/A,FALSE,"Lead Sheet";#N/A,#N/A,FALSE,"T-Accounts";#N/A,#N/A,FALSE,"Ins &amp; Prem ActualEstimates"}</definedName>
    <definedName name="wrn.All._.Pages." localSheetId="33" hidden="1">{#N/A,#N/A,FALSE,"Cover";#N/A,#N/A,FALSE,"Lead Sheet";#N/A,#N/A,FALSE,"T-Accounts";#N/A,#N/A,FALSE,"Ins &amp; Prem ActualEstimates"}</definedName>
    <definedName name="wrn.All._.Pages." localSheetId="35" hidden="1">{#N/A,#N/A,FALSE,"Cover";#N/A,#N/A,FALSE,"Lead Sheet";#N/A,#N/A,FALSE,"T-Accounts";#N/A,#N/A,FALSE,"Ins &amp; Prem ActualEstimates"}</definedName>
    <definedName name="wrn.All._.Pages." localSheetId="45" hidden="1">{#N/A,#N/A,FALSE,"Cover";#N/A,#N/A,FALSE,"Lead Sheet";#N/A,#N/A,FALSE,"T-Accounts";#N/A,#N/A,FALSE,"Ins &amp; Prem ActualEstimates"}</definedName>
    <definedName name="wrn.All._.Pages." localSheetId="13" hidden="1">{#N/A,#N/A,FALSE,"Cover";#N/A,#N/A,FALSE,"Lead Sheet";#N/A,#N/A,FALSE,"T-Accounts";#N/A,#N/A,FALSE,"Ins &amp; Prem ActualEstimates"}</definedName>
    <definedName name="wrn.All._.Pages." hidden="1">{#N/A,#N/A,FALSE,"Cover";#N/A,#N/A,FALSE,"Lead Sheet";#N/A,#N/A,FALSE,"T-Accounts";#N/A,#N/A,FALSE,"Ins &amp; Prem ActualEstimates"}</definedName>
    <definedName name="wrn.All._.Sheets._.Engrs._.PMs." localSheetId="26"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3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3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3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3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36"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4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1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1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RKANSAS." localSheetId="26" hidden="1">{#N/A,#N/A,FALSE,"LOCAL.XLS"}</definedName>
    <definedName name="wrn.ARKANSAS." localSheetId="28" hidden="1">{#N/A,#N/A,FALSE,"LOCAL.XLS"}</definedName>
    <definedName name="wrn.ARKANSAS." localSheetId="33" hidden="1">{#N/A,#N/A,FALSE,"LOCAL.XLS"}</definedName>
    <definedName name="wrn.ARKANSAS." localSheetId="35" hidden="1">{#N/A,#N/A,FALSE,"LOCAL.XLS"}</definedName>
    <definedName name="wrn.ARKANSAS." localSheetId="45" hidden="1">{#N/A,#N/A,FALSE,"LOCAL.XLS"}</definedName>
    <definedName name="wrn.ARKANSAS." localSheetId="13" hidden="1">{#N/A,#N/A,FALSE,"LOCAL.XLS"}</definedName>
    <definedName name="wrn.ARKANSAS." hidden="1">{#N/A,#N/A,FALSE,"LOCAL.XLS"}</definedName>
    <definedName name="wrn.ARREC." localSheetId="26" hidden="1">{#N/A,#N/A,FALSE,"ARREC"}</definedName>
    <definedName name="wrn.ARREC." localSheetId="28" hidden="1">{#N/A,#N/A,FALSE,"ARREC"}</definedName>
    <definedName name="wrn.ARREC." localSheetId="33" hidden="1">{#N/A,#N/A,FALSE,"ARREC"}</definedName>
    <definedName name="wrn.ARREC." localSheetId="35" hidden="1">{#N/A,#N/A,FALSE,"ARREC"}</definedName>
    <definedName name="wrn.ARREC." localSheetId="45" hidden="1">{#N/A,#N/A,FALSE,"ARREC"}</definedName>
    <definedName name="wrn.ARREC." localSheetId="13" hidden="1">{#N/A,#N/A,FALSE,"ARREC"}</definedName>
    <definedName name="wrn.ARREC." hidden="1">{#N/A,#N/A,FALSE,"ARREC"}</definedName>
    <definedName name="wrn.August._.1._.2003._.Rate._.Change." localSheetId="2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3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3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4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6" hidden="1">{#N/A,#N/A,FALSE,"O&amp;M by processes";#N/A,#N/A,FALSE,"Elec Act vs Bud";#N/A,#N/A,FALSE,"G&amp;A";#N/A,#N/A,FALSE,"BGS";#N/A,#N/A,FALSE,"Res Cost"}</definedName>
    <definedName name="wrn.Basic." localSheetId="28" hidden="1">{#N/A,#N/A,FALSE,"O&amp;M by processes";#N/A,#N/A,FALSE,"Elec Act vs Bud";#N/A,#N/A,FALSE,"G&amp;A";#N/A,#N/A,FALSE,"BGS";#N/A,#N/A,FALSE,"Res Cost"}</definedName>
    <definedName name="wrn.Basic." localSheetId="33" hidden="1">{#N/A,#N/A,FALSE,"O&amp;M by processes";#N/A,#N/A,FALSE,"Elec Act vs Bud";#N/A,#N/A,FALSE,"G&amp;A";#N/A,#N/A,FALSE,"BGS";#N/A,#N/A,FALSE,"Res Cost"}</definedName>
    <definedName name="wrn.Basic." localSheetId="35" hidden="1">{#N/A,#N/A,FALSE,"O&amp;M by processes";#N/A,#N/A,FALSE,"Elec Act vs Bud";#N/A,#N/A,FALSE,"G&amp;A";#N/A,#N/A,FALSE,"BGS";#N/A,#N/A,FALSE,"Res Cost"}</definedName>
    <definedName name="wrn.Basic." localSheetId="45" hidden="1">{#N/A,#N/A,FALSE,"O&amp;M by processes";#N/A,#N/A,FALSE,"Elec Act vs Bud";#N/A,#N/A,FALSE,"G&amp;A";#N/A,#N/A,FALSE,"BGS";#N/A,#N/A,FALSE,"Res Cost"}</definedName>
    <definedName name="wrn.Basic." localSheetId="13"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6" hidden="1">{#N/A,#N/A,FALSE,"Elec Deliv";#N/A,#N/A,FALSE,"Atlantic Pie";#N/A,#N/A,FALSE,"Bay Pie";#N/A,#N/A,FALSE,"New Castle Pie";#N/A,#N/A,FALSE,"Transmission Pie"}</definedName>
    <definedName name="wrn.ChartSet." localSheetId="28" hidden="1">{#N/A,#N/A,FALSE,"Elec Deliv";#N/A,#N/A,FALSE,"Atlantic Pie";#N/A,#N/A,FALSE,"Bay Pie";#N/A,#N/A,FALSE,"New Castle Pie";#N/A,#N/A,FALSE,"Transmission Pie"}</definedName>
    <definedName name="wrn.ChartSet." localSheetId="33" hidden="1">{#N/A,#N/A,FALSE,"Elec Deliv";#N/A,#N/A,FALSE,"Atlantic Pie";#N/A,#N/A,FALSE,"Bay Pie";#N/A,#N/A,FALSE,"New Castle Pie";#N/A,#N/A,FALSE,"Transmission Pie"}</definedName>
    <definedName name="wrn.ChartSet." localSheetId="35" hidden="1">{#N/A,#N/A,FALSE,"Elec Deliv";#N/A,#N/A,FALSE,"Atlantic Pie";#N/A,#N/A,FALSE,"Bay Pie";#N/A,#N/A,FALSE,"New Castle Pie";#N/A,#N/A,FALSE,"Transmission Pie"}</definedName>
    <definedName name="wrn.ChartSet." localSheetId="45" hidden="1">{#N/A,#N/A,FALSE,"Elec Deliv";#N/A,#N/A,FALSE,"Atlantic Pie";#N/A,#N/A,FALSE,"Bay Pie";#N/A,#N/A,FALSE,"New Castle Pie";#N/A,#N/A,FALSE,"Transmission Pie"}</definedName>
    <definedName name="wrn.ChartSet." localSheetId="13"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omind." localSheetId="26" hidden="1">{#N/A,#N/A,FALSE,"A-1, A-6, A-10, A-15";#N/A,#N/A,FALSE,"E-19 Firm";#N/A,#N/A,FALSE,"E-19 Nonfirm";#N/A,#N/A,FALSE,"E-20 Firm ";#N/A,#N/A,FALSE,"E-20 Nonfirm ";#N/A,#N/A,FALSE,"E-25";#N/A,#N/A,FALSE,"E-36, E-37";#N/A,#N/A,FALSE,"LS-1,-2,-3, TC-1, OL-1";#N/A,#N/A,FALSE,"Standby"}</definedName>
    <definedName name="wrn.comind." localSheetId="28" hidden="1">{#N/A,#N/A,FALSE,"A-1, A-6, A-10, A-15";#N/A,#N/A,FALSE,"E-19 Firm";#N/A,#N/A,FALSE,"E-19 Nonfirm";#N/A,#N/A,FALSE,"E-20 Firm ";#N/A,#N/A,FALSE,"E-20 Nonfirm ";#N/A,#N/A,FALSE,"E-25";#N/A,#N/A,FALSE,"E-36, E-37";#N/A,#N/A,FALSE,"LS-1,-2,-3, TC-1, OL-1";#N/A,#N/A,FALSE,"Standby"}</definedName>
    <definedName name="wrn.comind." localSheetId="30" hidden="1">{#N/A,#N/A,FALSE,"A-1, A-6, A-10, A-15";#N/A,#N/A,FALSE,"E-19 Firm";#N/A,#N/A,FALSE,"E-19 Nonfirm";#N/A,#N/A,FALSE,"E-20 Firm ";#N/A,#N/A,FALSE,"E-20 Nonfirm ";#N/A,#N/A,FALSE,"E-25";#N/A,#N/A,FALSE,"E-36, E-37";#N/A,#N/A,FALSE,"LS-1,-2,-3, TC-1, OL-1";#N/A,#N/A,FALSE,"Standby"}</definedName>
    <definedName name="wrn.comind." localSheetId="31" hidden="1">{#N/A,#N/A,FALSE,"A-1, A-6, A-10, A-15";#N/A,#N/A,FALSE,"E-19 Firm";#N/A,#N/A,FALSE,"E-19 Nonfirm";#N/A,#N/A,FALSE,"E-20 Firm ";#N/A,#N/A,FALSE,"E-20 Nonfirm ";#N/A,#N/A,FALSE,"E-25";#N/A,#N/A,FALSE,"E-36, E-37";#N/A,#N/A,FALSE,"LS-1,-2,-3, TC-1, OL-1";#N/A,#N/A,FALSE,"Standby"}</definedName>
    <definedName name="wrn.comind." localSheetId="33" hidden="1">{#N/A,#N/A,FALSE,"A-1, A-6, A-10, A-15";#N/A,#N/A,FALSE,"E-19 Firm";#N/A,#N/A,FALSE,"E-19 Nonfirm";#N/A,#N/A,FALSE,"E-20 Firm ";#N/A,#N/A,FALSE,"E-20 Nonfirm ";#N/A,#N/A,FALSE,"E-25";#N/A,#N/A,FALSE,"E-36, E-37";#N/A,#N/A,FALSE,"LS-1,-2,-3, TC-1, OL-1";#N/A,#N/A,FALSE,"Standby"}</definedName>
    <definedName name="wrn.comind." localSheetId="34" hidden="1">{#N/A,#N/A,FALSE,"A-1, A-6, A-10, A-15";#N/A,#N/A,FALSE,"E-19 Firm";#N/A,#N/A,FALSE,"E-19 Nonfirm";#N/A,#N/A,FALSE,"E-20 Firm ";#N/A,#N/A,FALSE,"E-20 Nonfirm ";#N/A,#N/A,FALSE,"E-25";#N/A,#N/A,FALSE,"E-36, E-37";#N/A,#N/A,FALSE,"LS-1,-2,-3, TC-1, OL-1";#N/A,#N/A,FALSE,"Standby"}</definedName>
    <definedName name="wrn.comind." localSheetId="35" hidden="1">{#N/A,#N/A,FALSE,"A-1, A-6, A-10, A-15";#N/A,#N/A,FALSE,"E-19 Firm";#N/A,#N/A,FALSE,"E-19 Nonfirm";#N/A,#N/A,FALSE,"E-20 Firm ";#N/A,#N/A,FALSE,"E-20 Nonfirm ";#N/A,#N/A,FALSE,"E-25";#N/A,#N/A,FALSE,"E-36, E-37";#N/A,#N/A,FALSE,"LS-1,-2,-3, TC-1, OL-1";#N/A,#N/A,FALSE,"Standby"}</definedName>
    <definedName name="wrn.comind." localSheetId="36" hidden="1">{#N/A,#N/A,FALSE,"A-1, A-6, A-10, A-15";#N/A,#N/A,FALSE,"E-19 Firm";#N/A,#N/A,FALSE,"E-19 Nonfirm";#N/A,#N/A,FALSE,"E-20 Firm ";#N/A,#N/A,FALSE,"E-20 Nonfirm ";#N/A,#N/A,FALSE,"E-25";#N/A,#N/A,FALSE,"E-36, E-37";#N/A,#N/A,FALSE,"LS-1,-2,-3, TC-1, OL-1";#N/A,#N/A,FALSE,"Standby"}</definedName>
    <definedName name="wrn.comind." localSheetId="45" hidden="1">{#N/A,#N/A,FALSE,"A-1, A-6, A-10, A-15";#N/A,#N/A,FALSE,"E-19 Firm";#N/A,#N/A,FALSE,"E-19 Nonfirm";#N/A,#N/A,FALSE,"E-20 Firm ";#N/A,#N/A,FALSE,"E-20 Nonfirm ";#N/A,#N/A,FALSE,"E-25";#N/A,#N/A,FALSE,"E-36, E-37";#N/A,#N/A,FALSE,"LS-1,-2,-3, TC-1, OL-1";#N/A,#N/A,FALSE,"Standby"}</definedName>
    <definedName name="wrn.comind." localSheetId="12" hidden="1">{#N/A,#N/A,FALSE,"A-1, A-6, A-10, A-15";#N/A,#N/A,FALSE,"E-19 Firm";#N/A,#N/A,FALSE,"E-19 Nonfirm";#N/A,#N/A,FALSE,"E-20 Firm ";#N/A,#N/A,FALSE,"E-20 Nonfirm ";#N/A,#N/A,FALSE,"E-25";#N/A,#N/A,FALSE,"E-36, E-37";#N/A,#N/A,FALSE,"LS-1,-2,-3, TC-1, OL-1";#N/A,#N/A,FALSE,"Standby"}</definedName>
    <definedName name="wrn.comind." localSheetId="13" hidden="1">{#N/A,#N/A,FALSE,"A-1, A-6, A-10, A-15";#N/A,#N/A,FALSE,"E-19 Firm";#N/A,#N/A,FALSE,"E-19 Nonfirm";#N/A,#N/A,FALSE,"E-20 Firm ";#N/A,#N/A,FALSE,"E-20 Nonfirm ";#N/A,#N/A,FALSE,"E-25";#N/A,#N/A,FALSE,"E-36, E-37";#N/A,#N/A,FALSE,"LS-1,-2,-3, TC-1, OL-1";#N/A,#N/A,FALSE,"Standby"}</definedName>
    <definedName name="wrn.comind." hidden="1">{#N/A,#N/A,FALSE,"A-1, A-6, A-10, A-15";#N/A,#N/A,FALSE,"E-19 Firm";#N/A,#N/A,FALSE,"E-19 Nonfirm";#N/A,#N/A,FALSE,"E-20 Firm ";#N/A,#N/A,FALSE,"E-20 Nonfirm ";#N/A,#N/A,FALSE,"E-25";#N/A,#N/A,FALSE,"E-36, E-37";#N/A,#N/A,FALSE,"LS-1,-2,-3, TC-1, OL-1";#N/A,#N/A,FALSE,"Standby"}</definedName>
    <definedName name="wrn.CP._.Demand." localSheetId="26" hidden="1">{"Retail CP pg1",#N/A,FALSE,"FACTOR3";"Retail CP pg2",#N/A,FALSE,"FACTOR3";"Retail CP pg3",#N/A,FALSE,"FACTOR3"}</definedName>
    <definedName name="wrn.CP._.Demand." localSheetId="28" hidden="1">{"Retail CP pg1",#N/A,FALSE,"FACTOR3";"Retail CP pg2",#N/A,FALSE,"FACTOR3";"Retail CP pg3",#N/A,FALSE,"FACTOR3"}</definedName>
    <definedName name="wrn.CP._.Demand." localSheetId="33" hidden="1">{"Retail CP pg1",#N/A,FALSE,"FACTOR3";"Retail CP pg2",#N/A,FALSE,"FACTOR3";"Retail CP pg3",#N/A,FALSE,"FACTOR3"}</definedName>
    <definedName name="wrn.CP._.Demand." localSheetId="35" hidden="1">{"Retail CP pg1",#N/A,FALSE,"FACTOR3";"Retail CP pg2",#N/A,FALSE,"FACTOR3";"Retail CP pg3",#N/A,FALSE,"FACTOR3"}</definedName>
    <definedName name="wrn.CP._.Demand." localSheetId="45" hidden="1">{"Retail CP pg1",#N/A,FALSE,"FACTOR3";"Retail CP pg2",#N/A,FALSE,"FACTOR3";"Retail CP pg3",#N/A,FALSE,"FACTOR3"}</definedName>
    <definedName name="wrn.CP._.Demand." localSheetId="13" hidden="1">{"Retail CP pg1",#N/A,FALSE,"FACTOR3";"Retail CP pg2",#N/A,FALSE,"FACTOR3";"Retail CP pg3",#N/A,FALSE,"FACTOR3"}</definedName>
    <definedName name="wrn.CP._.Demand." hidden="1">{"Retail CP pg1",#N/A,FALSE,"FACTOR3";"Retail CP pg2",#N/A,FALSE,"FACTOR3";"Retail CP pg3",#N/A,FALSE,"FACTOR3"}</definedName>
    <definedName name="wrn.CP._.Demand2." localSheetId="26" hidden="1">{"Retail CP pg1",#N/A,FALSE,"FACTOR3";"Retail CP pg2",#N/A,FALSE,"FACTOR3";"Retail CP pg3",#N/A,FALSE,"FACTOR3"}</definedName>
    <definedName name="wrn.CP._.Demand2." localSheetId="28" hidden="1">{"Retail CP pg1",#N/A,FALSE,"FACTOR3";"Retail CP pg2",#N/A,FALSE,"FACTOR3";"Retail CP pg3",#N/A,FALSE,"FACTOR3"}</definedName>
    <definedName name="wrn.CP._.Demand2." localSheetId="33" hidden="1">{"Retail CP pg1",#N/A,FALSE,"FACTOR3";"Retail CP pg2",#N/A,FALSE,"FACTOR3";"Retail CP pg3",#N/A,FALSE,"FACTOR3"}</definedName>
    <definedName name="wrn.CP._.Demand2." localSheetId="35" hidden="1">{"Retail CP pg1",#N/A,FALSE,"FACTOR3";"Retail CP pg2",#N/A,FALSE,"FACTOR3";"Retail CP pg3",#N/A,FALSE,"FACTOR3"}</definedName>
    <definedName name="wrn.CP._.Demand2." localSheetId="45" hidden="1">{"Retail CP pg1",#N/A,FALSE,"FACTOR3";"Retail CP pg2",#N/A,FALSE,"FACTOR3";"Retail CP pg3",#N/A,FALSE,"FACTOR3"}</definedName>
    <definedName name="wrn.CP._.Demand2." localSheetId="13" hidden="1">{"Retail CP pg1",#N/A,FALSE,"FACTOR3";"Retail CP pg2",#N/A,FALSE,"FACTOR3";"Retail CP pg3",#N/A,FALSE,"FACTOR3"}</definedName>
    <definedName name="wrn.CP._.Demand2." hidden="1">{"Retail CP pg1",#N/A,FALSE,"FACTOR3";"Retail CP pg2",#N/A,FALSE,"FACTOR3";"Retail CP pg3",#N/A,FALSE,"FACTOR3"}</definedName>
    <definedName name="wrn.Data._.dump." localSheetId="26" hidden="1">{"Input Data",#N/A,FALSE,"Input";"Income and Cash Flow",#N/A,FALSE,"Calculations"}</definedName>
    <definedName name="wrn.Data._.dump." localSheetId="28" hidden="1">{"Input Data",#N/A,FALSE,"Input";"Income and Cash Flow",#N/A,FALSE,"Calculations"}</definedName>
    <definedName name="wrn.Data._.dump." localSheetId="33" hidden="1">{"Input Data",#N/A,FALSE,"Input";"Income and Cash Flow",#N/A,FALSE,"Calculations"}</definedName>
    <definedName name="wrn.Data._.dump." localSheetId="35" hidden="1">{"Input Data",#N/A,FALSE,"Input";"Income and Cash Flow",#N/A,FALSE,"Calculations"}</definedName>
    <definedName name="wrn.Data._.dump." localSheetId="45" hidden="1">{"Input Data",#N/A,FALSE,"Input";"Income and Cash Flow",#N/A,FALSE,"Calculations"}</definedName>
    <definedName name="wrn.Data._.dump." localSheetId="13" hidden="1">{"Input Data",#N/A,FALSE,"Input";"Income and Cash Flow",#N/A,FALSE,"Calculations"}</definedName>
    <definedName name="wrn.Data._.dump." hidden="1">{"Input Data",#N/A,FALSE,"Input";"Income and Cash Flow",#N/A,FALSE,"Calculations"}</definedName>
    <definedName name="wrn.Deferral._.Forecast." localSheetId="26" hidden="1">{"Summary Deferral Forecast",#N/A,FALSE,"Deferral Forecast";"BGS Deferral Forecast",#N/A,FALSE,"BGS Deferral";"NNC Deferral Forecast",#N/A,FALSE,"NNC Deferral";"MTCDeferralForecast",#N/A,FALSE,"MTC Deferral";"SBC Deferral Forecast",#N/A,FALSE,"SBC Deferral"}</definedName>
    <definedName name="wrn.Deferral._.Forecast." localSheetId="28" hidden="1">{"Summary Deferral Forecast",#N/A,FALSE,"Deferral Forecast";"BGS Deferral Forecast",#N/A,FALSE,"BGS Deferral";"NNC Deferral Forecast",#N/A,FALSE,"NNC Deferral";"MTCDeferralForecast",#N/A,FALSE,"MTC Deferral";"SBC Deferral Forecast",#N/A,FALSE,"SBC Deferral"}</definedName>
    <definedName name="wrn.Deferral._.Forecast." localSheetId="33" hidden="1">{"Summary Deferral Forecast",#N/A,FALSE,"Deferral Forecast";"BGS Deferral Forecast",#N/A,FALSE,"BGS Deferral";"NNC Deferral Forecast",#N/A,FALSE,"NNC Deferral";"MTCDeferralForecast",#N/A,FALSE,"MTC Deferral";"SBC Deferral Forecast",#N/A,FALSE,"SBC Deferral"}</definedName>
    <definedName name="wrn.Deferral._.Forecast." localSheetId="35" hidden="1">{"Summary Deferral Forecast",#N/A,FALSE,"Deferral Forecast";"BGS Deferral Forecast",#N/A,FALSE,"BGS Deferral";"NNC Deferral Forecast",#N/A,FALSE,"NNC Deferral";"MTCDeferralForecast",#N/A,FALSE,"MTC Deferral";"SBC Deferral Forecast",#N/A,FALSE,"SBC Deferral"}</definedName>
    <definedName name="wrn.Deferral._.Forecast." localSheetId="45" hidden="1">{"Summary Deferral Forecast",#N/A,FALSE,"Deferral Forecast";"BGS Deferral Forecast",#N/A,FALSE,"BGS Deferral";"NNC Deferral Forecast",#N/A,FALSE,"NNC Deferral";"MTCDeferralForecast",#N/A,FALSE,"MTC Deferral";"SBC Deferral Forecast",#N/A,FALSE,"SBC Deferral"}</definedName>
    <definedName name="wrn.Deferral._.Forecast." localSheetId="13"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istr." localSheetId="26" hidden="1">{#N/A,#N/A,FALSE,"Dist Rev at PR ";#N/A,#N/A,FALSE,"Spec";#N/A,#N/A,FALSE,"Res";#N/A,#N/A,FALSE,"Small L&amp;P";#N/A,#N/A,FALSE,"Medium L&amp;P";#N/A,#N/A,FALSE,"E-19";#N/A,#N/A,FALSE,"E-20";#N/A,#N/A,FALSE,"Strtlts &amp; Standby";#N/A,#N/A,FALSE,"A-RTP";#N/A,#N/A,FALSE,"2003mixeduse"}</definedName>
    <definedName name="wrn.Distr." localSheetId="28" hidden="1">{#N/A,#N/A,FALSE,"Dist Rev at PR ";#N/A,#N/A,FALSE,"Spec";#N/A,#N/A,FALSE,"Res";#N/A,#N/A,FALSE,"Small L&amp;P";#N/A,#N/A,FALSE,"Medium L&amp;P";#N/A,#N/A,FALSE,"E-19";#N/A,#N/A,FALSE,"E-20";#N/A,#N/A,FALSE,"Strtlts &amp; Standby";#N/A,#N/A,FALSE,"A-RTP";#N/A,#N/A,FALSE,"2003mixeduse"}</definedName>
    <definedName name="wrn.Distr." localSheetId="30" hidden="1">{#N/A,#N/A,FALSE,"Dist Rev at PR ";#N/A,#N/A,FALSE,"Spec";#N/A,#N/A,FALSE,"Res";#N/A,#N/A,FALSE,"Small L&amp;P";#N/A,#N/A,FALSE,"Medium L&amp;P";#N/A,#N/A,FALSE,"E-19";#N/A,#N/A,FALSE,"E-20";#N/A,#N/A,FALSE,"Strtlts &amp; Standby";#N/A,#N/A,FALSE,"A-RTP";#N/A,#N/A,FALSE,"2003mixeduse"}</definedName>
    <definedName name="wrn.Distr." localSheetId="31" hidden="1">{#N/A,#N/A,FALSE,"Dist Rev at PR ";#N/A,#N/A,FALSE,"Spec";#N/A,#N/A,FALSE,"Res";#N/A,#N/A,FALSE,"Small L&amp;P";#N/A,#N/A,FALSE,"Medium L&amp;P";#N/A,#N/A,FALSE,"E-19";#N/A,#N/A,FALSE,"E-20";#N/A,#N/A,FALSE,"Strtlts &amp; Standby";#N/A,#N/A,FALSE,"A-RTP";#N/A,#N/A,FALSE,"2003mixeduse"}</definedName>
    <definedName name="wrn.Distr." localSheetId="33" hidden="1">{#N/A,#N/A,FALSE,"Dist Rev at PR ";#N/A,#N/A,FALSE,"Spec";#N/A,#N/A,FALSE,"Res";#N/A,#N/A,FALSE,"Small L&amp;P";#N/A,#N/A,FALSE,"Medium L&amp;P";#N/A,#N/A,FALSE,"E-19";#N/A,#N/A,FALSE,"E-20";#N/A,#N/A,FALSE,"Strtlts &amp; Standby";#N/A,#N/A,FALSE,"A-RTP";#N/A,#N/A,FALSE,"2003mixeduse"}</definedName>
    <definedName name="wrn.Distr." localSheetId="34" hidden="1">{#N/A,#N/A,FALSE,"Dist Rev at PR ";#N/A,#N/A,FALSE,"Spec";#N/A,#N/A,FALSE,"Res";#N/A,#N/A,FALSE,"Small L&amp;P";#N/A,#N/A,FALSE,"Medium L&amp;P";#N/A,#N/A,FALSE,"E-19";#N/A,#N/A,FALSE,"E-20";#N/A,#N/A,FALSE,"Strtlts &amp; Standby";#N/A,#N/A,FALSE,"A-RTP";#N/A,#N/A,FALSE,"2003mixeduse"}</definedName>
    <definedName name="wrn.Distr." localSheetId="35" hidden="1">{#N/A,#N/A,FALSE,"Dist Rev at PR ";#N/A,#N/A,FALSE,"Spec";#N/A,#N/A,FALSE,"Res";#N/A,#N/A,FALSE,"Small L&amp;P";#N/A,#N/A,FALSE,"Medium L&amp;P";#N/A,#N/A,FALSE,"E-19";#N/A,#N/A,FALSE,"E-20";#N/A,#N/A,FALSE,"Strtlts &amp; Standby";#N/A,#N/A,FALSE,"A-RTP";#N/A,#N/A,FALSE,"2003mixeduse"}</definedName>
    <definedName name="wrn.Distr." localSheetId="36" hidden="1">{#N/A,#N/A,FALSE,"Dist Rev at PR ";#N/A,#N/A,FALSE,"Spec";#N/A,#N/A,FALSE,"Res";#N/A,#N/A,FALSE,"Small L&amp;P";#N/A,#N/A,FALSE,"Medium L&amp;P";#N/A,#N/A,FALSE,"E-19";#N/A,#N/A,FALSE,"E-20";#N/A,#N/A,FALSE,"Strtlts &amp; Standby";#N/A,#N/A,FALSE,"A-RTP";#N/A,#N/A,FALSE,"2003mixeduse"}</definedName>
    <definedName name="wrn.Distr." localSheetId="45" hidden="1">{#N/A,#N/A,FALSE,"Dist Rev at PR ";#N/A,#N/A,FALSE,"Spec";#N/A,#N/A,FALSE,"Res";#N/A,#N/A,FALSE,"Small L&amp;P";#N/A,#N/A,FALSE,"Medium L&amp;P";#N/A,#N/A,FALSE,"E-19";#N/A,#N/A,FALSE,"E-20";#N/A,#N/A,FALSE,"Strtlts &amp; Standby";#N/A,#N/A,FALSE,"A-RTP";#N/A,#N/A,FALSE,"2003mixeduse"}</definedName>
    <definedName name="wrn.Distr." localSheetId="12" hidden="1">{#N/A,#N/A,FALSE,"Dist Rev at PR ";#N/A,#N/A,FALSE,"Spec";#N/A,#N/A,FALSE,"Res";#N/A,#N/A,FALSE,"Small L&amp;P";#N/A,#N/A,FALSE,"Medium L&amp;P";#N/A,#N/A,FALSE,"E-19";#N/A,#N/A,FALSE,"E-20";#N/A,#N/A,FALSE,"Strtlts &amp; Standby";#N/A,#N/A,FALSE,"A-RTP";#N/A,#N/A,FALSE,"2003mixeduse"}</definedName>
    <definedName name="wrn.Distr." localSheetId="13"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v._.Estimators." localSheetId="26"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3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3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3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3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36"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4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1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1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26"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28"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30"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3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33"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34"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35"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36"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45"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1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13"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26"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28"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30"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3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33"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34"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35"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36"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45"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1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13"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EMPPAY." localSheetId="26" hidden="1">{#N/A,#N/A,FALSE,"EMPPAY"}</definedName>
    <definedName name="wrn.EMPPAY." localSheetId="28" hidden="1">{#N/A,#N/A,FALSE,"EMPPAY"}</definedName>
    <definedName name="wrn.EMPPAY." localSheetId="33" hidden="1">{#N/A,#N/A,FALSE,"EMPPAY"}</definedName>
    <definedName name="wrn.EMPPAY." localSheetId="35" hidden="1">{#N/A,#N/A,FALSE,"EMPPAY"}</definedName>
    <definedName name="wrn.EMPPAY." localSheetId="45" hidden="1">{#N/A,#N/A,FALSE,"EMPPAY"}</definedName>
    <definedName name="wrn.EMPPAY." localSheetId="13" hidden="1">{#N/A,#N/A,FALSE,"EMPPAY"}</definedName>
    <definedName name="wrn.EMPPAY." hidden="1">{#N/A,#N/A,FALSE,"EMPPAY"}</definedName>
    <definedName name="wrn.Factors._.Tab._.10." localSheetId="26" hidden="1">{"Factors Pages 1-2",#N/A,FALSE,"Factors";"Factors Page 3",#N/A,FALSE,"Factors";"Factors Page 4",#N/A,FALSE,"Factors";"Factors Page 5",#N/A,FALSE,"Factors";"Factors Pages 8-27",#N/A,FALSE,"Factors"}</definedName>
    <definedName name="wrn.Factors._.Tab._.10." localSheetId="28" hidden="1">{"Factors Pages 1-2",#N/A,FALSE,"Factors";"Factors Page 3",#N/A,FALSE,"Factors";"Factors Page 4",#N/A,FALSE,"Factors";"Factors Page 5",#N/A,FALSE,"Factors";"Factors Pages 8-27",#N/A,FALSE,"Factors"}</definedName>
    <definedName name="wrn.Factors._.Tab._.10." localSheetId="33" hidden="1">{"Factors Pages 1-2",#N/A,FALSE,"Factors";"Factors Page 3",#N/A,FALSE,"Factors";"Factors Page 4",#N/A,FALSE,"Factors";"Factors Page 5",#N/A,FALSE,"Factors";"Factors Pages 8-27",#N/A,FALSE,"Factors"}</definedName>
    <definedName name="wrn.Factors._.Tab._.10." localSheetId="35" hidden="1">{"Factors Pages 1-2",#N/A,FALSE,"Factors";"Factors Page 3",#N/A,FALSE,"Factors";"Factors Page 4",#N/A,FALSE,"Factors";"Factors Page 5",#N/A,FALSE,"Factors";"Factors Pages 8-27",#N/A,FALSE,"Factors"}</definedName>
    <definedName name="wrn.Factors._.Tab._.10." localSheetId="45"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localSheetId="2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3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3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4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6" hidden="1">{"Print Empty Template",#N/A,FALSE,"Input"}</definedName>
    <definedName name="wrn.For._.filling._.out._.assessments." localSheetId="28" hidden="1">{"Print Empty Template",#N/A,FALSE,"Input"}</definedName>
    <definedName name="wrn.For._.filling._.out._.assessments." localSheetId="33" hidden="1">{"Print Empty Template",#N/A,FALSE,"Input"}</definedName>
    <definedName name="wrn.For._.filling._.out._.assessments." localSheetId="35" hidden="1">{"Print Empty Template",#N/A,FALSE,"Input"}</definedName>
    <definedName name="wrn.For._.filling._.out._.assessments." localSheetId="45" hidden="1">{"Print Empty Template",#N/A,FALSE,"Input"}</definedName>
    <definedName name="wrn.For._.filling._.out._.assessments." localSheetId="13" hidden="1">{"Print Empty Template",#N/A,FALSE,"Input"}</definedName>
    <definedName name="wrn.For._.filling._.out._.assessments." hidden="1">{"Print Empty Template",#N/A,FALSE,"Input"}</definedName>
    <definedName name="wrn.GS._.Estimators." localSheetId="26"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28"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30"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3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33"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34"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35"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36"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45"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12"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13"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26"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28"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30"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3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33"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34"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35"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36"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45"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12"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13"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HLP._.Detail." localSheetId="26" hidden="1">{"2002 - 2006 Detail Income Statement",#N/A,FALSE,"TUB Income Statement wo DW";"BGS Deferral",#N/A,FALSE,"BGS Deferral";"NNC Deferral",#N/A,FALSE,"NNC Deferral";"MTC Deferral",#N/A,FALSE,"MTC Deferral";#N/A,#N/A,FALSE,"Schedule D"}</definedName>
    <definedName name="wrn.HLP._.Detail." localSheetId="28" hidden="1">{"2002 - 2006 Detail Income Statement",#N/A,FALSE,"TUB Income Statement wo DW";"BGS Deferral",#N/A,FALSE,"BGS Deferral";"NNC Deferral",#N/A,FALSE,"NNC Deferral";"MTC Deferral",#N/A,FALSE,"MTC Deferral";#N/A,#N/A,FALSE,"Schedule D"}</definedName>
    <definedName name="wrn.HLP._.Detail." localSheetId="33" hidden="1">{"2002 - 2006 Detail Income Statement",#N/A,FALSE,"TUB Income Statement wo DW";"BGS Deferral",#N/A,FALSE,"BGS Deferral";"NNC Deferral",#N/A,FALSE,"NNC Deferral";"MTC Deferral",#N/A,FALSE,"MTC Deferral";#N/A,#N/A,FALSE,"Schedule D"}</definedName>
    <definedName name="wrn.HLP._.Detail." localSheetId="35" hidden="1">{"2002 - 2006 Detail Income Statement",#N/A,FALSE,"TUB Income Statement wo DW";"BGS Deferral",#N/A,FALSE,"BGS Deferral";"NNC Deferral",#N/A,FALSE,"NNC Deferral";"MTC Deferral",#N/A,FALSE,"MTC Deferral";#N/A,#N/A,FALSE,"Schedule D"}</definedName>
    <definedName name="wrn.HLP._.Detail." localSheetId="45" hidden="1">{"2002 - 2006 Detail Income Statement",#N/A,FALSE,"TUB Income Statement wo DW";"BGS Deferral",#N/A,FALSE,"BGS Deferral";"NNC Deferral",#N/A,FALSE,"NNC Deferral";"MTC Deferral",#N/A,FALSE,"MTC Deferral";#N/A,#N/A,FALSE,"Schedule D"}</definedName>
    <definedName name="wrn.HLP._.Detail." localSheetId="13"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26" hidden="1">{"summary",#N/A,TRUE,"Coal Inventory Summary";"view 1",#N/A,TRUE,"Coal Inv. By Station";"view 2",#N/A,TRUE,"Coal inv by sta 2";"view 3",#N/A,TRUE,"Coal inv by sta 3";"oil",#N/A,TRUE,"Oil Purchases"}</definedName>
    <definedName name="wrn.inventory." localSheetId="28" hidden="1">{"summary",#N/A,TRUE,"Coal Inventory Summary";"view 1",#N/A,TRUE,"Coal Inv. By Station";"view 2",#N/A,TRUE,"Coal inv by sta 2";"view 3",#N/A,TRUE,"Coal inv by sta 3";"oil",#N/A,TRUE,"Oil Purchases"}</definedName>
    <definedName name="wrn.inventory." localSheetId="33" hidden="1">{"summary",#N/A,TRUE,"Coal Inventory Summary";"view 1",#N/A,TRUE,"Coal Inv. By Station";"view 2",#N/A,TRUE,"Coal inv by sta 2";"view 3",#N/A,TRUE,"Coal inv by sta 3";"oil",#N/A,TRUE,"Oil Purchases"}</definedName>
    <definedName name="wrn.inventory." localSheetId="35" hidden="1">{"summary",#N/A,TRUE,"Coal Inventory Summary";"view 1",#N/A,TRUE,"Coal Inv. By Station";"view 2",#N/A,TRUE,"Coal inv by sta 2";"view 3",#N/A,TRUE,"Coal inv by sta 3";"oil",#N/A,TRUE,"Oil Purchases"}</definedName>
    <definedName name="wrn.inventory." localSheetId="45" hidden="1">{"summary",#N/A,TRUE,"Coal Inventory Summary";"view 1",#N/A,TRUE,"Coal Inv. By Station";"view 2",#N/A,TRUE,"Coal inv by sta 2";"view 3",#N/A,TRUE,"Coal inv by sta 3";"oil",#N/A,TRUE,"Oil Purchases"}</definedName>
    <definedName name="wrn.inventory." localSheetId="13"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localSheetId="26" hidden="1">{"assumptions",#N/A,FALSE,"Scenario 1";"valuation",#N/A,FALSE,"Scenario 1"}</definedName>
    <definedName name="wrn.IPO._.Valuation." localSheetId="28" hidden="1">{"assumptions",#N/A,FALSE,"Scenario 1";"valuation",#N/A,FALSE,"Scenario 1"}</definedName>
    <definedName name="wrn.IPO._.Valuation." localSheetId="33" hidden="1">{"assumptions",#N/A,FALSE,"Scenario 1";"valuation",#N/A,FALSE,"Scenario 1"}</definedName>
    <definedName name="wrn.IPO._.Valuation." localSheetId="35" hidden="1">{"assumptions",#N/A,FALSE,"Scenario 1";"valuation",#N/A,FALSE,"Scenario 1"}</definedName>
    <definedName name="wrn.IPO._.Valuation." localSheetId="45" hidden="1">{"assumptions",#N/A,FALSE,"Scenario 1";"valuation",#N/A,FALSE,"Scenario 1"}</definedName>
    <definedName name="wrn.IPO._.Valuation." localSheetId="13" hidden="1">{"assumptions",#N/A,FALSE,"Scenario 1";"valuation",#N/A,FALSE,"Scenario 1"}</definedName>
    <definedName name="wrn.IPO._.Valuation." hidden="1">{"assumptions",#N/A,FALSE,"Scenario 1";"valuation",#N/A,FALSE,"Scenario 1"}</definedName>
    <definedName name="wrn.JE9DOLLARS." localSheetId="26" hidden="1">{"JE9DOLLARS",#N/A,FALSE,"JE9"}</definedName>
    <definedName name="wrn.JE9DOLLARS." localSheetId="28" hidden="1">{"JE9DOLLARS",#N/A,FALSE,"JE9"}</definedName>
    <definedName name="wrn.JE9DOLLARS." localSheetId="30" hidden="1">{"JE9DOLLARS",#N/A,FALSE,"JE9"}</definedName>
    <definedName name="wrn.JE9DOLLARS." localSheetId="31" hidden="1">{"JE9DOLLARS",#N/A,FALSE,"JE9"}</definedName>
    <definedName name="wrn.JE9DOLLARS." localSheetId="33" hidden="1">{"JE9DOLLARS",#N/A,FALSE,"JE9"}</definedName>
    <definedName name="wrn.JE9DOLLARS." localSheetId="34" hidden="1">{"JE9DOLLARS",#N/A,FALSE,"JE9"}</definedName>
    <definedName name="wrn.JE9DOLLARS." localSheetId="35" hidden="1">{"JE9DOLLARS",#N/A,FALSE,"JE9"}</definedName>
    <definedName name="wrn.JE9DOLLARS." localSheetId="36" hidden="1">{"JE9DOLLARS",#N/A,FALSE,"JE9"}</definedName>
    <definedName name="wrn.JE9DOLLARS." localSheetId="45" hidden="1">{"JE9DOLLARS",#N/A,FALSE,"JE9"}</definedName>
    <definedName name="wrn.JE9DOLLARS." localSheetId="12" hidden="1">{"JE9DOLLARS",#N/A,FALSE,"JE9"}</definedName>
    <definedName name="wrn.JE9DOLLARS." localSheetId="13" hidden="1">{"JE9DOLLARS",#N/A,FALSE,"JE9"}</definedName>
    <definedName name="wrn.JE9DOLLARS." hidden="1">{"JE9DOLLARS",#N/A,FALSE,"JE9"}</definedName>
    <definedName name="wrn.JE9DTHS." localSheetId="26" hidden="1">{"JE9DTHS",#N/A,FALSE,"JE9"}</definedName>
    <definedName name="wrn.JE9DTHS." localSheetId="28" hidden="1">{"JE9DTHS",#N/A,FALSE,"JE9"}</definedName>
    <definedName name="wrn.JE9DTHS." localSheetId="30" hidden="1">{"JE9DTHS",#N/A,FALSE,"JE9"}</definedName>
    <definedName name="wrn.JE9DTHS." localSheetId="31" hidden="1">{"JE9DTHS",#N/A,FALSE,"JE9"}</definedName>
    <definedName name="wrn.JE9DTHS." localSheetId="33" hidden="1">{"JE9DTHS",#N/A,FALSE,"JE9"}</definedName>
    <definedName name="wrn.JE9DTHS." localSheetId="34" hidden="1">{"JE9DTHS",#N/A,FALSE,"JE9"}</definedName>
    <definedName name="wrn.JE9DTHS." localSheetId="35" hidden="1">{"JE9DTHS",#N/A,FALSE,"JE9"}</definedName>
    <definedName name="wrn.JE9DTHS." localSheetId="36" hidden="1">{"JE9DTHS",#N/A,FALSE,"JE9"}</definedName>
    <definedName name="wrn.JE9DTHS." localSheetId="45" hidden="1">{"JE9DTHS",#N/A,FALSE,"JE9"}</definedName>
    <definedName name="wrn.JE9DTHS." localSheetId="12" hidden="1">{"JE9DTHS",#N/A,FALSE,"JE9"}</definedName>
    <definedName name="wrn.JE9DTHS." localSheetId="13" hidden="1">{"JE9DTHS",#N/A,FALSE,"JE9"}</definedName>
    <definedName name="wrn.JE9DTHS." hidden="1">{"JE9DTHS",#N/A,FALSE,"JE9"}</definedName>
    <definedName name="wrn.JE9MCF." localSheetId="26" hidden="1">{"JE9MCF",#N/A,FALSE,"JE9"}</definedName>
    <definedName name="wrn.JE9MCF." localSheetId="28" hidden="1">{"JE9MCF",#N/A,FALSE,"JE9"}</definedName>
    <definedName name="wrn.JE9MCF." localSheetId="30" hidden="1">{"JE9MCF",#N/A,FALSE,"JE9"}</definedName>
    <definedName name="wrn.JE9MCF." localSheetId="31" hidden="1">{"JE9MCF",#N/A,FALSE,"JE9"}</definedName>
    <definedName name="wrn.JE9MCF." localSheetId="33" hidden="1">{"JE9MCF",#N/A,FALSE,"JE9"}</definedName>
    <definedName name="wrn.JE9MCF." localSheetId="34" hidden="1">{"JE9MCF",#N/A,FALSE,"JE9"}</definedName>
    <definedName name="wrn.JE9MCF." localSheetId="35" hidden="1">{"JE9MCF",#N/A,FALSE,"JE9"}</definedName>
    <definedName name="wrn.JE9MCF." localSheetId="36" hidden="1">{"JE9MCF",#N/A,FALSE,"JE9"}</definedName>
    <definedName name="wrn.JE9MCF." localSheetId="45" hidden="1">{"JE9MCF",#N/A,FALSE,"JE9"}</definedName>
    <definedName name="wrn.JE9MCF." localSheetId="12" hidden="1">{"JE9MCF",#N/A,FALSE,"JE9"}</definedName>
    <definedName name="wrn.JE9MCF." localSheetId="13" hidden="1">{"JE9MCF",#N/A,FALSE,"JE9"}</definedName>
    <definedName name="wrn.JE9MCF." hidden="1">{"JE9MCF",#N/A,FALSE,"JE9"}</definedName>
    <definedName name="wrn.LBO._.Summary." localSheetId="26" hidden="1">{"LBO Summary",#N/A,FALSE,"Summary"}</definedName>
    <definedName name="wrn.LBO._.Summary." localSheetId="28" hidden="1">{"LBO Summary",#N/A,FALSE,"Summary"}</definedName>
    <definedName name="wrn.LBO._.Summary." localSheetId="33" hidden="1">{"LBO Summary",#N/A,FALSE,"Summary"}</definedName>
    <definedName name="wrn.LBO._.Summary." localSheetId="35" hidden="1">{"LBO Summary",#N/A,FALSE,"Summary"}</definedName>
    <definedName name="wrn.LBO._.Summary." localSheetId="45" hidden="1">{"LBO Summary",#N/A,FALSE,"Summary"}</definedName>
    <definedName name="wrn.LBO._.Summary." localSheetId="13" hidden="1">{"LBO Summary",#N/A,FALSE,"Summary"}</definedName>
    <definedName name="wrn.LBO._.Summary." hidden="1">{"LBO Summary",#N/A,FALSE,"Summary"}</definedName>
    <definedName name="wrn.LOUISIANA." localSheetId="26" hidden="1">{#N/A,#N/A,FALSE,"LOCAL.XLS"}</definedName>
    <definedName name="wrn.LOUISIANA." localSheetId="28" hidden="1">{#N/A,#N/A,FALSE,"LOCAL.XLS"}</definedName>
    <definedName name="wrn.LOUISIANA." localSheetId="33" hidden="1">{#N/A,#N/A,FALSE,"LOCAL.XLS"}</definedName>
    <definedName name="wrn.LOUISIANA." localSheetId="35" hidden="1">{#N/A,#N/A,FALSE,"LOCAL.XLS"}</definedName>
    <definedName name="wrn.LOUISIANA." localSheetId="45" hidden="1">{#N/A,#N/A,FALSE,"LOCAL.XLS"}</definedName>
    <definedName name="wrn.LOUISIANA." localSheetId="13" hidden="1">{#N/A,#N/A,FALSE,"LOCAL.XLS"}</definedName>
    <definedName name="wrn.LOUISIANA." hidden="1">{#N/A,#N/A,FALSE,"LOCAL.XLS"}</definedName>
    <definedName name="wrn.ND." localSheetId="26" hidden="1">{#N/A,#N/A,FALSE,"ND Rev at Pres Rates";#N/A,#N/A,FALSE,"Res - Unadj sales";#N/A,#N/A,FALSE,"Small L&amp;P";#N/A,#N/A,FALSE,"Medium L&amp;P";#N/A,#N/A,FALSE,"E-19";#N/A,#N/A,FALSE,"E-20";#N/A,#N/A,FALSE,"Strtlts &amp; Standby";#N/A,#N/A,FALSE,"AG";#N/A,#N/A,FALSE,"A-RTP";#N/A,#N/A,FALSE,"Spec"}</definedName>
    <definedName name="wrn.ND." localSheetId="28" hidden="1">{#N/A,#N/A,FALSE,"ND Rev at Pres Rates";#N/A,#N/A,FALSE,"Res - Unadj sales";#N/A,#N/A,FALSE,"Small L&amp;P";#N/A,#N/A,FALSE,"Medium L&amp;P";#N/A,#N/A,FALSE,"E-19";#N/A,#N/A,FALSE,"E-20";#N/A,#N/A,FALSE,"Strtlts &amp; Standby";#N/A,#N/A,FALSE,"AG";#N/A,#N/A,FALSE,"A-RTP";#N/A,#N/A,FALSE,"Spec"}</definedName>
    <definedName name="wrn.ND." localSheetId="30" hidden="1">{#N/A,#N/A,FALSE,"ND Rev at Pres Rates";#N/A,#N/A,FALSE,"Res - Unadj sales";#N/A,#N/A,FALSE,"Small L&amp;P";#N/A,#N/A,FALSE,"Medium L&amp;P";#N/A,#N/A,FALSE,"E-19";#N/A,#N/A,FALSE,"E-20";#N/A,#N/A,FALSE,"Strtlts &amp; Standby";#N/A,#N/A,FALSE,"AG";#N/A,#N/A,FALSE,"A-RTP";#N/A,#N/A,FALSE,"Spec"}</definedName>
    <definedName name="wrn.ND." localSheetId="31" hidden="1">{#N/A,#N/A,FALSE,"ND Rev at Pres Rates";#N/A,#N/A,FALSE,"Res - Unadj sales";#N/A,#N/A,FALSE,"Small L&amp;P";#N/A,#N/A,FALSE,"Medium L&amp;P";#N/A,#N/A,FALSE,"E-19";#N/A,#N/A,FALSE,"E-20";#N/A,#N/A,FALSE,"Strtlts &amp; Standby";#N/A,#N/A,FALSE,"AG";#N/A,#N/A,FALSE,"A-RTP";#N/A,#N/A,FALSE,"Spec"}</definedName>
    <definedName name="wrn.ND." localSheetId="33" hidden="1">{#N/A,#N/A,FALSE,"ND Rev at Pres Rates";#N/A,#N/A,FALSE,"Res - Unadj sales";#N/A,#N/A,FALSE,"Small L&amp;P";#N/A,#N/A,FALSE,"Medium L&amp;P";#N/A,#N/A,FALSE,"E-19";#N/A,#N/A,FALSE,"E-20";#N/A,#N/A,FALSE,"Strtlts &amp; Standby";#N/A,#N/A,FALSE,"AG";#N/A,#N/A,FALSE,"A-RTP";#N/A,#N/A,FALSE,"Spec"}</definedName>
    <definedName name="wrn.ND." localSheetId="34" hidden="1">{#N/A,#N/A,FALSE,"ND Rev at Pres Rates";#N/A,#N/A,FALSE,"Res - Unadj sales";#N/A,#N/A,FALSE,"Small L&amp;P";#N/A,#N/A,FALSE,"Medium L&amp;P";#N/A,#N/A,FALSE,"E-19";#N/A,#N/A,FALSE,"E-20";#N/A,#N/A,FALSE,"Strtlts &amp; Standby";#N/A,#N/A,FALSE,"AG";#N/A,#N/A,FALSE,"A-RTP";#N/A,#N/A,FALSE,"Spec"}</definedName>
    <definedName name="wrn.ND." localSheetId="35" hidden="1">{#N/A,#N/A,FALSE,"ND Rev at Pres Rates";#N/A,#N/A,FALSE,"Res - Unadj sales";#N/A,#N/A,FALSE,"Small L&amp;P";#N/A,#N/A,FALSE,"Medium L&amp;P";#N/A,#N/A,FALSE,"E-19";#N/A,#N/A,FALSE,"E-20";#N/A,#N/A,FALSE,"Strtlts &amp; Standby";#N/A,#N/A,FALSE,"AG";#N/A,#N/A,FALSE,"A-RTP";#N/A,#N/A,FALSE,"Spec"}</definedName>
    <definedName name="wrn.ND." localSheetId="36" hidden="1">{#N/A,#N/A,FALSE,"ND Rev at Pres Rates";#N/A,#N/A,FALSE,"Res - Unadj sales";#N/A,#N/A,FALSE,"Small L&amp;P";#N/A,#N/A,FALSE,"Medium L&amp;P";#N/A,#N/A,FALSE,"E-19";#N/A,#N/A,FALSE,"E-20";#N/A,#N/A,FALSE,"Strtlts &amp; Standby";#N/A,#N/A,FALSE,"AG";#N/A,#N/A,FALSE,"A-RTP";#N/A,#N/A,FALSE,"Spec"}</definedName>
    <definedName name="wrn.ND." localSheetId="45" hidden="1">{#N/A,#N/A,FALSE,"ND Rev at Pres Rates";#N/A,#N/A,FALSE,"Res - Unadj sales";#N/A,#N/A,FALSE,"Small L&amp;P";#N/A,#N/A,FALSE,"Medium L&amp;P";#N/A,#N/A,FALSE,"E-19";#N/A,#N/A,FALSE,"E-20";#N/A,#N/A,FALSE,"Strtlts &amp; Standby";#N/A,#N/A,FALSE,"AG";#N/A,#N/A,FALSE,"A-RTP";#N/A,#N/A,FALSE,"Spec"}</definedName>
    <definedName name="wrn.ND." localSheetId="12" hidden="1">{#N/A,#N/A,FALSE,"ND Rev at Pres Rates";#N/A,#N/A,FALSE,"Res - Unadj sales";#N/A,#N/A,FALSE,"Small L&amp;P";#N/A,#N/A,FALSE,"Medium L&amp;P";#N/A,#N/A,FALSE,"E-19";#N/A,#N/A,FALSE,"E-20";#N/A,#N/A,FALSE,"Strtlts &amp; Standby";#N/A,#N/A,FALSE,"AG";#N/A,#N/A,FALSE,"A-RTP";#N/A,#N/A,FALSE,"Spec"}</definedName>
    <definedName name="wrn.ND." localSheetId="13"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OR._.Carrying._.Charge._.JV." localSheetId="26" hidden="1">{#N/A,#N/A,FALSE,"Loans";#N/A,#N/A,FALSE,"Program Costs";#N/A,#N/A,FALSE,"Measures";#N/A,#N/A,FALSE,"Net Lost Rev";#N/A,#N/A,FALSE,"Incentive"}</definedName>
    <definedName name="wrn.OR._.Carrying._.Charge._.JV." localSheetId="28" hidden="1">{#N/A,#N/A,FALSE,"Loans";#N/A,#N/A,FALSE,"Program Costs";#N/A,#N/A,FALSE,"Measures";#N/A,#N/A,FALSE,"Net Lost Rev";#N/A,#N/A,FALSE,"Incentive"}</definedName>
    <definedName name="wrn.OR._.Carrying._.Charge._.JV." localSheetId="33" hidden="1">{#N/A,#N/A,FALSE,"Loans";#N/A,#N/A,FALSE,"Program Costs";#N/A,#N/A,FALSE,"Measures";#N/A,#N/A,FALSE,"Net Lost Rev";#N/A,#N/A,FALSE,"Incentive"}</definedName>
    <definedName name="wrn.OR._.Carrying._.Charge._.JV." localSheetId="35" hidden="1">{#N/A,#N/A,FALSE,"Loans";#N/A,#N/A,FALSE,"Program Costs";#N/A,#N/A,FALSE,"Measures";#N/A,#N/A,FALSE,"Net Lost Rev";#N/A,#N/A,FALSE,"Incentive"}</definedName>
    <definedName name="wrn.OR._.Carrying._.Charge._.JV." localSheetId="45"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26" hidden="1">{#N/A,#N/A,FALSE,"Loans";#N/A,#N/A,FALSE,"Program Costs";#N/A,#N/A,FALSE,"Measures";#N/A,#N/A,FALSE,"Net Lost Rev";#N/A,#N/A,FALSE,"Incentive"}</definedName>
    <definedName name="wrn.OR._.Carrying._.Charge._.JV.1" localSheetId="28" hidden="1">{#N/A,#N/A,FALSE,"Loans";#N/A,#N/A,FALSE,"Program Costs";#N/A,#N/A,FALSE,"Measures";#N/A,#N/A,FALSE,"Net Lost Rev";#N/A,#N/A,FALSE,"Incentive"}</definedName>
    <definedName name="wrn.OR._.Carrying._.Charge._.JV.1" localSheetId="33" hidden="1">{#N/A,#N/A,FALSE,"Loans";#N/A,#N/A,FALSE,"Program Costs";#N/A,#N/A,FALSE,"Measures";#N/A,#N/A,FALSE,"Net Lost Rev";#N/A,#N/A,FALSE,"Incentive"}</definedName>
    <definedName name="wrn.OR._.Carrying._.Charge._.JV.1" localSheetId="35" hidden="1">{#N/A,#N/A,FALSE,"Loans";#N/A,#N/A,FALSE,"Program Costs";#N/A,#N/A,FALSE,"Measures";#N/A,#N/A,FALSE,"Net Lost Rev";#N/A,#N/A,FALSE,"Incentive"}</definedName>
    <definedName name="wrn.OR._.Carrying._.Charge._.JV.1" localSheetId="45"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I_Report." localSheetId="20" hidden="1">{"PI_Data",#N/A,TRUE,"P&amp;I Data"}</definedName>
    <definedName name="wrn.PI_Report." localSheetId="21" hidden="1">{"PI_Data",#N/A,TRUE,"P&amp;I Data"}</definedName>
    <definedName name="wrn.PI_Report." localSheetId="23" hidden="1">{"PI_Data",#N/A,TRUE,"P&amp;I Data"}</definedName>
    <definedName name="wrn.PI_Report." localSheetId="22" hidden="1">{"PI_Data",#N/A,TRUE,"P&amp;I Data"}</definedName>
    <definedName name="wrn.PI_Report." localSheetId="24" hidden="1">{"PI_Data",#N/A,TRUE,"P&amp;I Data"}</definedName>
    <definedName name="wrn.PI_Report." localSheetId="25" hidden="1">{"PI_Data",#N/A,TRUE,"P&amp;I Data"}</definedName>
    <definedName name="wrn.PI_Report." localSheetId="26" hidden="1">{"PI_Data",#N/A,TRUE,"P&amp;I Data"}</definedName>
    <definedName name="wrn.PI_Report." localSheetId="27" hidden="1">{"PI_Data",#N/A,TRUE,"P&amp;I Data"}</definedName>
    <definedName name="wrn.PI_Report." localSheetId="28" hidden="1">{"PI_Data",#N/A,TRUE,"P&amp;I Data"}</definedName>
    <definedName name="wrn.PI_Report." localSheetId="30" hidden="1">{"PI_Data",#N/A,TRUE,"P&amp;I Data"}</definedName>
    <definedName name="wrn.PI_Report." localSheetId="31" hidden="1">{"PI_Data",#N/A,TRUE,"P&amp;I Data"}</definedName>
    <definedName name="wrn.PI_Report." localSheetId="32" hidden="1">{"PI_Data",#N/A,TRUE,"P&amp;I Data"}</definedName>
    <definedName name="wrn.PI_Report." localSheetId="33" hidden="1">{"PI_Data",#N/A,TRUE,"P&amp;I Data"}</definedName>
    <definedName name="wrn.PI_Report." localSheetId="34" hidden="1">{"PI_Data",#N/A,TRUE,"P&amp;I Data"}</definedName>
    <definedName name="wrn.PI_Report." localSheetId="35" hidden="1">{"PI_Data",#N/A,TRUE,"P&amp;I Data"}</definedName>
    <definedName name="wrn.PI_Report." localSheetId="36" hidden="1">{"PI_Data",#N/A,TRUE,"P&amp;I Data"}</definedName>
    <definedName name="wrn.PI_Report." localSheetId="37" hidden="1">{"PI_Data",#N/A,TRUE,"P&amp;I Data"}</definedName>
    <definedName name="wrn.PI_Report." localSheetId="40" hidden="1">{"PI_Data",#N/A,TRUE,"P&amp;I Data"}</definedName>
    <definedName name="wrn.PI_Report." localSheetId="42" hidden="1">{"PI_Data",#N/A,TRUE,"P&amp;I Data"}</definedName>
    <definedName name="wrn.PI_Report." localSheetId="44" hidden="1">{"PI_Data",#N/A,TRUE,"P&amp;I Data"}</definedName>
    <definedName name="wrn.PI_Report." localSheetId="45" hidden="1">{"PI_Data",#N/A,TRUE,"P&amp;I Data"}</definedName>
    <definedName name="wrn.PI_Report." localSheetId="46" hidden="1">{"PI_Data",#N/A,TRUE,"P&amp;I Data"}</definedName>
    <definedName name="wrn.PI_Report." localSheetId="10" hidden="1">{"PI_Data",#N/A,TRUE,"P&amp;I Data"}</definedName>
    <definedName name="wrn.PI_Report." localSheetId="12" hidden="1">{"PI_Data",#N/A,TRUE,"P&amp;I Data"}</definedName>
    <definedName name="wrn.PI_Report." localSheetId="13" hidden="1">{"PI_Data",#N/A,TRUE,"P&amp;I Data"}</definedName>
    <definedName name="wrn.PI_Report." localSheetId="14" hidden="1">{"PI_Data",#N/A,TRUE,"P&amp;I Data"}</definedName>
    <definedName name="wrn.PI_Report." localSheetId="15" hidden="1">{"PI_Data",#N/A,TRUE,"P&amp;I Data"}</definedName>
    <definedName name="wrn.PI_Report." hidden="1">{"PI_Data",#N/A,TRUE,"P&amp;I Data"}</definedName>
    <definedName name="wrn.Print._.1_8." localSheetId="26"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30"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3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33"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34"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36"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4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1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13"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2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28"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30"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3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33"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34"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3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3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4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1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13"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All._.Pages." localSheetId="26" hidden="1">{"LBO Summary",#N/A,FALSE,"Summary";"Income Statement",#N/A,FALSE,"Model";"Cash Flow",#N/A,FALSE,"Model";"Balance Sheet",#N/A,FALSE,"Model";"Working Capital",#N/A,FALSE,"Model";"Pro Forma Balance Sheets",#N/A,FALSE,"PFBS";"Debt Balances",#N/A,FALSE,"Model";"Fee Schedules",#N/A,FALSE,"Model"}</definedName>
    <definedName name="wrn.Print._.All._.Pages." localSheetId="28" hidden="1">{"LBO Summary",#N/A,FALSE,"Summary";"Income Statement",#N/A,FALSE,"Model";"Cash Flow",#N/A,FALSE,"Model";"Balance Sheet",#N/A,FALSE,"Model";"Working Capital",#N/A,FALSE,"Model";"Pro Forma Balance Sheets",#N/A,FALSE,"PFBS";"Debt Balances",#N/A,FALSE,"Model";"Fee Schedules",#N/A,FALSE,"Model"}</definedName>
    <definedName name="wrn.Print._.All._.Pages." localSheetId="33" hidden="1">{"LBO Summary",#N/A,FALSE,"Summary";"Income Statement",#N/A,FALSE,"Model";"Cash Flow",#N/A,FALSE,"Model";"Balance Sheet",#N/A,FALSE,"Model";"Working Capital",#N/A,FALSE,"Model";"Pro Forma Balance Sheets",#N/A,FALSE,"PFBS";"Debt Balances",#N/A,FALSE,"Model";"Fee Schedules",#N/A,FALSE,"Model"}</definedName>
    <definedName name="wrn.Print._.All._.Pages." localSheetId="35" hidden="1">{"LBO Summary",#N/A,FALSE,"Summary";"Income Statement",#N/A,FALSE,"Model";"Cash Flow",#N/A,FALSE,"Model";"Balance Sheet",#N/A,FALSE,"Model";"Working Capital",#N/A,FALSE,"Model";"Pro Forma Balance Sheets",#N/A,FALSE,"PFBS";"Debt Balances",#N/A,FALSE,"Model";"Fee Schedules",#N/A,FALSE,"Model"}</definedName>
    <definedName name="wrn.Print._.All._.Pages." localSheetId="45" hidden="1">{"LBO Summary",#N/A,FALSE,"Summary";"Income Statement",#N/A,FALSE,"Model";"Cash Flow",#N/A,FALSE,"Model";"Balance Sheet",#N/A,FALSE,"Model";"Working Capital",#N/A,FALSE,"Model";"Pro Forma Balance Sheets",#N/A,FALSE,"PFBS";"Debt Balances",#N/A,FALSE,"Model";"Fee Schedules",#N/A,FALSE,"Model"}</definedName>
    <definedName name="wrn.Print._.All._.Pages." localSheetId="13"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Out." localSheetId="26" hidden="1">{#N/A,#N/A,FALSE,"Workpaper Tables 4-1 &amp; 4-2";#N/A,#N/A,FALSE,"Revenue Allocation Results";#N/A,#N/A,FALSE,"FERC Rev @ PR";#N/A,#N/A,FALSE,"Distribution Revenue Allocation";#N/A,#N/A,FALSE,"Nonallocated Revenues ";#N/A,#N/A,FALSE,"2000mixuse";#N/A,#N/A,FALSE,"MC Revenues- 00 sales, 96 MC's"}</definedName>
    <definedName name="wrn.Print._.Out." localSheetId="28" hidden="1">{#N/A,#N/A,FALSE,"Workpaper Tables 4-1 &amp; 4-2";#N/A,#N/A,FALSE,"Revenue Allocation Results";#N/A,#N/A,FALSE,"FERC Rev @ PR";#N/A,#N/A,FALSE,"Distribution Revenue Allocation";#N/A,#N/A,FALSE,"Nonallocated Revenues ";#N/A,#N/A,FALSE,"2000mixuse";#N/A,#N/A,FALSE,"MC Revenues- 00 sales, 96 MC's"}</definedName>
    <definedName name="wrn.Print._.Out." localSheetId="30" hidden="1">{#N/A,#N/A,FALSE,"Workpaper Tables 4-1 &amp; 4-2";#N/A,#N/A,FALSE,"Revenue Allocation Results";#N/A,#N/A,FALSE,"FERC Rev @ PR";#N/A,#N/A,FALSE,"Distribution Revenue Allocation";#N/A,#N/A,FALSE,"Nonallocated Revenues ";#N/A,#N/A,FALSE,"2000mixuse";#N/A,#N/A,FALSE,"MC Revenues- 00 sales, 96 MC's"}</definedName>
    <definedName name="wrn.Print._.Out." localSheetId="31" hidden="1">{#N/A,#N/A,FALSE,"Workpaper Tables 4-1 &amp; 4-2";#N/A,#N/A,FALSE,"Revenue Allocation Results";#N/A,#N/A,FALSE,"FERC Rev @ PR";#N/A,#N/A,FALSE,"Distribution Revenue Allocation";#N/A,#N/A,FALSE,"Nonallocated Revenues ";#N/A,#N/A,FALSE,"2000mixuse";#N/A,#N/A,FALSE,"MC Revenues- 00 sales, 96 MC's"}</definedName>
    <definedName name="wrn.Print._.Out." localSheetId="33" hidden="1">{#N/A,#N/A,FALSE,"Workpaper Tables 4-1 &amp; 4-2";#N/A,#N/A,FALSE,"Revenue Allocation Results";#N/A,#N/A,FALSE,"FERC Rev @ PR";#N/A,#N/A,FALSE,"Distribution Revenue Allocation";#N/A,#N/A,FALSE,"Nonallocated Revenues ";#N/A,#N/A,FALSE,"2000mixuse";#N/A,#N/A,FALSE,"MC Revenues- 00 sales, 96 MC's"}</definedName>
    <definedName name="wrn.Print._.Out." localSheetId="34" hidden="1">{#N/A,#N/A,FALSE,"Workpaper Tables 4-1 &amp; 4-2";#N/A,#N/A,FALSE,"Revenue Allocation Results";#N/A,#N/A,FALSE,"FERC Rev @ PR";#N/A,#N/A,FALSE,"Distribution Revenue Allocation";#N/A,#N/A,FALSE,"Nonallocated Revenues ";#N/A,#N/A,FALSE,"2000mixuse";#N/A,#N/A,FALSE,"MC Revenues- 00 sales, 96 MC's"}</definedName>
    <definedName name="wrn.Print._.Out." localSheetId="35" hidden="1">{#N/A,#N/A,FALSE,"Workpaper Tables 4-1 &amp; 4-2";#N/A,#N/A,FALSE,"Revenue Allocation Results";#N/A,#N/A,FALSE,"FERC Rev @ PR";#N/A,#N/A,FALSE,"Distribution Revenue Allocation";#N/A,#N/A,FALSE,"Nonallocated Revenues ";#N/A,#N/A,FALSE,"2000mixuse";#N/A,#N/A,FALSE,"MC Revenues- 00 sales, 96 MC's"}</definedName>
    <definedName name="wrn.Print._.Out." localSheetId="36" hidden="1">{#N/A,#N/A,FALSE,"Workpaper Tables 4-1 &amp; 4-2";#N/A,#N/A,FALSE,"Revenue Allocation Results";#N/A,#N/A,FALSE,"FERC Rev @ PR";#N/A,#N/A,FALSE,"Distribution Revenue Allocation";#N/A,#N/A,FALSE,"Nonallocated Revenues ";#N/A,#N/A,FALSE,"2000mixuse";#N/A,#N/A,FALSE,"MC Revenues- 00 sales, 96 MC's"}</definedName>
    <definedName name="wrn.Print._.Out." localSheetId="45" hidden="1">{#N/A,#N/A,FALSE,"Workpaper Tables 4-1 &amp; 4-2";#N/A,#N/A,FALSE,"Revenue Allocation Results";#N/A,#N/A,FALSE,"FERC Rev @ PR";#N/A,#N/A,FALSE,"Distribution Revenue Allocation";#N/A,#N/A,FALSE,"Nonallocated Revenues ";#N/A,#N/A,FALSE,"2000mixuse";#N/A,#N/A,FALSE,"MC Revenues- 00 sales, 96 MC's"}</definedName>
    <definedName name="wrn.Print._.Out."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All." localSheetId="26" hidden="1">{#N/A,#N/A,FALSE,"Monthly SAIFI";#N/A,#N/A,FALSE,"Yearly SAIFI";#N/A,#N/A,FALSE,"Monthly CAIDI";#N/A,#N/A,FALSE,"Yearly CAIDI";#N/A,#N/A,FALSE,"Monthly SAIDI";#N/A,#N/A,FALSE,"Yearly SAIDI";#N/A,#N/A,FALSE,"Monthly MAIFI";#N/A,#N/A,FALSE,"Yearly MAIFI";#N/A,#N/A,FALSE,"Monthly Cust &gt;=4 Int"}</definedName>
    <definedName name="wrn.PrintAll." localSheetId="28" hidden="1">{#N/A,#N/A,FALSE,"Monthly SAIFI";#N/A,#N/A,FALSE,"Yearly SAIFI";#N/A,#N/A,FALSE,"Monthly CAIDI";#N/A,#N/A,FALSE,"Yearly CAIDI";#N/A,#N/A,FALSE,"Monthly SAIDI";#N/A,#N/A,FALSE,"Yearly SAIDI";#N/A,#N/A,FALSE,"Monthly MAIFI";#N/A,#N/A,FALSE,"Yearly MAIFI";#N/A,#N/A,FALSE,"Monthly Cust &gt;=4 Int"}</definedName>
    <definedName name="wrn.PrintAll." localSheetId="33" hidden="1">{#N/A,#N/A,FALSE,"Monthly SAIFI";#N/A,#N/A,FALSE,"Yearly SAIFI";#N/A,#N/A,FALSE,"Monthly CAIDI";#N/A,#N/A,FALSE,"Yearly CAIDI";#N/A,#N/A,FALSE,"Monthly SAIDI";#N/A,#N/A,FALSE,"Yearly SAIDI";#N/A,#N/A,FALSE,"Monthly MAIFI";#N/A,#N/A,FALSE,"Yearly MAIFI";#N/A,#N/A,FALSE,"Monthly Cust &gt;=4 Int"}</definedName>
    <definedName name="wrn.PrintAll." localSheetId="35" hidden="1">{#N/A,#N/A,FALSE,"Monthly SAIFI";#N/A,#N/A,FALSE,"Yearly SAIFI";#N/A,#N/A,FALSE,"Monthly CAIDI";#N/A,#N/A,FALSE,"Yearly CAIDI";#N/A,#N/A,FALSE,"Monthly SAIDI";#N/A,#N/A,FALSE,"Yearly SAIDI";#N/A,#N/A,FALSE,"Monthly MAIFI";#N/A,#N/A,FALSE,"Yearly MAIFI";#N/A,#N/A,FALSE,"Monthly Cust &gt;=4 Int"}</definedName>
    <definedName name="wrn.PrintAll." localSheetId="45" hidden="1">{#N/A,#N/A,FALSE,"Monthly SAIFI";#N/A,#N/A,FALSE,"Yearly SAIFI";#N/A,#N/A,FALSE,"Monthly CAIDI";#N/A,#N/A,FALSE,"Yearly CAIDI";#N/A,#N/A,FALSE,"Monthly SAIDI";#N/A,#N/A,FALSE,"Yearly SAIDI";#N/A,#N/A,FALSE,"Monthly MAIFI";#N/A,#N/A,FALSE,"Yearly MAIFI";#N/A,#N/A,FALSE,"Monthly Cust &gt;=4 Int"}</definedName>
    <definedName name="wrn.PrintAll." localSheetId="13"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ntout." localSheetId="20" hidden="1">{#N/A,#N/A,FALSE,"Transmission Revenue Allocation";"Marginal Cost Revenues",#N/A,FALSE,"MC Revenues- 01 sales, 96 MC's";#N/A,#N/A,FALSE,"1996 marginal costs -ECAC Adopt"}</definedName>
    <definedName name="wrn.printout." localSheetId="21" hidden="1">{#N/A,#N/A,FALSE,"Transmission Revenue Allocation";"Marginal Cost Revenues",#N/A,FALSE,"MC Revenues- 01 sales, 96 MC's";#N/A,#N/A,FALSE,"1996 marginal costs -ECAC Adopt"}</definedName>
    <definedName name="wrn.printout." localSheetId="23" hidden="1">{#N/A,#N/A,FALSE,"Transmission Revenue Allocation";"Marginal Cost Revenues",#N/A,FALSE,"MC Revenues- 01 sales, 96 MC's";#N/A,#N/A,FALSE,"1996 marginal costs -ECAC Adopt"}</definedName>
    <definedName name="wrn.printout." localSheetId="22" hidden="1">{#N/A,#N/A,FALSE,"Transmission Revenue Allocation";"Marginal Cost Revenues",#N/A,FALSE,"MC Revenues- 01 sales, 96 MC's";#N/A,#N/A,FALSE,"1996 marginal costs -ECAC Adopt"}</definedName>
    <definedName name="wrn.printout." localSheetId="24" hidden="1">{#N/A,#N/A,FALSE,"Transmission Revenue Allocation";"Marginal Cost Revenues",#N/A,FALSE,"MC Revenues- 01 sales, 96 MC's";#N/A,#N/A,FALSE,"1996 marginal costs -ECAC Adopt"}</definedName>
    <definedName name="wrn.printout." localSheetId="25" hidden="1">{#N/A,#N/A,FALSE,"Transmission Revenue Allocation";"Marginal Cost Revenues",#N/A,FALSE,"MC Revenues- 01 sales, 96 MC's";#N/A,#N/A,FALSE,"1996 marginal costs -ECAC Adopt"}</definedName>
    <definedName name="wrn.printout." localSheetId="26" hidden="1">{#N/A,#N/A,FALSE,"Transmission Revenue Allocation";"Marginal Cost Revenues",#N/A,FALSE,"MC Revenues- 01 sales, 96 MC's";#N/A,#N/A,FALSE,"1996 marginal costs -ECAC Adopt"}</definedName>
    <definedName name="wrn.printout." localSheetId="27" hidden="1">{#N/A,#N/A,FALSE,"Transmission Revenue Allocation";"Marginal Cost Revenues",#N/A,FALSE,"MC Revenues- 01 sales, 96 MC's";#N/A,#N/A,FALSE,"1996 marginal costs -ECAC Adopt"}</definedName>
    <definedName name="wrn.printout." localSheetId="28" hidden="1">{#N/A,#N/A,FALSE,"Transmission Revenue Allocation";"Marginal Cost Revenues",#N/A,FALSE,"MC Revenues- 01 sales, 96 MC's";#N/A,#N/A,FALSE,"1996 marginal costs -ECAC Adopt"}</definedName>
    <definedName name="wrn.printout." localSheetId="30" hidden="1">{#N/A,#N/A,FALSE,"Transmission Revenue Allocation";"Marginal Cost Revenues",#N/A,FALSE,"MC Revenues- 01 sales, 96 MC's";#N/A,#N/A,FALSE,"1996 marginal costs -ECAC Adopt"}</definedName>
    <definedName name="wrn.printout." localSheetId="31" hidden="1">{#N/A,#N/A,FALSE,"Transmission Revenue Allocation";"Marginal Cost Revenues",#N/A,FALSE,"MC Revenues- 01 sales, 96 MC's";#N/A,#N/A,FALSE,"1996 marginal costs -ECAC Adopt"}</definedName>
    <definedName name="wrn.printout." localSheetId="32" hidden="1">{#N/A,#N/A,FALSE,"Transmission Revenue Allocation";"Marginal Cost Revenues",#N/A,FALSE,"MC Revenues- 01 sales, 96 MC's";#N/A,#N/A,FALSE,"1996 marginal costs -ECAC Adopt"}</definedName>
    <definedName name="wrn.printout." localSheetId="33" hidden="1">{#N/A,#N/A,FALSE,"Transmission Revenue Allocation";"Marginal Cost Revenues",#N/A,FALSE,"MC Revenues- 01 sales, 96 MC's";#N/A,#N/A,FALSE,"1996 marginal costs -ECAC Adopt"}</definedName>
    <definedName name="wrn.printout." localSheetId="34" hidden="1">{#N/A,#N/A,FALSE,"Transmission Revenue Allocation";"Marginal Cost Revenues",#N/A,FALSE,"MC Revenues- 01 sales, 96 MC's";#N/A,#N/A,FALSE,"1996 marginal costs -ECAC Adopt"}</definedName>
    <definedName name="wrn.printout." localSheetId="35" hidden="1">{#N/A,#N/A,FALSE,"Transmission Revenue Allocation";"Marginal Cost Revenues",#N/A,FALSE,"MC Revenues- 01 sales, 96 MC's";#N/A,#N/A,FALSE,"1996 marginal costs -ECAC Adopt"}</definedName>
    <definedName name="wrn.printout." localSheetId="36" hidden="1">{#N/A,#N/A,FALSE,"Transmission Revenue Allocation";"Marginal Cost Revenues",#N/A,FALSE,"MC Revenues- 01 sales, 96 MC's";#N/A,#N/A,FALSE,"1996 marginal costs -ECAC Adopt"}</definedName>
    <definedName name="wrn.printout." localSheetId="37" hidden="1">{#N/A,#N/A,FALSE,"Transmission Revenue Allocation";"Marginal Cost Revenues",#N/A,FALSE,"MC Revenues- 01 sales, 96 MC's";#N/A,#N/A,FALSE,"1996 marginal costs -ECAC Adopt"}</definedName>
    <definedName name="wrn.printout." localSheetId="40" hidden="1">{#N/A,#N/A,FALSE,"Transmission Revenue Allocation";"Marginal Cost Revenues",#N/A,FALSE,"MC Revenues- 01 sales, 96 MC's";#N/A,#N/A,FALSE,"1996 marginal costs -ECAC Adopt"}</definedName>
    <definedName name="wrn.printout." localSheetId="42" hidden="1">{#N/A,#N/A,FALSE,"Transmission Revenue Allocation";"Marginal Cost Revenues",#N/A,FALSE,"MC Revenues- 01 sales, 96 MC's";#N/A,#N/A,FALSE,"1996 marginal costs -ECAC Adopt"}</definedName>
    <definedName name="wrn.printout." localSheetId="44" hidden="1">{#N/A,#N/A,FALSE,"Transmission Revenue Allocation";"Marginal Cost Revenues",#N/A,FALSE,"MC Revenues- 01 sales, 96 MC's";#N/A,#N/A,FALSE,"1996 marginal costs -ECAC Adopt"}</definedName>
    <definedName name="wrn.printout." localSheetId="45" hidden="1">{#N/A,#N/A,FALSE,"Transmission Revenue Allocation";"Marginal Cost Revenues",#N/A,FALSE,"MC Revenues- 01 sales, 96 MC's";#N/A,#N/A,FALSE,"1996 marginal costs -ECAC Adopt"}</definedName>
    <definedName name="wrn.printout." localSheetId="46" hidden="1">{#N/A,#N/A,FALSE,"Transmission Revenue Allocation";"Marginal Cost Revenues",#N/A,FALSE,"MC Revenues- 01 sales, 96 MC's";#N/A,#N/A,FALSE,"1996 marginal costs -ECAC Adopt"}</definedName>
    <definedName name="wrn.printout." localSheetId="12" hidden="1">{#N/A,#N/A,FALSE,"Transmission Revenue Allocation";"Marginal Cost Revenues",#N/A,FALSE,"MC Revenues- 01 sales, 96 MC's";#N/A,#N/A,FALSE,"1996 marginal costs -ECAC Adopt"}</definedName>
    <definedName name="wrn.printout." localSheetId="13" hidden="1">{#N/A,#N/A,FALSE,"Transmission Revenue Allocation";"Marginal Cost Revenues",#N/A,FALSE,"MC Revenues- 01 sales, 96 MC's";#N/A,#N/A,FALSE,"1996 marginal costs -ECAC Adopt"}</definedName>
    <definedName name="wrn.printout." localSheetId="14" hidden="1">{#N/A,#N/A,FALSE,"Transmission Revenue Allocation";"Marginal Cost Revenues",#N/A,FALSE,"MC Revenues- 01 sales, 96 MC's";#N/A,#N/A,FALSE,"1996 marginal costs -ECAC Adopt"}</definedName>
    <definedName name="wrn.printout." localSheetId="15" hidden="1">{#N/A,#N/A,FALSE,"Transmission Revenue Allocation";"Marginal Cost Revenues",#N/A,FALSE,"MC Revenues- 01 sales, 96 MC's";#N/A,#N/A,FALSE,"1996 marginal costs -ECAC Adopt"}</definedName>
    <definedName name="wrn.printout." hidden="1">{#N/A,#N/A,FALSE,"Transmission Revenue Allocation";"Marginal Cost Revenues",#N/A,FALSE,"MC Revenues- 01 sales, 96 MC's";#N/A,#N/A,FALSE,"1996 marginal costs -ECAC Adopt"}</definedName>
    <definedName name="wrn.privatelecform." localSheetId="26"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28"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33"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35"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45"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13" hidden="1">{#N/A,#N/A,FALSE,"TD 1";#N/A,#N/A,FALSE,"TD 2";#N/A,#N/A,FALSE,"TD 3";#N/A,#N/A,FALSE,"TD 4";#N/A,#N/A,FALSE,"TD 5A";#N/A,#N/A,FALSE,"TD 5B";#N/A,#N/A,FALSE,"TD 6A";#N/A,#N/A,FALSE,"TD 6B";#N/A,#N/A,FALSE,"TD 7";#N/A,#N/A,FALSE,"TD 8";#N/A,#N/A,FALSE,"TD 9A";#N/A,#N/A,FALSE,"TD 9B";#N/A,#N/A,FALSE,"TD 10";#N/A,#N/A,FALSE,"TD 11";#N/A,#N/A,FALSE,"TD 12";#N/A,#N/A,FALSE,"TD DEC"}</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AP." localSheetId="2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2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30"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3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3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3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3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3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4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ceipt._.Stats." localSheetId="26" hidden="1">{"CM Dollars",#N/A,FALSE,"Rec Dollars";"YTD Dollars",#N/A,FALSE,"Rec Dollars";"CM Rec Stats",#N/A,FALSE,"Rec Dollars";"YTD Rec Stats",#N/A,FALSE,"Rec Dollars"}</definedName>
    <definedName name="wrn.Receipt._.Stats." localSheetId="28" hidden="1">{"CM Dollars",#N/A,FALSE,"Rec Dollars";"YTD Dollars",#N/A,FALSE,"Rec Dollars";"CM Rec Stats",#N/A,FALSE,"Rec Dollars";"YTD Rec Stats",#N/A,FALSE,"Rec Dollars"}</definedName>
    <definedName name="wrn.Receipt._.Stats." localSheetId="33" hidden="1">{"CM Dollars",#N/A,FALSE,"Rec Dollars";"YTD Dollars",#N/A,FALSE,"Rec Dollars";"CM Rec Stats",#N/A,FALSE,"Rec Dollars";"YTD Rec Stats",#N/A,FALSE,"Rec Dollars"}</definedName>
    <definedName name="wrn.Receipt._.Stats." localSheetId="35" hidden="1">{"CM Dollars",#N/A,FALSE,"Rec Dollars";"YTD Dollars",#N/A,FALSE,"Rec Dollars";"CM Rec Stats",#N/A,FALSE,"Rec Dollars";"YTD Rec Stats",#N/A,FALSE,"Rec Dollars"}</definedName>
    <definedName name="wrn.Receipt._.Stats." localSheetId="45" hidden="1">{"CM Dollars",#N/A,FALSE,"Rec Dollars";"YTD Dollars",#N/A,FALSE,"Rec Dollars";"CM Rec Stats",#N/A,FALSE,"Rec Dollars";"YTD Rec Stats",#N/A,FALSE,"Rec Dollars"}</definedName>
    <definedName name="wrn.Receipt._.Stats." localSheetId="13"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6" hidden="1">{#N/A,#N/A,FALSE,"Work performed";#N/A,#N/A,FALSE,"Resources"}</definedName>
    <definedName name="wrn.Report." localSheetId="28" hidden="1">{#N/A,#N/A,FALSE,"Work performed";#N/A,#N/A,FALSE,"Resources"}</definedName>
    <definedName name="wrn.Report." localSheetId="33" hidden="1">{#N/A,#N/A,FALSE,"Work performed";#N/A,#N/A,FALSE,"Resources"}</definedName>
    <definedName name="wrn.Report." localSheetId="35" hidden="1">{#N/A,#N/A,FALSE,"Work performed";#N/A,#N/A,FALSE,"Resources"}</definedName>
    <definedName name="wrn.Report." localSheetId="45" hidden="1">{#N/A,#N/A,FALSE,"Work performed";#N/A,#N/A,FALSE,"Resources"}</definedName>
    <definedName name="wrn.Report." localSheetId="13" hidden="1">{#N/A,#N/A,FALSE,"Work performed";#N/A,#N/A,FALSE,"Resources"}</definedName>
    <definedName name="wrn.Report." hidden="1">{#N/A,#N/A,FALSE,"Work performed";#N/A,#N/A,FALSE,"Resources"}</definedName>
    <definedName name="wrn.Res." localSheetId="26" hidden="1">{#N/A,#N/A,FALSE,"E-1, EM, ES";#N/A,#N/A,FALSE,"ESR, ET";#N/A,#N/A,FALSE,"E-7, E-A7";#N/A,#N/A,FALSE,"E-8";#N/A,#N/A,FALSE,"E-9 A, B, C, D";#N/A,#N/A,FALSE,"EL-1, EML";#N/A,#N/A,FALSE,"ESL, ESRL";#N/A,#N/A,FALSE,"ETL, EL-7";#N/A,#N/A,FALSE,"EL-A7, EL-8"}</definedName>
    <definedName name="wrn.Res." localSheetId="28" hidden="1">{#N/A,#N/A,FALSE,"E-1, EM, ES";#N/A,#N/A,FALSE,"ESR, ET";#N/A,#N/A,FALSE,"E-7, E-A7";#N/A,#N/A,FALSE,"E-8";#N/A,#N/A,FALSE,"E-9 A, B, C, D";#N/A,#N/A,FALSE,"EL-1, EML";#N/A,#N/A,FALSE,"ESL, ESRL";#N/A,#N/A,FALSE,"ETL, EL-7";#N/A,#N/A,FALSE,"EL-A7, EL-8"}</definedName>
    <definedName name="wrn.Res." localSheetId="30" hidden="1">{#N/A,#N/A,FALSE,"E-1, EM, ES";#N/A,#N/A,FALSE,"ESR, ET";#N/A,#N/A,FALSE,"E-7, E-A7";#N/A,#N/A,FALSE,"E-8";#N/A,#N/A,FALSE,"E-9 A, B, C, D";#N/A,#N/A,FALSE,"EL-1, EML";#N/A,#N/A,FALSE,"ESL, ESRL";#N/A,#N/A,FALSE,"ETL, EL-7";#N/A,#N/A,FALSE,"EL-A7, EL-8"}</definedName>
    <definedName name="wrn.Res." localSheetId="31" hidden="1">{#N/A,#N/A,FALSE,"E-1, EM, ES";#N/A,#N/A,FALSE,"ESR, ET";#N/A,#N/A,FALSE,"E-7, E-A7";#N/A,#N/A,FALSE,"E-8";#N/A,#N/A,FALSE,"E-9 A, B, C, D";#N/A,#N/A,FALSE,"EL-1, EML";#N/A,#N/A,FALSE,"ESL, ESRL";#N/A,#N/A,FALSE,"ETL, EL-7";#N/A,#N/A,FALSE,"EL-A7, EL-8"}</definedName>
    <definedName name="wrn.Res." localSheetId="33" hidden="1">{#N/A,#N/A,FALSE,"E-1, EM, ES";#N/A,#N/A,FALSE,"ESR, ET";#N/A,#N/A,FALSE,"E-7, E-A7";#N/A,#N/A,FALSE,"E-8";#N/A,#N/A,FALSE,"E-9 A, B, C, D";#N/A,#N/A,FALSE,"EL-1, EML";#N/A,#N/A,FALSE,"ESL, ESRL";#N/A,#N/A,FALSE,"ETL, EL-7";#N/A,#N/A,FALSE,"EL-A7, EL-8"}</definedName>
    <definedName name="wrn.Res." localSheetId="34" hidden="1">{#N/A,#N/A,FALSE,"E-1, EM, ES";#N/A,#N/A,FALSE,"ESR, ET";#N/A,#N/A,FALSE,"E-7, E-A7";#N/A,#N/A,FALSE,"E-8";#N/A,#N/A,FALSE,"E-9 A, B, C, D";#N/A,#N/A,FALSE,"EL-1, EML";#N/A,#N/A,FALSE,"ESL, ESRL";#N/A,#N/A,FALSE,"ETL, EL-7";#N/A,#N/A,FALSE,"EL-A7, EL-8"}</definedName>
    <definedName name="wrn.Res." localSheetId="35" hidden="1">{#N/A,#N/A,FALSE,"E-1, EM, ES";#N/A,#N/A,FALSE,"ESR, ET";#N/A,#N/A,FALSE,"E-7, E-A7";#N/A,#N/A,FALSE,"E-8";#N/A,#N/A,FALSE,"E-9 A, B, C, D";#N/A,#N/A,FALSE,"EL-1, EML";#N/A,#N/A,FALSE,"ESL, ESRL";#N/A,#N/A,FALSE,"ETL, EL-7";#N/A,#N/A,FALSE,"EL-A7, EL-8"}</definedName>
    <definedName name="wrn.Res." localSheetId="36" hidden="1">{#N/A,#N/A,FALSE,"E-1, EM, ES";#N/A,#N/A,FALSE,"ESR, ET";#N/A,#N/A,FALSE,"E-7, E-A7";#N/A,#N/A,FALSE,"E-8";#N/A,#N/A,FALSE,"E-9 A, B, C, D";#N/A,#N/A,FALSE,"EL-1, EML";#N/A,#N/A,FALSE,"ESL, ESRL";#N/A,#N/A,FALSE,"ETL, EL-7";#N/A,#N/A,FALSE,"EL-A7, EL-8"}</definedName>
    <definedName name="wrn.Res." localSheetId="45" hidden="1">{#N/A,#N/A,FALSE,"E-1, EM, ES";#N/A,#N/A,FALSE,"ESR, ET";#N/A,#N/A,FALSE,"E-7, E-A7";#N/A,#N/A,FALSE,"E-8";#N/A,#N/A,FALSE,"E-9 A, B, C, D";#N/A,#N/A,FALSE,"EL-1, EML";#N/A,#N/A,FALSE,"ESL, ESRL";#N/A,#N/A,FALSE,"ETL, EL-7";#N/A,#N/A,FALSE,"EL-A7, EL-8"}</definedName>
    <definedName name="wrn.Res." localSheetId="12" hidden="1">{#N/A,#N/A,FALSE,"E-1, EM, ES";#N/A,#N/A,FALSE,"ESR, ET";#N/A,#N/A,FALSE,"E-7, E-A7";#N/A,#N/A,FALSE,"E-8";#N/A,#N/A,FALSE,"E-9 A, B, C, D";#N/A,#N/A,FALSE,"EL-1, EML";#N/A,#N/A,FALSE,"ESL, ESRL";#N/A,#N/A,FALSE,"ETL, EL-7";#N/A,#N/A,FALSE,"EL-A7, EL-8"}</definedName>
    <definedName name="wrn.Res." localSheetId="13" hidden="1">{#N/A,#N/A,FALSE,"E-1, EM, ES";#N/A,#N/A,FALSE,"ESR, ET";#N/A,#N/A,FALSE,"E-7, E-A7";#N/A,#N/A,FALSE,"E-8";#N/A,#N/A,FALSE,"E-9 A, B, C, D";#N/A,#N/A,FALSE,"EL-1, EML";#N/A,#N/A,FALSE,"ESL, ESRL";#N/A,#N/A,FALSE,"ETL, EL-7";#N/A,#N/A,FALSE,"EL-A7, EL-8"}</definedName>
    <definedName name="wrn.Res." hidden="1">{#N/A,#N/A,FALSE,"E-1, EM, ES";#N/A,#N/A,FALSE,"ESR, ET";#N/A,#N/A,FALSE,"E-7, E-A7";#N/A,#N/A,FALSE,"E-8";#N/A,#N/A,FALSE,"E-9 A, B, C, D";#N/A,#N/A,FALSE,"EL-1, EML";#N/A,#N/A,FALSE,"ESL, ESRL";#N/A,#N/A,FALSE,"ETL, EL-7";#N/A,#N/A,FALSE,"EL-A7, EL-8"}</definedName>
    <definedName name="wrn.Rev._.Alloc." localSheetId="26" hidden="1">{#N/A,#N/A,FALSE,"RRQ inputs ";#N/A,#N/A,FALSE,"FERC Rev @ PR";#N/A,#N/A,FALSE,"Distribution Revenue Allocation";#N/A,#N/A,FALSE,"Nonallocated Revenues";#N/A,#N/A,FALSE,"MC Revenues-03 sales, 96 MC's";#N/A,#N/A,FALSE,"FTA"}</definedName>
    <definedName name="wrn.Rev._.Alloc." localSheetId="28" hidden="1">{#N/A,#N/A,FALSE,"RRQ inputs ";#N/A,#N/A,FALSE,"FERC Rev @ PR";#N/A,#N/A,FALSE,"Distribution Revenue Allocation";#N/A,#N/A,FALSE,"Nonallocated Revenues";#N/A,#N/A,FALSE,"MC Revenues-03 sales, 96 MC's";#N/A,#N/A,FALSE,"FTA"}</definedName>
    <definedName name="wrn.Rev._.Alloc." localSheetId="30" hidden="1">{#N/A,#N/A,FALSE,"RRQ inputs ";#N/A,#N/A,FALSE,"FERC Rev @ PR";#N/A,#N/A,FALSE,"Distribution Revenue Allocation";#N/A,#N/A,FALSE,"Nonallocated Revenues";#N/A,#N/A,FALSE,"MC Revenues-03 sales, 96 MC's";#N/A,#N/A,FALSE,"FTA"}</definedName>
    <definedName name="wrn.Rev._.Alloc." localSheetId="31" hidden="1">{#N/A,#N/A,FALSE,"RRQ inputs ";#N/A,#N/A,FALSE,"FERC Rev @ PR";#N/A,#N/A,FALSE,"Distribution Revenue Allocation";#N/A,#N/A,FALSE,"Nonallocated Revenues";#N/A,#N/A,FALSE,"MC Revenues-03 sales, 96 MC's";#N/A,#N/A,FALSE,"FTA"}</definedName>
    <definedName name="wrn.Rev._.Alloc." localSheetId="33" hidden="1">{#N/A,#N/A,FALSE,"RRQ inputs ";#N/A,#N/A,FALSE,"FERC Rev @ PR";#N/A,#N/A,FALSE,"Distribution Revenue Allocation";#N/A,#N/A,FALSE,"Nonallocated Revenues";#N/A,#N/A,FALSE,"MC Revenues-03 sales, 96 MC's";#N/A,#N/A,FALSE,"FTA"}</definedName>
    <definedName name="wrn.Rev._.Alloc." localSheetId="34" hidden="1">{#N/A,#N/A,FALSE,"RRQ inputs ";#N/A,#N/A,FALSE,"FERC Rev @ PR";#N/A,#N/A,FALSE,"Distribution Revenue Allocation";#N/A,#N/A,FALSE,"Nonallocated Revenues";#N/A,#N/A,FALSE,"MC Revenues-03 sales, 96 MC's";#N/A,#N/A,FALSE,"FTA"}</definedName>
    <definedName name="wrn.Rev._.Alloc." localSheetId="35" hidden="1">{#N/A,#N/A,FALSE,"RRQ inputs ";#N/A,#N/A,FALSE,"FERC Rev @ PR";#N/A,#N/A,FALSE,"Distribution Revenue Allocation";#N/A,#N/A,FALSE,"Nonallocated Revenues";#N/A,#N/A,FALSE,"MC Revenues-03 sales, 96 MC's";#N/A,#N/A,FALSE,"FTA"}</definedName>
    <definedName name="wrn.Rev._.Alloc." localSheetId="36" hidden="1">{#N/A,#N/A,FALSE,"RRQ inputs ";#N/A,#N/A,FALSE,"FERC Rev @ PR";#N/A,#N/A,FALSE,"Distribution Revenue Allocation";#N/A,#N/A,FALSE,"Nonallocated Revenues";#N/A,#N/A,FALSE,"MC Revenues-03 sales, 96 MC's";#N/A,#N/A,FALSE,"FTA"}</definedName>
    <definedName name="wrn.Rev._.Alloc." localSheetId="45" hidden="1">{#N/A,#N/A,FALSE,"RRQ inputs ";#N/A,#N/A,FALSE,"FERC Rev @ PR";#N/A,#N/A,FALSE,"Distribution Revenue Allocation";#N/A,#N/A,FALSE,"Nonallocated Revenues";#N/A,#N/A,FALSE,"MC Revenues-03 sales, 96 MC's";#N/A,#N/A,FALSE,"FTA"}</definedName>
    <definedName name="wrn.Rev._.Alloc." localSheetId="12" hidden="1">{#N/A,#N/A,FALSE,"RRQ inputs ";#N/A,#N/A,FALSE,"FERC Rev @ PR";#N/A,#N/A,FALSE,"Distribution Revenue Allocation";#N/A,#N/A,FALSE,"Nonallocated Revenues";#N/A,#N/A,FALSE,"MC Revenues-03 sales, 96 MC's";#N/A,#N/A,FALSE,"FTA"}</definedName>
    <definedName name="wrn.Rev._.Alloc." localSheetId="13"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enue._.Analysis." localSheetId="2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3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3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4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26" hidden="1">{"PRINT",#N/A,TRUE,"APPA";"PRINT",#N/A,TRUE,"APS";"PRINT",#N/A,TRUE,"BHPL";"PRINT",#N/A,TRUE,"BHPL2";"PRINT",#N/A,TRUE,"CDWR";"PRINT",#N/A,TRUE,"EWEB";"PRINT",#N/A,TRUE,"LADWP";"PRINT",#N/A,TRUE,"NEVBASE"}</definedName>
    <definedName name="wrn.SALES._.VAR._.95._.BUDGET." localSheetId="28" hidden="1">{"PRINT",#N/A,TRUE,"APPA";"PRINT",#N/A,TRUE,"APS";"PRINT",#N/A,TRUE,"BHPL";"PRINT",#N/A,TRUE,"BHPL2";"PRINT",#N/A,TRUE,"CDWR";"PRINT",#N/A,TRUE,"EWEB";"PRINT",#N/A,TRUE,"LADWP";"PRINT",#N/A,TRUE,"NEVBASE"}</definedName>
    <definedName name="wrn.SALES._.VAR._.95._.BUDGET." localSheetId="33" hidden="1">{"PRINT",#N/A,TRUE,"APPA";"PRINT",#N/A,TRUE,"APS";"PRINT",#N/A,TRUE,"BHPL";"PRINT",#N/A,TRUE,"BHPL2";"PRINT",#N/A,TRUE,"CDWR";"PRINT",#N/A,TRUE,"EWEB";"PRINT",#N/A,TRUE,"LADWP";"PRINT",#N/A,TRUE,"NEVBASE"}</definedName>
    <definedName name="wrn.SALES._.VAR._.95._.BUDGET." localSheetId="35" hidden="1">{"PRINT",#N/A,TRUE,"APPA";"PRINT",#N/A,TRUE,"APS";"PRINT",#N/A,TRUE,"BHPL";"PRINT",#N/A,TRUE,"BHPL2";"PRINT",#N/A,TRUE,"CDWR";"PRINT",#N/A,TRUE,"EWEB";"PRINT",#N/A,TRUE,"LADWP";"PRINT",#N/A,TRUE,"NEVBASE"}</definedName>
    <definedName name="wrn.SALES._.VAR._.95._.BUDGET." localSheetId="45"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ules." localSheetId="26" hidden="1">{#N/A,#N/A,FALSE,"Res - Unadj";#N/A,#N/A,FALSE,"Small L&amp;P";#N/A,#N/A,FALSE,"Medium L&amp;P";#N/A,#N/A,FALSE,"E-19";#N/A,#N/A,FALSE,"E-20";#N/A,#N/A,FALSE,"A-RTP";#N/A,#N/A,FALSE,"Strtlts &amp; Standby";#N/A,#N/A,FALSE,"AG";#N/A,#N/A,FALSE,"2001mixeduse"}</definedName>
    <definedName name="wrn.schedules." localSheetId="28" hidden="1">{#N/A,#N/A,FALSE,"Res - Unadj";#N/A,#N/A,FALSE,"Small L&amp;P";#N/A,#N/A,FALSE,"Medium L&amp;P";#N/A,#N/A,FALSE,"E-19";#N/A,#N/A,FALSE,"E-20";#N/A,#N/A,FALSE,"A-RTP";#N/A,#N/A,FALSE,"Strtlts &amp; Standby";#N/A,#N/A,FALSE,"AG";#N/A,#N/A,FALSE,"2001mixeduse"}</definedName>
    <definedName name="wrn.schedules." localSheetId="30" hidden="1">{#N/A,#N/A,FALSE,"Res - Unadj";#N/A,#N/A,FALSE,"Small L&amp;P";#N/A,#N/A,FALSE,"Medium L&amp;P";#N/A,#N/A,FALSE,"E-19";#N/A,#N/A,FALSE,"E-20";#N/A,#N/A,FALSE,"A-RTP";#N/A,#N/A,FALSE,"Strtlts &amp; Standby";#N/A,#N/A,FALSE,"AG";#N/A,#N/A,FALSE,"2001mixeduse"}</definedName>
    <definedName name="wrn.schedules." localSheetId="31" hidden="1">{#N/A,#N/A,FALSE,"Res - Unadj";#N/A,#N/A,FALSE,"Small L&amp;P";#N/A,#N/A,FALSE,"Medium L&amp;P";#N/A,#N/A,FALSE,"E-19";#N/A,#N/A,FALSE,"E-20";#N/A,#N/A,FALSE,"A-RTP";#N/A,#N/A,FALSE,"Strtlts &amp; Standby";#N/A,#N/A,FALSE,"AG";#N/A,#N/A,FALSE,"2001mixeduse"}</definedName>
    <definedName name="wrn.schedules." localSheetId="33" hidden="1">{#N/A,#N/A,FALSE,"Res - Unadj";#N/A,#N/A,FALSE,"Small L&amp;P";#N/A,#N/A,FALSE,"Medium L&amp;P";#N/A,#N/A,FALSE,"E-19";#N/A,#N/A,FALSE,"E-20";#N/A,#N/A,FALSE,"A-RTP";#N/A,#N/A,FALSE,"Strtlts &amp; Standby";#N/A,#N/A,FALSE,"AG";#N/A,#N/A,FALSE,"2001mixeduse"}</definedName>
    <definedName name="wrn.schedules." localSheetId="34" hidden="1">{#N/A,#N/A,FALSE,"ND Rev at Pres Rates";#N/A,#N/A,FALSE,"Res - Unadj";#N/A,#N/A,FALSE,"Small L&amp;P";#N/A,#N/A,FALSE,"Medium L&amp;P";#N/A,#N/A,FALSE,"E-19";#N/A,#N/A,FALSE,"E-20";#N/A,#N/A,FALSE,"A-RTP";#N/A,#N/A,FALSE,"Strtlts &amp; Standby";#N/A,#N/A,FALSE,"AG";#N/A,#N/A,FALSE,"2001mixeduse"}</definedName>
    <definedName name="wrn.schedules." localSheetId="35" hidden="1">{#N/A,#N/A,FALSE,"ND Rev at Pres Rates";#N/A,#N/A,FALSE,"Res - Unadj";#N/A,#N/A,FALSE,"Small L&amp;P";#N/A,#N/A,FALSE,"Medium L&amp;P";#N/A,#N/A,FALSE,"E-19";#N/A,#N/A,FALSE,"E-20";#N/A,#N/A,FALSE,"A-RTP";#N/A,#N/A,FALSE,"Strtlts &amp; Standby";#N/A,#N/A,FALSE,"AG";#N/A,#N/A,FALSE,"2001mixeduse"}</definedName>
    <definedName name="wrn.schedules." localSheetId="36" hidden="1">{#N/A,#N/A,FALSE,"Res - Unadj";#N/A,#N/A,FALSE,"Small L&amp;P";#N/A,#N/A,FALSE,"Medium L&amp;P";#N/A,#N/A,FALSE,"E-19";#N/A,#N/A,FALSE,"E-20";#N/A,#N/A,FALSE,"A-RTP";#N/A,#N/A,FALSE,"Strtlts &amp; Standby";#N/A,#N/A,FALSE,"AG";#N/A,#N/A,FALSE,"2001mixeduse"}</definedName>
    <definedName name="wrn.schedules." localSheetId="45" hidden="1">{#N/A,#N/A,FALSE,"Res - Unadj";#N/A,#N/A,FALSE,"Small L&amp;P";#N/A,#N/A,FALSE,"Medium L&amp;P";#N/A,#N/A,FALSE,"E-19";#N/A,#N/A,FALSE,"E-20";#N/A,#N/A,FALSE,"A-RTP";#N/A,#N/A,FALSE,"Strtlts &amp; Standby";#N/A,#N/A,FALSE,"AG";#N/A,#N/A,FALSE,"2001mixeduse"}</definedName>
    <definedName name="wrn.schedules." localSheetId="12" hidden="1">{#N/A,#N/A,FALSE,"Res - Unadj";#N/A,#N/A,FALSE,"Small L&amp;P";#N/A,#N/A,FALSE,"Medium L&amp;P";#N/A,#N/A,FALSE,"E-19";#N/A,#N/A,FALSE,"E-20";#N/A,#N/A,FALSE,"A-RTP";#N/A,#N/A,FALSE,"Strtlts &amp; Standby";#N/A,#N/A,FALSE,"AG";#N/A,#N/A,FALSE,"2001mixeduse"}</definedName>
    <definedName name="wrn.schedules." localSheetId="13" hidden="1">{#N/A,#N/A,FALSE,"Res - Unadj";#N/A,#N/A,FALSE,"Small L&amp;P";#N/A,#N/A,FALSE,"Medium L&amp;P";#N/A,#N/A,FALSE,"E-19";#N/A,#N/A,FALSE,"E-20";#N/A,#N/A,FALSE,"A-RTP";#N/A,#N/A,FALSE,"Strtlts &amp; Standby";#N/A,#N/A,FALSE,"AG";#N/A,#N/A,FALSE,"2001mixeduse"}</definedName>
    <definedName name="wrn.schedules." hidden="1">{#N/A,#N/A,FALSE,"Res - Unadj";#N/A,#N/A,FALSE,"Small L&amp;P";#N/A,#N/A,FALSE,"Medium L&amp;P";#N/A,#N/A,FALSE,"E-19";#N/A,#N/A,FALSE,"E-20";#N/A,#N/A,FALSE,"A-RTP";#N/A,#N/A,FALSE,"Strtlts &amp; Standby";#N/A,#N/A,FALSE,"AG";#N/A,#N/A,FALSE,"2001mixeduse"}</definedName>
    <definedName name="wrn.sum1." localSheetId="26" hidden="1">{"Summary","1",FALSE,"Summary"}</definedName>
    <definedName name="wrn.sum1." localSheetId="28" hidden="1">{"Summary","1",FALSE,"Summary"}</definedName>
    <definedName name="wrn.sum1." localSheetId="30" hidden="1">{"Summary","1",FALSE,"Summary"}</definedName>
    <definedName name="wrn.sum1." localSheetId="31" hidden="1">{"Summary","1",FALSE,"Summary"}</definedName>
    <definedName name="wrn.sum1." localSheetId="33" hidden="1">{"Summary","1",FALSE,"Summary"}</definedName>
    <definedName name="wrn.sum1." localSheetId="34" hidden="1">{"Summary","1",FALSE,"Summary"}</definedName>
    <definedName name="wrn.sum1." localSheetId="35" hidden="1">{"Summary","1",FALSE,"Summary"}</definedName>
    <definedName name="wrn.sum1." localSheetId="36" hidden="1">{"Summary","1",FALSE,"Summary"}</definedName>
    <definedName name="wrn.sum1." localSheetId="45" hidden="1">{"Summary","1",FALSE,"Summary"}</definedName>
    <definedName name="wrn.sum1." localSheetId="12" hidden="1">{"Summary","1",FALSE,"Summary"}</definedName>
    <definedName name="wrn.sum1." localSheetId="13" hidden="1">{"Summary","1",FALSE,"Summary"}</definedName>
    <definedName name="wrn.sum1." hidden="1">{"Summary","1",FALSE,"Summary"}</definedName>
    <definedName name="wrn.summary." localSheetId="26" hidden="1">{#N/A,#N/A,FALSE,"AP&amp;L"}</definedName>
    <definedName name="wrn.summary." localSheetId="28" hidden="1">{#N/A,#N/A,FALSE,"AP&amp;L"}</definedName>
    <definedName name="wrn.summary." localSheetId="33" hidden="1">{#N/A,#N/A,FALSE,"AP&amp;L"}</definedName>
    <definedName name="wrn.summary." localSheetId="35" hidden="1">{#N/A,#N/A,FALSE,"AP&amp;L"}</definedName>
    <definedName name="wrn.summary." localSheetId="45" hidden="1">{#N/A,#N/A,FALSE,"AP&amp;L"}</definedName>
    <definedName name="wrn.summary." localSheetId="13" hidden="1">{#N/A,#N/A,FALSE,"AP&amp;L"}</definedName>
    <definedName name="wrn.summary." hidden="1">{#N/A,#N/A,FALSE,"AP&amp;L"}</definedName>
    <definedName name="wrn.Supporting._.Calculations." localSheetId="26" hidden="1">{#N/A,#N/A,FALSE,"Work performed";#N/A,#N/A,FALSE,"Resources"}</definedName>
    <definedName name="wrn.Supporting._.Calculations." localSheetId="28" hidden="1">{#N/A,#N/A,FALSE,"Work performed";#N/A,#N/A,FALSE,"Resources"}</definedName>
    <definedName name="wrn.Supporting._.Calculations." localSheetId="33" hidden="1">{#N/A,#N/A,FALSE,"Work performed";#N/A,#N/A,FALSE,"Resources"}</definedName>
    <definedName name="wrn.Supporting._.Calculations." localSheetId="35" hidden="1">{#N/A,#N/A,FALSE,"Work performed";#N/A,#N/A,FALSE,"Resources"}</definedName>
    <definedName name="wrn.Supporting._.Calculations." localSheetId="45" hidden="1">{#N/A,#N/A,FALSE,"Work performed";#N/A,#N/A,FALSE,"Resources"}</definedName>
    <definedName name="wrn.Supporting._.Calculations." localSheetId="13" hidden="1">{#N/A,#N/A,FALSE,"Work performed";#N/A,#N/A,FALSE,"Resources"}</definedName>
    <definedName name="wrn.Supporting._.Calculations." hidden="1">{#N/A,#N/A,FALSE,"Work performed";#N/A,#N/A,FALSE,"Resources"}</definedName>
    <definedName name="wrn.Tax._.Accrual." localSheetId="26" hidden="1">{#N/A,#N/A,TRUE,"TAXPROV";#N/A,#N/A,TRUE,"FLOWTHRU";#N/A,#N/A,TRUE,"SCHEDULE M'S";#N/A,#N/A,TRUE,"PLANT M'S";#N/A,#N/A,TRUE,"TAXJE"}</definedName>
    <definedName name="wrn.Tax._.Accrual." localSheetId="28" hidden="1">{#N/A,#N/A,TRUE,"TAXPROV";#N/A,#N/A,TRUE,"FLOWTHRU";#N/A,#N/A,TRUE,"SCHEDULE M'S";#N/A,#N/A,TRUE,"PLANT M'S";#N/A,#N/A,TRUE,"TAXJE"}</definedName>
    <definedName name="wrn.Tax._.Accrual." localSheetId="33" hidden="1">{#N/A,#N/A,TRUE,"TAXPROV";#N/A,#N/A,TRUE,"FLOWTHRU";#N/A,#N/A,TRUE,"SCHEDULE M'S";#N/A,#N/A,TRUE,"PLANT M'S";#N/A,#N/A,TRUE,"TAXJE"}</definedName>
    <definedName name="wrn.Tax._.Accrual." localSheetId="35" hidden="1">{#N/A,#N/A,TRUE,"TAXPROV";#N/A,#N/A,TRUE,"FLOWTHRU";#N/A,#N/A,TRUE,"SCHEDULE M'S";#N/A,#N/A,TRUE,"PLANT M'S";#N/A,#N/A,TRUE,"TAXJE"}</definedName>
    <definedName name="wrn.Tax._.Accrual." localSheetId="45" hidden="1">{#N/A,#N/A,TRUE,"TAXPROV";#N/A,#N/A,TRUE,"FLOWTHRU";#N/A,#N/A,TRUE,"SCHEDULE M'S";#N/A,#N/A,TRUE,"PLANT M'S";#N/A,#N/A,TRUE,"TAXJE"}</definedName>
    <definedName name="wrn.Tax._.Accrual." localSheetId="13" hidden="1">{#N/A,#N/A,TRUE,"TAXPROV";#N/A,#N/A,TRUE,"FLOWTHRU";#N/A,#N/A,TRUE,"SCHEDULE M'S";#N/A,#N/A,TRUE,"PLANT M'S";#N/A,#N/A,TRUE,"TAXJE"}</definedName>
    <definedName name="wrn.Tax._.Accrual." hidden="1">{#N/A,#N/A,TRUE,"TAXPROV";#N/A,#N/A,TRUE,"FLOWTHRU";#N/A,#N/A,TRUE,"SCHEDULE M'S";#N/A,#N/A,TRUE,"PLANT M'S";#N/A,#N/A,TRUE,"TAXJE"}</definedName>
    <definedName name="wrn.YearEnd." localSheetId="26" hidden="1">{"Factors Pages 1-2",#N/A,FALSE,"Variables";"Factors Page 3",#N/A,FALSE,"Variables";"Factors Page 4",#N/A,FALSE,"Variables";"Factors Page 5",#N/A,FALSE,"Variables";"YE Pages 7-26",#N/A,FALSE,"Variables"}</definedName>
    <definedName name="wrn.YearEnd." localSheetId="28" hidden="1">{"Factors Pages 1-2",#N/A,FALSE,"Variables";"Factors Page 3",#N/A,FALSE,"Variables";"Factors Page 4",#N/A,FALSE,"Variables";"Factors Page 5",#N/A,FALSE,"Variables";"YE Pages 7-26",#N/A,FALSE,"Variables"}</definedName>
    <definedName name="wrn.YearEnd." localSheetId="33" hidden="1">{"Factors Pages 1-2",#N/A,FALSE,"Variables";"Factors Page 3",#N/A,FALSE,"Variables";"Factors Page 4",#N/A,FALSE,"Variables";"Factors Page 5",#N/A,FALSE,"Variables";"YE Pages 7-26",#N/A,FALSE,"Variables"}</definedName>
    <definedName name="wrn.YearEnd." localSheetId="35" hidden="1">{"Factors Pages 1-2",#N/A,FALSE,"Variables";"Factors Page 3",#N/A,FALSE,"Variables";"Factors Page 4",#N/A,FALSE,"Variables";"Factors Page 5",#N/A,FALSE,"Variables";"YE Pages 7-26",#N/A,FALSE,"Variables"}</definedName>
    <definedName name="wrn.YearEnd." localSheetId="45"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S">'[25]Actual Gross Rev'!$L$207</definedName>
    <definedName name="WSA">'[26]ATRR Act'!$G$168</definedName>
    <definedName name="x" localSheetId="26" hidden="1">{#N/A,#N/A,FALSE,"CTC Summary - EOY";#N/A,#N/A,FALSE,"CTC Summary - Wtavg"}</definedName>
    <definedName name="x" localSheetId="28" hidden="1">{#N/A,#N/A,FALSE,"CTC Summary - EOY";#N/A,#N/A,FALSE,"CTC Summary - Wtavg"}</definedName>
    <definedName name="x" localSheetId="30" hidden="1">{#N/A,#N/A,FALSE,"CTC Summary - EOY";#N/A,#N/A,FALSE,"CTC Summary - Wtavg"}</definedName>
    <definedName name="x" localSheetId="31" hidden="1">{#N/A,#N/A,FALSE,"CTC Summary - EOY";#N/A,#N/A,FALSE,"CTC Summary - Wtavg"}</definedName>
    <definedName name="x" localSheetId="33" hidden="1">{#N/A,#N/A,FALSE,"CTC Summary - EOY";#N/A,#N/A,FALSE,"CTC Summary - Wtavg"}</definedName>
    <definedName name="x" localSheetId="34" hidden="1">{#N/A,#N/A,FALSE,"CTC Summary - EOY";#N/A,#N/A,FALSE,"CTC Summary - Wtavg"}</definedName>
    <definedName name="x" localSheetId="35" hidden="1">{#N/A,#N/A,FALSE,"CTC Summary - EOY";#N/A,#N/A,FALSE,"CTC Summary - Wtavg"}</definedName>
    <definedName name="x" localSheetId="36" hidden="1">{#N/A,#N/A,FALSE,"CTC Summary - EOY";#N/A,#N/A,FALSE,"CTC Summary - Wtavg"}</definedName>
    <definedName name="x" localSheetId="45" hidden="1">{#N/A,#N/A,FALSE,"CTC Summary - EOY";#N/A,#N/A,FALSE,"CTC Summary - Wtavg"}</definedName>
    <definedName name="x" localSheetId="12" hidden="1">{#N/A,#N/A,FALSE,"CTC Summary - EOY";#N/A,#N/A,FALSE,"CTC Summary - Wtavg"}</definedName>
    <definedName name="x" localSheetId="13" hidden="1">{#N/A,#N/A,FALSE,"CTC Summary - EOY";#N/A,#N/A,FALSE,"CTC Summary - Wtavg"}</definedName>
    <definedName name="x" hidden="1">{#N/A,#N/A,FALSE,"CTC Summary - EOY";#N/A,#N/A,FALSE,"CTC Summary - Wtavg"}</definedName>
    <definedName name="xa" localSheetId="26">{"'Metretek HTML'!$A$7:$W$42"}</definedName>
    <definedName name="xa" localSheetId="28">{"'Metretek HTML'!$A$7:$W$42"}</definedName>
    <definedName name="xa" localSheetId="33">{"'Metretek HTML'!$A$7:$W$42"}</definedName>
    <definedName name="xa" localSheetId="35">{"'Metretek HTML'!$A$7:$W$42"}</definedName>
    <definedName name="xa" localSheetId="45">{"'Metretek HTML'!$A$7:$W$42"}</definedName>
    <definedName name="xa" localSheetId="13">{"'Metretek HTML'!$A$7:$W$42"}</definedName>
    <definedName name="xa">{"'Metretek HTML'!$A$7:$W$42"}</definedName>
    <definedName name="xb" localSheetId="26"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3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3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3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3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36"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4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1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1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c" localSheetId="26"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3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3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3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3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36"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4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1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1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el">'[82]Data Entry and Forecaster'!#REF!</definedName>
    <definedName name="Xcel_COS" localSheetId="26">#REF!</definedName>
    <definedName name="Xcel_COS" localSheetId="28">#REF!</definedName>
    <definedName name="Xcel_COS" localSheetId="33">#REF!</definedName>
    <definedName name="Xcel_COS" localSheetId="35">#REF!</definedName>
    <definedName name="Xcel_COS" localSheetId="45">#REF!</definedName>
    <definedName name="Xcel_COS" localSheetId="13">#REF!</definedName>
    <definedName name="Xcel_COS">#REF!</definedName>
    <definedName name="xd" localSheetId="26"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28"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30"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3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33"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34"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35"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36"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45"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1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13"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26"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28"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30"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3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33"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34"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35"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36"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45"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1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13"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f" localSheetId="26"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28"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30"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3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33"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34"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35"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36"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45"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12"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13"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g" localSheetId="26"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28"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30"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3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33"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34"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35"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36"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45"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12"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13"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h" localSheetId="26"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30"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3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33"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34"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36"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4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1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13"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i" localSheetId="2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28"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30"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3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33"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34"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3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3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4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1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13"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j" localSheetId="26"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28"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3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3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33"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34"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3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36"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4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1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13"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k" localSheetId="26" hidden="1">{#N/A,#N/A,FALSE,"Res - Unadj";#N/A,#N/A,FALSE,"Small L&amp;P";#N/A,#N/A,FALSE,"Medium L&amp;P";#N/A,#N/A,FALSE,"E-19";#N/A,#N/A,FALSE,"E-20";#N/A,#N/A,FALSE,"A-RTP";#N/A,#N/A,FALSE,"Strtlts &amp; Standby";#N/A,#N/A,FALSE,"AG";#N/A,#N/A,FALSE,"2001mixeduse"}</definedName>
    <definedName name="xk" localSheetId="28" hidden="1">{#N/A,#N/A,FALSE,"Res - Unadj";#N/A,#N/A,FALSE,"Small L&amp;P";#N/A,#N/A,FALSE,"Medium L&amp;P";#N/A,#N/A,FALSE,"E-19";#N/A,#N/A,FALSE,"E-20";#N/A,#N/A,FALSE,"A-RTP";#N/A,#N/A,FALSE,"Strtlts &amp; Standby";#N/A,#N/A,FALSE,"AG";#N/A,#N/A,FALSE,"2001mixeduse"}</definedName>
    <definedName name="xk" localSheetId="30" hidden="1">{#N/A,#N/A,FALSE,"Res - Unadj";#N/A,#N/A,FALSE,"Small L&amp;P";#N/A,#N/A,FALSE,"Medium L&amp;P";#N/A,#N/A,FALSE,"E-19";#N/A,#N/A,FALSE,"E-20";#N/A,#N/A,FALSE,"A-RTP";#N/A,#N/A,FALSE,"Strtlts &amp; Standby";#N/A,#N/A,FALSE,"AG";#N/A,#N/A,FALSE,"2001mixeduse"}</definedName>
    <definedName name="xk" localSheetId="31" hidden="1">{#N/A,#N/A,FALSE,"Res - Unadj";#N/A,#N/A,FALSE,"Small L&amp;P";#N/A,#N/A,FALSE,"Medium L&amp;P";#N/A,#N/A,FALSE,"E-19";#N/A,#N/A,FALSE,"E-20";#N/A,#N/A,FALSE,"A-RTP";#N/A,#N/A,FALSE,"Strtlts &amp; Standby";#N/A,#N/A,FALSE,"AG";#N/A,#N/A,FALSE,"2001mixeduse"}</definedName>
    <definedName name="xk" localSheetId="33" hidden="1">{#N/A,#N/A,FALSE,"Res - Unadj";#N/A,#N/A,FALSE,"Small L&amp;P";#N/A,#N/A,FALSE,"Medium L&amp;P";#N/A,#N/A,FALSE,"E-19";#N/A,#N/A,FALSE,"E-20";#N/A,#N/A,FALSE,"A-RTP";#N/A,#N/A,FALSE,"Strtlts &amp; Standby";#N/A,#N/A,FALSE,"AG";#N/A,#N/A,FALSE,"2001mixeduse"}</definedName>
    <definedName name="xk" localSheetId="34" hidden="1">{#N/A,#N/A,FALSE,"Res - Unadj";#N/A,#N/A,FALSE,"Small L&amp;P";#N/A,#N/A,FALSE,"Medium L&amp;P";#N/A,#N/A,FALSE,"E-19";#N/A,#N/A,FALSE,"E-20";#N/A,#N/A,FALSE,"A-RTP";#N/A,#N/A,FALSE,"Strtlts &amp; Standby";#N/A,#N/A,FALSE,"AG";#N/A,#N/A,FALSE,"2001mixeduse"}</definedName>
    <definedName name="xk" localSheetId="35" hidden="1">{#N/A,#N/A,FALSE,"Res - Unadj";#N/A,#N/A,FALSE,"Small L&amp;P";#N/A,#N/A,FALSE,"Medium L&amp;P";#N/A,#N/A,FALSE,"E-19";#N/A,#N/A,FALSE,"E-20";#N/A,#N/A,FALSE,"A-RTP";#N/A,#N/A,FALSE,"Strtlts &amp; Standby";#N/A,#N/A,FALSE,"AG";#N/A,#N/A,FALSE,"2001mixeduse"}</definedName>
    <definedName name="xk" localSheetId="36" hidden="1">{#N/A,#N/A,FALSE,"Res - Unadj";#N/A,#N/A,FALSE,"Small L&amp;P";#N/A,#N/A,FALSE,"Medium L&amp;P";#N/A,#N/A,FALSE,"E-19";#N/A,#N/A,FALSE,"E-20";#N/A,#N/A,FALSE,"A-RTP";#N/A,#N/A,FALSE,"Strtlts &amp; Standby";#N/A,#N/A,FALSE,"AG";#N/A,#N/A,FALSE,"2001mixeduse"}</definedName>
    <definedName name="xk" localSheetId="45" hidden="1">{#N/A,#N/A,FALSE,"Res - Unadj";#N/A,#N/A,FALSE,"Small L&amp;P";#N/A,#N/A,FALSE,"Medium L&amp;P";#N/A,#N/A,FALSE,"E-19";#N/A,#N/A,FALSE,"E-20";#N/A,#N/A,FALSE,"A-RTP";#N/A,#N/A,FALSE,"Strtlts &amp; Standby";#N/A,#N/A,FALSE,"AG";#N/A,#N/A,FALSE,"2001mixeduse"}</definedName>
    <definedName name="xk" localSheetId="12" hidden="1">{#N/A,#N/A,FALSE,"Res - Unadj";#N/A,#N/A,FALSE,"Small L&amp;P";#N/A,#N/A,FALSE,"Medium L&amp;P";#N/A,#N/A,FALSE,"E-19";#N/A,#N/A,FALSE,"E-20";#N/A,#N/A,FALSE,"A-RTP";#N/A,#N/A,FALSE,"Strtlts &amp; Standby";#N/A,#N/A,FALSE,"AG";#N/A,#N/A,FALSE,"2001mixeduse"}</definedName>
    <definedName name="xk" localSheetId="13" hidden="1">{#N/A,#N/A,FALSE,"Res - Unadj";#N/A,#N/A,FALSE,"Small L&amp;P";#N/A,#N/A,FALSE,"Medium L&amp;P";#N/A,#N/A,FALSE,"E-19";#N/A,#N/A,FALSE,"E-20";#N/A,#N/A,FALSE,"A-RTP";#N/A,#N/A,FALSE,"Strtlts &amp; Standby";#N/A,#N/A,FALSE,"AG";#N/A,#N/A,FALSE,"2001mixeduse"}</definedName>
    <definedName name="xk" hidden="1">{#N/A,#N/A,FALSE,"Res - Unadj";#N/A,#N/A,FALSE,"Small L&amp;P";#N/A,#N/A,FALSE,"Medium L&amp;P";#N/A,#N/A,FALSE,"E-19";#N/A,#N/A,FALSE,"E-20";#N/A,#N/A,FALSE,"A-RTP";#N/A,#N/A,FALSE,"Strtlts &amp; Standby";#N/A,#N/A,FALSE,"AG";#N/A,#N/A,FALSE,"2001mixeduse"}</definedName>
    <definedName name="xl" localSheetId="26" hidden="1">{"Summary","1",FALSE,"Summary"}</definedName>
    <definedName name="xl" localSheetId="28" hidden="1">{"Summary","1",FALSE,"Summary"}</definedName>
    <definedName name="xl" localSheetId="30" hidden="1">{"Summary","1",FALSE,"Summary"}</definedName>
    <definedName name="xl" localSheetId="31" hidden="1">{"Summary","1",FALSE,"Summary"}</definedName>
    <definedName name="xl" localSheetId="33" hidden="1">{"Summary","1",FALSE,"Summary"}</definedName>
    <definedName name="xl" localSheetId="34" hidden="1">{"Summary","1",FALSE,"Summary"}</definedName>
    <definedName name="xl" localSheetId="35" hidden="1">{"Summary","1",FALSE,"Summary"}</definedName>
    <definedName name="xl" localSheetId="36" hidden="1">{"Summary","1",FALSE,"Summary"}</definedName>
    <definedName name="xl" localSheetId="45" hidden="1">{"Summary","1",FALSE,"Summary"}</definedName>
    <definedName name="xl" localSheetId="12" hidden="1">{"Summary","1",FALSE,"Summary"}</definedName>
    <definedName name="xl" localSheetId="13" hidden="1">{"Summary","1",FALSE,"Summary"}</definedName>
    <definedName name="xl" hidden="1">{"Summary","1",FALSE,"Summary"}</definedName>
    <definedName name="xls" localSheetId="26">{"'Metretek HTML'!$A$7:$W$42"}</definedName>
    <definedName name="xls" localSheetId="28">{"'Metretek HTML'!$A$7:$W$42"}</definedName>
    <definedName name="xls" localSheetId="33">{"'Metretek HTML'!$A$7:$W$42"}</definedName>
    <definedName name="xls" localSheetId="35">{"'Metretek HTML'!$A$7:$W$42"}</definedName>
    <definedName name="xls" localSheetId="45">{"'Metretek HTML'!$A$7:$W$42"}</definedName>
    <definedName name="xls" localSheetId="13">{"'Metretek HTML'!$A$7:$W$42"}</definedName>
    <definedName name="xls">{"'Metretek HTML'!$A$7:$W$42"}</definedName>
    <definedName name="xm" localSheetId="26"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3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3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3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3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36"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4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1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1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O" localSheetId="26">{"'Metretek HTML'!$A$7:$W$42"}</definedName>
    <definedName name="XO" localSheetId="28">{"'Metretek HTML'!$A$7:$W$42"}</definedName>
    <definedName name="XO" localSheetId="33">{"'Metretek HTML'!$A$7:$W$42"}</definedName>
    <definedName name="XO" localSheetId="35">{"'Metretek HTML'!$A$7:$W$42"}</definedName>
    <definedName name="XO" localSheetId="45">{"'Metretek HTML'!$A$7:$W$42"}</definedName>
    <definedName name="XO" localSheetId="13">{"'Metretek HTML'!$A$7:$W$42"}</definedName>
    <definedName name="XO">{"'Metretek HTML'!$A$7:$W$42"}</definedName>
    <definedName name="xs" localSheetId="26">{"'Metretek HTML'!$A$7:$W$42"}</definedName>
    <definedName name="xs" localSheetId="28">{"'Metretek HTML'!$A$7:$W$42"}</definedName>
    <definedName name="xs" localSheetId="33">{"'Metretek HTML'!$A$7:$W$42"}</definedName>
    <definedName name="xs" localSheetId="35">{"'Metretek HTML'!$A$7:$W$42"}</definedName>
    <definedName name="xs" localSheetId="45">{"'Metretek HTML'!$A$7:$W$42"}</definedName>
    <definedName name="xs" localSheetId="13">{"'Metretek HTML'!$A$7:$W$42"}</definedName>
    <definedName name="xs">{"'Metretek HTML'!$A$7:$W$42"}</definedName>
    <definedName name="xx" localSheetId="26" hidden="1">{#N/A,#N/A,FALSE,"EMPPAY"}</definedName>
    <definedName name="xx" localSheetId="28" hidden="1">{#N/A,#N/A,FALSE,"EMPPAY"}</definedName>
    <definedName name="xx" localSheetId="33" hidden="1">{#N/A,#N/A,FALSE,"EMPPAY"}</definedName>
    <definedName name="xx" localSheetId="35" hidden="1">{#N/A,#N/A,FALSE,"EMPPAY"}</definedName>
    <definedName name="xx" localSheetId="45" hidden="1">{#N/A,#N/A,FALSE,"EMPPAY"}</definedName>
    <definedName name="xx" localSheetId="13" hidden="1">{#N/A,#N/A,FALSE,"EMPPAY"}</definedName>
    <definedName name="xx" hidden="1">{#N/A,#N/A,FALSE,"EMPPAY"}</definedName>
    <definedName name="xxx" localSheetId="26"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3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3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3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3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36"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4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1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1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x" localSheetId="26" hidden="1">{#N/A,#N/A,FALSE,"O&amp;M by processes";#N/A,#N/A,FALSE,"Elec Act vs Bud";#N/A,#N/A,FALSE,"G&amp;A";#N/A,#N/A,FALSE,"BGS";#N/A,#N/A,FALSE,"Res Cost"}</definedName>
    <definedName name="xxxx" localSheetId="28" hidden="1">{#N/A,#N/A,FALSE,"O&amp;M by processes";#N/A,#N/A,FALSE,"Elec Act vs Bud";#N/A,#N/A,FALSE,"G&amp;A";#N/A,#N/A,FALSE,"BGS";#N/A,#N/A,FALSE,"Res Cost"}</definedName>
    <definedName name="xxxx" localSheetId="33" hidden="1">{#N/A,#N/A,FALSE,"O&amp;M by processes";#N/A,#N/A,FALSE,"Elec Act vs Bud";#N/A,#N/A,FALSE,"G&amp;A";#N/A,#N/A,FALSE,"BGS";#N/A,#N/A,FALSE,"Res Cost"}</definedName>
    <definedName name="xxxx" localSheetId="35" hidden="1">{#N/A,#N/A,FALSE,"O&amp;M by processes";#N/A,#N/A,FALSE,"Elec Act vs Bud";#N/A,#N/A,FALSE,"G&amp;A";#N/A,#N/A,FALSE,"BGS";#N/A,#N/A,FALSE,"Res Cost"}</definedName>
    <definedName name="xxxx" localSheetId="45" hidden="1">{#N/A,#N/A,FALSE,"O&amp;M by processes";#N/A,#N/A,FALSE,"Elec Act vs Bud";#N/A,#N/A,FALSE,"G&amp;A";#N/A,#N/A,FALSE,"BGS";#N/A,#N/A,FALSE,"Res Cost"}</definedName>
    <definedName name="xxxx" localSheetId="13"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26">{"'Metretek HTML'!$A$7:$W$42"}</definedName>
    <definedName name="xxxxxxx" localSheetId="28">{"'Metretek HTML'!$A$7:$W$42"}</definedName>
    <definedName name="xxxxxxx" localSheetId="33">{"'Metretek HTML'!$A$7:$W$42"}</definedName>
    <definedName name="xxxxxxx" localSheetId="35">{"'Metretek HTML'!$A$7:$W$42"}</definedName>
    <definedName name="xxxxxxx" localSheetId="45">{"'Metretek HTML'!$A$7:$W$42"}</definedName>
    <definedName name="xxxxxxx" localSheetId="13">{"'Metretek HTML'!$A$7:$W$42"}</definedName>
    <definedName name="xxxxxxx">{"'Metretek HTML'!$A$7:$W$42"}</definedName>
    <definedName name="XXXXXXXXXXXXXX" localSheetId="26">{"'Metretek HTML'!$A$7:$W$42"}</definedName>
    <definedName name="XXXXXXXXXXXXXX" localSheetId="28">{"'Metretek HTML'!$A$7:$W$42"}</definedName>
    <definedName name="XXXXXXXXXXXXXX" localSheetId="33">{"'Metretek HTML'!$A$7:$W$42"}</definedName>
    <definedName name="XXXXXXXXXXXXXX" localSheetId="35">{"'Metretek HTML'!$A$7:$W$42"}</definedName>
    <definedName name="XXXXXXXXXXXXXX" localSheetId="45">{"'Metretek HTML'!$A$7:$W$42"}</definedName>
    <definedName name="XXXXXXXXXXXXXX" localSheetId="13">{"'Metretek HTML'!$A$7:$W$42"}</definedName>
    <definedName name="XXXXXXXXXXXXXX">{"'Metretek HTML'!$A$7:$W$42"}</definedName>
    <definedName name="xy" localSheetId="26">{"'Metretek HTML'!$A$7:$W$42"}</definedName>
    <definedName name="xy" localSheetId="28">{"'Metretek HTML'!$A$7:$W$42"}</definedName>
    <definedName name="xy" localSheetId="33">{"'Metretek HTML'!$A$7:$W$42"}</definedName>
    <definedName name="xy" localSheetId="35">{"'Metretek HTML'!$A$7:$W$42"}</definedName>
    <definedName name="xy" localSheetId="45">{"'Metretek HTML'!$A$7:$W$42"}</definedName>
    <definedName name="xy" localSheetId="13">{"'Metretek HTML'!$A$7:$W$42"}</definedName>
    <definedName name="xy">{"'Metretek HTML'!$A$7:$W$42"}</definedName>
    <definedName name="XZ" localSheetId="26">{"'Metretek HTML'!$A$7:$W$42"}</definedName>
    <definedName name="XZ" localSheetId="28">{"'Metretek HTML'!$A$7:$W$42"}</definedName>
    <definedName name="XZ" localSheetId="33">{"'Metretek HTML'!$A$7:$W$42"}</definedName>
    <definedName name="XZ" localSheetId="35">{"'Metretek HTML'!$A$7:$W$42"}</definedName>
    <definedName name="XZ" localSheetId="45">{"'Metretek HTML'!$A$7:$W$42"}</definedName>
    <definedName name="XZ" localSheetId="13">{"'Metretek HTML'!$A$7:$W$42"}</definedName>
    <definedName name="XZ">{"'Metretek HTML'!$A$7:$W$42"}</definedName>
    <definedName name="y" localSheetId="26" hidden="1">{#N/A,#N/A,FALSE,"Monthly SAIFI";#N/A,#N/A,FALSE,"Yearly SAIFI";#N/A,#N/A,FALSE,"Monthly CAIDI";#N/A,#N/A,FALSE,"Yearly CAIDI";#N/A,#N/A,FALSE,"Monthly SAIDI";#N/A,#N/A,FALSE,"Yearly SAIDI";#N/A,#N/A,FALSE,"Monthly MAIFI";#N/A,#N/A,FALSE,"Yearly MAIFI";#N/A,#N/A,FALSE,"Monthly Cust &gt;=4 Int"}</definedName>
    <definedName name="y" localSheetId="28" hidden="1">{#N/A,#N/A,FALSE,"Monthly SAIFI";#N/A,#N/A,FALSE,"Yearly SAIFI";#N/A,#N/A,FALSE,"Monthly CAIDI";#N/A,#N/A,FALSE,"Yearly CAIDI";#N/A,#N/A,FALSE,"Monthly SAIDI";#N/A,#N/A,FALSE,"Yearly SAIDI";#N/A,#N/A,FALSE,"Monthly MAIFI";#N/A,#N/A,FALSE,"Yearly MAIFI";#N/A,#N/A,FALSE,"Monthly Cust &gt;=4 Int"}</definedName>
    <definedName name="y" localSheetId="33" hidden="1">{#N/A,#N/A,FALSE,"Monthly SAIFI";#N/A,#N/A,FALSE,"Yearly SAIFI";#N/A,#N/A,FALSE,"Monthly CAIDI";#N/A,#N/A,FALSE,"Yearly CAIDI";#N/A,#N/A,FALSE,"Monthly SAIDI";#N/A,#N/A,FALSE,"Yearly SAIDI";#N/A,#N/A,FALSE,"Monthly MAIFI";#N/A,#N/A,FALSE,"Yearly MAIFI";#N/A,#N/A,FALSE,"Monthly Cust &gt;=4 Int"}</definedName>
    <definedName name="y" localSheetId="35" hidden="1">{#N/A,#N/A,FALSE,"Monthly SAIFI";#N/A,#N/A,FALSE,"Yearly SAIFI";#N/A,#N/A,FALSE,"Monthly CAIDI";#N/A,#N/A,FALSE,"Yearly CAIDI";#N/A,#N/A,FALSE,"Monthly SAIDI";#N/A,#N/A,FALSE,"Yearly SAIDI";#N/A,#N/A,FALSE,"Monthly MAIFI";#N/A,#N/A,FALSE,"Yearly MAIFI";#N/A,#N/A,FALSE,"Monthly Cust &gt;=4 Int"}</definedName>
    <definedName name="y" localSheetId="45" hidden="1">{#N/A,#N/A,FALSE,"Monthly SAIFI";#N/A,#N/A,FALSE,"Yearly SAIFI";#N/A,#N/A,FALSE,"Monthly CAIDI";#N/A,#N/A,FALSE,"Yearly CAIDI";#N/A,#N/A,FALSE,"Monthly SAIDI";#N/A,#N/A,FALSE,"Yearly SAIDI";#N/A,#N/A,FALSE,"Monthly MAIFI";#N/A,#N/A,FALSE,"Yearly MAIFI";#N/A,#N/A,FALSE,"Monthly Cust &gt;=4 Int"}</definedName>
    <definedName name="y" localSheetId="13"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EAR1">[83]INPUTS!$C$17</definedName>
    <definedName name="yeartodate">[84]RPT80MAR!$A$84:$D$158</definedName>
    <definedName name="yrtm1">[2]Print!$I$31</definedName>
    <definedName name="yrtm2">[2]Print!$G$31</definedName>
    <definedName name="yrtm3">[2]Print!$E$31</definedName>
    <definedName name="yrtm4">[2]Print!$C$31</definedName>
    <definedName name="yryryrr" localSheetId="26" hidden="1">{#N/A,#N/A,FALSE,"Monthly SAIFI";#N/A,#N/A,FALSE,"Yearly SAIFI";#N/A,#N/A,FALSE,"Monthly CAIDI";#N/A,#N/A,FALSE,"Yearly CAIDI";#N/A,#N/A,FALSE,"Monthly SAIDI";#N/A,#N/A,FALSE,"Yearly SAIDI";#N/A,#N/A,FALSE,"Monthly MAIFI";#N/A,#N/A,FALSE,"Yearly MAIFI";#N/A,#N/A,FALSE,"Monthly Cust &gt;=4 Int"}</definedName>
    <definedName name="yryryrr" localSheetId="28" hidden="1">{#N/A,#N/A,FALSE,"Monthly SAIFI";#N/A,#N/A,FALSE,"Yearly SAIFI";#N/A,#N/A,FALSE,"Monthly CAIDI";#N/A,#N/A,FALSE,"Yearly CAIDI";#N/A,#N/A,FALSE,"Monthly SAIDI";#N/A,#N/A,FALSE,"Yearly SAIDI";#N/A,#N/A,FALSE,"Monthly MAIFI";#N/A,#N/A,FALSE,"Yearly MAIFI";#N/A,#N/A,FALSE,"Monthly Cust &gt;=4 Int"}</definedName>
    <definedName name="yryryrr" localSheetId="33" hidden="1">{#N/A,#N/A,FALSE,"Monthly SAIFI";#N/A,#N/A,FALSE,"Yearly SAIFI";#N/A,#N/A,FALSE,"Monthly CAIDI";#N/A,#N/A,FALSE,"Yearly CAIDI";#N/A,#N/A,FALSE,"Monthly SAIDI";#N/A,#N/A,FALSE,"Yearly SAIDI";#N/A,#N/A,FALSE,"Monthly MAIFI";#N/A,#N/A,FALSE,"Yearly MAIFI";#N/A,#N/A,FALSE,"Monthly Cust &gt;=4 Int"}</definedName>
    <definedName name="yryryrr" localSheetId="35" hidden="1">{#N/A,#N/A,FALSE,"Monthly SAIFI";#N/A,#N/A,FALSE,"Yearly SAIFI";#N/A,#N/A,FALSE,"Monthly CAIDI";#N/A,#N/A,FALSE,"Yearly CAIDI";#N/A,#N/A,FALSE,"Monthly SAIDI";#N/A,#N/A,FALSE,"Yearly SAIDI";#N/A,#N/A,FALSE,"Monthly MAIFI";#N/A,#N/A,FALSE,"Yearly MAIFI";#N/A,#N/A,FALSE,"Monthly Cust &gt;=4 Int"}</definedName>
    <definedName name="yryryrr" localSheetId="45" hidden="1">{#N/A,#N/A,FALSE,"Monthly SAIFI";#N/A,#N/A,FALSE,"Yearly SAIFI";#N/A,#N/A,FALSE,"Monthly CAIDI";#N/A,#N/A,FALSE,"Yearly CAIDI";#N/A,#N/A,FALSE,"Monthly SAIDI";#N/A,#N/A,FALSE,"Yearly SAIDI";#N/A,#N/A,FALSE,"Monthly MAIFI";#N/A,#N/A,FALSE,"Yearly MAIFI";#N/A,#N/A,FALSE,"Monthly Cust &gt;=4 Int"}</definedName>
    <definedName name="yryryrr" localSheetId="13"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y" localSheetId="26">{"'Metretek HTML'!$A$7:$W$42"}</definedName>
    <definedName name="yy" localSheetId="28">{"'Metretek HTML'!$A$7:$W$42"}</definedName>
    <definedName name="yy" localSheetId="33">{"'Metretek HTML'!$A$7:$W$42"}</definedName>
    <definedName name="yy" localSheetId="35">{"'Metretek HTML'!$A$7:$W$42"}</definedName>
    <definedName name="yy" localSheetId="45">{"'Metretek HTML'!$A$7:$W$42"}</definedName>
    <definedName name="yy" localSheetId="13">{"'Metretek HTML'!$A$7:$W$42"}</definedName>
    <definedName name="yy">{"'Metretek HTML'!$A$7:$W$42"}</definedName>
    <definedName name="z" localSheetId="26" hidden="1">{#N/A,#N/A,FALSE,"Monthly SAIFI";#N/A,#N/A,FALSE,"Yearly SAIFI";#N/A,#N/A,FALSE,"Monthly CAIDI";#N/A,#N/A,FALSE,"Yearly CAIDI";#N/A,#N/A,FALSE,"Monthly SAIDI";#N/A,#N/A,FALSE,"Yearly SAIDI";#N/A,#N/A,FALSE,"Monthly MAIFI";#N/A,#N/A,FALSE,"Yearly MAIFI";#N/A,#N/A,FALSE,"Monthly Cust &gt;=4 Int"}</definedName>
    <definedName name="z" localSheetId="28" hidden="1">{#N/A,#N/A,FALSE,"Monthly SAIFI";#N/A,#N/A,FALSE,"Yearly SAIFI";#N/A,#N/A,FALSE,"Monthly CAIDI";#N/A,#N/A,FALSE,"Yearly CAIDI";#N/A,#N/A,FALSE,"Monthly SAIDI";#N/A,#N/A,FALSE,"Yearly SAIDI";#N/A,#N/A,FALSE,"Monthly MAIFI";#N/A,#N/A,FALSE,"Yearly MAIFI";#N/A,#N/A,FALSE,"Monthly Cust &gt;=4 Int"}</definedName>
    <definedName name="z" localSheetId="33" hidden="1">{#N/A,#N/A,FALSE,"Monthly SAIFI";#N/A,#N/A,FALSE,"Yearly SAIFI";#N/A,#N/A,FALSE,"Monthly CAIDI";#N/A,#N/A,FALSE,"Yearly CAIDI";#N/A,#N/A,FALSE,"Monthly SAIDI";#N/A,#N/A,FALSE,"Yearly SAIDI";#N/A,#N/A,FALSE,"Monthly MAIFI";#N/A,#N/A,FALSE,"Yearly MAIFI";#N/A,#N/A,FALSE,"Monthly Cust &gt;=4 Int"}</definedName>
    <definedName name="z" localSheetId="35" hidden="1">{#N/A,#N/A,FALSE,"Monthly SAIFI";#N/A,#N/A,FALSE,"Yearly SAIFI";#N/A,#N/A,FALSE,"Monthly CAIDI";#N/A,#N/A,FALSE,"Yearly CAIDI";#N/A,#N/A,FALSE,"Monthly SAIDI";#N/A,#N/A,FALSE,"Yearly SAIDI";#N/A,#N/A,FALSE,"Monthly MAIFI";#N/A,#N/A,FALSE,"Yearly MAIFI";#N/A,#N/A,FALSE,"Monthly Cust &gt;=4 Int"}</definedName>
    <definedName name="z" localSheetId="45" hidden="1">{#N/A,#N/A,FALSE,"Monthly SAIFI";#N/A,#N/A,FALSE,"Yearly SAIFI";#N/A,#N/A,FALSE,"Monthly CAIDI";#N/A,#N/A,FALSE,"Yearly CAIDI";#N/A,#N/A,FALSE,"Monthly SAIDI";#N/A,#N/A,FALSE,"Yearly SAIDI";#N/A,#N/A,FALSE,"Monthly MAIFI";#N/A,#N/A,FALSE,"Yearly MAIFI";#N/A,#N/A,FALSE,"Monthly Cust &gt;=4 Int"}</definedName>
    <definedName name="z" localSheetId="13"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ero">0</definedName>
    <definedName name="Zone_Inputs">'[55]Attachment O'!$I$19,'[55]Attachment O'!$I$24,'[55]Attachment O'!$D$36:$D$37,'[55]Attachment O'!$D$82:$D$86,'[55]Attachment O'!$D$90:$D$94,'[55]Attachment O'!$D$106:$D$112,'[55]Attachment O'!$D$116,'[55]Attachment O'!$D$120:$D$121,'[55]Attachment O'!$D$139:$D$146,'[55]Attachment O'!$D$150:$D$154,'[55]Attachment O'!$D$159:$D$160,'[55]Attachment O'!$D$162:$D$165,'[55]Attachment O'!$D$174,'[55]Attachment O'!$D$174,'[55]Attachment O'!$D$178,'[55]Attachment O'!$I$188,'[55]Attachment O'!$D$188,'[55]Attachment O'!$D$192,'[55]Attachment O'!$I$192,'[55]Attachment O'!$I$207:$I$208,'[55]Attachment O'!$D$214:$D$217,'[55]Attachment O'!$D$221:$D$223,'[55]Attachment O'!$I$227,'[55]Attachment O'!$I$229,'[55]Attachment O'!$I$232,'[55]Attachment O'!$D$238:$D$239,'[55]Attachment O'!$I$243,'[55]Attachment O'!$I$246:$I$249,'[55]Attachment O'!$D$280:$D$282</definedName>
    <definedName name="zzzzzzzzzzzzzzzzzzzzzzzzzzzzz" localSheetId="26" hidden="1">{"PI_Data",#N/A,TRUE,"P&amp;I Data"}</definedName>
    <definedName name="zzzzzzzzzzzzzzzzzzzzzzzzzzzzz" localSheetId="28" hidden="1">{"PI_Data",#N/A,TRUE,"P&amp;I Data"}</definedName>
    <definedName name="zzzzzzzzzzzzzzzzzzzzzzzzzzzzz" localSheetId="30" hidden="1">{"PI_Data",#N/A,TRUE,"P&amp;I Data"}</definedName>
    <definedName name="zzzzzzzzzzzzzzzzzzzzzzzzzzzzz" localSheetId="31" hidden="1">{"PI_Data",#N/A,TRUE,"P&amp;I Data"}</definedName>
    <definedName name="zzzzzzzzzzzzzzzzzzzzzzzzzzzzz" localSheetId="33" hidden="1">{"PI_Data",#N/A,TRUE,"P&amp;I Data"}</definedName>
    <definedName name="zzzzzzzzzzzzzzzzzzzzzzzzzzzzz" localSheetId="34" hidden="1">{"PI_Data",#N/A,TRUE,"P&amp;I Data"}</definedName>
    <definedName name="zzzzzzzzzzzzzzzzzzzzzzzzzzzzz" localSheetId="35" hidden="1">{"PI_Data",#N/A,TRUE,"P&amp;I Data"}</definedName>
    <definedName name="zzzzzzzzzzzzzzzzzzzzzzzzzzzzz" localSheetId="36" hidden="1">{"PI_Data",#N/A,TRUE,"P&amp;I Data"}</definedName>
    <definedName name="zzzzzzzzzzzzzzzzzzzzzzzzzzzzz" localSheetId="45" hidden="1">{"PI_Data",#N/A,TRUE,"P&amp;I Data"}</definedName>
    <definedName name="zzzzzzzzzzzzzzzzzzzzzzzzzzzzz" localSheetId="12" hidden="1">{"PI_Data",#N/A,TRUE,"P&amp;I Data"}</definedName>
    <definedName name="zzzzzzzzzzzzzzzzzzzzzzzzzzzzz" localSheetId="13" hidden="1">{"PI_Data",#N/A,TRUE,"P&amp;I Data"}</definedName>
    <definedName name="zzzzzzzzzzzzzzzzzzzzzzzzzzzzz" hidden="1">{"PI_Data",#N/A,TRUE,"P&amp;I Data"}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8" i="1" l="1"/>
  <c r="R4" i="1"/>
  <c r="Q4" i="1"/>
  <c r="R117" i="1"/>
  <c r="Q117" i="1"/>
  <c r="P117" i="1"/>
  <c r="O117" i="1"/>
  <c r="R116" i="1"/>
  <c r="Q116" i="1"/>
  <c r="P116" i="1"/>
  <c r="O116" i="1"/>
  <c r="R112" i="1"/>
  <c r="Q112" i="1"/>
  <c r="P112" i="1"/>
  <c r="O112" i="1"/>
  <c r="R111" i="1"/>
  <c r="Q111" i="1"/>
  <c r="P111" i="1"/>
  <c r="O111" i="1"/>
  <c r="R109" i="1"/>
  <c r="Q109" i="1"/>
  <c r="P109" i="1"/>
  <c r="O109" i="1"/>
  <c r="R107" i="1"/>
  <c r="Q107" i="1"/>
  <c r="P107" i="1"/>
  <c r="O107" i="1"/>
  <c r="R106" i="1"/>
  <c r="Q106" i="1"/>
  <c r="P106" i="1"/>
  <c r="O106" i="1"/>
  <c r="R105" i="1"/>
  <c r="Q105" i="1"/>
  <c r="P105" i="1"/>
  <c r="O105" i="1"/>
  <c r="R104" i="1"/>
  <c r="Q104" i="1"/>
  <c r="P104" i="1"/>
  <c r="O104" i="1"/>
  <c r="R96" i="1"/>
  <c r="Q96" i="1"/>
  <c r="P96" i="1"/>
  <c r="O96" i="1"/>
  <c r="R95" i="1"/>
  <c r="Q95" i="1"/>
  <c r="P95" i="1"/>
  <c r="O95" i="1"/>
  <c r="O86" i="1"/>
  <c r="O81" i="1"/>
  <c r="R78" i="1"/>
  <c r="Q78" i="1"/>
  <c r="P78" i="1"/>
  <c r="O78" i="1"/>
  <c r="R77" i="1"/>
  <c r="Q77" i="1"/>
  <c r="P77" i="1"/>
  <c r="O77" i="1"/>
  <c r="R76" i="1"/>
  <c r="Q76" i="1"/>
  <c r="P76" i="1"/>
  <c r="O76" i="1"/>
  <c r="R72" i="1"/>
  <c r="Q72" i="1"/>
  <c r="P72" i="1"/>
  <c r="O72" i="1"/>
  <c r="R70" i="1"/>
  <c r="Q70" i="1"/>
  <c r="P70" i="1"/>
  <c r="O70" i="1"/>
  <c r="R69" i="1"/>
  <c r="Q69" i="1"/>
  <c r="P69" i="1"/>
  <c r="O69" i="1"/>
  <c r="R67" i="1"/>
  <c r="Q67" i="1"/>
  <c r="P67" i="1"/>
  <c r="O67" i="1"/>
  <c r="R66" i="1"/>
  <c r="Q66" i="1"/>
  <c r="P66" i="1"/>
  <c r="O66" i="1"/>
  <c r="R65" i="1"/>
  <c r="Q65" i="1"/>
  <c r="P65" i="1"/>
  <c r="O65" i="1"/>
  <c r="R64" i="1"/>
  <c r="Q64" i="1"/>
  <c r="P64" i="1"/>
  <c r="O64" i="1"/>
  <c r="R63" i="1"/>
  <c r="Q63" i="1"/>
  <c r="P63" i="1"/>
  <c r="O63" i="1"/>
  <c r="R62" i="1"/>
  <c r="Q62" i="1"/>
  <c r="P62" i="1"/>
  <c r="O62" i="1"/>
  <c r="R59" i="1"/>
  <c r="Q59" i="1"/>
  <c r="P59" i="1"/>
  <c r="O59" i="1"/>
  <c r="R58" i="1"/>
  <c r="Q58" i="1"/>
  <c r="P58" i="1"/>
  <c r="R57" i="1"/>
  <c r="Q57" i="1"/>
  <c r="P57" i="1"/>
  <c r="O57" i="1"/>
  <c r="R50" i="1"/>
  <c r="Q50" i="1"/>
  <c r="P50" i="1"/>
  <c r="O50" i="1"/>
  <c r="R48" i="1"/>
  <c r="Q48" i="1"/>
  <c r="P48" i="1"/>
  <c r="O48" i="1"/>
  <c r="R47" i="1"/>
  <c r="Q47" i="1"/>
  <c r="P47" i="1"/>
  <c r="O47" i="1"/>
  <c r="R46" i="1"/>
  <c r="Q46" i="1"/>
  <c r="P46" i="1"/>
  <c r="O46" i="1"/>
  <c r="R45" i="1"/>
  <c r="Q45" i="1"/>
  <c r="P45" i="1"/>
  <c r="O45" i="1"/>
  <c r="R42" i="1"/>
  <c r="Q42" i="1"/>
  <c r="P42" i="1"/>
  <c r="O42" i="1"/>
  <c r="R40" i="1"/>
  <c r="Q40" i="1"/>
  <c r="P40" i="1"/>
  <c r="O40" i="1"/>
  <c r="R39" i="1"/>
  <c r="Q39" i="1"/>
  <c r="P39" i="1"/>
  <c r="O39" i="1"/>
  <c r="R36" i="1"/>
  <c r="Q36" i="1"/>
  <c r="P36" i="1"/>
  <c r="O36" i="1"/>
  <c r="R35" i="1"/>
  <c r="Q35" i="1"/>
  <c r="P35" i="1"/>
  <c r="O35" i="1"/>
  <c r="R34" i="1"/>
  <c r="Q34" i="1"/>
  <c r="P34" i="1"/>
  <c r="O34" i="1"/>
  <c r="R27" i="1"/>
  <c r="Q27" i="1"/>
  <c r="P27" i="1"/>
  <c r="O27" i="1"/>
  <c r="R26" i="1"/>
  <c r="Q26" i="1"/>
  <c r="P26" i="1"/>
  <c r="O26" i="1"/>
  <c r="R21" i="1"/>
  <c r="Q21" i="1"/>
  <c r="P21" i="1"/>
  <c r="O21" i="1"/>
  <c r="R20" i="1"/>
  <c r="Q20" i="1"/>
  <c r="P20" i="1"/>
  <c r="O20" i="1"/>
  <c r="R19" i="1"/>
  <c r="Q19" i="1"/>
  <c r="P19" i="1"/>
  <c r="O19" i="1"/>
  <c r="R16" i="1"/>
  <c r="Q16" i="1"/>
  <c r="P16" i="1"/>
  <c r="O16" i="1"/>
  <c r="R15" i="1"/>
  <c r="Q15" i="1"/>
  <c r="P15" i="1"/>
  <c r="O15" i="1"/>
  <c r="R14" i="1"/>
  <c r="Q14" i="1"/>
  <c r="P14" i="1"/>
  <c r="O14" i="1"/>
  <c r="R13" i="1"/>
  <c r="Q13" i="1"/>
  <c r="P13" i="1"/>
  <c r="O13" i="1"/>
  <c r="R10" i="1"/>
  <c r="Q10" i="1"/>
  <c r="P10" i="1"/>
  <c r="O10" i="1"/>
  <c r="R9" i="1"/>
  <c r="Q9" i="1"/>
  <c r="P9" i="1"/>
  <c r="O9" i="1"/>
  <c r="R8" i="1"/>
  <c r="Q8" i="1"/>
  <c r="P8" i="1"/>
  <c r="O8" i="1"/>
  <c r="W9" i="47"/>
  <c r="V9" i="47"/>
  <c r="U9" i="47"/>
  <c r="J9" i="47" l="1"/>
  <c r="I9" i="47"/>
  <c r="H9" i="47" l="1"/>
  <c r="W62" i="47" l="1"/>
  <c r="V62" i="47"/>
  <c r="U62" i="47"/>
  <c r="T62" i="47"/>
  <c r="W53" i="47"/>
  <c r="V53" i="47"/>
  <c r="U53" i="47"/>
  <c r="T53" i="47"/>
  <c r="W52" i="47"/>
  <c r="V52" i="47"/>
  <c r="U52" i="47"/>
  <c r="T52" i="47"/>
  <c r="W51" i="47"/>
  <c r="V51" i="47"/>
  <c r="U51" i="47"/>
  <c r="T51" i="47"/>
  <c r="T27" i="47"/>
  <c r="T26" i="47"/>
  <c r="T20" i="47"/>
  <c r="T13" i="47"/>
  <c r="T9" i="47"/>
  <c r="E13" i="141"/>
  <c r="E12" i="141"/>
  <c r="F92" i="141"/>
  <c r="D72" i="141"/>
  <c r="E72" i="141"/>
  <c r="D92" i="141"/>
  <c r="E92" i="141"/>
  <c r="E88" i="141" l="1"/>
  <c r="AD61" i="149" l="1"/>
  <c r="B61" i="149"/>
  <c r="AD60" i="149"/>
  <c r="AD50" i="149"/>
  <c r="D50" i="149"/>
  <c r="E50" i="149" s="1"/>
  <c r="B50" i="149"/>
  <c r="AD49" i="149"/>
  <c r="D45" i="149"/>
  <c r="AD38" i="149"/>
  <c r="D38" i="149"/>
  <c r="E38" i="149" s="1"/>
  <c r="B38" i="149"/>
  <c r="AD37" i="149"/>
  <c r="D33" i="149"/>
  <c r="AD26" i="149"/>
  <c r="B26" i="149"/>
  <c r="AD25" i="149"/>
  <c r="AB15" i="149"/>
  <c r="AA15" i="149"/>
  <c r="Z15" i="149"/>
  <c r="Y15" i="149"/>
  <c r="X15" i="149"/>
  <c r="W15" i="149"/>
  <c r="V15" i="149"/>
  <c r="U15" i="149"/>
  <c r="T15" i="149"/>
  <c r="S15" i="149"/>
  <c r="R15" i="149"/>
  <c r="Q15" i="149"/>
  <c r="P15" i="149"/>
  <c r="O15" i="149"/>
  <c r="N15" i="149"/>
  <c r="M15" i="149"/>
  <c r="L15" i="149"/>
  <c r="K15" i="149"/>
  <c r="J15" i="149"/>
  <c r="I15" i="149"/>
  <c r="H15" i="149"/>
  <c r="G15" i="149"/>
  <c r="F15" i="149"/>
  <c r="C15" i="149"/>
  <c r="AD14" i="149"/>
  <c r="AB14" i="149"/>
  <c r="AA14" i="149"/>
  <c r="Z14" i="149"/>
  <c r="Y14" i="149"/>
  <c r="X14" i="149"/>
  <c r="W14" i="149"/>
  <c r="V14" i="149"/>
  <c r="U14" i="149"/>
  <c r="T14" i="149"/>
  <c r="S14" i="149"/>
  <c r="R14" i="149"/>
  <c r="Q14" i="149"/>
  <c r="P14" i="149"/>
  <c r="O14" i="149"/>
  <c r="N14" i="149"/>
  <c r="M14" i="149"/>
  <c r="L14" i="149"/>
  <c r="K14" i="149"/>
  <c r="J14" i="149"/>
  <c r="I14" i="149"/>
  <c r="H14" i="149"/>
  <c r="G14" i="149"/>
  <c r="F14" i="149"/>
  <c r="C14" i="149"/>
  <c r="A14" i="149"/>
  <c r="A15" i="149" s="1"/>
  <c r="AD15" i="149" s="1"/>
  <c r="AD13" i="149"/>
  <c r="AC13" i="149"/>
  <c r="C13" i="149"/>
  <c r="AD12" i="149"/>
  <c r="AC1" i="149"/>
  <c r="C46" i="90" l="1"/>
  <c r="C47" i="90"/>
  <c r="E34" i="80"/>
  <c r="F55" i="86"/>
  <c r="F53" i="86"/>
  <c r="F39" i="86"/>
  <c r="F38" i="86"/>
  <c r="F37" i="86"/>
  <c r="F22" i="86"/>
  <c r="F23" i="86"/>
  <c r="F24" i="86"/>
  <c r="F25" i="86"/>
  <c r="F26" i="86"/>
  <c r="F21" i="86"/>
  <c r="F15" i="86"/>
  <c r="D78" i="104"/>
  <c r="D81" i="104"/>
  <c r="L31" i="84"/>
  <c r="L30" i="84"/>
  <c r="L29" i="84"/>
  <c r="L28" i="84"/>
  <c r="L27" i="84"/>
  <c r="L26" i="84"/>
  <c r="L25" i="84"/>
  <c r="L24" i="84"/>
  <c r="L23" i="84"/>
  <c r="L22" i="84"/>
  <c r="L20" i="84"/>
  <c r="L19" i="84"/>
  <c r="L16" i="84"/>
  <c r="L15" i="84"/>
  <c r="M15" i="84" s="1"/>
  <c r="L14" i="84"/>
  <c r="L12" i="84"/>
  <c r="K31" i="84"/>
  <c r="J31" i="84"/>
  <c r="K30" i="84"/>
  <c r="J30" i="84"/>
  <c r="K29" i="84"/>
  <c r="J29" i="84"/>
  <c r="K28" i="84"/>
  <c r="J28" i="84"/>
  <c r="K27" i="84"/>
  <c r="J27" i="84"/>
  <c r="K26" i="84"/>
  <c r="J26" i="84"/>
  <c r="K25" i="84"/>
  <c r="J25" i="84"/>
  <c r="K24" i="84"/>
  <c r="J24" i="84"/>
  <c r="K23" i="84"/>
  <c r="J23" i="84"/>
  <c r="K22" i="84"/>
  <c r="J22" i="84"/>
  <c r="K21" i="84"/>
  <c r="J21" i="84"/>
  <c r="K20" i="84"/>
  <c r="J20" i="84"/>
  <c r="K19" i="84"/>
  <c r="J19" i="84"/>
  <c r="K18" i="84"/>
  <c r="J18" i="84"/>
  <c r="K17" i="84"/>
  <c r="J17" i="84"/>
  <c r="K16" i="84"/>
  <c r="J16" i="84"/>
  <c r="K15" i="84"/>
  <c r="J15" i="84"/>
  <c r="K14" i="84"/>
  <c r="J14" i="84"/>
  <c r="K13" i="84"/>
  <c r="J13" i="84"/>
  <c r="K12" i="84"/>
  <c r="J12" i="84"/>
  <c r="I31" i="84"/>
  <c r="I30" i="84"/>
  <c r="I29" i="84"/>
  <c r="I28" i="84"/>
  <c r="I27" i="84"/>
  <c r="I26" i="84"/>
  <c r="I25" i="84"/>
  <c r="I24" i="84"/>
  <c r="I23" i="84"/>
  <c r="I22" i="84"/>
  <c r="I21" i="84"/>
  <c r="I20" i="84"/>
  <c r="I19" i="84"/>
  <c r="I18" i="84"/>
  <c r="I17" i="84"/>
  <c r="I16" i="84"/>
  <c r="I15" i="84"/>
  <c r="I14" i="84"/>
  <c r="I13" i="84"/>
  <c r="I12" i="84"/>
  <c r="F13" i="84"/>
  <c r="F14" i="84"/>
  <c r="F15" i="84"/>
  <c r="F16" i="84"/>
  <c r="F17" i="84"/>
  <c r="F18" i="84"/>
  <c r="F19" i="84"/>
  <c r="F20" i="84"/>
  <c r="F21" i="84"/>
  <c r="F22" i="84"/>
  <c r="F23" i="84"/>
  <c r="F24" i="84"/>
  <c r="F25" i="84"/>
  <c r="F26" i="84"/>
  <c r="F27" i="84"/>
  <c r="F28" i="84"/>
  <c r="F29" i="84"/>
  <c r="F30" i="84"/>
  <c r="F31" i="84"/>
  <c r="F12" i="84"/>
  <c r="L18" i="84"/>
  <c r="L17" i="84"/>
  <c r="L13" i="84"/>
  <c r="D61" i="141"/>
  <c r="D60" i="141"/>
  <c r="D59" i="141"/>
  <c r="D58" i="141"/>
  <c r="D57" i="141"/>
  <c r="D56" i="141"/>
  <c r="D55" i="141"/>
  <c r="D54" i="141"/>
  <c r="D53" i="141"/>
  <c r="D52" i="141"/>
  <c r="D51" i="141"/>
  <c r="D62" i="141"/>
  <c r="D50" i="141"/>
  <c r="E36" i="141"/>
  <c r="D36" i="141"/>
  <c r="F26" i="135"/>
  <c r="F36" i="47"/>
  <c r="E36" i="47"/>
  <c r="T36" i="47" s="1"/>
  <c r="A115" i="140"/>
  <c r="A107" i="140"/>
  <c r="A25" i="140"/>
  <c r="A33" i="140"/>
  <c r="A93" i="140"/>
  <c r="A13" i="140"/>
  <c r="A13" i="139"/>
  <c r="D38" i="141"/>
  <c r="H25" i="139"/>
  <c r="C12" i="105"/>
  <c r="D12" i="105"/>
  <c r="E12" i="105"/>
  <c r="F12" i="105"/>
  <c r="G12" i="105"/>
  <c r="H12" i="105"/>
  <c r="I12" i="105"/>
  <c r="J12" i="105"/>
  <c r="K12" i="105"/>
  <c r="L12" i="105"/>
  <c r="E81" i="104"/>
  <c r="C81" i="104"/>
  <c r="D29" i="104"/>
  <c r="E29" i="104"/>
  <c r="F29" i="104"/>
  <c r="G29" i="104"/>
  <c r="H29" i="104"/>
  <c r="I29" i="104"/>
  <c r="J29" i="104"/>
  <c r="C29" i="104"/>
  <c r="D98" i="104"/>
  <c r="E98" i="104"/>
  <c r="C98" i="104"/>
  <c r="J60" i="104"/>
  <c r="D47" i="104"/>
  <c r="E47" i="104"/>
  <c r="F47" i="104"/>
  <c r="G47" i="104"/>
  <c r="H47" i="104"/>
  <c r="I47" i="104"/>
  <c r="J47" i="104"/>
  <c r="C47" i="104"/>
  <c r="G87" i="137"/>
  <c r="G87" i="136"/>
  <c r="E56" i="79"/>
  <c r="G56" i="79"/>
  <c r="H56" i="79"/>
  <c r="I56" i="79"/>
  <c r="D56" i="79"/>
  <c r="F24" i="70"/>
  <c r="F16" i="70"/>
  <c r="H93" i="140"/>
  <c r="H94" i="139"/>
  <c r="E34" i="83"/>
  <c r="D34" i="83"/>
  <c r="C34" i="83"/>
  <c r="L20" i="108"/>
  <c r="L4" i="47"/>
  <c r="M37" i="85"/>
  <c r="L24" i="108"/>
  <c r="G97" i="141"/>
  <c r="G96" i="141"/>
  <c r="A75" i="141"/>
  <c r="A76" i="141"/>
  <c r="A77" i="141"/>
  <c r="G74" i="141"/>
  <c r="G72" i="141"/>
  <c r="G75" i="141"/>
  <c r="A78" i="141"/>
  <c r="G77" i="141"/>
  <c r="G76" i="141"/>
  <c r="A79" i="141"/>
  <c r="G78" i="141"/>
  <c r="A50" i="141"/>
  <c r="A51" i="141"/>
  <c r="A52" i="141"/>
  <c r="A53" i="141"/>
  <c r="A54" i="141"/>
  <c r="A55" i="141"/>
  <c r="A56" i="141"/>
  <c r="A57" i="141"/>
  <c r="A58" i="141"/>
  <c r="A59" i="141"/>
  <c r="A60" i="141"/>
  <c r="A61" i="141"/>
  <c r="A62" i="141"/>
  <c r="A22" i="141"/>
  <c r="A23" i="141"/>
  <c r="A24" i="141"/>
  <c r="A25" i="141"/>
  <c r="A26" i="141"/>
  <c r="A27" i="141"/>
  <c r="A28" i="141"/>
  <c r="A29" i="141"/>
  <c r="A30" i="141"/>
  <c r="A31" i="141"/>
  <c r="A32" i="141"/>
  <c r="A33" i="141"/>
  <c r="D64" i="141"/>
  <c r="D65" i="141"/>
  <c r="E63" i="141"/>
  <c r="E65" i="141"/>
  <c r="E47" i="141"/>
  <c r="G49" i="141"/>
  <c r="E35" i="141"/>
  <c r="E37" i="141"/>
  <c r="G21" i="141"/>
  <c r="A13" i="141"/>
  <c r="G13" i="141"/>
  <c r="G12" i="141"/>
  <c r="G11" i="141"/>
  <c r="G79" i="141"/>
  <c r="A80" i="141"/>
  <c r="D47" i="141"/>
  <c r="G62" i="141"/>
  <c r="A63" i="141"/>
  <c r="A34" i="141"/>
  <c r="G33" i="141"/>
  <c r="G60" i="141"/>
  <c r="G31" i="141"/>
  <c r="G61" i="141"/>
  <c r="G47" i="141"/>
  <c r="G32" i="141"/>
  <c r="A81" i="141"/>
  <c r="G80" i="141"/>
  <c r="A64" i="141"/>
  <c r="F65" i="141"/>
  <c r="G63" i="141"/>
  <c r="G34" i="141"/>
  <c r="A35" i="141"/>
  <c r="G30" i="141"/>
  <c r="G59" i="141"/>
  <c r="A82" i="141"/>
  <c r="G81" i="141"/>
  <c r="A65" i="141"/>
  <c r="G64" i="141"/>
  <c r="A36" i="141"/>
  <c r="F38" i="141"/>
  <c r="G35" i="141"/>
  <c r="G19" i="141"/>
  <c r="G58" i="141"/>
  <c r="G29" i="141"/>
  <c r="F37" i="141"/>
  <c r="A37" i="141"/>
  <c r="A38" i="141"/>
  <c r="A39" i="141"/>
  <c r="A40" i="141"/>
  <c r="A83" i="141"/>
  <c r="G82" i="141"/>
  <c r="G65" i="141"/>
  <c r="F47" i="141"/>
  <c r="G36" i="141"/>
  <c r="G57" i="141"/>
  <c r="G28" i="141"/>
  <c r="A84" i="141"/>
  <c r="G83" i="141"/>
  <c r="F40" i="141"/>
  <c r="G37" i="141"/>
  <c r="G56" i="141"/>
  <c r="G27" i="141"/>
  <c r="A85" i="141"/>
  <c r="G84" i="141"/>
  <c r="G39" i="141"/>
  <c r="G26" i="141"/>
  <c r="G55" i="141"/>
  <c r="A86" i="141"/>
  <c r="G85" i="141"/>
  <c r="F19" i="141"/>
  <c r="G40" i="141"/>
  <c r="G54" i="141"/>
  <c r="G25" i="141"/>
  <c r="A87" i="141"/>
  <c r="G86" i="141"/>
  <c r="G24" i="141"/>
  <c r="G53" i="141"/>
  <c r="A88" i="141"/>
  <c r="A89" i="141"/>
  <c r="G87" i="141"/>
  <c r="G52" i="141"/>
  <c r="G23" i="141"/>
  <c r="G22" i="141"/>
  <c r="A90" i="141"/>
  <c r="G89" i="141"/>
  <c r="G88" i="141"/>
  <c r="G50" i="141"/>
  <c r="G51" i="141"/>
  <c r="A92" i="141"/>
  <c r="G90" i="141"/>
  <c r="C52" i="90"/>
  <c r="F37" i="85"/>
  <c r="F50" i="90"/>
  <c r="F48" i="90"/>
  <c r="F47" i="90"/>
  <c r="F46" i="90"/>
  <c r="A51" i="90"/>
  <c r="F51" i="90"/>
  <c r="A50" i="90"/>
  <c r="A52" i="90"/>
  <c r="F52" i="90"/>
  <c r="G92" i="141"/>
  <c r="F72" i="141"/>
  <c r="A47" i="90"/>
  <c r="A48" i="90"/>
  <c r="A46" i="90"/>
  <c r="AN120" i="140"/>
  <c r="BB120" i="140"/>
  <c r="AL120" i="140"/>
  <c r="AZ120" i="140"/>
  <c r="AJ120" i="140"/>
  <c r="AX120" i="140"/>
  <c r="X120" i="140"/>
  <c r="AN119" i="140"/>
  <c r="BB119" i="140"/>
  <c r="AL119" i="140"/>
  <c r="AZ119" i="140"/>
  <c r="R119" i="140"/>
  <c r="AN118" i="140"/>
  <c r="BB118" i="140"/>
  <c r="AL118" i="140"/>
  <c r="AZ118" i="140"/>
  <c r="X118" i="140"/>
  <c r="R118" i="140"/>
  <c r="AJ118" i="140"/>
  <c r="AX118" i="140"/>
  <c r="AN117" i="140"/>
  <c r="BB117" i="140"/>
  <c r="AJ117" i="140"/>
  <c r="T117" i="140"/>
  <c r="X117" i="140"/>
  <c r="AN116" i="140"/>
  <c r="BB116" i="140"/>
  <c r="AJ116" i="140"/>
  <c r="AX116" i="140"/>
  <c r="T116" i="140"/>
  <c r="AL116" i="140"/>
  <c r="A116" i="140"/>
  <c r="A117" i="140"/>
  <c r="BI115" i="140"/>
  <c r="AV115" i="140"/>
  <c r="AV19" i="140"/>
  <c r="AT115" i="140"/>
  <c r="AR115" i="140"/>
  <c r="AF115" i="140"/>
  <c r="AF19" i="140"/>
  <c r="AD115" i="140"/>
  <c r="AD19" i="140"/>
  <c r="AB115" i="140"/>
  <c r="V115" i="140"/>
  <c r="R115" i="140"/>
  <c r="R19" i="140"/>
  <c r="N115" i="140"/>
  <c r="L115" i="140"/>
  <c r="J115" i="140"/>
  <c r="H115" i="140"/>
  <c r="H19" i="140"/>
  <c r="AN113" i="140"/>
  <c r="BB113" i="140"/>
  <c r="AL113" i="140"/>
  <c r="AZ113" i="140"/>
  <c r="AJ113" i="140"/>
  <c r="AX113" i="140"/>
  <c r="AN112" i="140"/>
  <c r="BB112" i="140"/>
  <c r="AL112" i="140"/>
  <c r="AJ112" i="140"/>
  <c r="AX112" i="140"/>
  <c r="X112" i="140"/>
  <c r="AN111" i="140"/>
  <c r="BB111" i="140"/>
  <c r="AL111" i="140"/>
  <c r="AJ111" i="140"/>
  <c r="AX111" i="140"/>
  <c r="X111" i="140"/>
  <c r="AN110" i="140"/>
  <c r="BB110" i="140"/>
  <c r="AL110" i="140"/>
  <c r="AJ110" i="140"/>
  <c r="AX110" i="140"/>
  <c r="X110" i="140"/>
  <c r="AN109" i="140"/>
  <c r="BB109" i="140"/>
  <c r="AL109" i="140"/>
  <c r="AJ109" i="140"/>
  <c r="AX109" i="140"/>
  <c r="X109" i="140"/>
  <c r="AN108" i="140"/>
  <c r="BB108" i="140"/>
  <c r="BB107" i="140"/>
  <c r="AL108" i="140"/>
  <c r="X108" i="140"/>
  <c r="R108" i="140"/>
  <c r="AJ108" i="140"/>
  <c r="A108" i="140"/>
  <c r="BI107" i="140"/>
  <c r="AV107" i="140"/>
  <c r="AT107" i="140"/>
  <c r="AR107" i="140"/>
  <c r="AN107" i="140"/>
  <c r="AN15" i="140"/>
  <c r="AF107" i="140"/>
  <c r="AD107" i="140"/>
  <c r="AB107" i="140"/>
  <c r="V107" i="140"/>
  <c r="V15" i="140"/>
  <c r="T107" i="140"/>
  <c r="R107" i="140"/>
  <c r="N107" i="140"/>
  <c r="L107" i="140"/>
  <c r="L15" i="140"/>
  <c r="J107" i="140"/>
  <c r="H107" i="140"/>
  <c r="AL104" i="140"/>
  <c r="AZ104" i="140"/>
  <c r="AJ104" i="140"/>
  <c r="AX104" i="140"/>
  <c r="V104" i="140"/>
  <c r="X104" i="140"/>
  <c r="AL103" i="140"/>
  <c r="AZ103" i="140"/>
  <c r="AJ103" i="140"/>
  <c r="AX103" i="140"/>
  <c r="X103" i="140"/>
  <c r="V103" i="140"/>
  <c r="AN103" i="140"/>
  <c r="BB103" i="140"/>
  <c r="AL102" i="140"/>
  <c r="AZ102" i="140"/>
  <c r="AJ102" i="140"/>
  <c r="V102" i="140"/>
  <c r="X102" i="140"/>
  <c r="AL101" i="140"/>
  <c r="AJ101" i="140"/>
  <c r="AX101" i="140"/>
  <c r="V101" i="140"/>
  <c r="AN101" i="140"/>
  <c r="BB101" i="140"/>
  <c r="AL100" i="140"/>
  <c r="AZ100" i="140"/>
  <c r="AJ100" i="140"/>
  <c r="AX100" i="140"/>
  <c r="V100" i="140"/>
  <c r="AL99" i="140"/>
  <c r="AZ99" i="140"/>
  <c r="AJ99" i="140"/>
  <c r="AX99" i="140"/>
  <c r="V99" i="140"/>
  <c r="AN99" i="140"/>
  <c r="BB99" i="140"/>
  <c r="AL98" i="140"/>
  <c r="AZ98" i="140"/>
  <c r="AJ98" i="140"/>
  <c r="AX98" i="140"/>
  <c r="V98" i="140"/>
  <c r="X98" i="140"/>
  <c r="AL97" i="140"/>
  <c r="AZ97" i="140"/>
  <c r="AJ97" i="140"/>
  <c r="AX97" i="140"/>
  <c r="V97" i="140"/>
  <c r="AN97" i="140"/>
  <c r="BB97" i="140"/>
  <c r="BI96" i="140"/>
  <c r="AL96" i="140"/>
  <c r="AZ96" i="140"/>
  <c r="AJ96" i="140"/>
  <c r="AX96" i="140"/>
  <c r="V96" i="140"/>
  <c r="AL95" i="140"/>
  <c r="AZ95" i="140"/>
  <c r="AJ95" i="140"/>
  <c r="AX95" i="140"/>
  <c r="V95" i="140"/>
  <c r="X95" i="140"/>
  <c r="AL94" i="140"/>
  <c r="AZ94" i="140"/>
  <c r="AJ94" i="140"/>
  <c r="AX94" i="140"/>
  <c r="V94" i="140"/>
  <c r="AN94" i="140"/>
  <c r="A94" i="140"/>
  <c r="A95" i="140"/>
  <c r="BI93" i="140"/>
  <c r="AV93" i="140"/>
  <c r="AT93" i="140"/>
  <c r="AR93" i="140"/>
  <c r="AR14" i="140"/>
  <c r="AF93" i="140"/>
  <c r="AD93" i="140"/>
  <c r="AB93" i="140"/>
  <c r="T93" i="140"/>
  <c r="R93" i="140"/>
  <c r="N93" i="140"/>
  <c r="L93" i="140"/>
  <c r="L14" i="140"/>
  <c r="J93" i="140"/>
  <c r="AN90" i="140"/>
  <c r="BB90" i="140"/>
  <c r="AJ90" i="140"/>
  <c r="AX90" i="140"/>
  <c r="T90" i="140"/>
  <c r="X90" i="140"/>
  <c r="AN89" i="140"/>
  <c r="BB89" i="140"/>
  <c r="AJ89" i="140"/>
  <c r="AX89" i="140"/>
  <c r="T89" i="140"/>
  <c r="X89" i="140"/>
  <c r="AN88" i="140"/>
  <c r="BB88" i="140"/>
  <c r="AJ88" i="140"/>
  <c r="AX88" i="140"/>
  <c r="T88" i="140"/>
  <c r="AN87" i="140"/>
  <c r="BB87" i="140"/>
  <c r="AJ87" i="140"/>
  <c r="AX87" i="140"/>
  <c r="T87" i="140"/>
  <c r="AL87" i="140"/>
  <c r="AN86" i="140"/>
  <c r="BB86" i="140"/>
  <c r="AJ86" i="140"/>
  <c r="AX86" i="140"/>
  <c r="T86" i="140"/>
  <c r="X86" i="140"/>
  <c r="AN85" i="140"/>
  <c r="BB85" i="140"/>
  <c r="AJ85" i="140"/>
  <c r="AX85" i="140"/>
  <c r="T85" i="140"/>
  <c r="X85" i="140"/>
  <c r="AN84" i="140"/>
  <c r="BB84" i="140"/>
  <c r="AJ84" i="140"/>
  <c r="T84" i="140"/>
  <c r="AN83" i="140"/>
  <c r="BB83" i="140"/>
  <c r="AJ83" i="140"/>
  <c r="AX83" i="140"/>
  <c r="T83" i="140"/>
  <c r="AL83" i="140"/>
  <c r="AN82" i="140"/>
  <c r="BB82" i="140"/>
  <c r="AJ82" i="140"/>
  <c r="T82" i="140"/>
  <c r="AN81" i="140"/>
  <c r="BB81" i="140"/>
  <c r="AJ81" i="140"/>
  <c r="AX81" i="140"/>
  <c r="T81" i="140"/>
  <c r="AL81" i="140"/>
  <c r="AN80" i="140"/>
  <c r="BB80" i="140"/>
  <c r="AJ80" i="140"/>
  <c r="AX80" i="140"/>
  <c r="T80" i="140"/>
  <c r="X80" i="140"/>
  <c r="AN79" i="140"/>
  <c r="BB79" i="140"/>
  <c r="AJ79" i="140"/>
  <c r="AX79" i="140"/>
  <c r="T79" i="140"/>
  <c r="AL79" i="140"/>
  <c r="AZ79" i="140"/>
  <c r="AN78" i="140"/>
  <c r="BB78" i="140"/>
  <c r="AJ78" i="140"/>
  <c r="AX78" i="140"/>
  <c r="T78" i="140"/>
  <c r="AL78" i="140"/>
  <c r="AZ78" i="140"/>
  <c r="AN77" i="140"/>
  <c r="BB77" i="140"/>
  <c r="AJ77" i="140"/>
  <c r="AX77" i="140"/>
  <c r="T77" i="140"/>
  <c r="X77" i="140"/>
  <c r="AN76" i="140"/>
  <c r="BB76" i="140"/>
  <c r="AJ76" i="140"/>
  <c r="AX76" i="140"/>
  <c r="T76" i="140"/>
  <c r="X76" i="140"/>
  <c r="AN75" i="140"/>
  <c r="BB75" i="140"/>
  <c r="AJ75" i="140"/>
  <c r="AX75" i="140"/>
  <c r="T75" i="140"/>
  <c r="AL75" i="140"/>
  <c r="AZ75" i="140"/>
  <c r="AN74" i="140"/>
  <c r="BB74" i="140"/>
  <c r="AJ74" i="140"/>
  <c r="AX74" i="140"/>
  <c r="T74" i="140"/>
  <c r="AL74" i="140"/>
  <c r="AN73" i="140"/>
  <c r="BB73" i="140"/>
  <c r="AJ73" i="140"/>
  <c r="AX73" i="140"/>
  <c r="T73" i="140"/>
  <c r="X73" i="140"/>
  <c r="AN72" i="140"/>
  <c r="BB72" i="140"/>
  <c r="AJ72" i="140"/>
  <c r="AX72" i="140"/>
  <c r="T72" i="140"/>
  <c r="AN71" i="140"/>
  <c r="BB71" i="140"/>
  <c r="AJ71" i="140"/>
  <c r="AX71" i="140"/>
  <c r="T71" i="140"/>
  <c r="AN70" i="140"/>
  <c r="BB70" i="140"/>
  <c r="AJ70" i="140"/>
  <c r="AX70" i="140"/>
  <c r="T70" i="140"/>
  <c r="AL70" i="140"/>
  <c r="AZ70" i="140"/>
  <c r="AN69" i="140"/>
  <c r="BB69" i="140"/>
  <c r="AJ69" i="140"/>
  <c r="T69" i="140"/>
  <c r="X69" i="140"/>
  <c r="BB68" i="140"/>
  <c r="AN68" i="140"/>
  <c r="AJ68" i="140"/>
  <c r="AX68" i="140"/>
  <c r="T68" i="140"/>
  <c r="BB67" i="140"/>
  <c r="AN67" i="140"/>
  <c r="AJ67" i="140"/>
  <c r="AX67" i="140"/>
  <c r="T67" i="140"/>
  <c r="AL67" i="140"/>
  <c r="AZ67" i="140"/>
  <c r="AN66" i="140"/>
  <c r="BB66" i="140"/>
  <c r="AL66" i="140"/>
  <c r="AZ66" i="140"/>
  <c r="R66" i="140"/>
  <c r="AJ66" i="140"/>
  <c r="AN65" i="140"/>
  <c r="BB65" i="140"/>
  <c r="AJ65" i="140"/>
  <c r="T65" i="140"/>
  <c r="X65" i="140"/>
  <c r="AN64" i="140"/>
  <c r="BB64" i="140"/>
  <c r="AJ64" i="140"/>
  <c r="AX64" i="140"/>
  <c r="T64" i="140"/>
  <c r="X64" i="140"/>
  <c r="AN63" i="140"/>
  <c r="BB63" i="140"/>
  <c r="AJ63" i="140"/>
  <c r="AX63" i="140"/>
  <c r="T63" i="140"/>
  <c r="AL63" i="140"/>
  <c r="AZ63" i="140"/>
  <c r="AN62" i="140"/>
  <c r="BB62" i="140"/>
  <c r="AJ62" i="140"/>
  <c r="T62" i="140"/>
  <c r="AL62" i="140"/>
  <c r="AZ62" i="140"/>
  <c r="AN61" i="140"/>
  <c r="BB61" i="140"/>
  <c r="AJ61" i="140"/>
  <c r="T61" i="140"/>
  <c r="X61" i="140"/>
  <c r="AN60" i="140"/>
  <c r="BB60" i="140"/>
  <c r="AJ60" i="140"/>
  <c r="AX60" i="140"/>
  <c r="T60" i="140"/>
  <c r="X60" i="140"/>
  <c r="AN59" i="140"/>
  <c r="BB59" i="140"/>
  <c r="BD59" i="140"/>
  <c r="AJ59" i="140"/>
  <c r="AX59" i="140"/>
  <c r="T59" i="140"/>
  <c r="AL59" i="140"/>
  <c r="AZ59" i="140"/>
  <c r="AN58" i="140"/>
  <c r="BB58" i="140"/>
  <c r="AJ58" i="140"/>
  <c r="T58" i="140"/>
  <c r="AL58" i="140"/>
  <c r="AZ58" i="140"/>
  <c r="AN57" i="140"/>
  <c r="BB57" i="140"/>
  <c r="AJ57" i="140"/>
  <c r="T57" i="140"/>
  <c r="X57" i="140"/>
  <c r="AN56" i="140"/>
  <c r="BB56" i="140"/>
  <c r="AJ56" i="140"/>
  <c r="T56" i="140"/>
  <c r="X56" i="140"/>
  <c r="AN55" i="140"/>
  <c r="BB55" i="140"/>
  <c r="AJ55" i="140"/>
  <c r="AX55" i="140"/>
  <c r="T55" i="140"/>
  <c r="X55" i="140"/>
  <c r="AN54" i="140"/>
  <c r="BB54" i="140"/>
  <c r="AJ54" i="140"/>
  <c r="AX54" i="140"/>
  <c r="T54" i="140"/>
  <c r="AL54" i="140"/>
  <c r="AZ54" i="140"/>
  <c r="AN53" i="140"/>
  <c r="BB53" i="140"/>
  <c r="AJ53" i="140"/>
  <c r="AX53" i="140"/>
  <c r="T53" i="140"/>
  <c r="AL53" i="140"/>
  <c r="AZ53" i="140"/>
  <c r="AN52" i="140"/>
  <c r="BB52" i="140"/>
  <c r="AJ52" i="140"/>
  <c r="AX52" i="140"/>
  <c r="T52" i="140"/>
  <c r="X52" i="140"/>
  <c r="AN51" i="140"/>
  <c r="BB51" i="140"/>
  <c r="AJ51" i="140"/>
  <c r="AX51" i="140"/>
  <c r="T51" i="140"/>
  <c r="X51" i="140"/>
  <c r="AN50" i="140"/>
  <c r="BB50" i="140"/>
  <c r="AJ50" i="140"/>
  <c r="AX50" i="140"/>
  <c r="T50" i="140"/>
  <c r="AL50" i="140"/>
  <c r="AZ50" i="140"/>
  <c r="AN49" i="140"/>
  <c r="BB49" i="140"/>
  <c r="AJ49" i="140"/>
  <c r="AX49" i="140"/>
  <c r="X49" i="140"/>
  <c r="T49" i="140"/>
  <c r="AL49" i="140"/>
  <c r="AN48" i="140"/>
  <c r="BB48" i="140"/>
  <c r="AL48" i="140"/>
  <c r="AZ48" i="140"/>
  <c r="AJ48" i="140"/>
  <c r="T48" i="140"/>
  <c r="X48" i="140"/>
  <c r="AN47" i="140"/>
  <c r="BB47" i="140"/>
  <c r="AJ47" i="140"/>
  <c r="AX47" i="140"/>
  <c r="T47" i="140"/>
  <c r="X47" i="140"/>
  <c r="AN46" i="140"/>
  <c r="BB46" i="140"/>
  <c r="AJ46" i="140"/>
  <c r="AX46" i="140"/>
  <c r="T46" i="140"/>
  <c r="AL46" i="140"/>
  <c r="AZ46" i="140"/>
  <c r="AN45" i="140"/>
  <c r="BB45" i="140"/>
  <c r="AJ45" i="140"/>
  <c r="T45" i="140"/>
  <c r="AL45" i="140"/>
  <c r="AZ45" i="140"/>
  <c r="AN44" i="140"/>
  <c r="BB44" i="140"/>
  <c r="AJ44" i="140"/>
  <c r="AX44" i="140"/>
  <c r="T44" i="140"/>
  <c r="X44" i="140"/>
  <c r="AN43" i="140"/>
  <c r="BB43" i="140"/>
  <c r="AJ43" i="140"/>
  <c r="AX43" i="140"/>
  <c r="T43" i="140"/>
  <c r="X43" i="140"/>
  <c r="AN42" i="140"/>
  <c r="BB42" i="140"/>
  <c r="AJ42" i="140"/>
  <c r="AX42" i="140"/>
  <c r="T42" i="140"/>
  <c r="AL42" i="140"/>
  <c r="AZ42" i="140"/>
  <c r="AN41" i="140"/>
  <c r="BB41" i="140"/>
  <c r="AL41" i="140"/>
  <c r="AZ41" i="140"/>
  <c r="R41" i="140"/>
  <c r="R33" i="140"/>
  <c r="R13" i="140"/>
  <c r="AN40" i="140"/>
  <c r="BB40" i="140"/>
  <c r="AJ40" i="140"/>
  <c r="T40" i="140"/>
  <c r="X40" i="140"/>
  <c r="AN39" i="140"/>
  <c r="BB39" i="140"/>
  <c r="AJ39" i="140"/>
  <c r="AX39" i="140"/>
  <c r="T39" i="140"/>
  <c r="X39" i="140"/>
  <c r="AN38" i="140"/>
  <c r="BB38" i="140"/>
  <c r="AJ38" i="140"/>
  <c r="AX38" i="140"/>
  <c r="T38" i="140"/>
  <c r="AL38" i="140"/>
  <c r="AZ38" i="140"/>
  <c r="AN37" i="140"/>
  <c r="BB37" i="140"/>
  <c r="AJ37" i="140"/>
  <c r="AX37" i="140"/>
  <c r="T37" i="140"/>
  <c r="X37" i="140"/>
  <c r="AN36" i="140"/>
  <c r="BB36" i="140"/>
  <c r="AJ36" i="140"/>
  <c r="T36" i="140"/>
  <c r="X36" i="140"/>
  <c r="AN35" i="140"/>
  <c r="BB35" i="140"/>
  <c r="AJ35" i="140"/>
  <c r="AX35" i="140"/>
  <c r="T35" i="140"/>
  <c r="AL35" i="140"/>
  <c r="AN34" i="140"/>
  <c r="BB34" i="140"/>
  <c r="AJ34" i="140"/>
  <c r="AX34" i="140"/>
  <c r="T34" i="140"/>
  <c r="AL34" i="140"/>
  <c r="A34" i="140"/>
  <c r="BI34" i="140"/>
  <c r="BI33" i="140"/>
  <c r="AV33" i="140"/>
  <c r="AV13" i="140"/>
  <c r="AT33" i="140"/>
  <c r="AR33" i="140"/>
  <c r="AF33" i="140"/>
  <c r="AF13" i="140"/>
  <c r="AD33" i="140"/>
  <c r="AB33" i="140"/>
  <c r="V33" i="140"/>
  <c r="T33" i="140"/>
  <c r="T13" i="140"/>
  <c r="N33" i="140"/>
  <c r="L33" i="140"/>
  <c r="J33" i="140"/>
  <c r="H33" i="140"/>
  <c r="H13" i="140"/>
  <c r="AN30" i="140"/>
  <c r="BB30" i="140"/>
  <c r="AL30" i="140"/>
  <c r="AZ30" i="140"/>
  <c r="AJ30" i="140"/>
  <c r="X30" i="140"/>
  <c r="AN29" i="140"/>
  <c r="BB29" i="140"/>
  <c r="AL29" i="140"/>
  <c r="AZ29" i="140"/>
  <c r="AJ29" i="140"/>
  <c r="X29" i="140"/>
  <c r="AN28" i="140"/>
  <c r="BB28" i="140"/>
  <c r="AL28" i="140"/>
  <c r="AZ28" i="140"/>
  <c r="R28" i="140"/>
  <c r="X28" i="140"/>
  <c r="AN27" i="140"/>
  <c r="BB27" i="140"/>
  <c r="AL27" i="140"/>
  <c r="R27" i="140"/>
  <c r="AJ27" i="140"/>
  <c r="AN26" i="140"/>
  <c r="BB26" i="140"/>
  <c r="BB25" i="140"/>
  <c r="BB12" i="140"/>
  <c r="AL26" i="140"/>
  <c r="AZ26" i="140"/>
  <c r="R26" i="140"/>
  <c r="A26" i="140"/>
  <c r="BI26" i="140"/>
  <c r="BI25" i="140"/>
  <c r="AV25" i="140"/>
  <c r="AV12" i="140"/>
  <c r="AT25" i="140"/>
  <c r="AR25" i="140"/>
  <c r="AR12" i="140"/>
  <c r="AN25" i="140"/>
  <c r="AN12" i="140"/>
  <c r="AF25" i="140"/>
  <c r="AD25" i="140"/>
  <c r="AD12" i="140"/>
  <c r="AB25" i="140"/>
  <c r="AB12" i="140"/>
  <c r="V25" i="140"/>
  <c r="V12" i="140"/>
  <c r="T25" i="140"/>
  <c r="T12" i="140"/>
  <c r="N25" i="140"/>
  <c r="N12" i="140"/>
  <c r="L25" i="140"/>
  <c r="L12" i="140"/>
  <c r="J25" i="140"/>
  <c r="J12" i="140"/>
  <c r="H25" i="140"/>
  <c r="BD21" i="140"/>
  <c r="AP21" i="140"/>
  <c r="X21" i="140"/>
  <c r="BD20" i="140"/>
  <c r="AP20" i="140"/>
  <c r="X20" i="140"/>
  <c r="AT19" i="140"/>
  <c r="AR19" i="140"/>
  <c r="AB19" i="140"/>
  <c r="V19" i="140"/>
  <c r="N19" i="140"/>
  <c r="L19" i="140"/>
  <c r="J19" i="140"/>
  <c r="BB15" i="140"/>
  <c r="AV15" i="140"/>
  <c r="AT15" i="140"/>
  <c r="AR15" i="140"/>
  <c r="AF15" i="140"/>
  <c r="AD15" i="140"/>
  <c r="AB15" i="140"/>
  <c r="T15" i="140"/>
  <c r="R15" i="140"/>
  <c r="N15" i="140"/>
  <c r="J15" i="140"/>
  <c r="H15" i="140"/>
  <c r="AV14" i="140"/>
  <c r="AT14" i="140"/>
  <c r="AF14" i="140"/>
  <c r="AD14" i="140"/>
  <c r="AB14" i="140"/>
  <c r="T14" i="140"/>
  <c r="R14" i="140"/>
  <c r="N14" i="140"/>
  <c r="J14" i="140"/>
  <c r="H14" i="140"/>
  <c r="AT13" i="140"/>
  <c r="AR13" i="140"/>
  <c r="AD13" i="140"/>
  <c r="AB13" i="140"/>
  <c r="V13" i="140"/>
  <c r="N13" i="140"/>
  <c r="L13" i="140"/>
  <c r="J13" i="140"/>
  <c r="BI12" i="140"/>
  <c r="AT12" i="140"/>
  <c r="AF12" i="140"/>
  <c r="H12" i="140"/>
  <c r="BF10" i="140"/>
  <c r="AN121" i="139"/>
  <c r="BB121" i="139"/>
  <c r="AL121" i="139"/>
  <c r="AZ121" i="139"/>
  <c r="AJ121" i="139"/>
  <c r="X121" i="139"/>
  <c r="AN120" i="139"/>
  <c r="BB120" i="139"/>
  <c r="AL120" i="139"/>
  <c r="AZ120" i="139"/>
  <c r="R120" i="139"/>
  <c r="AJ120" i="139"/>
  <c r="AN119" i="139"/>
  <c r="BB119" i="139"/>
  <c r="AL119" i="139"/>
  <c r="AZ119" i="139"/>
  <c r="R119" i="139"/>
  <c r="X119" i="139"/>
  <c r="AN118" i="139"/>
  <c r="BB118" i="139"/>
  <c r="AJ118" i="139"/>
  <c r="AX118" i="139"/>
  <c r="T118" i="139"/>
  <c r="AN117" i="139"/>
  <c r="BB117" i="139"/>
  <c r="AJ117" i="139"/>
  <c r="AX117" i="139"/>
  <c r="T117" i="139"/>
  <c r="AL117" i="139"/>
  <c r="A117" i="139"/>
  <c r="BI117" i="139"/>
  <c r="BI116" i="139"/>
  <c r="AV116" i="139"/>
  <c r="AT116" i="139"/>
  <c r="AT19" i="139" s="1"/>
  <c r="AR116" i="139"/>
  <c r="AF116" i="139"/>
  <c r="AF19" i="139"/>
  <c r="AD116" i="139"/>
  <c r="AD19" i="139"/>
  <c r="AB116" i="139"/>
  <c r="AB19" i="139"/>
  <c r="V116" i="139"/>
  <c r="N116" i="139"/>
  <c r="N19" i="139"/>
  <c r="L116" i="139"/>
  <c r="L19" i="139"/>
  <c r="J116" i="139"/>
  <c r="J19" i="139"/>
  <c r="H116" i="139"/>
  <c r="AN114" i="139"/>
  <c r="BB114" i="139"/>
  <c r="AL114" i="139"/>
  <c r="AZ114" i="139"/>
  <c r="AJ114" i="139"/>
  <c r="AX114" i="139"/>
  <c r="AN113" i="139"/>
  <c r="BB113" i="139"/>
  <c r="AL113" i="139"/>
  <c r="AZ113" i="139"/>
  <c r="AJ113" i="139"/>
  <c r="AX113" i="139"/>
  <c r="X113" i="139"/>
  <c r="AN112" i="139"/>
  <c r="BB112" i="139"/>
  <c r="AL112" i="139"/>
  <c r="AZ112" i="139"/>
  <c r="AJ112" i="139"/>
  <c r="AX112" i="139"/>
  <c r="X112" i="139"/>
  <c r="AN111" i="139"/>
  <c r="BB111" i="139"/>
  <c r="AL111" i="139"/>
  <c r="AZ111" i="139"/>
  <c r="AJ111" i="139"/>
  <c r="AX111" i="139"/>
  <c r="X111" i="139"/>
  <c r="AN110" i="139"/>
  <c r="BB110" i="139"/>
  <c r="AL110" i="139"/>
  <c r="AZ110" i="139"/>
  <c r="AJ110" i="139"/>
  <c r="AX110" i="139"/>
  <c r="X110" i="139"/>
  <c r="AN109" i="139"/>
  <c r="BB109" i="139"/>
  <c r="AL109" i="139"/>
  <c r="AZ109" i="139"/>
  <c r="AZ108" i="139"/>
  <c r="AZ15" i="139"/>
  <c r="R109" i="139"/>
  <c r="AJ109" i="139"/>
  <c r="A109" i="139"/>
  <c r="BI109" i="139"/>
  <c r="BI108" i="139"/>
  <c r="AV108" i="139"/>
  <c r="AT108" i="139"/>
  <c r="AT15" i="139"/>
  <c r="AR108" i="139"/>
  <c r="AN108" i="139"/>
  <c r="AF108" i="139"/>
  <c r="AF15" i="139"/>
  <c r="AD108" i="139"/>
  <c r="AD15" i="139"/>
  <c r="AB108" i="139"/>
  <c r="V108" i="139"/>
  <c r="T108" i="139"/>
  <c r="N108" i="139"/>
  <c r="N15" i="139"/>
  <c r="L108" i="139"/>
  <c r="J108" i="139"/>
  <c r="H108" i="139"/>
  <c r="H15" i="139"/>
  <c r="AL105" i="139"/>
  <c r="AZ105" i="139"/>
  <c r="AJ105" i="139"/>
  <c r="AX105" i="139"/>
  <c r="V105" i="139"/>
  <c r="AN105" i="139"/>
  <c r="BB105" i="139"/>
  <c r="AL104" i="139"/>
  <c r="AZ104" i="139"/>
  <c r="AJ104" i="139"/>
  <c r="AX104" i="139"/>
  <c r="V104" i="139"/>
  <c r="AN104" i="139"/>
  <c r="BB104" i="139"/>
  <c r="AL103" i="139"/>
  <c r="AZ103" i="139"/>
  <c r="AJ103" i="139"/>
  <c r="V103" i="139"/>
  <c r="X103" i="139"/>
  <c r="AL102" i="139"/>
  <c r="AZ102" i="139"/>
  <c r="AJ102" i="139"/>
  <c r="AX102" i="139"/>
  <c r="V102" i="139"/>
  <c r="AN102" i="139"/>
  <c r="AL101" i="139"/>
  <c r="AZ101" i="139"/>
  <c r="AJ101" i="139"/>
  <c r="AX101" i="139"/>
  <c r="V101" i="139"/>
  <c r="AN101" i="139"/>
  <c r="BB101" i="139"/>
  <c r="BD101" i="139" s="1"/>
  <c r="BF101" i="139" s="1"/>
  <c r="AL100" i="139"/>
  <c r="AZ100" i="139"/>
  <c r="AJ100" i="139"/>
  <c r="V100" i="139"/>
  <c r="AN100" i="139"/>
  <c r="BB100" i="139"/>
  <c r="AL99" i="139"/>
  <c r="AZ99" i="139"/>
  <c r="AJ99" i="139"/>
  <c r="V99" i="139"/>
  <c r="X99" i="139"/>
  <c r="AL98" i="139"/>
  <c r="AZ98" i="139"/>
  <c r="AJ98" i="139"/>
  <c r="AX98" i="139"/>
  <c r="V98" i="139"/>
  <c r="X98" i="139"/>
  <c r="BI97" i="139"/>
  <c r="AL97" i="139"/>
  <c r="AZ97" i="139"/>
  <c r="AJ97" i="139"/>
  <c r="AX97" i="139"/>
  <c r="V97" i="139"/>
  <c r="AN97" i="139"/>
  <c r="BB97" i="139"/>
  <c r="BD97" i="139" s="1"/>
  <c r="BF97" i="139" s="1"/>
  <c r="AL96" i="139"/>
  <c r="AZ96" i="139"/>
  <c r="AJ96" i="139"/>
  <c r="AX96" i="139"/>
  <c r="V96" i="139"/>
  <c r="AN96" i="139"/>
  <c r="BB96" i="139"/>
  <c r="AL95" i="139"/>
  <c r="AZ95" i="139"/>
  <c r="AJ95" i="139"/>
  <c r="AX95" i="139"/>
  <c r="V95" i="139"/>
  <c r="AN95" i="139"/>
  <c r="A95" i="139"/>
  <c r="A96" i="139"/>
  <c r="BI94" i="139"/>
  <c r="AV94" i="139"/>
  <c r="AV14" i="139" s="1"/>
  <c r="AV16" i="139" s="1"/>
  <c r="AV22" i="139" s="1"/>
  <c r="AT94" i="139"/>
  <c r="AR94" i="139"/>
  <c r="AR14" i="139"/>
  <c r="AF94" i="139"/>
  <c r="AF14" i="139"/>
  <c r="AD94" i="139"/>
  <c r="AD14" i="139"/>
  <c r="AB94" i="139"/>
  <c r="T94" i="139"/>
  <c r="T14" i="139"/>
  <c r="R94" i="139"/>
  <c r="N94" i="139"/>
  <c r="N14" i="139"/>
  <c r="L94" i="139"/>
  <c r="J94" i="139"/>
  <c r="J14" i="139"/>
  <c r="AN91" i="139"/>
  <c r="BB91" i="139"/>
  <c r="AJ91" i="139"/>
  <c r="AX91" i="139"/>
  <c r="T91" i="139"/>
  <c r="AL91" i="139"/>
  <c r="AZ91" i="139"/>
  <c r="AN90" i="139"/>
  <c r="BB90" i="139"/>
  <c r="AJ90" i="139"/>
  <c r="AX90" i="139"/>
  <c r="T90" i="139"/>
  <c r="AL90" i="139"/>
  <c r="AZ90" i="139"/>
  <c r="BD90" i="139" s="1"/>
  <c r="BF90" i="139" s="1"/>
  <c r="AN89" i="139"/>
  <c r="BB89" i="139"/>
  <c r="AJ89" i="139"/>
  <c r="AX89" i="139"/>
  <c r="T89" i="139"/>
  <c r="X89" i="139"/>
  <c r="AN88" i="139"/>
  <c r="BB88" i="139"/>
  <c r="AJ88" i="139"/>
  <c r="AX88" i="139"/>
  <c r="T88" i="139"/>
  <c r="X88" i="139"/>
  <c r="AN87" i="139"/>
  <c r="BB87" i="139"/>
  <c r="AJ87" i="139"/>
  <c r="AX87" i="139"/>
  <c r="T87" i="139"/>
  <c r="X87" i="139"/>
  <c r="AN86" i="139"/>
  <c r="BB86" i="139"/>
  <c r="AJ86" i="139"/>
  <c r="AX86" i="139"/>
  <c r="T86" i="139"/>
  <c r="AL86" i="139"/>
  <c r="AZ86" i="139"/>
  <c r="BD86" i="139" s="1"/>
  <c r="BF86" i="139" s="1"/>
  <c r="AN85" i="139"/>
  <c r="BB85" i="139"/>
  <c r="AJ85" i="139"/>
  <c r="AX85" i="139"/>
  <c r="T85" i="139"/>
  <c r="AL85" i="139"/>
  <c r="AZ85" i="139"/>
  <c r="BD85" i="139" s="1"/>
  <c r="BF85" i="139" s="1"/>
  <c r="AN84" i="139"/>
  <c r="BB84" i="139"/>
  <c r="AJ84" i="139"/>
  <c r="AX84" i="139"/>
  <c r="T84" i="139"/>
  <c r="X84" i="139"/>
  <c r="AN83" i="139"/>
  <c r="BB83" i="139"/>
  <c r="AJ83" i="139"/>
  <c r="AX83" i="139"/>
  <c r="T83" i="139"/>
  <c r="X83" i="139"/>
  <c r="AN82" i="139"/>
  <c r="BB82" i="139"/>
  <c r="AJ82" i="139"/>
  <c r="AX82" i="139"/>
  <c r="T82" i="139"/>
  <c r="AL82" i="139"/>
  <c r="AZ82" i="139"/>
  <c r="BD82" i="139" s="1"/>
  <c r="BF82" i="139" s="1"/>
  <c r="AN81" i="139"/>
  <c r="BB81" i="139"/>
  <c r="AJ81" i="139"/>
  <c r="AX81" i="139"/>
  <c r="T81" i="139"/>
  <c r="AL81" i="139"/>
  <c r="AZ81" i="139"/>
  <c r="AN80" i="139"/>
  <c r="BB80" i="139"/>
  <c r="AJ80" i="139"/>
  <c r="AX80" i="139"/>
  <c r="T80" i="139"/>
  <c r="X80" i="139"/>
  <c r="AN79" i="139"/>
  <c r="BB79" i="139"/>
  <c r="AJ79" i="139"/>
  <c r="AX79" i="139"/>
  <c r="T79" i="139"/>
  <c r="X79" i="139"/>
  <c r="AN78" i="139"/>
  <c r="BB78" i="139"/>
  <c r="AJ78" i="139"/>
  <c r="AX78" i="139"/>
  <c r="T78" i="139"/>
  <c r="AL78" i="139"/>
  <c r="AZ78" i="139"/>
  <c r="AN77" i="139"/>
  <c r="BB77" i="139"/>
  <c r="AJ77" i="139"/>
  <c r="AX77" i="139"/>
  <c r="T77" i="139"/>
  <c r="X77" i="139"/>
  <c r="AN76" i="139"/>
  <c r="BB76" i="139"/>
  <c r="AJ76" i="139"/>
  <c r="AX76" i="139"/>
  <c r="T76" i="139"/>
  <c r="X76" i="139"/>
  <c r="AN75" i="139"/>
  <c r="BB75" i="139"/>
  <c r="AJ75" i="139"/>
  <c r="AX75" i="139"/>
  <c r="T75" i="139"/>
  <c r="AL75" i="139"/>
  <c r="AZ75" i="139"/>
  <c r="BD75" i="139" s="1"/>
  <c r="BF75" i="139" s="1"/>
  <c r="AN74" i="139"/>
  <c r="BB74" i="139"/>
  <c r="AJ74" i="139"/>
  <c r="AX74" i="139"/>
  <c r="T74" i="139"/>
  <c r="AL74" i="139"/>
  <c r="AZ74" i="139"/>
  <c r="AN73" i="139"/>
  <c r="BB73" i="139"/>
  <c r="AJ73" i="139"/>
  <c r="AX73" i="139"/>
  <c r="T73" i="139"/>
  <c r="AL73" i="139"/>
  <c r="AN72" i="139"/>
  <c r="BB72" i="139"/>
  <c r="AJ72" i="139"/>
  <c r="AX72" i="139"/>
  <c r="T72" i="139"/>
  <c r="X72" i="139"/>
  <c r="AN71" i="139"/>
  <c r="BB71" i="139"/>
  <c r="AJ71" i="139"/>
  <c r="AX71" i="139"/>
  <c r="T71" i="139"/>
  <c r="X71" i="139"/>
  <c r="AN70" i="139"/>
  <c r="BB70" i="139"/>
  <c r="AJ70" i="139"/>
  <c r="AX70" i="139"/>
  <c r="T70" i="139"/>
  <c r="AN69" i="139"/>
  <c r="BB69" i="139"/>
  <c r="AJ69" i="139"/>
  <c r="AX69" i="139"/>
  <c r="T69" i="139"/>
  <c r="X69" i="139"/>
  <c r="AN68" i="139"/>
  <c r="BB68" i="139"/>
  <c r="AJ68" i="139"/>
  <c r="AX68" i="139"/>
  <c r="T68" i="139"/>
  <c r="AN67" i="139"/>
  <c r="BB67" i="139"/>
  <c r="AL67" i="139"/>
  <c r="AZ67" i="139"/>
  <c r="R67" i="139"/>
  <c r="AJ67" i="139"/>
  <c r="AX67" i="139"/>
  <c r="AN66" i="139"/>
  <c r="BB66" i="139"/>
  <c r="AJ66" i="139"/>
  <c r="AX66" i="139"/>
  <c r="T66" i="139"/>
  <c r="AL66" i="139"/>
  <c r="AZ66" i="139"/>
  <c r="AN65" i="139"/>
  <c r="BB65" i="139"/>
  <c r="AJ65" i="139"/>
  <c r="AX65" i="139"/>
  <c r="T65" i="139"/>
  <c r="AL65" i="139"/>
  <c r="AZ65" i="139"/>
  <c r="AN64" i="139"/>
  <c r="BB64" i="139"/>
  <c r="AJ64" i="139"/>
  <c r="AX64" i="139"/>
  <c r="T64" i="139"/>
  <c r="X64" i="139"/>
  <c r="AN63" i="139"/>
  <c r="BB63" i="139"/>
  <c r="AJ63" i="139"/>
  <c r="T63" i="139"/>
  <c r="X63" i="139"/>
  <c r="AN62" i="139"/>
  <c r="BB62" i="139"/>
  <c r="AJ62" i="139"/>
  <c r="AX62" i="139"/>
  <c r="T62" i="139"/>
  <c r="X62" i="139"/>
  <c r="AN61" i="139"/>
  <c r="BB61" i="139"/>
  <c r="AJ61" i="139"/>
  <c r="AX61" i="139"/>
  <c r="T61" i="139"/>
  <c r="AL61" i="139"/>
  <c r="AZ61" i="139"/>
  <c r="BD61" i="139" s="1"/>
  <c r="BF61" i="139" s="1"/>
  <c r="AN60" i="139"/>
  <c r="BB60" i="139"/>
  <c r="AJ60" i="139"/>
  <c r="AX60" i="139"/>
  <c r="T60" i="139"/>
  <c r="X60" i="139"/>
  <c r="AN59" i="139"/>
  <c r="BB59" i="139"/>
  <c r="AJ59" i="139"/>
  <c r="T59" i="139"/>
  <c r="X59" i="139"/>
  <c r="AN58" i="139"/>
  <c r="BB58" i="139"/>
  <c r="AJ58" i="139"/>
  <c r="AX58" i="139"/>
  <c r="T58" i="139"/>
  <c r="X58" i="139"/>
  <c r="AN57" i="139"/>
  <c r="BB57" i="139"/>
  <c r="AJ57" i="139"/>
  <c r="AX57" i="139"/>
  <c r="T57" i="139"/>
  <c r="AL57" i="139"/>
  <c r="AZ57" i="139"/>
  <c r="BD57" i="139" s="1"/>
  <c r="BF57" i="139" s="1"/>
  <c r="AN56" i="139"/>
  <c r="BB56" i="139"/>
  <c r="AJ56" i="139"/>
  <c r="AX56" i="139"/>
  <c r="T56" i="139"/>
  <c r="AL56" i="139"/>
  <c r="AZ56" i="139"/>
  <c r="AN55" i="139"/>
  <c r="BB55" i="139"/>
  <c r="AJ55" i="139"/>
  <c r="T55" i="139"/>
  <c r="X55" i="139"/>
  <c r="AN54" i="139"/>
  <c r="BB54" i="139"/>
  <c r="AJ54" i="139"/>
  <c r="AX54" i="139"/>
  <c r="T54" i="139"/>
  <c r="AL54" i="139"/>
  <c r="AP54" i="139"/>
  <c r="AN53" i="139"/>
  <c r="BB53" i="139"/>
  <c r="AJ53" i="139"/>
  <c r="AX53" i="139"/>
  <c r="T53" i="139"/>
  <c r="AL53" i="139"/>
  <c r="AZ53" i="139"/>
  <c r="AN52" i="139"/>
  <c r="BB52" i="139"/>
  <c r="AJ52" i="139"/>
  <c r="AX52" i="139"/>
  <c r="T52" i="139"/>
  <c r="AL52" i="139"/>
  <c r="AZ52" i="139"/>
  <c r="AN51" i="139"/>
  <c r="BB51" i="139"/>
  <c r="AJ51" i="139"/>
  <c r="T51" i="139"/>
  <c r="X51" i="139"/>
  <c r="AN50" i="139"/>
  <c r="BB50" i="139"/>
  <c r="AJ50" i="139"/>
  <c r="AX50" i="139"/>
  <c r="T50" i="139"/>
  <c r="AL50" i="139"/>
  <c r="AN49" i="139"/>
  <c r="BB49" i="139"/>
  <c r="AJ49" i="139"/>
  <c r="AX49" i="139"/>
  <c r="T49" i="139"/>
  <c r="AL49" i="139"/>
  <c r="AZ49" i="139"/>
  <c r="BD49" i="139" s="1"/>
  <c r="BF49" i="139" s="1"/>
  <c r="AN48" i="139"/>
  <c r="BB48" i="139"/>
  <c r="AJ48" i="139"/>
  <c r="AX48" i="139"/>
  <c r="T48" i="139"/>
  <c r="AL48" i="139"/>
  <c r="AZ48" i="139"/>
  <c r="AN47" i="139"/>
  <c r="BB47" i="139"/>
  <c r="AJ47" i="139"/>
  <c r="T47" i="139"/>
  <c r="X47" i="139"/>
  <c r="AN46" i="139"/>
  <c r="BB46" i="139"/>
  <c r="AJ46" i="139"/>
  <c r="AX46" i="139"/>
  <c r="T46" i="139"/>
  <c r="AL46" i="139"/>
  <c r="AN45" i="139"/>
  <c r="BB45" i="139"/>
  <c r="AJ45" i="139"/>
  <c r="AX45" i="139"/>
  <c r="T45" i="139"/>
  <c r="AL45" i="139"/>
  <c r="AZ45" i="139"/>
  <c r="BD45" i="139" s="1"/>
  <c r="BF45" i="139" s="1"/>
  <c r="AN44" i="139"/>
  <c r="BB44" i="139"/>
  <c r="AJ44" i="139"/>
  <c r="AX44" i="139"/>
  <c r="T44" i="139"/>
  <c r="X44" i="139"/>
  <c r="AN43" i="139"/>
  <c r="BB43" i="139"/>
  <c r="AJ43" i="139"/>
  <c r="T43" i="139"/>
  <c r="X43" i="139"/>
  <c r="AN42" i="139"/>
  <c r="BB42" i="139"/>
  <c r="AL42" i="139"/>
  <c r="AZ42" i="139"/>
  <c r="R42" i="139"/>
  <c r="AJ42" i="139"/>
  <c r="AX42" i="139"/>
  <c r="AN41" i="139"/>
  <c r="BB41" i="139"/>
  <c r="AJ41" i="139"/>
  <c r="AX41" i="139"/>
  <c r="T41" i="139"/>
  <c r="AN40" i="139"/>
  <c r="BB40" i="139"/>
  <c r="AJ40" i="139"/>
  <c r="AX40" i="139"/>
  <c r="T40" i="139"/>
  <c r="AL40" i="139"/>
  <c r="AZ40" i="139"/>
  <c r="BD40" i="139" s="1"/>
  <c r="BF40" i="139" s="1"/>
  <c r="AN39" i="139"/>
  <c r="BB39" i="139"/>
  <c r="AJ39" i="139"/>
  <c r="AX39" i="139"/>
  <c r="T39" i="139"/>
  <c r="AN38" i="139"/>
  <c r="BB38" i="139"/>
  <c r="AJ38" i="139"/>
  <c r="AX38" i="139"/>
  <c r="T38" i="139"/>
  <c r="AL38" i="139"/>
  <c r="AZ38" i="139"/>
  <c r="AN37" i="139"/>
  <c r="BB37" i="139"/>
  <c r="AJ37" i="139"/>
  <c r="AX37" i="139"/>
  <c r="T37" i="139"/>
  <c r="AL37" i="139"/>
  <c r="AZ37" i="139"/>
  <c r="AN36" i="139"/>
  <c r="BB36" i="139"/>
  <c r="AJ36" i="139"/>
  <c r="AX36" i="139"/>
  <c r="T36" i="139"/>
  <c r="AL36" i="139"/>
  <c r="AZ36" i="139"/>
  <c r="BD36" i="139" s="1"/>
  <c r="BF36" i="139" s="1"/>
  <c r="AN35" i="139"/>
  <c r="BB35" i="139"/>
  <c r="AJ35" i="139"/>
  <c r="T35" i="139"/>
  <c r="X35" i="139"/>
  <c r="A35" i="139"/>
  <c r="BI35" i="139"/>
  <c r="BI34" i="139"/>
  <c r="AV34" i="139"/>
  <c r="AV13" i="139"/>
  <c r="AT34" i="139"/>
  <c r="AT13" i="139" s="1"/>
  <c r="AT16" i="139" s="1"/>
  <c r="AR34" i="139"/>
  <c r="AR13" i="139"/>
  <c r="AF34" i="139"/>
  <c r="AD34" i="139"/>
  <c r="AD13" i="139"/>
  <c r="AB34" i="139"/>
  <c r="AB13" i="139"/>
  <c r="V34" i="139"/>
  <c r="V13" i="139"/>
  <c r="N34" i="139"/>
  <c r="N13" i="139"/>
  <c r="L34" i="139"/>
  <c r="L13" i="139"/>
  <c r="J34" i="139"/>
  <c r="J13" i="139"/>
  <c r="H34" i="139"/>
  <c r="H13" i="139"/>
  <c r="AN30" i="139"/>
  <c r="BB30" i="139"/>
  <c r="AL30" i="139"/>
  <c r="AZ30" i="139"/>
  <c r="AJ30" i="139"/>
  <c r="AX30" i="139"/>
  <c r="X30" i="139"/>
  <c r="AN29" i="139"/>
  <c r="BB29" i="139"/>
  <c r="AL29" i="139"/>
  <c r="AZ29" i="139"/>
  <c r="AJ29" i="139"/>
  <c r="AX29" i="139"/>
  <c r="X29" i="139"/>
  <c r="AN28" i="139"/>
  <c r="BB28" i="139"/>
  <c r="AL28" i="139"/>
  <c r="AZ28" i="139"/>
  <c r="R28" i="139"/>
  <c r="X28" i="139"/>
  <c r="AN27" i="139"/>
  <c r="BB27" i="139"/>
  <c r="AL27" i="139"/>
  <c r="AZ27" i="139"/>
  <c r="R27" i="139"/>
  <c r="AJ27" i="139"/>
  <c r="AX27" i="139"/>
  <c r="BD27" i="139" s="1"/>
  <c r="BF27" i="139" s="1"/>
  <c r="AN26" i="139"/>
  <c r="BB26" i="139"/>
  <c r="AL26" i="139"/>
  <c r="AZ26" i="139"/>
  <c r="R26" i="139"/>
  <c r="X26" i="139"/>
  <c r="A26" i="139"/>
  <c r="BI26" i="139"/>
  <c r="BI25" i="139"/>
  <c r="AV25" i="139"/>
  <c r="AV12" i="139"/>
  <c r="AT25" i="139"/>
  <c r="AT12" i="139"/>
  <c r="AR25" i="139"/>
  <c r="AR12" i="139" s="1"/>
  <c r="AF25" i="139"/>
  <c r="AF12" i="139"/>
  <c r="AD25" i="139"/>
  <c r="AD12" i="139"/>
  <c r="AB25" i="139"/>
  <c r="AB12" i="139"/>
  <c r="V25" i="139"/>
  <c r="V12" i="139"/>
  <c r="T25" i="139"/>
  <c r="T12" i="139"/>
  <c r="N25" i="139"/>
  <c r="N12" i="139"/>
  <c r="L25" i="139"/>
  <c r="L12" i="139"/>
  <c r="J25" i="139"/>
  <c r="J12" i="139"/>
  <c r="H12" i="139"/>
  <c r="BD21" i="139"/>
  <c r="AP21" i="139"/>
  <c r="X21" i="139"/>
  <c r="BD20" i="139"/>
  <c r="AP20" i="139"/>
  <c r="X20" i="139"/>
  <c r="AV19" i="139"/>
  <c r="AR19" i="139"/>
  <c r="V19" i="139"/>
  <c r="H19" i="139"/>
  <c r="AV15" i="139"/>
  <c r="AR15" i="139"/>
  <c r="AN15" i="139"/>
  <c r="AB15" i="139"/>
  <c r="V15" i="139"/>
  <c r="T15" i="139"/>
  <c r="L15" i="139"/>
  <c r="J15" i="139"/>
  <c r="AT14" i="139"/>
  <c r="AB14" i="139"/>
  <c r="R14" i="139"/>
  <c r="L14" i="139"/>
  <c r="H14" i="139"/>
  <c r="AF13" i="139"/>
  <c r="BI12" i="139"/>
  <c r="BF10" i="139"/>
  <c r="R116" i="139"/>
  <c r="R19" i="139"/>
  <c r="AL37" i="140"/>
  <c r="AZ37" i="140"/>
  <c r="BD63" i="140"/>
  <c r="AP109" i="140"/>
  <c r="X116" i="140"/>
  <c r="AP62" i="140"/>
  <c r="BD75" i="140"/>
  <c r="X78" i="140"/>
  <c r="X83" i="140"/>
  <c r="R25" i="140"/>
  <c r="R12" i="140"/>
  <c r="X27" i="140"/>
  <c r="AJ28" i="140"/>
  <c r="AP28" i="140"/>
  <c r="AL43" i="140"/>
  <c r="AP43" i="140"/>
  <c r="AL44" i="140"/>
  <c r="AZ44" i="140"/>
  <c r="X58" i="140"/>
  <c r="X59" i="140"/>
  <c r="AL61" i="140"/>
  <c r="AZ61" i="140"/>
  <c r="X66" i="140"/>
  <c r="V93" i="140"/>
  <c r="V14" i="140"/>
  <c r="AX66" i="140"/>
  <c r="BD66" i="140"/>
  <c r="BF66" i="140"/>
  <c r="AP66" i="140"/>
  <c r="X15" i="140"/>
  <c r="L16" i="140"/>
  <c r="L22" i="140"/>
  <c r="AT16" i="140"/>
  <c r="AT22" i="140"/>
  <c r="T16" i="140"/>
  <c r="AL25" i="140"/>
  <c r="AL12" i="140"/>
  <c r="BD37" i="140"/>
  <c r="BF37" i="140"/>
  <c r="X38" i="140"/>
  <c r="AL65" i="140"/>
  <c r="AZ65" i="140"/>
  <c r="X70" i="140"/>
  <c r="AL73" i="140"/>
  <c r="AZ73" i="140"/>
  <c r="AL85" i="140"/>
  <c r="AP85" i="140"/>
  <c r="J16" i="140"/>
  <c r="J22" i="140"/>
  <c r="BD38" i="140"/>
  <c r="BF38" i="140"/>
  <c r="AL39" i="140"/>
  <c r="AZ39" i="140"/>
  <c r="AL40" i="140"/>
  <c r="AZ40" i="140"/>
  <c r="BD70" i="140"/>
  <c r="BF70" i="140"/>
  <c r="AL89" i="140"/>
  <c r="AP89" i="140"/>
  <c r="BD73" i="140"/>
  <c r="AR16" i="140"/>
  <c r="AR22" i="140"/>
  <c r="AL52" i="140"/>
  <c r="AZ52" i="140"/>
  <c r="BD52" i="140"/>
  <c r="BF52" i="140"/>
  <c r="AL57" i="140"/>
  <c r="AZ57" i="140"/>
  <c r="AP58" i="140"/>
  <c r="X62" i="140"/>
  <c r="X63" i="140"/>
  <c r="AL76" i="140"/>
  <c r="AP76" i="140"/>
  <c r="AL77" i="140"/>
  <c r="AZ77" i="140"/>
  <c r="AL80" i="140"/>
  <c r="AZ80" i="140"/>
  <c r="BD80" i="140"/>
  <c r="BF80" i="140"/>
  <c r="AZ81" i="140"/>
  <c r="AP81" i="140"/>
  <c r="AZ87" i="140"/>
  <c r="AP87" i="140"/>
  <c r="AZ49" i="140"/>
  <c r="BD49" i="140"/>
  <c r="BF49" i="140"/>
  <c r="AP49" i="140"/>
  <c r="AZ74" i="140"/>
  <c r="BD74" i="140"/>
  <c r="BF74" i="140"/>
  <c r="AP74" i="140"/>
  <c r="AP83" i="140"/>
  <c r="AZ83" i="140"/>
  <c r="AB16" i="140"/>
  <c r="AB22" i="140"/>
  <c r="X13" i="140"/>
  <c r="BD78" i="140"/>
  <c r="BF78" i="140"/>
  <c r="A27" i="140"/>
  <c r="A28" i="140"/>
  <c r="A29" i="140"/>
  <c r="X41" i="140"/>
  <c r="X45" i="140"/>
  <c r="X53" i="140"/>
  <c r="X74" i="140"/>
  <c r="AP78" i="140"/>
  <c r="X81" i="140"/>
  <c r="BD83" i="140"/>
  <c r="BF83" i="140"/>
  <c r="X87" i="140"/>
  <c r="X97" i="140"/>
  <c r="X101" i="140"/>
  <c r="AP111" i="140"/>
  <c r="AP116" i="140"/>
  <c r="X14" i="140"/>
  <c r="N16" i="140"/>
  <c r="N22" i="140"/>
  <c r="AF16" i="140"/>
  <c r="AF22" i="140"/>
  <c r="A14" i="140"/>
  <c r="BI14" i="140"/>
  <c r="AD16" i="140"/>
  <c r="AD22" i="140"/>
  <c r="A35" i="140"/>
  <c r="AJ41" i="140"/>
  <c r="AP45" i="140"/>
  <c r="X46" i="140"/>
  <c r="BD53" i="140"/>
  <c r="BF53" i="140"/>
  <c r="X54" i="140"/>
  <c r="X79" i="140"/>
  <c r="BD81" i="140"/>
  <c r="BF81" i="140"/>
  <c r="BD87" i="140"/>
  <c r="BF87" i="140"/>
  <c r="X94" i="140"/>
  <c r="BD97" i="140"/>
  <c r="BF97" i="140"/>
  <c r="X99" i="140"/>
  <c r="AZ109" i="140"/>
  <c r="BB115" i="140"/>
  <c r="BB19" i="140"/>
  <c r="V16" i="140"/>
  <c r="V22" i="140"/>
  <c r="AV16" i="140"/>
  <c r="AV22" i="140"/>
  <c r="AP29" i="140"/>
  <c r="AP30" i="140"/>
  <c r="BD42" i="140"/>
  <c r="BF42" i="140"/>
  <c r="BD46" i="140"/>
  <c r="BF46" i="140"/>
  <c r="AP48" i="140"/>
  <c r="BD54" i="140"/>
  <c r="BF54" i="140"/>
  <c r="AL55" i="140"/>
  <c r="AZ55" i="140"/>
  <c r="BD55" i="140"/>
  <c r="BF55" i="140"/>
  <c r="AL56" i="140"/>
  <c r="AZ56" i="140"/>
  <c r="AL60" i="140"/>
  <c r="AZ60" i="140"/>
  <c r="BD60" i="140"/>
  <c r="BF60" i="140"/>
  <c r="AL64" i="140"/>
  <c r="AZ64" i="140"/>
  <c r="BD64" i="140"/>
  <c r="BF64" i="140"/>
  <c r="AL69" i="140"/>
  <c r="AZ69" i="140"/>
  <c r="AP70" i="140"/>
  <c r="AP73" i="140"/>
  <c r="BD79" i="140"/>
  <c r="BF79" i="140"/>
  <c r="AZ85" i="140"/>
  <c r="BD85" i="140"/>
  <c r="BF85" i="140"/>
  <c r="BD99" i="140"/>
  <c r="X107" i="140"/>
  <c r="AZ111" i="140"/>
  <c r="BD111" i="140"/>
  <c r="BF112" i="140"/>
  <c r="AP113" i="140"/>
  <c r="AZ116" i="140"/>
  <c r="BD118" i="140"/>
  <c r="BD120" i="140"/>
  <c r="AP46" i="139"/>
  <c r="AL69" i="139"/>
  <c r="AZ69" i="139"/>
  <c r="BD69" i="139"/>
  <c r="BF69" i="139" s="1"/>
  <c r="AL71" i="139"/>
  <c r="AZ71" i="139"/>
  <c r="BD71" i="139"/>
  <c r="BF71" i="139" s="1"/>
  <c r="AL77" i="139"/>
  <c r="AL79" i="139"/>
  <c r="AZ79" i="139"/>
  <c r="BD79" i="139" s="1"/>
  <c r="BF79" i="139" s="1"/>
  <c r="X85" i="139"/>
  <c r="AP77" i="139"/>
  <c r="AJ28" i="139"/>
  <c r="AX28" i="139"/>
  <c r="BD28" i="139" s="1"/>
  <c r="BF28" i="139" s="1"/>
  <c r="X46" i="139"/>
  <c r="X48" i="139"/>
  <c r="X54" i="139"/>
  <c r="X56" i="139"/>
  <c r="X40" i="139"/>
  <c r="X67" i="139"/>
  <c r="AL94" i="139"/>
  <c r="AL14" i="139"/>
  <c r="AP120" i="139"/>
  <c r="AN34" i="139"/>
  <c r="AN13" i="139"/>
  <c r="X90" i="139"/>
  <c r="BD105" i="139"/>
  <c r="BF105" i="139" s="1"/>
  <c r="AP50" i="139"/>
  <c r="AL62" i="139"/>
  <c r="AP62" i="139"/>
  <c r="AL64" i="139"/>
  <c r="AZ64" i="139"/>
  <c r="BD64" i="139" s="1"/>
  <c r="BF64" i="139" s="1"/>
  <c r="AP73" i="139"/>
  <c r="AL87" i="139"/>
  <c r="AP87" i="139"/>
  <c r="X96" i="139"/>
  <c r="X101" i="139"/>
  <c r="AP111" i="139"/>
  <c r="T34" i="139"/>
  <c r="T13" i="139"/>
  <c r="T16" i="139"/>
  <c r="AP56" i="139"/>
  <c r="BD110" i="139"/>
  <c r="BF111" i="139"/>
  <c r="A118" i="139"/>
  <c r="BI118" i="139"/>
  <c r="A14" i="139"/>
  <c r="A15" i="139"/>
  <c r="N16" i="139"/>
  <c r="N22" i="139"/>
  <c r="AD16" i="139"/>
  <c r="AD22" i="139"/>
  <c r="X82" i="139"/>
  <c r="BI95" i="139"/>
  <c r="AN99" i="139"/>
  <c r="BB99" i="139"/>
  <c r="X120" i="139"/>
  <c r="A110" i="139"/>
  <c r="A111" i="139"/>
  <c r="A112" i="139"/>
  <c r="H16" i="140"/>
  <c r="H22" i="140"/>
  <c r="BB34" i="139"/>
  <c r="BB13" i="139"/>
  <c r="AF16" i="139"/>
  <c r="AF22" i="139"/>
  <c r="A27" i="139"/>
  <c r="A28" i="139"/>
  <c r="A29" i="139"/>
  <c r="AJ34" i="139"/>
  <c r="AJ13" i="139"/>
  <c r="X36" i="139"/>
  <c r="X38" i="139"/>
  <c r="AP38" i="139"/>
  <c r="AL44" i="139"/>
  <c r="AZ44" i="139"/>
  <c r="BD44" i="139" s="1"/>
  <c r="BF44" i="139" s="1"/>
  <c r="BD48" i="139"/>
  <c r="BF48" i="139" s="1"/>
  <c r="X50" i="139"/>
  <c r="X52" i="139"/>
  <c r="AP52" i="139"/>
  <c r="AL58" i="139"/>
  <c r="AP58" i="139"/>
  <c r="AL60" i="139"/>
  <c r="AZ60" i="139"/>
  <c r="BD60" i="139" s="1"/>
  <c r="BF60" i="139" s="1"/>
  <c r="X66" i="139"/>
  <c r="BD67" i="139"/>
  <c r="BF67" i="139"/>
  <c r="X73" i="139"/>
  <c r="X75" i="139"/>
  <c r="AP75" i="139"/>
  <c r="X81" i="139"/>
  <c r="AL83" i="139"/>
  <c r="AZ83" i="139"/>
  <c r="BD83" i="139" s="1"/>
  <c r="BF83" i="139" s="1"/>
  <c r="AL89" i="139"/>
  <c r="AZ89" i="139"/>
  <c r="BD89" i="139"/>
  <c r="BF89" i="139" s="1"/>
  <c r="X91" i="139"/>
  <c r="X100" i="139"/>
  <c r="X105" i="139"/>
  <c r="AL108" i="139"/>
  <c r="AL15" i="139"/>
  <c r="X109" i="139"/>
  <c r="X108" i="139"/>
  <c r="AP110" i="139"/>
  <c r="BD113" i="139"/>
  <c r="BB116" i="139"/>
  <c r="BB19" i="139"/>
  <c r="AN116" i="139"/>
  <c r="AN19" i="139"/>
  <c r="AJ119" i="139"/>
  <c r="AP119" i="139"/>
  <c r="AZ94" i="139"/>
  <c r="AZ14" i="139"/>
  <c r="L16" i="139"/>
  <c r="L22" i="139"/>
  <c r="AB16" i="139"/>
  <c r="AB22" i="139"/>
  <c r="X27" i="139"/>
  <c r="X25" i="139"/>
  <c r="R34" i="139"/>
  <c r="R13" i="139"/>
  <c r="X13" i="139"/>
  <c r="A36" i="139"/>
  <c r="A37" i="139"/>
  <c r="BI37" i="139"/>
  <c r="X42" i="139"/>
  <c r="BD53" i="139"/>
  <c r="BF53" i="139" s="1"/>
  <c r="BD78" i="139"/>
  <c r="BF78" i="139"/>
  <c r="X86" i="139"/>
  <c r="BD96" i="139"/>
  <c r="BF96" i="139" s="1"/>
  <c r="X97" i="139"/>
  <c r="AP101" i="139"/>
  <c r="X102" i="139"/>
  <c r="X104" i="139"/>
  <c r="BD111" i="139"/>
  <c r="BF112" i="139"/>
  <c r="AP112" i="139"/>
  <c r="X117" i="139"/>
  <c r="AP121" i="139"/>
  <c r="J16" i="139"/>
  <c r="J22" i="139"/>
  <c r="AN25" i="139"/>
  <c r="AN12" i="139"/>
  <c r="BB25" i="139"/>
  <c r="BB12" i="139"/>
  <c r="AP40" i="139"/>
  <c r="AP48" i="139"/>
  <c r="AP86" i="139"/>
  <c r="BD112" i="139"/>
  <c r="BF113" i="139"/>
  <c r="AP113" i="139"/>
  <c r="H16" i="139"/>
  <c r="H22" i="139"/>
  <c r="AX27" i="140"/>
  <c r="AP27" i="140"/>
  <c r="AZ35" i="140"/>
  <c r="BD35" i="140"/>
  <c r="BF35" i="140"/>
  <c r="AP35" i="140"/>
  <c r="X12" i="140"/>
  <c r="BD50" i="140"/>
  <c r="BF50" i="140"/>
  <c r="AX30" i="140"/>
  <c r="BD30" i="140"/>
  <c r="BF30" i="140"/>
  <c r="AP50" i="140"/>
  <c r="BF59" i="140"/>
  <c r="BF63" i="140"/>
  <c r="AP65" i="140"/>
  <c r="AX65" i="140"/>
  <c r="AP67" i="140"/>
  <c r="AL71" i="140"/>
  <c r="X71" i="140"/>
  <c r="BF75" i="140"/>
  <c r="X26" i="140"/>
  <c r="X25" i="140"/>
  <c r="X35" i="140"/>
  <c r="AL36" i="140"/>
  <c r="AZ36" i="140"/>
  <c r="AP37" i="140"/>
  <c r="AP38" i="140"/>
  <c r="AX40" i="140"/>
  <c r="BD40" i="140"/>
  <c r="BF40" i="140"/>
  <c r="AL47" i="140"/>
  <c r="X50" i="140"/>
  <c r="AP53" i="140"/>
  <c r="AP54" i="140"/>
  <c r="AX58" i="140"/>
  <c r="BD58" i="140"/>
  <c r="BF58" i="140"/>
  <c r="AX62" i="140"/>
  <c r="BD62" i="140"/>
  <c r="BF62" i="140"/>
  <c r="X67" i="140"/>
  <c r="X72" i="140"/>
  <c r="AL72" i="140"/>
  <c r="AZ27" i="140"/>
  <c r="AZ25" i="140"/>
  <c r="AZ12" i="140"/>
  <c r="AX28" i="140"/>
  <c r="BD28" i="140"/>
  <c r="BF28" i="140"/>
  <c r="AJ26" i="140"/>
  <c r="AJ33" i="140"/>
  <c r="AJ13" i="140"/>
  <c r="AZ34" i="140"/>
  <c r="AP34" i="140"/>
  <c r="BD39" i="140"/>
  <c r="BF39" i="140"/>
  <c r="AP42" i="140"/>
  <c r="BD44" i="140"/>
  <c r="BF44" i="140"/>
  <c r="AL51" i="140"/>
  <c r="AX56" i="140"/>
  <c r="BD56" i="140"/>
  <c r="BF56" i="140"/>
  <c r="AP56" i="140"/>
  <c r="BD67" i="140"/>
  <c r="BF67" i="140"/>
  <c r="X68" i="140"/>
  <c r="AL68" i="140"/>
  <c r="AZ68" i="140"/>
  <c r="BD68" i="140"/>
  <c r="BF68" i="140"/>
  <c r="BF73" i="140"/>
  <c r="X82" i="140"/>
  <c r="AL82" i="140"/>
  <c r="AZ82" i="140"/>
  <c r="AL84" i="140"/>
  <c r="AZ84" i="140"/>
  <c r="X84" i="140"/>
  <c r="BB94" i="140"/>
  <c r="BD94" i="140"/>
  <c r="AP94" i="140"/>
  <c r="X96" i="140"/>
  <c r="AN96" i="140"/>
  <c r="BB96" i="140"/>
  <c r="AP101" i="140"/>
  <c r="AZ101" i="140"/>
  <c r="AZ93" i="140"/>
  <c r="AZ14" i="140"/>
  <c r="A109" i="140"/>
  <c r="BI108" i="140"/>
  <c r="AP110" i="140"/>
  <c r="AZ110" i="140"/>
  <c r="BD110" i="140"/>
  <c r="BF111" i="140"/>
  <c r="BF120" i="140"/>
  <c r="BF119" i="140"/>
  <c r="BF118" i="140"/>
  <c r="AX29" i="140"/>
  <c r="BD29" i="140"/>
  <c r="BF29" i="140"/>
  <c r="BB33" i="140"/>
  <c r="BB13" i="140"/>
  <c r="AX45" i="140"/>
  <c r="BD45" i="140"/>
  <c r="BF45" i="140"/>
  <c r="AX57" i="140"/>
  <c r="AX61" i="140"/>
  <c r="BD61" i="140"/>
  <c r="BF61" i="140"/>
  <c r="AN33" i="140"/>
  <c r="AN13" i="140"/>
  <c r="X34" i="140"/>
  <c r="AX36" i="140"/>
  <c r="AP39" i="140"/>
  <c r="X42" i="140"/>
  <c r="AP44" i="140"/>
  <c r="AP46" i="140"/>
  <c r="AX48" i="140"/>
  <c r="BD48" i="140"/>
  <c r="BF48" i="140"/>
  <c r="AX69" i="140"/>
  <c r="BD96" i="140"/>
  <c r="BF96" i="140"/>
  <c r="X100" i="140"/>
  <c r="AN100" i="140"/>
  <c r="BB100" i="140"/>
  <c r="BD100" i="140"/>
  <c r="BF100" i="140"/>
  <c r="AP103" i="140"/>
  <c r="AX117" i="140"/>
  <c r="AP75" i="140"/>
  <c r="BD77" i="140"/>
  <c r="BF77" i="140"/>
  <c r="AP82" i="140"/>
  <c r="AX82" i="140"/>
  <c r="AX84" i="140"/>
  <c r="BF99" i="140"/>
  <c r="AX102" i="140"/>
  <c r="BD109" i="140"/>
  <c r="AP118" i="140"/>
  <c r="AP59" i="140"/>
  <c r="AP63" i="140"/>
  <c r="X75" i="140"/>
  <c r="AP77" i="140"/>
  <c r="AP79" i="140"/>
  <c r="BI95" i="140"/>
  <c r="A97" i="140"/>
  <c r="BD103" i="140"/>
  <c r="BF103" i="140"/>
  <c r="AZ108" i="140"/>
  <c r="AL107" i="140"/>
  <c r="AL15" i="140"/>
  <c r="AP112" i="140"/>
  <c r="AZ112" i="140"/>
  <c r="BD112" i="140"/>
  <c r="AP60" i="140"/>
  <c r="AP64" i="140"/>
  <c r="AL88" i="140"/>
  <c r="AZ88" i="140"/>
  <c r="BD88" i="140"/>
  <c r="BF88" i="140"/>
  <c r="X88" i="140"/>
  <c r="AN95" i="140"/>
  <c r="BB95" i="140"/>
  <c r="BD95" i="140"/>
  <c r="BF95" i="140"/>
  <c r="AP97" i="140"/>
  <c r="AL93" i="140"/>
  <c r="AL14" i="140"/>
  <c r="AP99" i="140"/>
  <c r="AN104" i="140"/>
  <c r="BB104" i="140"/>
  <c r="BD104" i="140"/>
  <c r="BF104" i="140"/>
  <c r="AX108" i="140"/>
  <c r="AJ107" i="140"/>
  <c r="AJ15" i="140"/>
  <c r="AP108" i="140"/>
  <c r="BD116" i="140"/>
  <c r="BI116" i="140"/>
  <c r="AJ119" i="140"/>
  <c r="AJ115" i="140"/>
  <c r="AJ19" i="140"/>
  <c r="X119" i="140"/>
  <c r="X115" i="140"/>
  <c r="AP80" i="140"/>
  <c r="A118" i="140"/>
  <c r="BI117" i="140"/>
  <c r="AL86" i="140"/>
  <c r="AZ86" i="140"/>
  <c r="BD86" i="140"/>
  <c r="BF86" i="140"/>
  <c r="AL90" i="140"/>
  <c r="AZ90" i="140"/>
  <c r="BD90" i="140"/>
  <c r="BF90" i="140"/>
  <c r="AJ93" i="140"/>
  <c r="AJ14" i="140"/>
  <c r="AP100" i="140"/>
  <c r="T115" i="140"/>
  <c r="T19" i="140"/>
  <c r="X19" i="140"/>
  <c r="AN115" i="140"/>
  <c r="AN19" i="140"/>
  <c r="AL117" i="140"/>
  <c r="AP117" i="140"/>
  <c r="AP120" i="140"/>
  <c r="BI94" i="140"/>
  <c r="AN98" i="140"/>
  <c r="BB98" i="140"/>
  <c r="BD98" i="140"/>
  <c r="BF98" i="140"/>
  <c r="AN102" i="140"/>
  <c r="BB102" i="140"/>
  <c r="AZ25" i="139"/>
  <c r="AZ12" i="139"/>
  <c r="BI14" i="139"/>
  <c r="BD29" i="139"/>
  <c r="BF29" i="139"/>
  <c r="BD30" i="139"/>
  <c r="BF30" i="139"/>
  <c r="BI28" i="139"/>
  <c r="BD37" i="139"/>
  <c r="BF37" i="139" s="1"/>
  <c r="BD38" i="139"/>
  <c r="BF38" i="139" s="1"/>
  <c r="BI13" i="139"/>
  <c r="AJ26" i="139"/>
  <c r="AP27" i="139"/>
  <c r="AX35" i="139"/>
  <c r="AP36" i="139"/>
  <c r="BD56" i="139"/>
  <c r="BF56" i="139" s="1"/>
  <c r="R25" i="139"/>
  <c r="R12" i="139"/>
  <c r="AL25" i="139"/>
  <c r="AL12" i="139"/>
  <c r="AP28" i="139"/>
  <c r="AP29" i="139"/>
  <c r="AP30" i="139"/>
  <c r="AL35" i="139"/>
  <c r="X37" i="139"/>
  <c r="AP37" i="139"/>
  <c r="BD42" i="139"/>
  <c r="BF42" i="139"/>
  <c r="AP42" i="139"/>
  <c r="X39" i="139"/>
  <c r="AL39" i="139"/>
  <c r="AZ39" i="139"/>
  <c r="BD39" i="139" s="1"/>
  <c r="BF39" i="139" s="1"/>
  <c r="AL41" i="139"/>
  <c r="AZ41" i="139"/>
  <c r="BD41" i="139" s="1"/>
  <c r="BF41" i="139" s="1"/>
  <c r="X41" i="139"/>
  <c r="BF121" i="139"/>
  <c r="BF119" i="139"/>
  <c r="BF120" i="139"/>
  <c r="BD52" i="139"/>
  <c r="BF52" i="139" s="1"/>
  <c r="BD65" i="139"/>
  <c r="BF65" i="139" s="1"/>
  <c r="AX43" i="139"/>
  <c r="AZ46" i="139"/>
  <c r="BD46" i="139" s="1"/>
  <c r="BF46" i="139" s="1"/>
  <c r="AX47" i="139"/>
  <c r="AZ50" i="139"/>
  <c r="BD50" i="139" s="1"/>
  <c r="BF50" i="139" s="1"/>
  <c r="AX51" i="139"/>
  <c r="AZ54" i="139"/>
  <c r="BD54" i="139" s="1"/>
  <c r="BF54" i="139" s="1"/>
  <c r="AX55" i="139"/>
  <c r="AX59" i="139"/>
  <c r="AX63" i="139"/>
  <c r="AP102" i="139"/>
  <c r="BB102" i="139"/>
  <c r="BD102" i="139" s="1"/>
  <c r="BF102" i="139" s="1"/>
  <c r="AL43" i="139"/>
  <c r="AZ43" i="139"/>
  <c r="BD43" i="139" s="1"/>
  <c r="BF43" i="139" s="1"/>
  <c r="X45" i="139"/>
  <c r="AP45" i="139"/>
  <c r="AL47" i="139"/>
  <c r="AZ47" i="139"/>
  <c r="X49" i="139"/>
  <c r="AP49" i="139"/>
  <c r="AL51" i="139"/>
  <c r="AZ51" i="139"/>
  <c r="X53" i="139"/>
  <c r="AP53" i="139"/>
  <c r="AL55" i="139"/>
  <c r="AZ55" i="139"/>
  <c r="BD55" i="139" s="1"/>
  <c r="BF55" i="139" s="1"/>
  <c r="X57" i="139"/>
  <c r="AP57" i="139"/>
  <c r="AL59" i="139"/>
  <c r="AZ59" i="139"/>
  <c r="X61" i="139"/>
  <c r="AP61" i="139"/>
  <c r="AL63" i="139"/>
  <c r="AZ63" i="139"/>
  <c r="BD63" i="139" s="1"/>
  <c r="BF63" i="139" s="1"/>
  <c r="X65" i="139"/>
  <c r="AP65" i="139"/>
  <c r="BD66" i="139"/>
  <c r="BF66" i="139" s="1"/>
  <c r="AP67" i="139"/>
  <c r="X68" i="139"/>
  <c r="AL68" i="139"/>
  <c r="AZ68" i="139"/>
  <c r="BD68" i="139" s="1"/>
  <c r="BF68" i="139" s="1"/>
  <c r="AL70" i="139"/>
  <c r="AZ70" i="139"/>
  <c r="BD70" i="139" s="1"/>
  <c r="BF70" i="139" s="1"/>
  <c r="X70" i="139"/>
  <c r="A98" i="139"/>
  <c r="BI96" i="139"/>
  <c r="BB95" i="139"/>
  <c r="BD95" i="139" s="1"/>
  <c r="BF95" i="139" s="1"/>
  <c r="AP66" i="139"/>
  <c r="BD74" i="139"/>
  <c r="BF74" i="139" s="1"/>
  <c r="BD81" i="139"/>
  <c r="BF81" i="139" s="1"/>
  <c r="BD91" i="139"/>
  <c r="BF91" i="139" s="1"/>
  <c r="AL72" i="139"/>
  <c r="AZ72" i="139"/>
  <c r="BD72" i="139" s="1"/>
  <c r="BF72" i="139" s="1"/>
  <c r="X74" i="139"/>
  <c r="AP74" i="139"/>
  <c r="AL76" i="139"/>
  <c r="AZ76" i="139"/>
  <c r="BD76" i="139" s="1"/>
  <c r="BF76" i="139" s="1"/>
  <c r="X78" i="139"/>
  <c r="AP78" i="139"/>
  <c r="AP81" i="139"/>
  <c r="AJ94" i="139"/>
  <c r="AJ14" i="139"/>
  <c r="AP95" i="139"/>
  <c r="AP100" i="139"/>
  <c r="BI111" i="139"/>
  <c r="AZ73" i="139"/>
  <c r="BD73" i="139" s="1"/>
  <c r="BF73" i="139" s="1"/>
  <c r="AZ77" i="139"/>
  <c r="BD77" i="139" s="1"/>
  <c r="BF77" i="139" s="1"/>
  <c r="AL84" i="139"/>
  <c r="AZ84" i="139"/>
  <c r="BD84" i="139" s="1"/>
  <c r="BF84" i="139" s="1"/>
  <c r="AP91" i="139"/>
  <c r="AP96" i="139"/>
  <c r="AN98" i="139"/>
  <c r="AP104" i="139"/>
  <c r="BB108" i="139"/>
  <c r="BB15" i="139"/>
  <c r="X118" i="139"/>
  <c r="AL118" i="139"/>
  <c r="T116" i="139"/>
  <c r="T19" i="139"/>
  <c r="X19" i="139"/>
  <c r="AX120" i="139"/>
  <c r="BD120" i="139"/>
  <c r="AP82" i="139"/>
  <c r="AP85" i="139"/>
  <c r="AP90" i="139"/>
  <c r="AX100" i="139"/>
  <c r="BD100" i="139"/>
  <c r="BF100" i="139" s="1"/>
  <c r="AN103" i="139"/>
  <c r="BB103" i="139"/>
  <c r="BD103" i="139" s="1"/>
  <c r="BF103" i="139" s="1"/>
  <c r="AX109" i="139"/>
  <c r="AJ108" i="139"/>
  <c r="AJ15" i="139"/>
  <c r="AP109" i="139"/>
  <c r="AZ117" i="139"/>
  <c r="AZ116" i="139" s="1"/>
  <c r="AZ19" i="139" s="1"/>
  <c r="BD19" i="139" s="1"/>
  <c r="AP117" i="139"/>
  <c r="AL80" i="139"/>
  <c r="AZ80" i="139"/>
  <c r="BD80" i="139" s="1"/>
  <c r="BF80" i="139" s="1"/>
  <c r="AL88" i="139"/>
  <c r="AZ88" i="139"/>
  <c r="BD88" i="139" s="1"/>
  <c r="BF88" i="139" s="1"/>
  <c r="X95" i="139"/>
  <c r="V94" i="139"/>
  <c r="V14" i="139"/>
  <c r="V16" i="139"/>
  <c r="V22" i="139"/>
  <c r="AP97" i="139"/>
  <c r="BD104" i="139"/>
  <c r="BF104" i="139" s="1"/>
  <c r="AP105" i="139"/>
  <c r="AX121" i="139"/>
  <c r="BD121" i="139"/>
  <c r="AX99" i="139"/>
  <c r="AX103" i="139"/>
  <c r="R108" i="139"/>
  <c r="R15" i="139"/>
  <c r="X15" i="139"/>
  <c r="AP114" i="139"/>
  <c r="X116" i="139"/>
  <c r="AP69" i="139"/>
  <c r="BF110" i="139"/>
  <c r="AP71" i="139"/>
  <c r="AP89" i="139"/>
  <c r="AP79" i="139"/>
  <c r="AP44" i="139"/>
  <c r="AZ62" i="139"/>
  <c r="BD62" i="139"/>
  <c r="BF62" i="139" s="1"/>
  <c r="AP61" i="140"/>
  <c r="BI13" i="140"/>
  <c r="AP52" i="140"/>
  <c r="A15" i="140"/>
  <c r="BI15" i="140"/>
  <c r="AP95" i="140"/>
  <c r="AP104" i="140"/>
  <c r="AZ43" i="140"/>
  <c r="BD43" i="140"/>
  <c r="BF43" i="140"/>
  <c r="BD65" i="140"/>
  <c r="BF65" i="140"/>
  <c r="AP102" i="140"/>
  <c r="AP55" i="140"/>
  <c r="BD57" i="140"/>
  <c r="BF57" i="140"/>
  <c r="AP96" i="140"/>
  <c r="AP93" i="140"/>
  <c r="AP57" i="140"/>
  <c r="AZ76" i="140"/>
  <c r="BD76" i="140"/>
  <c r="BF76" i="140"/>
  <c r="X93" i="140"/>
  <c r="AP40" i="140"/>
  <c r="BI27" i="140"/>
  <c r="AZ89" i="140"/>
  <c r="BD89" i="140"/>
  <c r="BF89" i="140"/>
  <c r="AP69" i="140"/>
  <c r="BI35" i="140"/>
  <c r="A36" i="140"/>
  <c r="BD84" i="140"/>
  <c r="BF84" i="140"/>
  <c r="AP84" i="140"/>
  <c r="BD69" i="140"/>
  <c r="BF69" i="140"/>
  <c r="BI28" i="140"/>
  <c r="AP88" i="140"/>
  <c r="AP15" i="140"/>
  <c r="AP98" i="140"/>
  <c r="AP68" i="140"/>
  <c r="BD101" i="140"/>
  <c r="BF101" i="140"/>
  <c r="BD102" i="140"/>
  <c r="BF102" i="140"/>
  <c r="BD82" i="140"/>
  <c r="BF82" i="140"/>
  <c r="AX41" i="140"/>
  <c r="BD41" i="140"/>
  <c r="BF41" i="140"/>
  <c r="AP41" i="140"/>
  <c r="AZ87" i="139"/>
  <c r="BD87" i="139" s="1"/>
  <c r="BF87" i="139" s="1"/>
  <c r="BI27" i="139"/>
  <c r="AP39" i="139"/>
  <c r="A38" i="139"/>
  <c r="BI38" i="139"/>
  <c r="AZ58" i="139"/>
  <c r="BD58" i="139"/>
  <c r="BF58" i="139" s="1"/>
  <c r="BI36" i="139"/>
  <c r="AP15" i="139"/>
  <c r="BI110" i="139"/>
  <c r="AP99" i="139"/>
  <c r="AP64" i="139"/>
  <c r="X94" i="139"/>
  <c r="AP41" i="139"/>
  <c r="A119" i="139"/>
  <c r="AX119" i="139"/>
  <c r="BD119" i="139"/>
  <c r="AP68" i="139"/>
  <c r="AJ116" i="139"/>
  <c r="AJ19" i="139"/>
  <c r="AP108" i="139"/>
  <c r="X34" i="139"/>
  <c r="AP76" i="139"/>
  <c r="AN94" i="139"/>
  <c r="AN14" i="139"/>
  <c r="AP14" i="139"/>
  <c r="AP83" i="139"/>
  <c r="AP60" i="139"/>
  <c r="A110" i="140"/>
  <c r="BI109" i="140"/>
  <c r="AP47" i="140"/>
  <c r="AZ47" i="140"/>
  <c r="BD47" i="140"/>
  <c r="BF47" i="140"/>
  <c r="AP51" i="140"/>
  <c r="AZ51" i="140"/>
  <c r="BD51" i="140"/>
  <c r="BF51" i="140"/>
  <c r="T22" i="140"/>
  <c r="AZ117" i="140"/>
  <c r="AZ115" i="140"/>
  <c r="AZ19" i="140"/>
  <c r="AL115" i="140"/>
  <c r="AL19" i="140"/>
  <c r="AP19" i="140"/>
  <c r="AP90" i="140"/>
  <c r="BF116" i="140"/>
  <c r="AZ107" i="140"/>
  <c r="AZ15" i="140"/>
  <c r="AX93" i="140"/>
  <c r="AX14" i="140"/>
  <c r="X33" i="140"/>
  <c r="AN93" i="140"/>
  <c r="AN14" i="140"/>
  <c r="AN16" i="140"/>
  <c r="AN22" i="140"/>
  <c r="A30" i="140"/>
  <c r="BI30" i="140"/>
  <c r="BI29" i="140"/>
  <c r="BD34" i="140"/>
  <c r="X16" i="140"/>
  <c r="X22" i="140"/>
  <c r="AP86" i="140"/>
  <c r="A98" i="140"/>
  <c r="BI97" i="140"/>
  <c r="BD108" i="140"/>
  <c r="AX107" i="140"/>
  <c r="AX15" i="140"/>
  <c r="BD15" i="140"/>
  <c r="BF94" i="140"/>
  <c r="BD36" i="140"/>
  <c r="BF36" i="140"/>
  <c r="AL33" i="140"/>
  <c r="AL13" i="140"/>
  <c r="AL16" i="140"/>
  <c r="AL22" i="140"/>
  <c r="AP72" i="140"/>
  <c r="AZ72" i="140"/>
  <c r="BD72" i="140"/>
  <c r="BF72" i="140"/>
  <c r="AX33" i="140"/>
  <c r="AX13" i="140"/>
  <c r="A119" i="140"/>
  <c r="BI118" i="140"/>
  <c r="AX119" i="140"/>
  <c r="AP119" i="140"/>
  <c r="AP115" i="140"/>
  <c r="AP107" i="140"/>
  <c r="BF110" i="140"/>
  <c r="BF109" i="140"/>
  <c r="AP36" i="140"/>
  <c r="BB93" i="140"/>
  <c r="BB14" i="140"/>
  <c r="BB16" i="140"/>
  <c r="BB22" i="140"/>
  <c r="AX26" i="140"/>
  <c r="AJ25" i="140"/>
  <c r="AJ12" i="140"/>
  <c r="AP26" i="140"/>
  <c r="AP25" i="140"/>
  <c r="AZ71" i="140"/>
  <c r="BD71" i="140"/>
  <c r="BF71" i="140"/>
  <c r="AP71" i="140"/>
  <c r="R16" i="140"/>
  <c r="R22" i="140"/>
  <c r="BD27" i="140"/>
  <c r="BF27" i="140"/>
  <c r="AP72" i="139"/>
  <c r="AP103" i="139"/>
  <c r="AP70" i="139"/>
  <c r="AP26" i="139"/>
  <c r="AP25" i="139"/>
  <c r="AX26" i="139"/>
  <c r="BD26" i="139" s="1"/>
  <c r="AJ25" i="139"/>
  <c r="AJ12" i="139"/>
  <c r="BI29" i="139"/>
  <c r="A30" i="139"/>
  <c r="BI30" i="139"/>
  <c r="BI98" i="139"/>
  <c r="A99" i="139"/>
  <c r="BD47" i="139"/>
  <c r="BF47" i="139" s="1"/>
  <c r="AP63" i="139"/>
  <c r="AP47" i="139"/>
  <c r="X12" i="139"/>
  <c r="R16" i="139"/>
  <c r="R22" i="139"/>
  <c r="X14" i="139"/>
  <c r="AP118" i="139"/>
  <c r="AP116" i="139"/>
  <c r="AZ118" i="139"/>
  <c r="BD118" i="139" s="1"/>
  <c r="AP80" i="139"/>
  <c r="AP84" i="139"/>
  <c r="AP51" i="139"/>
  <c r="AZ35" i="139"/>
  <c r="AL34" i="139"/>
  <c r="AL13" i="139"/>
  <c r="AP13" i="139"/>
  <c r="A39" i="139"/>
  <c r="BB98" i="139"/>
  <c r="BD98" i="139" s="1"/>
  <c r="AP98" i="139"/>
  <c r="AX94" i="139"/>
  <c r="AX14" i="139"/>
  <c r="AL116" i="139"/>
  <c r="AL19" i="139"/>
  <c r="BD109" i="139"/>
  <c r="BD108" i="139" s="1"/>
  <c r="AX108" i="139"/>
  <c r="AX15" i="139" s="1"/>
  <c r="BD15" i="139" s="1"/>
  <c r="AP88" i="139"/>
  <c r="A113" i="139"/>
  <c r="BI113" i="139"/>
  <c r="BI112" i="139"/>
  <c r="BD59" i="139"/>
  <c r="BF59" i="139" s="1"/>
  <c r="BD51" i="139"/>
  <c r="BF51" i="139" s="1"/>
  <c r="AP59" i="139"/>
  <c r="AP43" i="139"/>
  <c r="AP55" i="139"/>
  <c r="AX34" i="139"/>
  <c r="AX13" i="139"/>
  <c r="AP35" i="139"/>
  <c r="A16" i="139"/>
  <c r="BI15" i="139"/>
  <c r="T22" i="139"/>
  <c r="AN16" i="139"/>
  <c r="AN22" i="139"/>
  <c r="AP33" i="140"/>
  <c r="A16" i="140"/>
  <c r="A18" i="140"/>
  <c r="BD117" i="140"/>
  <c r="BF117" i="140"/>
  <c r="BF115" i="140"/>
  <c r="BF19" i="140"/>
  <c r="AP13" i="140"/>
  <c r="A37" i="140"/>
  <c r="BI36" i="140"/>
  <c r="BF93" i="140"/>
  <c r="BF14" i="140"/>
  <c r="BD93" i="140"/>
  <c r="AX116" i="139"/>
  <c r="AX19" i="139"/>
  <c r="AP19" i="139"/>
  <c r="AP94" i="139"/>
  <c r="A120" i="139"/>
  <c r="BI119" i="139"/>
  <c r="AL16" i="139"/>
  <c r="AL22" i="139"/>
  <c r="BF108" i="140"/>
  <c r="BF107" i="140"/>
  <c r="BF15" i="140"/>
  <c r="BD107" i="140"/>
  <c r="AP12" i="140"/>
  <c r="AJ16" i="140"/>
  <c r="AJ22" i="140"/>
  <c r="BD119" i="140"/>
  <c r="BD115" i="140"/>
  <c r="AX115" i="140"/>
  <c r="AX19" i="140"/>
  <c r="BD19" i="140"/>
  <c r="AP14" i="140"/>
  <c r="A111" i="140"/>
  <c r="BI110" i="140"/>
  <c r="BD26" i="140"/>
  <c r="AX25" i="140"/>
  <c r="AX12" i="140"/>
  <c r="BD14" i="140"/>
  <c r="BF34" i="140"/>
  <c r="BF33" i="140"/>
  <c r="BF13" i="140"/>
  <c r="BD33" i="140"/>
  <c r="BI119" i="140"/>
  <c r="A120" i="140"/>
  <c r="BI120" i="140"/>
  <c r="A99" i="140"/>
  <c r="BI98" i="140"/>
  <c r="AZ33" i="140"/>
  <c r="AZ13" i="140"/>
  <c r="AZ16" i="140"/>
  <c r="AZ22" i="140"/>
  <c r="AP34" i="139"/>
  <c r="AJ16" i="139"/>
  <c r="AJ22" i="139"/>
  <c r="AP12" i="139"/>
  <c r="AP16" i="139"/>
  <c r="BI16" i="139"/>
  <c r="A18" i="139"/>
  <c r="BI39" i="139"/>
  <c r="A40" i="139"/>
  <c r="X16" i="139"/>
  <c r="X22" i="139"/>
  <c r="A100" i="139"/>
  <c r="BI99" i="139"/>
  <c r="BD35" i="139"/>
  <c r="AP22" i="139"/>
  <c r="C46" i="83"/>
  <c r="BI16" i="140"/>
  <c r="A38" i="140"/>
  <c r="BI37" i="140"/>
  <c r="A121" i="139"/>
  <c r="BI121" i="139"/>
  <c r="BI120" i="139"/>
  <c r="A100" i="140"/>
  <c r="BI99" i="140"/>
  <c r="BD12" i="140"/>
  <c r="BD16" i="140"/>
  <c r="BD22" i="140"/>
  <c r="AX16" i="140"/>
  <c r="AX22" i="140"/>
  <c r="A112" i="140"/>
  <c r="BI112" i="140"/>
  <c r="BI111" i="140"/>
  <c r="BD25" i="140"/>
  <c r="BF26" i="140"/>
  <c r="BF25" i="140"/>
  <c r="BF12" i="140"/>
  <c r="BD13" i="140"/>
  <c r="AP16" i="140"/>
  <c r="AP22" i="140"/>
  <c r="BI18" i="140"/>
  <c r="A19" i="140"/>
  <c r="A19" i="139"/>
  <c r="BI18" i="139"/>
  <c r="A101" i="139"/>
  <c r="BI100" i="139"/>
  <c r="A41" i="139"/>
  <c r="BI40" i="139"/>
  <c r="BI38" i="140"/>
  <c r="A39" i="140"/>
  <c r="BF16" i="140"/>
  <c r="BF22" i="140"/>
  <c r="A20" i="140"/>
  <c r="BI19" i="140"/>
  <c r="BI100" i="140"/>
  <c r="A101" i="140"/>
  <c r="A20" i="139"/>
  <c r="BI19" i="139"/>
  <c r="BI41" i="139"/>
  <c r="A42" i="139"/>
  <c r="BI101" i="139"/>
  <c r="A102" i="139"/>
  <c r="A40" i="140"/>
  <c r="BI39" i="140"/>
  <c r="A104" i="140"/>
  <c r="BI104" i="140"/>
  <c r="A102" i="140"/>
  <c r="BI101" i="140"/>
  <c r="A21" i="140"/>
  <c r="BI20" i="140"/>
  <c r="A43" i="139"/>
  <c r="BI42" i="139"/>
  <c r="A105" i="139"/>
  <c r="BI105" i="139"/>
  <c r="BI102" i="139"/>
  <c r="A103" i="139"/>
  <c r="A21" i="139"/>
  <c r="BI20" i="139"/>
  <c r="A41" i="140"/>
  <c r="BI40" i="140"/>
  <c r="A22" i="140"/>
  <c r="BI22" i="140"/>
  <c r="BI21" i="140"/>
  <c r="A103" i="140"/>
  <c r="BI103" i="140"/>
  <c r="BI102" i="140"/>
  <c r="BI21" i="139"/>
  <c r="A22" i="139"/>
  <c r="BI22" i="139"/>
  <c r="A104" i="139"/>
  <c r="BI104" i="139"/>
  <c r="BI103" i="139"/>
  <c r="A44" i="139"/>
  <c r="BI43" i="139"/>
  <c r="A42" i="140"/>
  <c r="BI41" i="140"/>
  <c r="A45" i="139"/>
  <c r="BI44" i="139"/>
  <c r="A43" i="140"/>
  <c r="BI42" i="140"/>
  <c r="BI45" i="139"/>
  <c r="A46" i="139"/>
  <c r="A44" i="140"/>
  <c r="BI43" i="140"/>
  <c r="A47" i="139"/>
  <c r="BI46" i="139"/>
  <c r="A45" i="140"/>
  <c r="BI44" i="140"/>
  <c r="A48" i="139"/>
  <c r="BI47" i="139"/>
  <c r="A46" i="140"/>
  <c r="BI45" i="140"/>
  <c r="A49" i="139"/>
  <c r="BI48" i="139"/>
  <c r="BI46" i="140"/>
  <c r="A47" i="140"/>
  <c r="BI49" i="139"/>
  <c r="A50" i="139"/>
  <c r="A48" i="140"/>
  <c r="BI47" i="140"/>
  <c r="A51" i="139"/>
  <c r="BI50" i="139"/>
  <c r="A49" i="140"/>
  <c r="BI48" i="140"/>
  <c r="A52" i="139"/>
  <c r="BI51" i="139"/>
  <c r="A50" i="140"/>
  <c r="BI49" i="140"/>
  <c r="A53" i="139"/>
  <c r="BI52" i="139"/>
  <c r="BI50" i="140"/>
  <c r="A51" i="140"/>
  <c r="BI53" i="139"/>
  <c r="A54" i="139"/>
  <c r="A52" i="140"/>
  <c r="BI51" i="140"/>
  <c r="A55" i="139"/>
  <c r="BI54" i="139"/>
  <c r="A53" i="140"/>
  <c r="BI52" i="140"/>
  <c r="A56" i="139"/>
  <c r="BI55" i="139"/>
  <c r="A54" i="140"/>
  <c r="BI53" i="140"/>
  <c r="A57" i="139"/>
  <c r="BI56" i="139"/>
  <c r="BI54" i="140"/>
  <c r="A55" i="140"/>
  <c r="BI57" i="139"/>
  <c r="A58" i="139"/>
  <c r="BI55" i="140"/>
  <c r="A56" i="140"/>
  <c r="A59" i="139"/>
  <c r="BI58" i="139"/>
  <c r="A57" i="140"/>
  <c r="BI56" i="140"/>
  <c r="A60" i="139"/>
  <c r="BI59" i="139"/>
  <c r="A58" i="140"/>
  <c r="BI57" i="140"/>
  <c r="A61" i="139"/>
  <c r="BI60" i="139"/>
  <c r="A59" i="140"/>
  <c r="BI58" i="140"/>
  <c r="BI61" i="139"/>
  <c r="A62" i="139"/>
  <c r="BI59" i="140"/>
  <c r="A60" i="140"/>
  <c r="A63" i="139"/>
  <c r="BI62" i="139"/>
  <c r="A61" i="140"/>
  <c r="BI60" i="140"/>
  <c r="A64" i="139"/>
  <c r="BI63" i="139"/>
  <c r="A62" i="140"/>
  <c r="BI61" i="140"/>
  <c r="A65" i="139"/>
  <c r="BI64" i="139"/>
  <c r="A63" i="140"/>
  <c r="BI62" i="140"/>
  <c r="BI65" i="139"/>
  <c r="A66" i="139"/>
  <c r="BI63" i="140"/>
  <c r="A64" i="140"/>
  <c r="BI66" i="139"/>
  <c r="A67" i="139"/>
  <c r="A65" i="140"/>
  <c r="BI64" i="140"/>
  <c r="A68" i="139"/>
  <c r="BI67" i="139"/>
  <c r="A66" i="140"/>
  <c r="BI65" i="140"/>
  <c r="BI68" i="139"/>
  <c r="A69" i="139"/>
  <c r="A67" i="140"/>
  <c r="BI66" i="140"/>
  <c r="A70" i="139"/>
  <c r="BI69" i="139"/>
  <c r="A68" i="140"/>
  <c r="BI67" i="140"/>
  <c r="BI70" i="139"/>
  <c r="A71" i="139"/>
  <c r="A69" i="140"/>
  <c r="BI68" i="140"/>
  <c r="BI71" i="139"/>
  <c r="A72" i="139"/>
  <c r="A70" i="140"/>
  <c r="BI69" i="140"/>
  <c r="A73" i="139"/>
  <c r="BI72" i="139"/>
  <c r="A71" i="140"/>
  <c r="BI70" i="140"/>
  <c r="A74" i="139"/>
  <c r="BI73" i="139"/>
  <c r="BI71" i="140"/>
  <c r="A72" i="140"/>
  <c r="A75" i="139"/>
  <c r="BI74" i="139"/>
  <c r="BI72" i="140"/>
  <c r="A73" i="140"/>
  <c r="BI75" i="139"/>
  <c r="A76" i="139"/>
  <c r="A74" i="140"/>
  <c r="BI73" i="140"/>
  <c r="A77" i="139"/>
  <c r="BI76" i="139"/>
  <c r="A75" i="140"/>
  <c r="BI74" i="140"/>
  <c r="A78" i="139"/>
  <c r="BI77" i="139"/>
  <c r="BI75" i="140"/>
  <c r="A76" i="140"/>
  <c r="A79" i="139"/>
  <c r="BI78" i="139"/>
  <c r="A77" i="140"/>
  <c r="BI76" i="140"/>
  <c r="BI79" i="139"/>
  <c r="A80" i="139"/>
  <c r="A78" i="140"/>
  <c r="BI77" i="140"/>
  <c r="A81" i="139"/>
  <c r="BI80" i="139"/>
  <c r="A79" i="140"/>
  <c r="BI78" i="140"/>
  <c r="A82" i="139"/>
  <c r="BI81" i="139"/>
  <c r="BI79" i="140"/>
  <c r="A80" i="140"/>
  <c r="BI82" i="139"/>
  <c r="A83" i="139"/>
  <c r="BI80" i="140"/>
  <c r="A81" i="140"/>
  <c r="A84" i="139"/>
  <c r="BI83" i="139"/>
  <c r="A82" i="140"/>
  <c r="BI81" i="140"/>
  <c r="BI84" i="139"/>
  <c r="A85" i="139"/>
  <c r="BI82" i="140"/>
  <c r="A83" i="140"/>
  <c r="A86" i="139"/>
  <c r="BI85" i="139"/>
  <c r="A84" i="140"/>
  <c r="BI83" i="140"/>
  <c r="BI86" i="139"/>
  <c r="A87" i="139"/>
  <c r="BI84" i="140"/>
  <c r="A85" i="140"/>
  <c r="BI87" i="139"/>
  <c r="A88" i="139"/>
  <c r="A86" i="140"/>
  <c r="BI85" i="140"/>
  <c r="A89" i="139"/>
  <c r="BI88" i="139"/>
  <c r="BI86" i="140"/>
  <c r="A87" i="140"/>
  <c r="A90" i="139"/>
  <c r="BI89" i="139"/>
  <c r="A88" i="140"/>
  <c r="BI87" i="140"/>
  <c r="BI90" i="139"/>
  <c r="A91" i="139"/>
  <c r="BI91" i="139"/>
  <c r="A89" i="140"/>
  <c r="BI88" i="140"/>
  <c r="J23" i="105"/>
  <c r="J22" i="105"/>
  <c r="J21" i="105"/>
  <c r="J20" i="105"/>
  <c r="J19" i="105"/>
  <c r="J18" i="105"/>
  <c r="J17" i="105"/>
  <c r="J16" i="105"/>
  <c r="J15" i="105"/>
  <c r="J14" i="105"/>
  <c r="J13" i="105"/>
  <c r="J26" i="105" s="1"/>
  <c r="K36" i="105" s="1"/>
  <c r="L23" i="105"/>
  <c r="L22" i="105"/>
  <c r="L21" i="105"/>
  <c r="L20" i="105"/>
  <c r="L19" i="105"/>
  <c r="L18" i="105"/>
  <c r="L17" i="105"/>
  <c r="L16" i="105"/>
  <c r="L15" i="105"/>
  <c r="L14" i="105"/>
  <c r="L13" i="105"/>
  <c r="I23" i="105"/>
  <c r="I22" i="105"/>
  <c r="I21" i="105"/>
  <c r="I20" i="105"/>
  <c r="I19" i="105"/>
  <c r="I18" i="105"/>
  <c r="I17" i="105"/>
  <c r="I16" i="105"/>
  <c r="I15" i="105"/>
  <c r="I14" i="105"/>
  <c r="I13" i="105"/>
  <c r="H23" i="105"/>
  <c r="H22" i="105"/>
  <c r="H21" i="105"/>
  <c r="H20" i="105"/>
  <c r="H19" i="105"/>
  <c r="H18" i="105"/>
  <c r="H17" i="105"/>
  <c r="H16" i="105"/>
  <c r="H15" i="105"/>
  <c r="H14" i="105"/>
  <c r="H13" i="105"/>
  <c r="F23" i="105"/>
  <c r="F22" i="105"/>
  <c r="F21" i="105"/>
  <c r="F20" i="105"/>
  <c r="F19" i="105"/>
  <c r="F18" i="105"/>
  <c r="F17" i="105"/>
  <c r="F16" i="105"/>
  <c r="F15" i="105"/>
  <c r="F14" i="105"/>
  <c r="F13" i="105"/>
  <c r="E23" i="105"/>
  <c r="E22" i="105"/>
  <c r="E21" i="105"/>
  <c r="E20" i="105"/>
  <c r="E19" i="105"/>
  <c r="E18" i="105"/>
  <c r="E17" i="105"/>
  <c r="E16" i="105"/>
  <c r="E15" i="105"/>
  <c r="E14" i="105"/>
  <c r="E13" i="105"/>
  <c r="C23" i="105"/>
  <c r="C22" i="105"/>
  <c r="C21" i="105"/>
  <c r="C20" i="105"/>
  <c r="C19" i="105"/>
  <c r="C18" i="105"/>
  <c r="C17" i="105"/>
  <c r="C16" i="105"/>
  <c r="C15" i="105"/>
  <c r="C14" i="105"/>
  <c r="C13" i="105"/>
  <c r="A90" i="140"/>
  <c r="BI90" i="140"/>
  <c r="BI89" i="140"/>
  <c r="E94" i="104"/>
  <c r="D94" i="104"/>
  <c r="C94" i="104"/>
  <c r="J42" i="104"/>
  <c r="I42" i="104"/>
  <c r="H42" i="104"/>
  <c r="G42" i="104"/>
  <c r="F42" i="104"/>
  <c r="E42" i="104"/>
  <c r="D42" i="104"/>
  <c r="C42" i="104"/>
  <c r="M64" i="85"/>
  <c r="J64" i="85"/>
  <c r="I64" i="85"/>
  <c r="H64" i="85"/>
  <c r="G64" i="85"/>
  <c r="F64" i="85"/>
  <c r="E64" i="85"/>
  <c r="A48" i="85"/>
  <c r="M48" i="85"/>
  <c r="M47" i="85"/>
  <c r="F41" i="85"/>
  <c r="A26" i="85"/>
  <c r="A27" i="85"/>
  <c r="M25" i="85"/>
  <c r="J23" i="85"/>
  <c r="G23" i="85"/>
  <c r="E23" i="85"/>
  <c r="I22" i="85"/>
  <c r="K22" i="85" s="1"/>
  <c r="I21" i="85"/>
  <c r="K21" i="85" s="1"/>
  <c r="I20" i="85"/>
  <c r="K20" i="85" s="1"/>
  <c r="I19" i="85"/>
  <c r="K19" i="85" s="1"/>
  <c r="I18" i="85"/>
  <c r="K18" i="85" s="1"/>
  <c r="I17" i="85"/>
  <c r="K17" i="85" s="1"/>
  <c r="I16" i="85"/>
  <c r="K16" i="85" s="1"/>
  <c r="I15" i="85"/>
  <c r="K15" i="85" s="1"/>
  <c r="I14" i="85"/>
  <c r="K14" i="85" s="1"/>
  <c r="I13" i="85"/>
  <c r="K13" i="85" s="1"/>
  <c r="F28" i="85" s="1"/>
  <c r="F38" i="85" s="1"/>
  <c r="I12" i="85"/>
  <c r="K12" i="85" s="1"/>
  <c r="I11" i="85"/>
  <c r="K11" i="85" s="1"/>
  <c r="I10" i="85"/>
  <c r="K10" i="85" s="1"/>
  <c r="I9" i="85"/>
  <c r="K9" i="85" s="1"/>
  <c r="A6" i="85"/>
  <c r="A7" i="85"/>
  <c r="A8" i="85"/>
  <c r="M5" i="85"/>
  <c r="M6" i="85"/>
  <c r="A49" i="85"/>
  <c r="A50" i="85"/>
  <c r="A51" i="85"/>
  <c r="A28" i="85"/>
  <c r="M27" i="85"/>
  <c r="A9" i="85"/>
  <c r="M8" i="85"/>
  <c r="M26" i="85"/>
  <c r="M7" i="85"/>
  <c r="M50" i="85"/>
  <c r="M49" i="85"/>
  <c r="A10" i="85"/>
  <c r="M9" i="85"/>
  <c r="A29" i="85"/>
  <c r="M28" i="85"/>
  <c r="A52" i="85"/>
  <c r="M51" i="85"/>
  <c r="A53" i="85"/>
  <c r="M52" i="85"/>
  <c r="A30" i="85"/>
  <c r="M29" i="85"/>
  <c r="A11" i="85"/>
  <c r="M10" i="85"/>
  <c r="M11" i="85"/>
  <c r="A12" i="85"/>
  <c r="A31" i="85"/>
  <c r="M30" i="85"/>
  <c r="A54" i="85"/>
  <c r="M53" i="85"/>
  <c r="A55" i="85"/>
  <c r="M54" i="85"/>
  <c r="M31" i="85"/>
  <c r="A32" i="85"/>
  <c r="A13" i="85"/>
  <c r="M12" i="85"/>
  <c r="A14" i="85"/>
  <c r="M13" i="85"/>
  <c r="A33" i="85"/>
  <c r="M32" i="85"/>
  <c r="M55" i="85"/>
  <c r="A56" i="85"/>
  <c r="A57" i="85"/>
  <c r="M56" i="85"/>
  <c r="M33" i="85"/>
  <c r="A34" i="85"/>
  <c r="A15" i="85"/>
  <c r="M14" i="85"/>
  <c r="A16" i="85"/>
  <c r="M15" i="85"/>
  <c r="M34" i="85"/>
  <c r="A35" i="85"/>
  <c r="A58" i="85"/>
  <c r="M57" i="85"/>
  <c r="M58" i="85"/>
  <c r="A59" i="85"/>
  <c r="A36" i="85"/>
  <c r="M35" i="85"/>
  <c r="A17" i="85"/>
  <c r="M16" i="85"/>
  <c r="A18" i="85"/>
  <c r="M17" i="85"/>
  <c r="M36" i="85"/>
  <c r="A38" i="85"/>
  <c r="M59" i="85"/>
  <c r="A60" i="85"/>
  <c r="A61" i="85"/>
  <c r="M60" i="85"/>
  <c r="A39" i="85"/>
  <c r="M38" i="85"/>
  <c r="A19" i="85"/>
  <c r="M18" i="85"/>
  <c r="A20" i="85"/>
  <c r="M19" i="85"/>
  <c r="M39" i="85"/>
  <c r="A40" i="85"/>
  <c r="A62" i="85"/>
  <c r="M61" i="85"/>
  <c r="A63" i="85"/>
  <c r="M63" i="85"/>
  <c r="M62" i="85"/>
  <c r="A41" i="85"/>
  <c r="M40" i="85"/>
  <c r="A21" i="85"/>
  <c r="M20" i="85"/>
  <c r="A22" i="85"/>
  <c r="M21" i="85"/>
  <c r="A42" i="85"/>
  <c r="M41" i="85"/>
  <c r="A43" i="85"/>
  <c r="M42" i="85"/>
  <c r="A23" i="85"/>
  <c r="M23" i="85"/>
  <c r="M22" i="85"/>
  <c r="M43" i="85"/>
  <c r="A44" i="85"/>
  <c r="A45" i="85"/>
  <c r="M45" i="85"/>
  <c r="M44" i="85"/>
  <c r="D92" i="80"/>
  <c r="F93" i="80"/>
  <c r="G93" i="80"/>
  <c r="H93" i="80"/>
  <c r="A92" i="80"/>
  <c r="A93" i="80"/>
  <c r="A94" i="80"/>
  <c r="A95" i="80"/>
  <c r="E65" i="80"/>
  <c r="D65" i="80"/>
  <c r="A64" i="80"/>
  <c r="A65" i="80"/>
  <c r="G116" i="80"/>
  <c r="G115" i="80"/>
  <c r="G114" i="80"/>
  <c r="G113" i="80"/>
  <c r="G112" i="80"/>
  <c r="G111" i="80"/>
  <c r="G110" i="80"/>
  <c r="G109" i="80"/>
  <c r="G108" i="80"/>
  <c r="G117" i="80"/>
  <c r="G66" i="83"/>
  <c r="G65" i="83"/>
  <c r="G64" i="83"/>
  <c r="G63" i="83"/>
  <c r="G62" i="83"/>
  <c r="G61" i="83"/>
  <c r="G60" i="83"/>
  <c r="G59" i="83"/>
  <c r="G58" i="83"/>
  <c r="G57" i="83"/>
  <c r="G80" i="78"/>
  <c r="G81" i="78"/>
  <c r="A80" i="78"/>
  <c r="A81" i="78"/>
  <c r="E16" i="91"/>
  <c r="F317" i="108"/>
  <c r="F255" i="108"/>
  <c r="F223" i="108"/>
  <c r="F191" i="108"/>
  <c r="F129" i="108"/>
  <c r="L58" i="108"/>
  <c r="A59" i="108"/>
  <c r="L59" i="108" s="1"/>
  <c r="A60" i="108"/>
  <c r="A62" i="108" s="1"/>
  <c r="L60" i="108"/>
  <c r="C11" i="125"/>
  <c r="K14" i="104"/>
  <c r="AB50" i="137"/>
  <c r="AA50" i="137"/>
  <c r="Z50" i="137"/>
  <c r="Y50" i="137"/>
  <c r="X50" i="137"/>
  <c r="W50" i="137"/>
  <c r="V50" i="137"/>
  <c r="U50" i="137"/>
  <c r="T50" i="137"/>
  <c r="S50" i="137"/>
  <c r="AB49" i="137"/>
  <c r="AA49" i="137"/>
  <c r="Z49" i="137"/>
  <c r="Y49" i="137"/>
  <c r="X49" i="137"/>
  <c r="W49" i="137"/>
  <c r="V49" i="137"/>
  <c r="U49" i="137"/>
  <c r="T49" i="137"/>
  <c r="S49" i="137"/>
  <c r="AB48" i="137"/>
  <c r="AA48" i="137"/>
  <c r="Z48" i="137"/>
  <c r="Y48" i="137"/>
  <c r="X48" i="137"/>
  <c r="W48" i="137"/>
  <c r="V48" i="137"/>
  <c r="U48" i="137"/>
  <c r="T48" i="137"/>
  <c r="S48" i="137"/>
  <c r="AB47" i="137"/>
  <c r="AA47" i="137"/>
  <c r="Z47" i="137"/>
  <c r="Y47" i="137"/>
  <c r="X47" i="137"/>
  <c r="W47" i="137"/>
  <c r="V47" i="137"/>
  <c r="U47" i="137"/>
  <c r="T47" i="137"/>
  <c r="S47" i="137"/>
  <c r="AB46" i="137"/>
  <c r="AA46" i="137"/>
  <c r="Z46" i="137"/>
  <c r="Y46" i="137"/>
  <c r="X46" i="137"/>
  <c r="W46" i="137"/>
  <c r="V46" i="137"/>
  <c r="U46" i="137"/>
  <c r="T46" i="137"/>
  <c r="S46" i="137"/>
  <c r="AB45" i="137"/>
  <c r="AA45" i="137"/>
  <c r="Z45" i="137"/>
  <c r="Y45" i="137"/>
  <c r="X45" i="137"/>
  <c r="W45" i="137"/>
  <c r="V45" i="137"/>
  <c r="U45" i="137"/>
  <c r="T45" i="137"/>
  <c r="S45" i="137"/>
  <c r="AB44" i="137"/>
  <c r="AA44" i="137"/>
  <c r="Z44" i="137"/>
  <c r="Y44" i="137"/>
  <c r="X44" i="137"/>
  <c r="W44" i="137"/>
  <c r="V44" i="137"/>
  <c r="U44" i="137"/>
  <c r="T44" i="137"/>
  <c r="S44" i="137"/>
  <c r="AB43" i="137"/>
  <c r="AA43" i="137"/>
  <c r="Z43" i="137"/>
  <c r="Y43" i="137"/>
  <c r="X43" i="137"/>
  <c r="W43" i="137"/>
  <c r="V43" i="137"/>
  <c r="U43" i="137"/>
  <c r="T43" i="137"/>
  <c r="S43" i="137"/>
  <c r="AB42" i="137"/>
  <c r="AA42" i="137"/>
  <c r="Z42" i="137"/>
  <c r="Y42" i="137"/>
  <c r="X42" i="137"/>
  <c r="W42" i="137"/>
  <c r="V42" i="137"/>
  <c r="U42" i="137"/>
  <c r="T42" i="137"/>
  <c r="S42" i="137"/>
  <c r="AB41" i="137"/>
  <c r="AA41" i="137"/>
  <c r="Z41" i="137"/>
  <c r="Y41" i="137"/>
  <c r="X41" i="137"/>
  <c r="W41" i="137"/>
  <c r="W51" i="137" s="1"/>
  <c r="V41" i="137"/>
  <c r="U41" i="137"/>
  <c r="T41" i="137"/>
  <c r="S41" i="137"/>
  <c r="AB40" i="137"/>
  <c r="AA40" i="137"/>
  <c r="Z40" i="137"/>
  <c r="Y40" i="137"/>
  <c r="X40" i="137"/>
  <c r="X51" i="137" s="1"/>
  <c r="W40" i="137"/>
  <c r="V40" i="137"/>
  <c r="U40" i="137"/>
  <c r="T40" i="137"/>
  <c r="S40" i="137"/>
  <c r="AB39" i="137"/>
  <c r="AA39" i="137"/>
  <c r="AA51" i="137" s="1"/>
  <c r="Z39" i="137"/>
  <c r="Z51" i="137" s="1"/>
  <c r="Y39" i="137"/>
  <c r="X39" i="137"/>
  <c r="W39" i="137"/>
  <c r="V39" i="137"/>
  <c r="V51" i="137" s="1"/>
  <c r="U39" i="137"/>
  <c r="T39" i="137"/>
  <c r="S39" i="137"/>
  <c r="S51" i="137" s="1"/>
  <c r="AB38" i="137"/>
  <c r="AB51" i="137" s="1"/>
  <c r="AA38" i="137"/>
  <c r="Z38" i="137"/>
  <c r="Y38" i="137"/>
  <c r="X38" i="137"/>
  <c r="W38" i="137"/>
  <c r="V38" i="137"/>
  <c r="U38" i="137"/>
  <c r="T38" i="137"/>
  <c r="T51" i="137" s="1"/>
  <c r="S38" i="137"/>
  <c r="AB75" i="137"/>
  <c r="AA75" i="137"/>
  <c r="Z75" i="137"/>
  <c r="Y75" i="137"/>
  <c r="X75" i="137"/>
  <c r="W75" i="137"/>
  <c r="V75" i="137"/>
  <c r="U75" i="137"/>
  <c r="T75" i="137"/>
  <c r="S75" i="137"/>
  <c r="AB74" i="137"/>
  <c r="AA74" i="137"/>
  <c r="Z74" i="137"/>
  <c r="Y74" i="137"/>
  <c r="X74" i="137"/>
  <c r="W74" i="137"/>
  <c r="V74" i="137"/>
  <c r="U74" i="137"/>
  <c r="T74" i="137"/>
  <c r="S74" i="137"/>
  <c r="AB73" i="137"/>
  <c r="AA73" i="137"/>
  <c r="Z73" i="137"/>
  <c r="Y73" i="137"/>
  <c r="X73" i="137"/>
  <c r="W73" i="137"/>
  <c r="V73" i="137"/>
  <c r="U73" i="137"/>
  <c r="T73" i="137"/>
  <c r="S73" i="137"/>
  <c r="AB72" i="137"/>
  <c r="AA72" i="137"/>
  <c r="Z72" i="137"/>
  <c r="Y72" i="137"/>
  <c r="X72" i="137"/>
  <c r="W72" i="137"/>
  <c r="V72" i="137"/>
  <c r="U72" i="137"/>
  <c r="T72" i="137"/>
  <c r="S72" i="137"/>
  <c r="AB71" i="137"/>
  <c r="AA71" i="137"/>
  <c r="Z71" i="137"/>
  <c r="Y71" i="137"/>
  <c r="X71" i="137"/>
  <c r="W71" i="137"/>
  <c r="V71" i="137"/>
  <c r="U71" i="137"/>
  <c r="T71" i="137"/>
  <c r="S71" i="137"/>
  <c r="AB70" i="137"/>
  <c r="AA70" i="137"/>
  <c r="Z70" i="137"/>
  <c r="Y70" i="137"/>
  <c r="X70" i="137"/>
  <c r="W70" i="137"/>
  <c r="V70" i="137"/>
  <c r="U70" i="137"/>
  <c r="T70" i="137"/>
  <c r="S70" i="137"/>
  <c r="AB69" i="137"/>
  <c r="AA69" i="137"/>
  <c r="Z69" i="137"/>
  <c r="Y69" i="137"/>
  <c r="X69" i="137"/>
  <c r="W69" i="137"/>
  <c r="V69" i="137"/>
  <c r="U69" i="137"/>
  <c r="T69" i="137"/>
  <c r="S69" i="137"/>
  <c r="AB68" i="137"/>
  <c r="AA68" i="137"/>
  <c r="Z68" i="137"/>
  <c r="Y68" i="137"/>
  <c r="X68" i="137"/>
  <c r="W68" i="137"/>
  <c r="V68" i="137"/>
  <c r="U68" i="137"/>
  <c r="T68" i="137"/>
  <c r="S68" i="137"/>
  <c r="AB67" i="137"/>
  <c r="AA67" i="137"/>
  <c r="Z67" i="137"/>
  <c r="Y67" i="137"/>
  <c r="X67" i="137"/>
  <c r="W67" i="137"/>
  <c r="V67" i="137"/>
  <c r="U67" i="137"/>
  <c r="T67" i="137"/>
  <c r="S67" i="137"/>
  <c r="AB66" i="137"/>
  <c r="AA66" i="137"/>
  <c r="Z66" i="137"/>
  <c r="Y66" i="137"/>
  <c r="X66" i="137"/>
  <c r="W66" i="137"/>
  <c r="V66" i="137"/>
  <c r="U66" i="137"/>
  <c r="T66" i="137"/>
  <c r="S66" i="137"/>
  <c r="AB65" i="137"/>
  <c r="AA65" i="137"/>
  <c r="AA76" i="137" s="1"/>
  <c r="Z65" i="137"/>
  <c r="Z76" i="137" s="1"/>
  <c r="Y65" i="137"/>
  <c r="X65" i="137"/>
  <c r="W65" i="137"/>
  <c r="V65" i="137"/>
  <c r="U65" i="137"/>
  <c r="T65" i="137"/>
  <c r="S65" i="137"/>
  <c r="AB64" i="137"/>
  <c r="AA64" i="137"/>
  <c r="Z64" i="137"/>
  <c r="Y64" i="137"/>
  <c r="Y76" i="137" s="1"/>
  <c r="X64" i="137"/>
  <c r="X76" i="137" s="1"/>
  <c r="W64" i="137"/>
  <c r="V64" i="137"/>
  <c r="U64" i="137"/>
  <c r="U76" i="137" s="1"/>
  <c r="T64" i="137"/>
  <c r="T76" i="137" s="1"/>
  <c r="S64" i="137"/>
  <c r="AB63" i="137"/>
  <c r="AA63" i="137"/>
  <c r="Z63" i="137"/>
  <c r="Y63" i="137"/>
  <c r="X63" i="137"/>
  <c r="W63" i="137"/>
  <c r="V63" i="137"/>
  <c r="V76" i="137" s="1"/>
  <c r="U63" i="137"/>
  <c r="T63" i="137"/>
  <c r="S63" i="137"/>
  <c r="F74" i="47"/>
  <c r="H36" i="47"/>
  <c r="U36" i="47" s="1"/>
  <c r="D1" i="125"/>
  <c r="D1" i="126"/>
  <c r="E25" i="126"/>
  <c r="E31" i="126"/>
  <c r="E24" i="126"/>
  <c r="A26" i="126"/>
  <c r="A27" i="126"/>
  <c r="E8" i="126"/>
  <c r="E7" i="126"/>
  <c r="A11" i="126"/>
  <c r="E11" i="126"/>
  <c r="A28" i="126"/>
  <c r="E27" i="126"/>
  <c r="E26" i="126"/>
  <c r="A12" i="126"/>
  <c r="A29" i="126"/>
  <c r="E28" i="126"/>
  <c r="A13" i="126"/>
  <c r="E12" i="126"/>
  <c r="C18" i="126"/>
  <c r="C20" i="126"/>
  <c r="D31" i="126"/>
  <c r="D28" i="126"/>
  <c r="D29" i="126"/>
  <c r="D26" i="126"/>
  <c r="D30" i="126"/>
  <c r="D27" i="126"/>
  <c r="D25" i="126"/>
  <c r="A30" i="126"/>
  <c r="E30" i="126"/>
  <c r="E29" i="126"/>
  <c r="A14" i="126"/>
  <c r="E13" i="126"/>
  <c r="H42" i="1"/>
  <c r="A15" i="126"/>
  <c r="E14" i="126"/>
  <c r="A16" i="126"/>
  <c r="E15" i="126"/>
  <c r="A17" i="126"/>
  <c r="E16" i="126"/>
  <c r="A18" i="126"/>
  <c r="E17" i="126"/>
  <c r="E18" i="126"/>
  <c r="A20" i="126"/>
  <c r="E20" i="126"/>
  <c r="A10" i="108"/>
  <c r="A11" i="108" s="1"/>
  <c r="L11" i="108" s="1"/>
  <c r="E44" i="86"/>
  <c r="E36" i="86"/>
  <c r="E30" i="86"/>
  <c r="E20" i="86"/>
  <c r="E14" i="86"/>
  <c r="E10" i="86"/>
  <c r="C69" i="47"/>
  <c r="E5" i="125"/>
  <c r="C10" i="90"/>
  <c r="F44" i="86"/>
  <c r="F10" i="86" s="1"/>
  <c r="E111" i="1" s="1"/>
  <c r="F36" i="86"/>
  <c r="F30" i="86"/>
  <c r="F20" i="86"/>
  <c r="F14" i="86"/>
  <c r="I36" i="47"/>
  <c r="V36" i="47" s="1"/>
  <c r="J36" i="47"/>
  <c r="W36" i="47" s="1"/>
  <c r="J42" i="1"/>
  <c r="I42" i="1"/>
  <c r="J77" i="1"/>
  <c r="I77" i="1"/>
  <c r="J76" i="1"/>
  <c r="I76" i="1"/>
  <c r="E77" i="1"/>
  <c r="E76" i="1"/>
  <c r="E9" i="125"/>
  <c r="E8" i="125"/>
  <c r="A10" i="125"/>
  <c r="A11" i="125"/>
  <c r="H76" i="1"/>
  <c r="H77" i="1"/>
  <c r="I78" i="1"/>
  <c r="J78" i="1"/>
  <c r="A12" i="125"/>
  <c r="E11" i="125"/>
  <c r="E10" i="125"/>
  <c r="H16" i="106"/>
  <c r="J96" i="1"/>
  <c r="I96" i="1"/>
  <c r="A13" i="125"/>
  <c r="E12" i="125"/>
  <c r="A14" i="125"/>
  <c r="E13" i="125"/>
  <c r="Q4" i="84"/>
  <c r="Q5" i="84"/>
  <c r="A11" i="84"/>
  <c r="H11" i="84"/>
  <c r="G11" i="84"/>
  <c r="E11" i="84"/>
  <c r="D11" i="84"/>
  <c r="A15" i="125"/>
  <c r="E14" i="125"/>
  <c r="A16" i="125"/>
  <c r="E15" i="125"/>
  <c r="AD61" i="138"/>
  <c r="AD60" i="138"/>
  <c r="AD50" i="138"/>
  <c r="AD49" i="138"/>
  <c r="AD38" i="138"/>
  <c r="AD37" i="138"/>
  <c r="AD26" i="138"/>
  <c r="AD25" i="138"/>
  <c r="AB15" i="138"/>
  <c r="AA15" i="138"/>
  <c r="Z15" i="138"/>
  <c r="Y15" i="138"/>
  <c r="X15" i="138"/>
  <c r="W15" i="138"/>
  <c r="V15" i="138"/>
  <c r="U15" i="138"/>
  <c r="T15" i="138"/>
  <c r="S15" i="138"/>
  <c r="R15" i="138"/>
  <c r="Q15" i="138"/>
  <c r="P15" i="138"/>
  <c r="O15" i="138"/>
  <c r="N15" i="138"/>
  <c r="M15" i="138"/>
  <c r="L15" i="138"/>
  <c r="K15" i="138"/>
  <c r="J15" i="138"/>
  <c r="I15" i="138"/>
  <c r="H15" i="138"/>
  <c r="G15" i="138"/>
  <c r="F15" i="138"/>
  <c r="AD14" i="138"/>
  <c r="AB14" i="138"/>
  <c r="AA14" i="138"/>
  <c r="Z14" i="138"/>
  <c r="Y14" i="138"/>
  <c r="X14" i="138"/>
  <c r="W14" i="138"/>
  <c r="V14" i="138"/>
  <c r="U14" i="138"/>
  <c r="T14" i="138"/>
  <c r="S14" i="138"/>
  <c r="R14" i="138"/>
  <c r="Q14" i="138"/>
  <c r="P14" i="138"/>
  <c r="O14" i="138"/>
  <c r="N14" i="138"/>
  <c r="M14" i="138"/>
  <c r="L14" i="138"/>
  <c r="K14" i="138"/>
  <c r="J14" i="138"/>
  <c r="I14" i="138"/>
  <c r="H14" i="138"/>
  <c r="G14" i="138"/>
  <c r="F14" i="138"/>
  <c r="A14" i="138"/>
  <c r="A15" i="138"/>
  <c r="AD15" i="138"/>
  <c r="AD13" i="138"/>
  <c r="AC13" i="138"/>
  <c r="E106" i="1" s="1"/>
  <c r="AD12" i="138"/>
  <c r="A129" i="137"/>
  <c r="F130" i="137"/>
  <c r="AD128" i="137"/>
  <c r="AD127" i="137"/>
  <c r="D117" i="137"/>
  <c r="A116" i="137"/>
  <c r="AD115" i="137"/>
  <c r="AD114" i="137"/>
  <c r="D103" i="137"/>
  <c r="A102" i="137"/>
  <c r="I103" i="137"/>
  <c r="AD101" i="137"/>
  <c r="AD100" i="137"/>
  <c r="D89" i="137"/>
  <c r="A88" i="137"/>
  <c r="A89" i="137"/>
  <c r="AD89" i="137"/>
  <c r="AD87" i="137"/>
  <c r="AD86" i="137"/>
  <c r="R75" i="137"/>
  <c r="Q75" i="137"/>
  <c r="P75" i="137"/>
  <c r="O75" i="137"/>
  <c r="N75" i="137"/>
  <c r="M75" i="137"/>
  <c r="L75" i="137"/>
  <c r="K75" i="137"/>
  <c r="J75" i="137"/>
  <c r="I75" i="137"/>
  <c r="H75" i="137"/>
  <c r="G75" i="137"/>
  <c r="F75" i="137"/>
  <c r="R74" i="137"/>
  <c r="Q74" i="137"/>
  <c r="P74" i="137"/>
  <c r="O74" i="137"/>
  <c r="N74" i="137"/>
  <c r="M74" i="137"/>
  <c r="L74" i="137"/>
  <c r="K74" i="137"/>
  <c r="J74" i="137"/>
  <c r="I74" i="137"/>
  <c r="H74" i="137"/>
  <c r="G74" i="137"/>
  <c r="F74" i="137"/>
  <c r="R73" i="137"/>
  <c r="Q73" i="137"/>
  <c r="P73" i="137"/>
  <c r="O73" i="137"/>
  <c r="N73" i="137"/>
  <c r="M73" i="137"/>
  <c r="L73" i="137"/>
  <c r="K73" i="137"/>
  <c r="J73" i="137"/>
  <c r="I73" i="137"/>
  <c r="H73" i="137"/>
  <c r="G73" i="137"/>
  <c r="F73" i="137"/>
  <c r="R72" i="137"/>
  <c r="Q72" i="137"/>
  <c r="P72" i="137"/>
  <c r="O72" i="137"/>
  <c r="N72" i="137"/>
  <c r="M72" i="137"/>
  <c r="L72" i="137"/>
  <c r="K72" i="137"/>
  <c r="J72" i="137"/>
  <c r="I72" i="137"/>
  <c r="H72" i="137"/>
  <c r="G72" i="137"/>
  <c r="F72" i="137"/>
  <c r="R71" i="137"/>
  <c r="Q71" i="137"/>
  <c r="P71" i="137"/>
  <c r="O71" i="137"/>
  <c r="N71" i="137"/>
  <c r="M71" i="137"/>
  <c r="L71" i="137"/>
  <c r="K71" i="137"/>
  <c r="J71" i="137"/>
  <c r="I71" i="137"/>
  <c r="H71" i="137"/>
  <c r="G71" i="137"/>
  <c r="F71" i="137"/>
  <c r="R70" i="137"/>
  <c r="Q70" i="137"/>
  <c r="P70" i="137"/>
  <c r="O70" i="137"/>
  <c r="N70" i="137"/>
  <c r="M70" i="137"/>
  <c r="L70" i="137"/>
  <c r="K70" i="137"/>
  <c r="J70" i="137"/>
  <c r="I70" i="137"/>
  <c r="H70" i="137"/>
  <c r="G70" i="137"/>
  <c r="F70" i="137"/>
  <c r="R69" i="137"/>
  <c r="Q69" i="137"/>
  <c r="P69" i="137"/>
  <c r="O69" i="137"/>
  <c r="N69" i="137"/>
  <c r="M69" i="137"/>
  <c r="L69" i="137"/>
  <c r="K69" i="137"/>
  <c r="J69" i="137"/>
  <c r="I69" i="137"/>
  <c r="H69" i="137"/>
  <c r="G69" i="137"/>
  <c r="F69" i="137"/>
  <c r="R68" i="137"/>
  <c r="Q68" i="137"/>
  <c r="P68" i="137"/>
  <c r="O68" i="137"/>
  <c r="N68" i="137"/>
  <c r="N76" i="137" s="1"/>
  <c r="M68" i="137"/>
  <c r="L68" i="137"/>
  <c r="K68" i="137"/>
  <c r="J68" i="137"/>
  <c r="I68" i="137"/>
  <c r="H68" i="137"/>
  <c r="G68" i="137"/>
  <c r="F68" i="137"/>
  <c r="R67" i="137"/>
  <c r="Q67" i="137"/>
  <c r="P67" i="137"/>
  <c r="O67" i="137"/>
  <c r="N67" i="137"/>
  <c r="M67" i="137"/>
  <c r="L67" i="137"/>
  <c r="K67" i="137"/>
  <c r="J67" i="137"/>
  <c r="I67" i="137"/>
  <c r="H67" i="137"/>
  <c r="G67" i="137"/>
  <c r="F67" i="137"/>
  <c r="R66" i="137"/>
  <c r="Q66" i="137"/>
  <c r="P66" i="137"/>
  <c r="O66" i="137"/>
  <c r="N66" i="137"/>
  <c r="M66" i="137"/>
  <c r="L66" i="137"/>
  <c r="K66" i="137"/>
  <c r="J66" i="137"/>
  <c r="I66" i="137"/>
  <c r="H66" i="137"/>
  <c r="G66" i="137"/>
  <c r="F66" i="137"/>
  <c r="R65" i="137"/>
  <c r="Q65" i="137"/>
  <c r="Q76" i="137" s="1"/>
  <c r="P65" i="137"/>
  <c r="O65" i="137"/>
  <c r="N65" i="137"/>
  <c r="M65" i="137"/>
  <c r="M76" i="137" s="1"/>
  <c r="L65" i="137"/>
  <c r="K65" i="137"/>
  <c r="J65" i="137"/>
  <c r="I65" i="137"/>
  <c r="I76" i="137" s="1"/>
  <c r="H65" i="137"/>
  <c r="G65" i="137"/>
  <c r="F65" i="137"/>
  <c r="R64" i="137"/>
  <c r="Q64" i="137"/>
  <c r="P64" i="137"/>
  <c r="O64" i="137"/>
  <c r="N64" i="137"/>
  <c r="M64" i="137"/>
  <c r="L64" i="137"/>
  <c r="K64" i="137"/>
  <c r="J64" i="137"/>
  <c r="J76" i="137" s="1"/>
  <c r="I64" i="137"/>
  <c r="H64" i="137"/>
  <c r="G64" i="137"/>
  <c r="F64" i="137"/>
  <c r="F76" i="137" s="1"/>
  <c r="A64" i="137"/>
  <c r="A65" i="137"/>
  <c r="AD63" i="137"/>
  <c r="AB76" i="137"/>
  <c r="R63" i="137"/>
  <c r="Q63" i="137"/>
  <c r="P63" i="137"/>
  <c r="P76" i="137" s="1"/>
  <c r="O63" i="137"/>
  <c r="O76" i="137" s="1"/>
  <c r="N63" i="137"/>
  <c r="M63" i="137"/>
  <c r="L63" i="137"/>
  <c r="K63" i="137"/>
  <c r="J63" i="137"/>
  <c r="I63" i="137"/>
  <c r="H63" i="137"/>
  <c r="G63" i="137"/>
  <c r="F63" i="137"/>
  <c r="AD62" i="137"/>
  <c r="R50" i="137"/>
  <c r="Q50" i="137"/>
  <c r="P50" i="137"/>
  <c r="O50" i="137"/>
  <c r="N50" i="137"/>
  <c r="M50" i="137"/>
  <c r="L50" i="137"/>
  <c r="K50" i="137"/>
  <c r="J50" i="137"/>
  <c r="I50" i="137"/>
  <c r="H50" i="137"/>
  <c r="G50" i="137"/>
  <c r="F50" i="137"/>
  <c r="R49" i="137"/>
  <c r="Q49" i="137"/>
  <c r="P49" i="137"/>
  <c r="O49" i="137"/>
  <c r="N49" i="137"/>
  <c r="M49" i="137"/>
  <c r="L49" i="137"/>
  <c r="K49" i="137"/>
  <c r="J49" i="137"/>
  <c r="I49" i="137"/>
  <c r="H49" i="137"/>
  <c r="G49" i="137"/>
  <c r="F49" i="137"/>
  <c r="R48" i="137"/>
  <c r="Q48" i="137"/>
  <c r="P48" i="137"/>
  <c r="O48" i="137"/>
  <c r="N48" i="137"/>
  <c r="M48" i="137"/>
  <c r="L48" i="137"/>
  <c r="K48" i="137"/>
  <c r="J48" i="137"/>
  <c r="I48" i="137"/>
  <c r="H48" i="137"/>
  <c r="G48" i="137"/>
  <c r="F48" i="137"/>
  <c r="R47" i="137"/>
  <c r="Q47" i="137"/>
  <c r="P47" i="137"/>
  <c r="O47" i="137"/>
  <c r="N47" i="137"/>
  <c r="M47" i="137"/>
  <c r="L47" i="137"/>
  <c r="K47" i="137"/>
  <c r="J47" i="137"/>
  <c r="I47" i="137"/>
  <c r="H47" i="137"/>
  <c r="G47" i="137"/>
  <c r="F47" i="137"/>
  <c r="R46" i="137"/>
  <c r="Q46" i="137"/>
  <c r="P46" i="137"/>
  <c r="O46" i="137"/>
  <c r="N46" i="137"/>
  <c r="M46" i="137"/>
  <c r="L46" i="137"/>
  <c r="K46" i="137"/>
  <c r="J46" i="137"/>
  <c r="I46" i="137"/>
  <c r="H46" i="137"/>
  <c r="G46" i="137"/>
  <c r="F46" i="137"/>
  <c r="R45" i="137"/>
  <c r="Q45" i="137"/>
  <c r="P45" i="137"/>
  <c r="O45" i="137"/>
  <c r="N45" i="137"/>
  <c r="M45" i="137"/>
  <c r="L45" i="137"/>
  <c r="K45" i="137"/>
  <c r="J45" i="137"/>
  <c r="I45" i="137"/>
  <c r="H45" i="137"/>
  <c r="G45" i="137"/>
  <c r="F45" i="137"/>
  <c r="R44" i="137"/>
  <c r="Q44" i="137"/>
  <c r="P44" i="137"/>
  <c r="O44" i="137"/>
  <c r="N44" i="137"/>
  <c r="M44" i="137"/>
  <c r="L44" i="137"/>
  <c r="K44" i="137"/>
  <c r="J44" i="137"/>
  <c r="I44" i="137"/>
  <c r="H44" i="137"/>
  <c r="G44" i="137"/>
  <c r="F44" i="137"/>
  <c r="R43" i="137"/>
  <c r="Q43" i="137"/>
  <c r="P43" i="137"/>
  <c r="O43" i="137"/>
  <c r="N43" i="137"/>
  <c r="M43" i="137"/>
  <c r="L43" i="137"/>
  <c r="K43" i="137"/>
  <c r="J43" i="137"/>
  <c r="I43" i="137"/>
  <c r="H43" i="137"/>
  <c r="G43" i="137"/>
  <c r="F43" i="137"/>
  <c r="R42" i="137"/>
  <c r="Q42" i="137"/>
  <c r="P42" i="137"/>
  <c r="O42" i="137"/>
  <c r="N42" i="137"/>
  <c r="M42" i="137"/>
  <c r="L42" i="137"/>
  <c r="K42" i="137"/>
  <c r="J42" i="137"/>
  <c r="I42" i="137"/>
  <c r="H42" i="137"/>
  <c r="G42" i="137"/>
  <c r="F42" i="137"/>
  <c r="R41" i="137"/>
  <c r="Q41" i="137"/>
  <c r="P41" i="137"/>
  <c r="O41" i="137"/>
  <c r="O51" i="137" s="1"/>
  <c r="N41" i="137"/>
  <c r="M41" i="137"/>
  <c r="L41" i="137"/>
  <c r="K41" i="137"/>
  <c r="J41" i="137"/>
  <c r="I41" i="137"/>
  <c r="H41" i="137"/>
  <c r="G41" i="137"/>
  <c r="F41" i="137"/>
  <c r="R40" i="137"/>
  <c r="Q40" i="137"/>
  <c r="P40" i="137"/>
  <c r="P51" i="137" s="1"/>
  <c r="O40" i="137"/>
  <c r="N40" i="137"/>
  <c r="M40" i="137"/>
  <c r="L40" i="137"/>
  <c r="K40" i="137"/>
  <c r="J40" i="137"/>
  <c r="I40" i="137"/>
  <c r="H40" i="137"/>
  <c r="H51" i="137" s="1"/>
  <c r="G40" i="137"/>
  <c r="F40" i="137"/>
  <c r="R39" i="137"/>
  <c r="Q39" i="137"/>
  <c r="P39" i="137"/>
  <c r="O39" i="137"/>
  <c r="N39" i="137"/>
  <c r="M39" i="137"/>
  <c r="L39" i="137"/>
  <c r="K39" i="137"/>
  <c r="J39" i="137"/>
  <c r="I39" i="137"/>
  <c r="H39" i="137"/>
  <c r="G39" i="137"/>
  <c r="F39" i="137"/>
  <c r="A39" i="137"/>
  <c r="AD39" i="137"/>
  <c r="AD38" i="137"/>
  <c r="R38" i="137"/>
  <c r="R51" i="137" s="1"/>
  <c r="Q38" i="137"/>
  <c r="Q51" i="137" s="1"/>
  <c r="P38" i="137"/>
  <c r="O38" i="137"/>
  <c r="N38" i="137"/>
  <c r="N51" i="137" s="1"/>
  <c r="M38" i="137"/>
  <c r="M51" i="137" s="1"/>
  <c r="L38" i="137"/>
  <c r="K38" i="137"/>
  <c r="J38" i="137"/>
  <c r="J51" i="137" s="1"/>
  <c r="I38" i="137"/>
  <c r="I51" i="137" s="1"/>
  <c r="H38" i="137"/>
  <c r="G38" i="137"/>
  <c r="F38" i="137"/>
  <c r="F51" i="137" s="1"/>
  <c r="AD37" i="137"/>
  <c r="AB26" i="137"/>
  <c r="AA26" i="137"/>
  <c r="Z26" i="137"/>
  <c r="Y26" i="137"/>
  <c r="X26" i="137"/>
  <c r="W26" i="137"/>
  <c r="V26" i="137"/>
  <c r="U26" i="137"/>
  <c r="T26" i="137"/>
  <c r="S26" i="137"/>
  <c r="R26" i="137"/>
  <c r="Q26" i="137"/>
  <c r="P26" i="137"/>
  <c r="O26" i="137"/>
  <c r="N26" i="137"/>
  <c r="M26" i="137"/>
  <c r="L26" i="137"/>
  <c r="K26" i="137"/>
  <c r="J26" i="137"/>
  <c r="I26" i="137"/>
  <c r="H26" i="137"/>
  <c r="G26" i="137"/>
  <c r="F26" i="137"/>
  <c r="E26" i="137"/>
  <c r="D26" i="137"/>
  <c r="AC25" i="137"/>
  <c r="E19" i="1" s="1"/>
  <c r="E21" i="1" s="1"/>
  <c r="AC24" i="137"/>
  <c r="AC23" i="137"/>
  <c r="AC22" i="137"/>
  <c r="AC21" i="137"/>
  <c r="AC20" i="137"/>
  <c r="AC19" i="137"/>
  <c r="AC18" i="137"/>
  <c r="AC17" i="137"/>
  <c r="AC16" i="137"/>
  <c r="AC15" i="137"/>
  <c r="AC14" i="137"/>
  <c r="A14" i="137"/>
  <c r="A15" i="137"/>
  <c r="AD13" i="137"/>
  <c r="AC13" i="137"/>
  <c r="AD12" i="137"/>
  <c r="A129" i="136"/>
  <c r="AD129" i="136"/>
  <c r="AD128" i="136"/>
  <c r="AD127" i="136"/>
  <c r="D117" i="136"/>
  <c r="A116" i="136"/>
  <c r="A117" i="136"/>
  <c r="AD117" i="136"/>
  <c r="AD115" i="136"/>
  <c r="AD114" i="136"/>
  <c r="D103" i="136"/>
  <c r="A102" i="136"/>
  <c r="A103" i="136"/>
  <c r="AD103" i="136"/>
  <c r="AD101" i="136"/>
  <c r="AD100" i="136"/>
  <c r="D89" i="136"/>
  <c r="A88" i="136"/>
  <c r="G89" i="136"/>
  <c r="AD87" i="136"/>
  <c r="AD86" i="136"/>
  <c r="AB75" i="136"/>
  <c r="AA75" i="136"/>
  <c r="Z75" i="136"/>
  <c r="Y75" i="136"/>
  <c r="X75" i="136"/>
  <c r="W75" i="136"/>
  <c r="V75" i="136"/>
  <c r="U75" i="136"/>
  <c r="T75" i="136"/>
  <c r="S75" i="136"/>
  <c r="R75" i="136"/>
  <c r="Q75" i="136"/>
  <c r="P75" i="136"/>
  <c r="O75" i="136"/>
  <c r="N75" i="136"/>
  <c r="M75" i="136"/>
  <c r="L75" i="136"/>
  <c r="K75" i="136"/>
  <c r="J75" i="136"/>
  <c r="I75" i="136"/>
  <c r="H75" i="136"/>
  <c r="G75" i="136"/>
  <c r="F75" i="136"/>
  <c r="AB74" i="136"/>
  <c r="AA74" i="136"/>
  <c r="Z74" i="136"/>
  <c r="Y74" i="136"/>
  <c r="X74" i="136"/>
  <c r="W74" i="136"/>
  <c r="V74" i="136"/>
  <c r="U74" i="136"/>
  <c r="T74" i="136"/>
  <c r="S74" i="136"/>
  <c r="R74" i="136"/>
  <c r="Q74" i="136"/>
  <c r="P74" i="136"/>
  <c r="O74" i="136"/>
  <c r="N74" i="136"/>
  <c r="M74" i="136"/>
  <c r="L74" i="136"/>
  <c r="K74" i="136"/>
  <c r="J74" i="136"/>
  <c r="I74" i="136"/>
  <c r="H74" i="136"/>
  <c r="G74" i="136"/>
  <c r="F74" i="136"/>
  <c r="AB73" i="136"/>
  <c r="AA73" i="136"/>
  <c r="Z73" i="136"/>
  <c r="Y73" i="136"/>
  <c r="X73" i="136"/>
  <c r="W73" i="136"/>
  <c r="V73" i="136"/>
  <c r="U73" i="136"/>
  <c r="T73" i="136"/>
  <c r="S73" i="136"/>
  <c r="R73" i="136"/>
  <c r="Q73" i="136"/>
  <c r="P73" i="136"/>
  <c r="O73" i="136"/>
  <c r="N73" i="136"/>
  <c r="M73" i="136"/>
  <c r="L73" i="136"/>
  <c r="K73" i="136"/>
  <c r="J73" i="136"/>
  <c r="I73" i="136"/>
  <c r="H73" i="136"/>
  <c r="G73" i="136"/>
  <c r="F73" i="136"/>
  <c r="AB72" i="136"/>
  <c r="AA72" i="136"/>
  <c r="Z72" i="136"/>
  <c r="Y72" i="136"/>
  <c r="X72" i="136"/>
  <c r="W72" i="136"/>
  <c r="V72" i="136"/>
  <c r="U72" i="136"/>
  <c r="T72" i="136"/>
  <c r="S72" i="136"/>
  <c r="R72" i="136"/>
  <c r="Q72" i="136"/>
  <c r="P72" i="136"/>
  <c r="O72" i="136"/>
  <c r="N72" i="136"/>
  <c r="M72" i="136"/>
  <c r="L72" i="136"/>
  <c r="K72" i="136"/>
  <c r="J72" i="136"/>
  <c r="I72" i="136"/>
  <c r="H72" i="136"/>
  <c r="G72" i="136"/>
  <c r="F72" i="136"/>
  <c r="AB71" i="136"/>
  <c r="AA71" i="136"/>
  <c r="Z71" i="136"/>
  <c r="Y71" i="136"/>
  <c r="X71" i="136"/>
  <c r="W71" i="136"/>
  <c r="V71" i="136"/>
  <c r="U71" i="136"/>
  <c r="T71" i="136"/>
  <c r="S71" i="136"/>
  <c r="R71" i="136"/>
  <c r="Q71" i="136"/>
  <c r="P71" i="136"/>
  <c r="O71" i="136"/>
  <c r="N71" i="136"/>
  <c r="M71" i="136"/>
  <c r="L71" i="136"/>
  <c r="K71" i="136"/>
  <c r="J71" i="136"/>
  <c r="I71" i="136"/>
  <c r="H71" i="136"/>
  <c r="G71" i="136"/>
  <c r="F71" i="136"/>
  <c r="AB70" i="136"/>
  <c r="AA70" i="136"/>
  <c r="Z70" i="136"/>
  <c r="Y70" i="136"/>
  <c r="X70" i="136"/>
  <c r="W70" i="136"/>
  <c r="V70" i="136"/>
  <c r="U70" i="136"/>
  <c r="T70" i="136"/>
  <c r="S70" i="136"/>
  <c r="R70" i="136"/>
  <c r="Q70" i="136"/>
  <c r="P70" i="136"/>
  <c r="O70" i="136"/>
  <c r="N70" i="136"/>
  <c r="M70" i="136"/>
  <c r="L70" i="136"/>
  <c r="K70" i="136"/>
  <c r="J70" i="136"/>
  <c r="J76" i="136" s="1"/>
  <c r="I70" i="136"/>
  <c r="H70" i="136"/>
  <c r="G70" i="136"/>
  <c r="F70" i="136"/>
  <c r="AB69" i="136"/>
  <c r="AA69" i="136"/>
  <c r="Z69" i="136"/>
  <c r="Y69" i="136"/>
  <c r="X69" i="136"/>
  <c r="W69" i="136"/>
  <c r="V69" i="136"/>
  <c r="U69" i="136"/>
  <c r="T69" i="136"/>
  <c r="S69" i="136"/>
  <c r="R69" i="136"/>
  <c r="Q69" i="136"/>
  <c r="P69" i="136"/>
  <c r="O69" i="136"/>
  <c r="N69" i="136"/>
  <c r="M69" i="136"/>
  <c r="L69" i="136"/>
  <c r="K69" i="136"/>
  <c r="J69" i="136"/>
  <c r="I69" i="136"/>
  <c r="H69" i="136"/>
  <c r="G69" i="136"/>
  <c r="F69" i="136"/>
  <c r="AB68" i="136"/>
  <c r="AA68" i="136"/>
  <c r="Z68" i="136"/>
  <c r="Y68" i="136"/>
  <c r="X68" i="136"/>
  <c r="X76" i="136" s="1"/>
  <c r="W68" i="136"/>
  <c r="V68" i="136"/>
  <c r="U68" i="136"/>
  <c r="T68" i="136"/>
  <c r="S68" i="136"/>
  <c r="R68" i="136"/>
  <c r="Q68" i="136"/>
  <c r="P68" i="136"/>
  <c r="O68" i="136"/>
  <c r="N68" i="136"/>
  <c r="M68" i="136"/>
  <c r="L68" i="136"/>
  <c r="K68" i="136"/>
  <c r="J68" i="136"/>
  <c r="I68" i="136"/>
  <c r="H68" i="136"/>
  <c r="G68" i="136"/>
  <c r="F68" i="136"/>
  <c r="AB67" i="136"/>
  <c r="AA67" i="136"/>
  <c r="Z67" i="136"/>
  <c r="Y67" i="136"/>
  <c r="X67" i="136"/>
  <c r="W67" i="136"/>
  <c r="V67" i="136"/>
  <c r="U67" i="136"/>
  <c r="T67" i="136"/>
  <c r="S67" i="136"/>
  <c r="R67" i="136"/>
  <c r="Q67" i="136"/>
  <c r="P67" i="136"/>
  <c r="P76" i="136" s="1"/>
  <c r="O67" i="136"/>
  <c r="N67" i="136"/>
  <c r="M67" i="136"/>
  <c r="L67" i="136"/>
  <c r="K67" i="136"/>
  <c r="J67" i="136"/>
  <c r="I67" i="136"/>
  <c r="H67" i="136"/>
  <c r="G67" i="136"/>
  <c r="F67" i="136"/>
  <c r="AB66" i="136"/>
  <c r="AA66" i="136"/>
  <c r="Z66" i="136"/>
  <c r="Y66" i="136"/>
  <c r="X66" i="136"/>
  <c r="W66" i="136"/>
  <c r="V66" i="136"/>
  <c r="U66" i="136"/>
  <c r="T66" i="136"/>
  <c r="S66" i="136"/>
  <c r="R66" i="136"/>
  <c r="Q66" i="136"/>
  <c r="P66" i="136"/>
  <c r="O66" i="136"/>
  <c r="N66" i="136"/>
  <c r="M66" i="136"/>
  <c r="L66" i="136"/>
  <c r="K66" i="136"/>
  <c r="J66" i="136"/>
  <c r="I66" i="136"/>
  <c r="H66" i="136"/>
  <c r="G66" i="136"/>
  <c r="F66" i="136"/>
  <c r="AB65" i="136"/>
  <c r="AA65" i="136"/>
  <c r="Z65" i="136"/>
  <c r="Z76" i="136" s="1"/>
  <c r="Y65" i="136"/>
  <c r="X65" i="136"/>
  <c r="W65" i="136"/>
  <c r="V65" i="136"/>
  <c r="U65" i="136"/>
  <c r="T65" i="136"/>
  <c r="S65" i="136"/>
  <c r="R65" i="136"/>
  <c r="R76" i="136" s="1"/>
  <c r="Q65" i="136"/>
  <c r="P65" i="136"/>
  <c r="O65" i="136"/>
  <c r="N65" i="136"/>
  <c r="M65" i="136"/>
  <c r="L65" i="136"/>
  <c r="K65" i="136"/>
  <c r="J65" i="136"/>
  <c r="I65" i="136"/>
  <c r="H65" i="136"/>
  <c r="G65" i="136"/>
  <c r="F65" i="136"/>
  <c r="AB64" i="136"/>
  <c r="AB76" i="136" s="1"/>
  <c r="AA64" i="136"/>
  <c r="Z64" i="136"/>
  <c r="Y64" i="136"/>
  <c r="Y76" i="136" s="1"/>
  <c r="X64" i="136"/>
  <c r="W64" i="136"/>
  <c r="V64" i="136"/>
  <c r="U64" i="136"/>
  <c r="U76" i="136" s="1"/>
  <c r="T64" i="136"/>
  <c r="T76" i="136" s="1"/>
  <c r="S64" i="136"/>
  <c r="R64" i="136"/>
  <c r="Q64" i="136"/>
  <c r="P64" i="136"/>
  <c r="O64" i="136"/>
  <c r="N64" i="136"/>
  <c r="M64" i="136"/>
  <c r="M76" i="136" s="1"/>
  <c r="L64" i="136"/>
  <c r="K64" i="136"/>
  <c r="J64" i="136"/>
  <c r="I64" i="136"/>
  <c r="I76" i="136" s="1"/>
  <c r="H64" i="136"/>
  <c r="G64" i="136"/>
  <c r="F64" i="136"/>
  <c r="A64" i="136"/>
  <c r="AD64" i="136"/>
  <c r="AD63" i="136"/>
  <c r="AB63" i="136"/>
  <c r="AA63" i="136"/>
  <c r="AA76" i="136" s="1"/>
  <c r="Z63" i="136"/>
  <c r="Y63" i="136"/>
  <c r="X63" i="136"/>
  <c r="W63" i="136"/>
  <c r="W76" i="136" s="1"/>
  <c r="V63" i="136"/>
  <c r="V76" i="136" s="1"/>
  <c r="U63" i="136"/>
  <c r="T63" i="136"/>
  <c r="S63" i="136"/>
  <c r="S76" i="136" s="1"/>
  <c r="R63" i="136"/>
  <c r="Q63" i="136"/>
  <c r="P63" i="136"/>
  <c r="O63" i="136"/>
  <c r="O76" i="136" s="1"/>
  <c r="N63" i="136"/>
  <c r="N76" i="136" s="1"/>
  <c r="M63" i="136"/>
  <c r="L63" i="136"/>
  <c r="K63" i="136"/>
  <c r="J63" i="136"/>
  <c r="I63" i="136"/>
  <c r="H63" i="136"/>
  <c r="G63" i="136"/>
  <c r="F63" i="136"/>
  <c r="F76" i="136" s="1"/>
  <c r="AD62" i="136"/>
  <c r="AB50" i="136"/>
  <c r="AA50" i="136"/>
  <c r="Z50" i="136"/>
  <c r="Y50" i="136"/>
  <c r="X50" i="136"/>
  <c r="W50" i="136"/>
  <c r="V50" i="136"/>
  <c r="U50" i="136"/>
  <c r="T50" i="136"/>
  <c r="S50" i="136"/>
  <c r="R50" i="136"/>
  <c r="Q50" i="136"/>
  <c r="P50" i="136"/>
  <c r="O50" i="136"/>
  <c r="N50" i="136"/>
  <c r="M50" i="136"/>
  <c r="L50" i="136"/>
  <c r="K50" i="136"/>
  <c r="J50" i="136"/>
  <c r="I50" i="136"/>
  <c r="H50" i="136"/>
  <c r="G50" i="136"/>
  <c r="F50" i="136"/>
  <c r="AB49" i="136"/>
  <c r="AA49" i="136"/>
  <c r="Z49" i="136"/>
  <c r="Y49" i="136"/>
  <c r="X49" i="136"/>
  <c r="W49" i="136"/>
  <c r="V49" i="136"/>
  <c r="U49" i="136"/>
  <c r="T49" i="136"/>
  <c r="S49" i="136"/>
  <c r="R49" i="136"/>
  <c r="Q49" i="136"/>
  <c r="P49" i="136"/>
  <c r="O49" i="136"/>
  <c r="N49" i="136"/>
  <c r="M49" i="136"/>
  <c r="L49" i="136"/>
  <c r="K49" i="136"/>
  <c r="J49" i="136"/>
  <c r="I49" i="136"/>
  <c r="H49" i="136"/>
  <c r="G49" i="136"/>
  <c r="F49" i="136"/>
  <c r="AB48" i="136"/>
  <c r="AA48" i="136"/>
  <c r="Z48" i="136"/>
  <c r="Y48" i="136"/>
  <c r="X48" i="136"/>
  <c r="W48" i="136"/>
  <c r="V48" i="136"/>
  <c r="U48" i="136"/>
  <c r="T48" i="136"/>
  <c r="S48" i="136"/>
  <c r="R48" i="136"/>
  <c r="Q48" i="136"/>
  <c r="P48" i="136"/>
  <c r="O48" i="136"/>
  <c r="N48" i="136"/>
  <c r="M48" i="136"/>
  <c r="L48" i="136"/>
  <c r="K48" i="136"/>
  <c r="J48" i="136"/>
  <c r="I48" i="136"/>
  <c r="H48" i="136"/>
  <c r="G48" i="136"/>
  <c r="F48" i="136"/>
  <c r="AB47" i="136"/>
  <c r="AA47" i="136"/>
  <c r="Z47" i="136"/>
  <c r="Y47" i="136"/>
  <c r="X47" i="136"/>
  <c r="W47" i="136"/>
  <c r="V47" i="136"/>
  <c r="U47" i="136"/>
  <c r="T47" i="136"/>
  <c r="S47" i="136"/>
  <c r="R47" i="136"/>
  <c r="Q47" i="136"/>
  <c r="P47" i="136"/>
  <c r="O47" i="136"/>
  <c r="N47" i="136"/>
  <c r="M47" i="136"/>
  <c r="L47" i="136"/>
  <c r="K47" i="136"/>
  <c r="J47" i="136"/>
  <c r="I47" i="136"/>
  <c r="H47" i="136"/>
  <c r="G47" i="136"/>
  <c r="F47" i="136"/>
  <c r="AB46" i="136"/>
  <c r="AA46" i="136"/>
  <c r="Z46" i="136"/>
  <c r="Y46" i="136"/>
  <c r="X46" i="136"/>
  <c r="W46" i="136"/>
  <c r="V46" i="136"/>
  <c r="U46" i="136"/>
  <c r="T46" i="136"/>
  <c r="S46" i="136"/>
  <c r="R46" i="136"/>
  <c r="Q46" i="136"/>
  <c r="P46" i="136"/>
  <c r="O46" i="136"/>
  <c r="N46" i="136"/>
  <c r="M46" i="136"/>
  <c r="L46" i="136"/>
  <c r="K46" i="136"/>
  <c r="J46" i="136"/>
  <c r="I46" i="136"/>
  <c r="H46" i="136"/>
  <c r="G46" i="136"/>
  <c r="F46" i="136"/>
  <c r="AB45" i="136"/>
  <c r="AA45" i="136"/>
  <c r="Z45" i="136"/>
  <c r="Y45" i="136"/>
  <c r="X45" i="136"/>
  <c r="W45" i="136"/>
  <c r="V45" i="136"/>
  <c r="U45" i="136"/>
  <c r="T45" i="136"/>
  <c r="S45" i="136"/>
  <c r="R45" i="136"/>
  <c r="Q45" i="136"/>
  <c r="P45" i="136"/>
  <c r="O45" i="136"/>
  <c r="N45" i="136"/>
  <c r="M45" i="136"/>
  <c r="L45" i="136"/>
  <c r="K45" i="136"/>
  <c r="J45" i="136"/>
  <c r="I45" i="136"/>
  <c r="H45" i="136"/>
  <c r="G45" i="136"/>
  <c r="F45" i="136"/>
  <c r="AB44" i="136"/>
  <c r="AA44" i="136"/>
  <c r="Z44" i="136"/>
  <c r="Y44" i="136"/>
  <c r="X44" i="136"/>
  <c r="W44" i="136"/>
  <c r="V44" i="136"/>
  <c r="U44" i="136"/>
  <c r="T44" i="136"/>
  <c r="S44" i="136"/>
  <c r="R44" i="136"/>
  <c r="Q44" i="136"/>
  <c r="P44" i="136"/>
  <c r="P51" i="136" s="1"/>
  <c r="O44" i="136"/>
  <c r="N44" i="136"/>
  <c r="M44" i="136"/>
  <c r="L44" i="136"/>
  <c r="K44" i="136"/>
  <c r="J44" i="136"/>
  <c r="I44" i="136"/>
  <c r="H44" i="136"/>
  <c r="G44" i="136"/>
  <c r="F44" i="136"/>
  <c r="AB43" i="136"/>
  <c r="AA43" i="136"/>
  <c r="Z43" i="136"/>
  <c r="Y43" i="136"/>
  <c r="X43" i="136"/>
  <c r="W43" i="136"/>
  <c r="V43" i="136"/>
  <c r="U43" i="136"/>
  <c r="T43" i="136"/>
  <c r="S43" i="136"/>
  <c r="R43" i="136"/>
  <c r="Q43" i="136"/>
  <c r="P43" i="136"/>
  <c r="O43" i="136"/>
  <c r="O51" i="136" s="1"/>
  <c r="N43" i="136"/>
  <c r="M43" i="136"/>
  <c r="L43" i="136"/>
  <c r="K43" i="136"/>
  <c r="J43" i="136"/>
  <c r="I43" i="136"/>
  <c r="H43" i="136"/>
  <c r="G43" i="136"/>
  <c r="F43" i="136"/>
  <c r="AB42" i="136"/>
  <c r="AA42" i="136"/>
  <c r="Z42" i="136"/>
  <c r="Y42" i="136"/>
  <c r="X42" i="136"/>
  <c r="W42" i="136"/>
  <c r="W51" i="136" s="1"/>
  <c r="V42" i="136"/>
  <c r="U42" i="136"/>
  <c r="T42" i="136"/>
  <c r="S42" i="136"/>
  <c r="R42" i="136"/>
  <c r="Q42" i="136"/>
  <c r="P42" i="136"/>
  <c r="O42" i="136"/>
  <c r="N42" i="136"/>
  <c r="N51" i="136" s="1"/>
  <c r="M42" i="136"/>
  <c r="L42" i="136"/>
  <c r="K42" i="136"/>
  <c r="J42" i="136"/>
  <c r="I42" i="136"/>
  <c r="H42" i="136"/>
  <c r="G42" i="136"/>
  <c r="F42" i="136"/>
  <c r="AB41" i="136"/>
  <c r="AA41" i="136"/>
  <c r="Z41" i="136"/>
  <c r="Y41" i="136"/>
  <c r="X41" i="136"/>
  <c r="W41" i="136"/>
  <c r="V41" i="136"/>
  <c r="U41" i="136"/>
  <c r="T41" i="136"/>
  <c r="S41" i="136"/>
  <c r="R41" i="136"/>
  <c r="Q41" i="136"/>
  <c r="P41" i="136"/>
  <c r="O41" i="136"/>
  <c r="N41" i="136"/>
  <c r="M41" i="136"/>
  <c r="L41" i="136"/>
  <c r="K41" i="136"/>
  <c r="J41" i="136"/>
  <c r="I41" i="136"/>
  <c r="H41" i="136"/>
  <c r="G41" i="136"/>
  <c r="F41" i="136"/>
  <c r="AB40" i="136"/>
  <c r="AA40" i="136"/>
  <c r="Z40" i="136"/>
  <c r="Y40" i="136"/>
  <c r="X40" i="136"/>
  <c r="W40" i="136"/>
  <c r="V40" i="136"/>
  <c r="U40" i="136"/>
  <c r="T40" i="136"/>
  <c r="S40" i="136"/>
  <c r="R40" i="136"/>
  <c r="Q40" i="136"/>
  <c r="Q51" i="136" s="1"/>
  <c r="P40" i="136"/>
  <c r="O40" i="136"/>
  <c r="N40" i="136"/>
  <c r="M40" i="136"/>
  <c r="L40" i="136"/>
  <c r="L51" i="136" s="1"/>
  <c r="K40" i="136"/>
  <c r="J40" i="136"/>
  <c r="I40" i="136"/>
  <c r="I51" i="136" s="1"/>
  <c r="H40" i="136"/>
  <c r="G40" i="136"/>
  <c r="F40" i="136"/>
  <c r="AB39" i="136"/>
  <c r="AB51" i="136" s="1"/>
  <c r="AA39" i="136"/>
  <c r="AA51" i="136" s="1"/>
  <c r="Z39" i="136"/>
  <c r="Y39" i="136"/>
  <c r="X39" i="136"/>
  <c r="X51" i="136" s="1"/>
  <c r="W39" i="136"/>
  <c r="V39" i="136"/>
  <c r="U39" i="136"/>
  <c r="T39" i="136"/>
  <c r="T51" i="136" s="1"/>
  <c r="S39" i="136"/>
  <c r="S51" i="136" s="1"/>
  <c r="R39" i="136"/>
  <c r="Q39" i="136"/>
  <c r="P39" i="136"/>
  <c r="O39" i="136"/>
  <c r="N39" i="136"/>
  <c r="M39" i="136"/>
  <c r="L39" i="136"/>
  <c r="K39" i="136"/>
  <c r="J39" i="136"/>
  <c r="I39" i="136"/>
  <c r="H39" i="136"/>
  <c r="G39" i="136"/>
  <c r="F39" i="136"/>
  <c r="A39" i="136"/>
  <c r="AD39" i="136"/>
  <c r="AD38" i="136"/>
  <c r="AB38" i="136"/>
  <c r="AA38" i="136"/>
  <c r="Z38" i="136"/>
  <c r="Z51" i="136" s="1"/>
  <c r="Y38" i="136"/>
  <c r="X38" i="136"/>
  <c r="W38" i="136"/>
  <c r="V38" i="136"/>
  <c r="U38" i="136"/>
  <c r="U51" i="136" s="1"/>
  <c r="T38" i="136"/>
  <c r="S38" i="136"/>
  <c r="R38" i="136"/>
  <c r="R51" i="136" s="1"/>
  <c r="Q38" i="136"/>
  <c r="P38" i="136"/>
  <c r="O38" i="136"/>
  <c r="N38" i="136"/>
  <c r="M38" i="136"/>
  <c r="M51" i="136" s="1"/>
  <c r="L38" i="136"/>
  <c r="K38" i="136"/>
  <c r="J38" i="136"/>
  <c r="J51" i="136" s="1"/>
  <c r="I38" i="136"/>
  <c r="H38" i="136"/>
  <c r="H51" i="136" s="1"/>
  <c r="G38" i="136"/>
  <c r="F38" i="136"/>
  <c r="F51" i="136" s="1"/>
  <c r="AD37" i="136"/>
  <c r="AB26" i="136"/>
  <c r="AA26" i="136"/>
  <c r="Z26" i="136"/>
  <c r="Y26" i="136"/>
  <c r="X26" i="136"/>
  <c r="W26" i="136"/>
  <c r="V26" i="136"/>
  <c r="U26" i="136"/>
  <c r="T26" i="136"/>
  <c r="S26" i="136"/>
  <c r="R26" i="136"/>
  <c r="Q26" i="136"/>
  <c r="P26" i="136"/>
  <c r="O26" i="136"/>
  <c r="N26" i="136"/>
  <c r="M26" i="136"/>
  <c r="L26" i="136"/>
  <c r="K26" i="136"/>
  <c r="J26" i="136"/>
  <c r="I26" i="136"/>
  <c r="H26" i="136"/>
  <c r="G26" i="136"/>
  <c r="F26" i="136"/>
  <c r="E26" i="136"/>
  <c r="D26" i="136"/>
  <c r="AC25" i="136"/>
  <c r="E8" i="1" s="1"/>
  <c r="E10" i="1" s="1"/>
  <c r="C12" i="125" s="1"/>
  <c r="AC24" i="136"/>
  <c r="AC23" i="136"/>
  <c r="AC22" i="136"/>
  <c r="AC21" i="136"/>
  <c r="AC20" i="136"/>
  <c r="AC19" i="136"/>
  <c r="AC18" i="136"/>
  <c r="AC17" i="136"/>
  <c r="AC16" i="136"/>
  <c r="AC15" i="136"/>
  <c r="AC14" i="136"/>
  <c r="A14" i="136"/>
  <c r="A15" i="136"/>
  <c r="A16" i="136"/>
  <c r="A17" i="136"/>
  <c r="A18" i="136"/>
  <c r="A19" i="136"/>
  <c r="A20" i="136"/>
  <c r="A21" i="136"/>
  <c r="A22" i="136"/>
  <c r="A23" i="136"/>
  <c r="A24" i="136"/>
  <c r="A25" i="136"/>
  <c r="A26" i="136"/>
  <c r="AD26" i="136"/>
  <c r="AD13" i="136"/>
  <c r="AC13" i="136"/>
  <c r="AD12" i="136"/>
  <c r="I85" i="135"/>
  <c r="I84" i="135"/>
  <c r="A62" i="135"/>
  <c r="A63" i="135"/>
  <c r="A64" i="135"/>
  <c r="I61" i="135"/>
  <c r="I60" i="135"/>
  <c r="A39" i="135"/>
  <c r="I39" i="135"/>
  <c r="A38" i="135"/>
  <c r="I38" i="135"/>
  <c r="I37" i="135"/>
  <c r="I36" i="135"/>
  <c r="D27" i="135"/>
  <c r="F27" i="135"/>
  <c r="G25" i="135"/>
  <c r="D74" i="135" s="1"/>
  <c r="D50" i="135"/>
  <c r="G24" i="135"/>
  <c r="D73" i="135" s="1"/>
  <c r="G23" i="135"/>
  <c r="D72" i="135" s="1"/>
  <c r="G22" i="135"/>
  <c r="G21" i="135"/>
  <c r="D70" i="135" s="1"/>
  <c r="D46" i="135"/>
  <c r="G20" i="135"/>
  <c r="D45" i="135" s="1"/>
  <c r="G19" i="135"/>
  <c r="D68" i="135" s="1"/>
  <c r="G18" i="135"/>
  <c r="D43" i="135" s="1"/>
  <c r="G17" i="135"/>
  <c r="D42" i="135" s="1"/>
  <c r="G16" i="135"/>
  <c r="D65" i="135" s="1"/>
  <c r="G15" i="135"/>
  <c r="D64" i="135" s="1"/>
  <c r="G14" i="135"/>
  <c r="D63" i="135"/>
  <c r="G63" i="135" s="1"/>
  <c r="F63" i="135"/>
  <c r="G13" i="135"/>
  <c r="D62" i="135" s="1"/>
  <c r="A13" i="135"/>
  <c r="A14" i="135"/>
  <c r="I12" i="135"/>
  <c r="G12" i="135"/>
  <c r="D37" i="135" s="1"/>
  <c r="D61" i="135"/>
  <c r="I11" i="135"/>
  <c r="A34" i="78"/>
  <c r="A35" i="78"/>
  <c r="G33" i="78"/>
  <c r="G26" i="135"/>
  <c r="D44" i="135"/>
  <c r="A40" i="135"/>
  <c r="I40" i="135"/>
  <c r="D48" i="135"/>
  <c r="I62" i="135"/>
  <c r="I13" i="135"/>
  <c r="D40" i="135"/>
  <c r="A117" i="137"/>
  <c r="AD117" i="137"/>
  <c r="I117" i="137"/>
  <c r="I63" i="135"/>
  <c r="I117" i="136"/>
  <c r="Q76" i="136"/>
  <c r="I103" i="136"/>
  <c r="AD116" i="136"/>
  <c r="AD19" i="136"/>
  <c r="V51" i="136"/>
  <c r="H76" i="137"/>
  <c r="A40" i="137"/>
  <c r="A41" i="137"/>
  <c r="A42" i="137"/>
  <c r="AD64" i="137"/>
  <c r="AD14" i="137"/>
  <c r="AD129" i="137"/>
  <c r="G89" i="137"/>
  <c r="AD15" i="136"/>
  <c r="AD22" i="136"/>
  <c r="AD24" i="136"/>
  <c r="AD18" i="136"/>
  <c r="AD20" i="136"/>
  <c r="AD102" i="136"/>
  <c r="AD14" i="136"/>
  <c r="AD16" i="136"/>
  <c r="AD23" i="136"/>
  <c r="Y51" i="136"/>
  <c r="A89" i="136"/>
  <c r="AD89" i="136"/>
  <c r="A17" i="125"/>
  <c r="E16" i="125"/>
  <c r="H61" i="135"/>
  <c r="A15" i="135"/>
  <c r="I14" i="135"/>
  <c r="I64" i="135"/>
  <c r="A65" i="135"/>
  <c r="A16" i="137"/>
  <c r="AD15" i="137"/>
  <c r="D67" i="135"/>
  <c r="G67" i="135" s="1"/>
  <c r="D47" i="135"/>
  <c r="D71" i="135"/>
  <c r="F71" i="135" s="1"/>
  <c r="A41" i="135"/>
  <c r="D49" i="135"/>
  <c r="D39" i="135"/>
  <c r="AD17" i="136"/>
  <c r="AD21" i="136"/>
  <c r="AD25" i="136"/>
  <c r="S76" i="137"/>
  <c r="W76" i="137"/>
  <c r="A40" i="136"/>
  <c r="H76" i="136"/>
  <c r="U51" i="137"/>
  <c r="Y51" i="137"/>
  <c r="R76" i="137"/>
  <c r="A66" i="137"/>
  <c r="AD65" i="137"/>
  <c r="AD116" i="137"/>
  <c r="A65" i="136"/>
  <c r="AD88" i="136"/>
  <c r="A130" i="136"/>
  <c r="AD130" i="136"/>
  <c r="F130" i="136"/>
  <c r="A103" i="137"/>
  <c r="AD103" i="137"/>
  <c r="AD88" i="137"/>
  <c r="A130" i="137"/>
  <c r="AD130" i="137"/>
  <c r="AD102" i="137"/>
  <c r="G34" i="78"/>
  <c r="G35" i="78"/>
  <c r="A36" i="78"/>
  <c r="AD40" i="137"/>
  <c r="AD41" i="137"/>
  <c r="E17" i="125"/>
  <c r="AD66" i="137"/>
  <c r="A67" i="137"/>
  <c r="AD42" i="137"/>
  <c r="A43" i="137"/>
  <c r="H71" i="135"/>
  <c r="E71" i="135"/>
  <c r="A42" i="135"/>
  <c r="I41" i="135"/>
  <c r="H67" i="135"/>
  <c r="F67" i="135"/>
  <c r="E67" i="135"/>
  <c r="A16" i="135"/>
  <c r="I15" i="135"/>
  <c r="AD65" i="136"/>
  <c r="A66" i="136"/>
  <c r="AD40" i="136"/>
  <c r="A41" i="136"/>
  <c r="A17" i="137"/>
  <c r="AD16" i="137"/>
  <c r="I65" i="135"/>
  <c r="A66" i="135"/>
  <c r="A37" i="78"/>
  <c r="G36" i="78"/>
  <c r="A67" i="135"/>
  <c r="I66" i="135"/>
  <c r="AD67" i="137"/>
  <c r="A68" i="137"/>
  <c r="A42" i="136"/>
  <c r="AD41" i="136"/>
  <c r="A43" i="135"/>
  <c r="I42" i="135"/>
  <c r="A18" i="137"/>
  <c r="AD17" i="137"/>
  <c r="A67" i="136"/>
  <c r="AD66" i="136"/>
  <c r="I16" i="135"/>
  <c r="A17" i="135"/>
  <c r="AD43" i="137"/>
  <c r="A44" i="137"/>
  <c r="A38" i="78"/>
  <c r="G37" i="78"/>
  <c r="A68" i="135"/>
  <c r="I67" i="135"/>
  <c r="A18" i="135"/>
  <c r="I17" i="135"/>
  <c r="A19" i="137"/>
  <c r="AD18" i="137"/>
  <c r="A69" i="137"/>
  <c r="AD68" i="137"/>
  <c r="A43" i="136"/>
  <c r="AD42" i="136"/>
  <c r="A45" i="137"/>
  <c r="AD44" i="137"/>
  <c r="A68" i="136"/>
  <c r="AD67" i="136"/>
  <c r="I43" i="135"/>
  <c r="A44" i="135"/>
  <c r="A39" i="78"/>
  <c r="G38" i="78"/>
  <c r="A46" i="137"/>
  <c r="AD45" i="137"/>
  <c r="A19" i="135"/>
  <c r="I18" i="135"/>
  <c r="AD68" i="136"/>
  <c r="A69" i="136"/>
  <c r="AD43" i="136"/>
  <c r="A44" i="136"/>
  <c r="A70" i="137"/>
  <c r="AD69" i="137"/>
  <c r="I44" i="135"/>
  <c r="A45" i="135"/>
  <c r="A20" i="137"/>
  <c r="AD19" i="137"/>
  <c r="I68" i="135"/>
  <c r="A69" i="135"/>
  <c r="A40" i="78"/>
  <c r="G39" i="78"/>
  <c r="I69" i="135"/>
  <c r="A70" i="135"/>
  <c r="A46" i="135"/>
  <c r="I45" i="135"/>
  <c r="AD44" i="136"/>
  <c r="A45" i="136"/>
  <c r="AD69" i="136"/>
  <c r="A70" i="136"/>
  <c r="I19" i="135"/>
  <c r="A20" i="135"/>
  <c r="A21" i="137"/>
  <c r="AD20" i="137"/>
  <c r="AD70" i="137"/>
  <c r="A71" i="137"/>
  <c r="AD46" i="137"/>
  <c r="A47" i="137"/>
  <c r="A41" i="78"/>
  <c r="G40" i="78"/>
  <c r="AD47" i="137"/>
  <c r="A48" i="137"/>
  <c r="A71" i="136"/>
  <c r="AD70" i="136"/>
  <c r="AD71" i="137"/>
  <c r="A72" i="137"/>
  <c r="I20" i="135"/>
  <c r="A21" i="135"/>
  <c r="A46" i="136"/>
  <c r="AD45" i="136"/>
  <c r="A71" i="135"/>
  <c r="I70" i="135"/>
  <c r="A22" i="137"/>
  <c r="AD21" i="137"/>
  <c r="A47" i="135"/>
  <c r="I46" i="135"/>
  <c r="A42" i="78"/>
  <c r="G41" i="78"/>
  <c r="H346" i="108"/>
  <c r="H345" i="108"/>
  <c r="H344" i="108"/>
  <c r="H343" i="108"/>
  <c r="H342" i="108"/>
  <c r="H341" i="108"/>
  <c r="H340" i="108"/>
  <c r="H339" i="108"/>
  <c r="H338" i="108"/>
  <c r="H337" i="108"/>
  <c r="H336" i="108"/>
  <c r="H335" i="108"/>
  <c r="H334" i="108"/>
  <c r="H333" i="108"/>
  <c r="H332" i="108"/>
  <c r="H331" i="108"/>
  <c r="H330" i="108"/>
  <c r="H329" i="108"/>
  <c r="H328" i="108"/>
  <c r="H327" i="108"/>
  <c r="H326" i="108"/>
  <c r="H325" i="108"/>
  <c r="H324" i="108"/>
  <c r="H323" i="108"/>
  <c r="H314" i="108"/>
  <c r="H313" i="108"/>
  <c r="H312" i="108"/>
  <c r="H311" i="108"/>
  <c r="H310" i="108"/>
  <c r="H309" i="108"/>
  <c r="H308" i="108"/>
  <c r="H307" i="108"/>
  <c r="H306" i="108"/>
  <c r="H305" i="108"/>
  <c r="H304" i="108"/>
  <c r="H303" i="108"/>
  <c r="H302" i="108"/>
  <c r="H301" i="108"/>
  <c r="H300" i="108"/>
  <c r="H299" i="108"/>
  <c r="H298" i="108"/>
  <c r="H297" i="108"/>
  <c r="H296" i="108"/>
  <c r="H295" i="108"/>
  <c r="H294" i="108"/>
  <c r="H293" i="108"/>
  <c r="H292" i="108"/>
  <c r="H291" i="108"/>
  <c r="H284" i="108"/>
  <c r="H283" i="108"/>
  <c r="H282" i="108"/>
  <c r="H281" i="108"/>
  <c r="H280" i="108"/>
  <c r="H279" i="108"/>
  <c r="H278" i="108"/>
  <c r="H277" i="108"/>
  <c r="H276" i="108"/>
  <c r="H275" i="108"/>
  <c r="H274" i="108"/>
  <c r="H273" i="108"/>
  <c r="H272" i="108"/>
  <c r="H271" i="108"/>
  <c r="H270" i="108"/>
  <c r="H269" i="108"/>
  <c r="H268" i="108"/>
  <c r="H267" i="108"/>
  <c r="H266" i="108"/>
  <c r="H265" i="108"/>
  <c r="H264" i="108"/>
  <c r="H263" i="108"/>
  <c r="H262" i="108"/>
  <c r="H261" i="108"/>
  <c r="H252" i="108"/>
  <c r="H251" i="108"/>
  <c r="H250" i="108"/>
  <c r="H249" i="108"/>
  <c r="H248" i="108"/>
  <c r="H247" i="108"/>
  <c r="H246" i="108"/>
  <c r="H245" i="108"/>
  <c r="H244" i="108"/>
  <c r="H243" i="108"/>
  <c r="H242" i="108"/>
  <c r="H241" i="108"/>
  <c r="H240" i="108"/>
  <c r="H239" i="108"/>
  <c r="H238" i="108"/>
  <c r="H237" i="108"/>
  <c r="H236" i="108"/>
  <c r="H235" i="108"/>
  <c r="H234" i="108"/>
  <c r="H233" i="108"/>
  <c r="H232" i="108"/>
  <c r="H231" i="108"/>
  <c r="H230" i="108"/>
  <c r="H229" i="108"/>
  <c r="H220" i="108"/>
  <c r="H219" i="108"/>
  <c r="H218" i="108"/>
  <c r="H217" i="108"/>
  <c r="H216" i="108"/>
  <c r="H215" i="108"/>
  <c r="H214" i="108"/>
  <c r="H213" i="108"/>
  <c r="H212" i="108"/>
  <c r="H211" i="108"/>
  <c r="H210" i="108"/>
  <c r="H209" i="108"/>
  <c r="H208" i="108"/>
  <c r="H207" i="108"/>
  <c r="H206" i="108"/>
  <c r="H205" i="108"/>
  <c r="H204" i="108"/>
  <c r="H203" i="108"/>
  <c r="H202" i="108"/>
  <c r="H201" i="108"/>
  <c r="H200" i="108"/>
  <c r="H199" i="108"/>
  <c r="H198" i="108"/>
  <c r="H197" i="108"/>
  <c r="H188" i="108"/>
  <c r="H187" i="108"/>
  <c r="H186" i="108"/>
  <c r="H185" i="108"/>
  <c r="H184" i="108"/>
  <c r="H183" i="108"/>
  <c r="H182" i="108"/>
  <c r="H181" i="108"/>
  <c r="H180" i="108"/>
  <c r="H179" i="108"/>
  <c r="H178" i="108"/>
  <c r="H177" i="108"/>
  <c r="H176" i="108"/>
  <c r="H175" i="108"/>
  <c r="H174" i="108"/>
  <c r="H173" i="108"/>
  <c r="H172" i="108"/>
  <c r="H171" i="108"/>
  <c r="H170" i="108"/>
  <c r="H169" i="108"/>
  <c r="H168" i="108"/>
  <c r="H167" i="108"/>
  <c r="H166" i="108"/>
  <c r="H165" i="108"/>
  <c r="H158" i="108"/>
  <c r="H157" i="108"/>
  <c r="H156" i="108"/>
  <c r="H155" i="108"/>
  <c r="H154" i="108"/>
  <c r="H153" i="108"/>
  <c r="H152" i="108"/>
  <c r="H151" i="108"/>
  <c r="H150" i="108"/>
  <c r="H149" i="108"/>
  <c r="H148" i="108"/>
  <c r="H147" i="108"/>
  <c r="H146" i="108"/>
  <c r="H145" i="108"/>
  <c r="H144" i="108"/>
  <c r="H143" i="108"/>
  <c r="H142" i="108"/>
  <c r="H141" i="108"/>
  <c r="H140" i="108"/>
  <c r="H139" i="108"/>
  <c r="H138" i="108"/>
  <c r="H137" i="108"/>
  <c r="H136" i="108"/>
  <c r="H135" i="108"/>
  <c r="H126" i="108"/>
  <c r="H125" i="108"/>
  <c r="H124" i="108"/>
  <c r="H123" i="108"/>
  <c r="H122" i="108"/>
  <c r="H121" i="108"/>
  <c r="H120" i="108"/>
  <c r="H119" i="108"/>
  <c r="H118" i="108"/>
  <c r="H117" i="108"/>
  <c r="H116" i="108"/>
  <c r="H115" i="108"/>
  <c r="H114" i="108"/>
  <c r="H113" i="108"/>
  <c r="H112" i="108"/>
  <c r="H111" i="108"/>
  <c r="H110" i="108"/>
  <c r="H109" i="108"/>
  <c r="H108" i="108"/>
  <c r="H107" i="108"/>
  <c r="H106" i="108"/>
  <c r="H105" i="108"/>
  <c r="H104" i="108"/>
  <c r="H103" i="108"/>
  <c r="I47" i="135"/>
  <c r="A48" i="135"/>
  <c r="A22" i="135"/>
  <c r="I21" i="135"/>
  <c r="A72" i="135"/>
  <c r="I71" i="135"/>
  <c r="A73" i="137"/>
  <c r="AD72" i="137"/>
  <c r="A49" i="137"/>
  <c r="AD48" i="137"/>
  <c r="A72" i="136"/>
  <c r="AD71" i="136"/>
  <c r="A23" i="137"/>
  <c r="AD22" i="137"/>
  <c r="A47" i="136"/>
  <c r="AD46" i="136"/>
  <c r="A43" i="78"/>
  <c r="G42" i="78"/>
  <c r="E26" i="79"/>
  <c r="AD47" i="136"/>
  <c r="A48" i="136"/>
  <c r="I48" i="135"/>
  <c r="A49" i="135"/>
  <c r="AD72" i="136"/>
  <c r="A73" i="136"/>
  <c r="A74" i="137"/>
  <c r="AD73" i="137"/>
  <c r="A23" i="135"/>
  <c r="I22" i="135"/>
  <c r="A24" i="137"/>
  <c r="AD23" i="137"/>
  <c r="A50" i="137"/>
  <c r="AD49" i="137"/>
  <c r="I72" i="135"/>
  <c r="A73" i="135"/>
  <c r="A44" i="78"/>
  <c r="G43" i="78"/>
  <c r="B287" i="108"/>
  <c r="B161" i="108"/>
  <c r="B99" i="108"/>
  <c r="L57" i="108"/>
  <c r="L128" i="108"/>
  <c r="L190" i="108"/>
  <c r="L222" i="108"/>
  <c r="L254" i="108"/>
  <c r="L316" i="108"/>
  <c r="A129" i="108"/>
  <c r="A191" i="108" s="1"/>
  <c r="E62" i="108"/>
  <c r="D62" i="108"/>
  <c r="C62" i="108"/>
  <c r="E44" i="108"/>
  <c r="D44" i="108"/>
  <c r="C44" i="108"/>
  <c r="H58" i="108"/>
  <c r="G58" i="108"/>
  <c r="F58" i="108"/>
  <c r="E58" i="108"/>
  <c r="D58" i="108"/>
  <c r="C58" i="108"/>
  <c r="H22" i="108"/>
  <c r="G22" i="108"/>
  <c r="F22" i="108"/>
  <c r="E22" i="108"/>
  <c r="D22" i="108"/>
  <c r="C22" i="108"/>
  <c r="K290" i="108"/>
  <c r="K317" i="108"/>
  <c r="K322" i="108"/>
  <c r="K164" i="108"/>
  <c r="K102" i="108"/>
  <c r="L39" i="108"/>
  <c r="L38" i="108"/>
  <c r="L17" i="108"/>
  <c r="L16" i="108"/>
  <c r="L8" i="108"/>
  <c r="L7" i="108"/>
  <c r="L6" i="108"/>
  <c r="L66" i="108"/>
  <c r="L67" i="108"/>
  <c r="K260" i="108"/>
  <c r="K255" i="108"/>
  <c r="K228" i="108"/>
  <c r="K223" i="108"/>
  <c r="K196" i="108"/>
  <c r="K191" i="108"/>
  <c r="K134" i="108"/>
  <c r="K129" i="108"/>
  <c r="L129" i="108"/>
  <c r="A50" i="135"/>
  <c r="I49" i="135"/>
  <c r="A25" i="137"/>
  <c r="AD24" i="137"/>
  <c r="AD74" i="137"/>
  <c r="A75" i="137"/>
  <c r="AD73" i="136"/>
  <c r="A74" i="136"/>
  <c r="AD48" i="136"/>
  <c r="A49" i="136"/>
  <c r="I73" i="135"/>
  <c r="A74" i="135"/>
  <c r="AD50" i="137"/>
  <c r="A51" i="137"/>
  <c r="AD51" i="137"/>
  <c r="I23" i="135"/>
  <c r="A24" i="135"/>
  <c r="A45" i="78"/>
  <c r="G44" i="78"/>
  <c r="A134" i="108"/>
  <c r="A135" i="108"/>
  <c r="A136" i="108" s="1"/>
  <c r="A137" i="108" s="1"/>
  <c r="L134" i="108"/>
  <c r="I24" i="135"/>
  <c r="A25" i="135"/>
  <c r="A75" i="135"/>
  <c r="I75" i="135"/>
  <c r="I74" i="135"/>
  <c r="A75" i="136"/>
  <c r="AD74" i="136"/>
  <c r="AD49" i="136"/>
  <c r="A50" i="136"/>
  <c r="AD75" i="137"/>
  <c r="A76" i="137"/>
  <c r="AD76" i="137"/>
  <c r="A26" i="137"/>
  <c r="AD26" i="137"/>
  <c r="AD25" i="137"/>
  <c r="A51" i="135"/>
  <c r="I51" i="135"/>
  <c r="I50" i="135"/>
  <c r="A46" i="78"/>
  <c r="G45" i="78"/>
  <c r="L136" i="108"/>
  <c r="AD50" i="136"/>
  <c r="A51" i="136"/>
  <c r="AD51" i="136"/>
  <c r="A26" i="135"/>
  <c r="I25" i="135"/>
  <c r="A76" i="136"/>
  <c r="AD76" i="136"/>
  <c r="AD75" i="136"/>
  <c r="A47" i="78"/>
  <c r="G46" i="78"/>
  <c r="A27" i="135"/>
  <c r="I27" i="135"/>
  <c r="I26" i="135"/>
  <c r="A48" i="78"/>
  <c r="G47" i="78"/>
  <c r="A49" i="78"/>
  <c r="G48" i="78"/>
  <c r="A50" i="78"/>
  <c r="G49" i="78"/>
  <c r="A51" i="78"/>
  <c r="G50" i="78"/>
  <c r="A52" i="78"/>
  <c r="G51" i="78"/>
  <c r="A53" i="78"/>
  <c r="G52" i="78"/>
  <c r="A54" i="78"/>
  <c r="G53" i="78"/>
  <c r="A55" i="78"/>
  <c r="G54" i="78"/>
  <c r="A56" i="78"/>
  <c r="G55" i="78"/>
  <c r="A57" i="78"/>
  <c r="G56" i="78"/>
  <c r="A58" i="78"/>
  <c r="G57" i="78"/>
  <c r="A59" i="78"/>
  <c r="G58" i="78"/>
  <c r="A60" i="78"/>
  <c r="G59" i="78"/>
  <c r="A61" i="78"/>
  <c r="G60" i="78"/>
  <c r="A62" i="78"/>
  <c r="G61" i="78"/>
  <c r="A63" i="78"/>
  <c r="G62" i="78"/>
  <c r="A64" i="78"/>
  <c r="G63" i="78"/>
  <c r="A65" i="78"/>
  <c r="G64" i="78"/>
  <c r="A66" i="78"/>
  <c r="G65" i="78"/>
  <c r="A67" i="78"/>
  <c r="G66" i="78"/>
  <c r="A68" i="78"/>
  <c r="G67" i="78"/>
  <c r="A69" i="78"/>
  <c r="G68" i="78"/>
  <c r="A70" i="78"/>
  <c r="G69" i="78"/>
  <c r="A71" i="78"/>
  <c r="G70" i="78"/>
  <c r="A72" i="78"/>
  <c r="G71" i="78"/>
  <c r="A73" i="78"/>
  <c r="G72" i="78"/>
  <c r="A74" i="78"/>
  <c r="G73" i="78"/>
  <c r="A75" i="78"/>
  <c r="G74" i="78"/>
  <c r="A76" i="78"/>
  <c r="G75" i="78"/>
  <c r="A77" i="78"/>
  <c r="G76" i="78"/>
  <c r="A78" i="78"/>
  <c r="G77" i="78"/>
  <c r="A79" i="78"/>
  <c r="G79" i="78"/>
  <c r="G78" i="78"/>
  <c r="A72" i="108"/>
  <c r="L72" i="108"/>
  <c r="K72" i="108"/>
  <c r="K67" i="108"/>
  <c r="F67" i="108"/>
  <c r="A12" i="106"/>
  <c r="A73" i="108"/>
  <c r="L73" i="108" s="1"/>
  <c r="A74" i="108"/>
  <c r="G7" i="78"/>
  <c r="A8" i="78"/>
  <c r="A9" i="78"/>
  <c r="G8" i="78"/>
  <c r="A10" i="78"/>
  <c r="G9" i="78"/>
  <c r="A11" i="78"/>
  <c r="G10" i="78"/>
  <c r="A12" i="78"/>
  <c r="G11" i="78"/>
  <c r="A13" i="78"/>
  <c r="G12" i="78"/>
  <c r="K66" i="104"/>
  <c r="A40" i="108"/>
  <c r="E176" i="108"/>
  <c r="E175" i="108"/>
  <c r="E174" i="108"/>
  <c r="E173" i="108"/>
  <c r="E172" i="108"/>
  <c r="E171" i="108"/>
  <c r="E170" i="108"/>
  <c r="E169" i="108"/>
  <c r="E168" i="108"/>
  <c r="E167" i="108"/>
  <c r="E166" i="108"/>
  <c r="E165" i="108"/>
  <c r="E240" i="108"/>
  <c r="E208" i="108"/>
  <c r="E146" i="108"/>
  <c r="E239" i="108"/>
  <c r="E207" i="108"/>
  <c r="E145" i="108"/>
  <c r="E238" i="108"/>
  <c r="E206" i="108"/>
  <c r="E144" i="108"/>
  <c r="E237" i="108"/>
  <c r="E205" i="108"/>
  <c r="E143" i="108"/>
  <c r="E236" i="108"/>
  <c r="E204" i="108"/>
  <c r="E142" i="108"/>
  <c r="E235" i="108"/>
  <c r="E203" i="108"/>
  <c r="E141" i="108"/>
  <c r="E234" i="108"/>
  <c r="E202" i="108"/>
  <c r="E140" i="108"/>
  <c r="E233" i="108"/>
  <c r="E201" i="108"/>
  <c r="E139" i="108"/>
  <c r="E232" i="108"/>
  <c r="E200" i="108"/>
  <c r="E138" i="108"/>
  <c r="E231" i="108"/>
  <c r="E199" i="108"/>
  <c r="E137" i="108"/>
  <c r="E230" i="108"/>
  <c r="E198" i="108"/>
  <c r="E136" i="108"/>
  <c r="E229" i="108"/>
  <c r="E197" i="108"/>
  <c r="E135" i="108"/>
  <c r="K48" i="106"/>
  <c r="K44" i="106"/>
  <c r="A45" i="106"/>
  <c r="K45" i="106"/>
  <c r="K36" i="106"/>
  <c r="K37" i="106"/>
  <c r="K12" i="106"/>
  <c r="A37" i="106"/>
  <c r="A38" i="106"/>
  <c r="K38" i="106"/>
  <c r="J1" i="106"/>
  <c r="A14" i="78"/>
  <c r="G13" i="78"/>
  <c r="A41" i="108"/>
  <c r="A42" i="108" s="1"/>
  <c r="L40" i="108"/>
  <c r="A46" i="106"/>
  <c r="A15" i="78"/>
  <c r="G14" i="78"/>
  <c r="L41" i="108"/>
  <c r="A47" i="106"/>
  <c r="K47" i="106"/>
  <c r="K46" i="106"/>
  <c r="A16" i="78"/>
  <c r="G15" i="78"/>
  <c r="A22" i="108"/>
  <c r="C31" i="108"/>
  <c r="D31" i="108"/>
  <c r="E31" i="108"/>
  <c r="I22" i="108"/>
  <c r="E302" i="108"/>
  <c r="E301" i="108"/>
  <c r="E300" i="108"/>
  <c r="E299" i="108"/>
  <c r="E298" i="108"/>
  <c r="E297" i="108"/>
  <c r="E296" i="108"/>
  <c r="E295" i="108"/>
  <c r="E294" i="108"/>
  <c r="E293" i="108"/>
  <c r="E292" i="108"/>
  <c r="F292" i="108" s="1"/>
  <c r="E291" i="108"/>
  <c r="E114" i="108"/>
  <c r="E113" i="108"/>
  <c r="E112" i="108"/>
  <c r="E111" i="108"/>
  <c r="E110" i="108"/>
  <c r="E109" i="108"/>
  <c r="E108" i="108"/>
  <c r="E107" i="108"/>
  <c r="E106" i="108"/>
  <c r="E105" i="108"/>
  <c r="E104" i="108"/>
  <c r="E103" i="108"/>
  <c r="E334" i="108"/>
  <c r="E272" i="108"/>
  <c r="E333" i="108"/>
  <c r="E271" i="108"/>
  <c r="E332" i="108"/>
  <c r="E270" i="108"/>
  <c r="E331" i="108"/>
  <c r="E269" i="108"/>
  <c r="E330" i="108"/>
  <c r="E268" i="108"/>
  <c r="E329" i="108"/>
  <c r="E267" i="108"/>
  <c r="E328" i="108"/>
  <c r="E266" i="108"/>
  <c r="E327" i="108"/>
  <c r="E265" i="108"/>
  <c r="E326" i="108"/>
  <c r="E264" i="108"/>
  <c r="E325" i="108"/>
  <c r="E263" i="108"/>
  <c r="E324" i="108"/>
  <c r="E262" i="108"/>
  <c r="E323" i="108"/>
  <c r="E261" i="108"/>
  <c r="E84" i="108"/>
  <c r="E83" i="108"/>
  <c r="E82" i="108"/>
  <c r="E81" i="108"/>
  <c r="E80" i="108"/>
  <c r="E79" i="108"/>
  <c r="E78" i="108"/>
  <c r="E77" i="108"/>
  <c r="E76" i="108"/>
  <c r="E75" i="108"/>
  <c r="E74" i="108"/>
  <c r="I74" i="108" s="1"/>
  <c r="E73" i="108"/>
  <c r="A17" i="78"/>
  <c r="G16" i="78"/>
  <c r="A23" i="108"/>
  <c r="L22" i="108"/>
  <c r="A13" i="106"/>
  <c r="K13" i="106"/>
  <c r="A18" i="78"/>
  <c r="G17" i="78"/>
  <c r="A25" i="108"/>
  <c r="A26" i="108" s="1"/>
  <c r="L23" i="108"/>
  <c r="A14" i="106"/>
  <c r="A19" i="78"/>
  <c r="G18" i="78"/>
  <c r="L25" i="108"/>
  <c r="A16" i="106"/>
  <c r="K14" i="106"/>
  <c r="A32" i="105"/>
  <c r="A20" i="78"/>
  <c r="G19" i="78"/>
  <c r="A17" i="106"/>
  <c r="K16" i="106"/>
  <c r="D39" i="108"/>
  <c r="E39" i="108"/>
  <c r="F39" i="108"/>
  <c r="G39" i="108"/>
  <c r="H39" i="108"/>
  <c r="I39" i="108"/>
  <c r="C39" i="108"/>
  <c r="K23" i="105"/>
  <c r="K22" i="105"/>
  <c r="K21" i="105"/>
  <c r="K20" i="105"/>
  <c r="K19" i="105"/>
  <c r="K18" i="105"/>
  <c r="K17" i="105"/>
  <c r="K16" i="105"/>
  <c r="K24" i="105" s="1"/>
  <c r="K15" i="105"/>
  <c r="K14" i="105"/>
  <c r="K13" i="105"/>
  <c r="G23" i="105"/>
  <c r="G22" i="105"/>
  <c r="G21" i="105"/>
  <c r="G20" i="105"/>
  <c r="G19" i="105"/>
  <c r="G18" i="105"/>
  <c r="G17" i="105"/>
  <c r="G16" i="105"/>
  <c r="G15" i="105"/>
  <c r="G14" i="105"/>
  <c r="G13" i="105"/>
  <c r="D13" i="105"/>
  <c r="D14" i="105"/>
  <c r="D15" i="105"/>
  <c r="D16" i="105"/>
  <c r="D17" i="105"/>
  <c r="D18" i="105"/>
  <c r="D19" i="105"/>
  <c r="D20" i="105"/>
  <c r="D21" i="105"/>
  <c r="D22" i="105"/>
  <c r="D23" i="105"/>
  <c r="K99" i="104"/>
  <c r="E111" i="104"/>
  <c r="A100" i="104"/>
  <c r="K100" i="104"/>
  <c r="E78" i="104"/>
  <c r="D30" i="106" s="1"/>
  <c r="D48" i="108"/>
  <c r="C78" i="104"/>
  <c r="C48" i="108" s="1"/>
  <c r="A67" i="104"/>
  <c r="A68" i="104"/>
  <c r="A69" i="104"/>
  <c r="A70" i="104"/>
  <c r="A71" i="104"/>
  <c r="A72" i="104"/>
  <c r="A73" i="104"/>
  <c r="A74" i="104"/>
  <c r="A75" i="104"/>
  <c r="A76" i="104"/>
  <c r="A77" i="104"/>
  <c r="A78" i="104"/>
  <c r="K48" i="104"/>
  <c r="J26" i="104"/>
  <c r="A49" i="104"/>
  <c r="A50" i="104"/>
  <c r="A15" i="104"/>
  <c r="K15" i="104"/>
  <c r="C26" i="104"/>
  <c r="E26" i="104"/>
  <c r="F26" i="104"/>
  <c r="G26" i="104"/>
  <c r="H26" i="104"/>
  <c r="G41" i="108" s="1"/>
  <c r="I26" i="104"/>
  <c r="D26" i="104"/>
  <c r="D41" i="108"/>
  <c r="D18" i="106"/>
  <c r="E41" i="108"/>
  <c r="G18" i="106"/>
  <c r="H41" i="108"/>
  <c r="E18" i="106"/>
  <c r="F41" i="108"/>
  <c r="K78" i="104"/>
  <c r="A82" i="104"/>
  <c r="A21" i="78"/>
  <c r="G20" i="78"/>
  <c r="K73" i="104"/>
  <c r="A101" i="104"/>
  <c r="A102" i="104"/>
  <c r="A103" i="104"/>
  <c r="A104" i="104"/>
  <c r="A105" i="104"/>
  <c r="A106" i="104"/>
  <c r="A107" i="104"/>
  <c r="A108" i="104"/>
  <c r="A109" i="104"/>
  <c r="A110" i="104"/>
  <c r="A111" i="104"/>
  <c r="K111" i="104"/>
  <c r="K69" i="104"/>
  <c r="K17" i="106"/>
  <c r="A18" i="106"/>
  <c r="K77" i="104"/>
  <c r="C111" i="104"/>
  <c r="K70" i="104"/>
  <c r="K74" i="104"/>
  <c r="A16" i="104"/>
  <c r="K16" i="104"/>
  <c r="K67" i="104"/>
  <c r="K71" i="104"/>
  <c r="K75" i="104"/>
  <c r="K68" i="104"/>
  <c r="K72" i="104"/>
  <c r="K76" i="104"/>
  <c r="D111" i="104"/>
  <c r="K49" i="104"/>
  <c r="K50" i="104"/>
  <c r="A51" i="104"/>
  <c r="F60" i="104"/>
  <c r="C60" i="104"/>
  <c r="D60" i="104"/>
  <c r="H60" i="104"/>
  <c r="I60" i="104"/>
  <c r="G60" i="104"/>
  <c r="E60" i="104"/>
  <c r="N12" i="105"/>
  <c r="M24" i="105"/>
  <c r="E26" i="105"/>
  <c r="G37" i="105"/>
  <c r="G26" i="105"/>
  <c r="H26" i="105"/>
  <c r="I26" i="105"/>
  <c r="J37" i="105"/>
  <c r="L26" i="105"/>
  <c r="L37" i="105"/>
  <c r="M26" i="105"/>
  <c r="A13" i="105"/>
  <c r="N13" i="105"/>
  <c r="E24" i="105"/>
  <c r="G24" i="105"/>
  <c r="H24" i="105"/>
  <c r="I24" i="105"/>
  <c r="L24" i="105"/>
  <c r="H38" i="105"/>
  <c r="H39" i="105"/>
  <c r="H40" i="105"/>
  <c r="H41" i="105"/>
  <c r="K106" i="104"/>
  <c r="I36" i="105"/>
  <c r="I35" i="105"/>
  <c r="A83" i="104"/>
  <c r="K82" i="104"/>
  <c r="K103" i="104"/>
  <c r="A22" i="78"/>
  <c r="G21" i="78"/>
  <c r="K102" i="104"/>
  <c r="K108" i="104"/>
  <c r="K109" i="104"/>
  <c r="K104" i="104"/>
  <c r="K105" i="104"/>
  <c r="K107" i="104"/>
  <c r="K110" i="104"/>
  <c r="K101" i="104"/>
  <c r="H18" i="106"/>
  <c r="H19" i="106"/>
  <c r="I41" i="108"/>
  <c r="I42" i="108"/>
  <c r="A17" i="104"/>
  <c r="K17" i="104"/>
  <c r="A19" i="106"/>
  <c r="A22" i="106"/>
  <c r="K18" i="106"/>
  <c r="A14" i="105"/>
  <c r="I37" i="105"/>
  <c r="L35" i="105"/>
  <c r="G35" i="105"/>
  <c r="K51" i="104"/>
  <c r="A52" i="104"/>
  <c r="G36" i="105"/>
  <c r="J35" i="105"/>
  <c r="L36" i="105"/>
  <c r="J36" i="105"/>
  <c r="A84" i="104"/>
  <c r="K83" i="104"/>
  <c r="A25" i="106"/>
  <c r="K22" i="106"/>
  <c r="G22" i="78"/>
  <c r="A23" i="78"/>
  <c r="A18" i="104"/>
  <c r="K18" i="104"/>
  <c r="K19" i="106"/>
  <c r="A15" i="105"/>
  <c r="N14" i="105"/>
  <c r="K52" i="104"/>
  <c r="A53" i="104"/>
  <c r="E33" i="105"/>
  <c r="C33" i="105"/>
  <c r="E34" i="105"/>
  <c r="C34" i="105"/>
  <c r="E32" i="105"/>
  <c r="C32" i="105"/>
  <c r="N32" i="105"/>
  <c r="A33" i="105"/>
  <c r="N33" i="105"/>
  <c r="K84" i="104"/>
  <c r="A85" i="104"/>
  <c r="A19" i="104"/>
  <c r="K19" i="104"/>
  <c r="A24" i="78"/>
  <c r="A25" i="78"/>
  <c r="G23" i="78"/>
  <c r="A26" i="106"/>
  <c r="K25" i="106"/>
  <c r="A16" i="105"/>
  <c r="N15" i="105"/>
  <c r="A20" i="104"/>
  <c r="K20" i="104"/>
  <c r="A54" i="104"/>
  <c r="K53" i="104"/>
  <c r="A34" i="105"/>
  <c r="A35" i="105"/>
  <c r="A36" i="105"/>
  <c r="A37" i="105"/>
  <c r="A38" i="105"/>
  <c r="A39" i="105"/>
  <c r="A40" i="105"/>
  <c r="A41" i="105"/>
  <c r="N41" i="105"/>
  <c r="A86" i="104"/>
  <c r="K85" i="104"/>
  <c r="G24" i="78"/>
  <c r="K26" i="106"/>
  <c r="A27" i="106"/>
  <c r="N39" i="105"/>
  <c r="N37" i="105"/>
  <c r="A17" i="105"/>
  <c r="N16" i="105"/>
  <c r="N38" i="105"/>
  <c r="A55" i="104"/>
  <c r="K54" i="104"/>
  <c r="A21" i="104"/>
  <c r="K21" i="104"/>
  <c r="N36" i="105"/>
  <c r="N35" i="105"/>
  <c r="N40" i="105"/>
  <c r="N34" i="105"/>
  <c r="K86" i="104"/>
  <c r="A87" i="104"/>
  <c r="A28" i="106"/>
  <c r="K27" i="106"/>
  <c r="A18" i="105"/>
  <c r="N17" i="105"/>
  <c r="A22" i="104"/>
  <c r="K22" i="104"/>
  <c r="A56" i="104"/>
  <c r="K55" i="104"/>
  <c r="A88" i="104"/>
  <c r="K87" i="104"/>
  <c r="A29" i="106"/>
  <c r="K28" i="106"/>
  <c r="A19" i="105"/>
  <c r="N18" i="105"/>
  <c r="A23" i="104"/>
  <c r="K23" i="104"/>
  <c r="A57" i="104"/>
  <c r="K56" i="104"/>
  <c r="K88" i="104"/>
  <c r="A89" i="104"/>
  <c r="G25" i="78"/>
  <c r="A30" i="106"/>
  <c r="K29" i="106"/>
  <c r="A20" i="105"/>
  <c r="N19" i="105"/>
  <c r="A58" i="104"/>
  <c r="K57" i="104"/>
  <c r="A24" i="104"/>
  <c r="K24" i="104"/>
  <c r="A90" i="104"/>
  <c r="K89" i="104"/>
  <c r="A31" i="106"/>
  <c r="K31" i="106"/>
  <c r="K30" i="106"/>
  <c r="A21" i="105"/>
  <c r="N20" i="105"/>
  <c r="A25" i="104"/>
  <c r="K25" i="104"/>
  <c r="A59" i="104"/>
  <c r="K58" i="104"/>
  <c r="K90" i="104"/>
  <c r="A91" i="104"/>
  <c r="A22" i="105"/>
  <c r="N21" i="105"/>
  <c r="A26" i="104"/>
  <c r="A60" i="104"/>
  <c r="K60" i="104"/>
  <c r="K59" i="104"/>
  <c r="A92" i="104"/>
  <c r="K91" i="104"/>
  <c r="K26" i="104"/>
  <c r="A30" i="104"/>
  <c r="A23" i="105"/>
  <c r="N22" i="105"/>
  <c r="K92" i="104"/>
  <c r="A93" i="104"/>
  <c r="K30" i="104"/>
  <c r="A31" i="104"/>
  <c r="A24" i="105"/>
  <c r="N23" i="105"/>
  <c r="A94" i="104"/>
  <c r="K94" i="104"/>
  <c r="K93" i="104"/>
  <c r="A32" i="104"/>
  <c r="K31" i="104"/>
  <c r="N24" i="105"/>
  <c r="A26" i="105"/>
  <c r="N26" i="105"/>
  <c r="K32" i="104"/>
  <c r="A33" i="104"/>
  <c r="A34" i="104"/>
  <c r="K33" i="104"/>
  <c r="K34" i="104"/>
  <c r="A35" i="104"/>
  <c r="K54" i="83"/>
  <c r="K46" i="83"/>
  <c r="A48" i="83"/>
  <c r="K48" i="83"/>
  <c r="A47" i="83"/>
  <c r="K47" i="83"/>
  <c r="A36" i="104"/>
  <c r="K35" i="104"/>
  <c r="A55" i="83"/>
  <c r="K55" i="83"/>
  <c r="K36" i="104"/>
  <c r="A37" i="104"/>
  <c r="A56" i="83"/>
  <c r="H55" i="83"/>
  <c r="A38" i="104"/>
  <c r="K37" i="104"/>
  <c r="A57" i="83"/>
  <c r="K56" i="83"/>
  <c r="K38" i="104"/>
  <c r="A39" i="104"/>
  <c r="A58" i="83"/>
  <c r="K57" i="83"/>
  <c r="A40" i="104"/>
  <c r="K39" i="104"/>
  <c r="A59" i="83"/>
  <c r="K58" i="83"/>
  <c r="K40" i="104"/>
  <c r="A41" i="104"/>
  <c r="A60" i="83"/>
  <c r="K59" i="83"/>
  <c r="A42" i="104"/>
  <c r="K42" i="104"/>
  <c r="K41" i="104"/>
  <c r="A61" i="83"/>
  <c r="K60" i="83"/>
  <c r="A62" i="83"/>
  <c r="K61" i="83"/>
  <c r="A63" i="83"/>
  <c r="K62" i="83"/>
  <c r="A64" i="83"/>
  <c r="K63" i="83"/>
  <c r="A65" i="83"/>
  <c r="K64" i="83"/>
  <c r="A66" i="83"/>
  <c r="K65" i="83"/>
  <c r="A67" i="83"/>
  <c r="K66" i="83"/>
  <c r="A68" i="83"/>
  <c r="K67" i="83"/>
  <c r="A69" i="83"/>
  <c r="K69" i="83"/>
  <c r="K68" i="83"/>
  <c r="E52" i="47"/>
  <c r="H52" i="47"/>
  <c r="E51" i="47"/>
  <c r="H51" i="47"/>
  <c r="A15" i="88"/>
  <c r="F15" i="88"/>
  <c r="C15" i="88"/>
  <c r="C16" i="88"/>
  <c r="E53" i="47"/>
  <c r="H53" i="47"/>
  <c r="A14" i="88"/>
  <c r="F14" i="88"/>
  <c r="F13" i="88"/>
  <c r="F12" i="88"/>
  <c r="E17" i="91"/>
  <c r="A17" i="91"/>
  <c r="G17" i="91"/>
  <c r="G16" i="91"/>
  <c r="A13" i="91"/>
  <c r="G13" i="91"/>
  <c r="G12" i="91"/>
  <c r="A8" i="91"/>
  <c r="G8" i="91"/>
  <c r="G7" i="91"/>
  <c r="G4" i="91"/>
  <c r="C42" i="90"/>
  <c r="C13" i="90"/>
  <c r="C15" i="90"/>
  <c r="A7" i="90"/>
  <c r="F6" i="90"/>
  <c r="F4" i="90"/>
  <c r="C8" i="88"/>
  <c r="C9" i="88"/>
  <c r="E78" i="1"/>
  <c r="A7" i="88"/>
  <c r="F7" i="88"/>
  <c r="F6" i="88"/>
  <c r="F5" i="88"/>
  <c r="A44" i="86"/>
  <c r="H43" i="86"/>
  <c r="A36" i="86"/>
  <c r="H36" i="86"/>
  <c r="H35" i="86"/>
  <c r="A30" i="86"/>
  <c r="H29" i="86"/>
  <c r="A20" i="86"/>
  <c r="H20" i="86"/>
  <c r="H19" i="86"/>
  <c r="A14" i="86"/>
  <c r="A15" i="86"/>
  <c r="H15" i="86"/>
  <c r="H13" i="86"/>
  <c r="H10" i="86"/>
  <c r="H9" i="86"/>
  <c r="A12" i="84"/>
  <c r="Q12" i="84"/>
  <c r="Q11" i="84"/>
  <c r="E27" i="83"/>
  <c r="E26" i="83"/>
  <c r="K33" i="83"/>
  <c r="A26" i="83"/>
  <c r="A27" i="83"/>
  <c r="K25" i="83"/>
  <c r="K24" i="83"/>
  <c r="A107" i="80"/>
  <c r="A108" i="80"/>
  <c r="N106" i="80"/>
  <c r="H106" i="80"/>
  <c r="E106" i="80"/>
  <c r="J106" i="80" s="1"/>
  <c r="N105" i="80"/>
  <c r="I93" i="80"/>
  <c r="F95" i="80"/>
  <c r="E93" i="80"/>
  <c r="D91" i="80"/>
  <c r="D90" i="80"/>
  <c r="A90" i="80"/>
  <c r="A91" i="80"/>
  <c r="N89" i="80"/>
  <c r="D89" i="80"/>
  <c r="N87" i="80"/>
  <c r="I77" i="80"/>
  <c r="H77" i="80"/>
  <c r="G77" i="80"/>
  <c r="F77" i="80"/>
  <c r="F79" i="80"/>
  <c r="E77" i="80"/>
  <c r="D74" i="80"/>
  <c r="D73" i="80"/>
  <c r="A73" i="80"/>
  <c r="N73" i="80"/>
  <c r="N72" i="80"/>
  <c r="D72" i="80"/>
  <c r="N70" i="80"/>
  <c r="I58" i="80"/>
  <c r="H58" i="80"/>
  <c r="G58" i="80"/>
  <c r="F58" i="80"/>
  <c r="F60" i="80"/>
  <c r="D55" i="80"/>
  <c r="D54" i="80"/>
  <c r="D53" i="80"/>
  <c r="D52" i="80"/>
  <c r="A52" i="80"/>
  <c r="N52" i="80"/>
  <c r="N51" i="80"/>
  <c r="D51" i="80"/>
  <c r="A51" i="80"/>
  <c r="N50" i="80"/>
  <c r="D50" i="80"/>
  <c r="N49" i="80"/>
  <c r="I39" i="80"/>
  <c r="H39" i="80"/>
  <c r="G39" i="80"/>
  <c r="F39" i="80"/>
  <c r="F41" i="80" s="1"/>
  <c r="E39" i="80"/>
  <c r="D37" i="80"/>
  <c r="D36" i="80"/>
  <c r="D35" i="80"/>
  <c r="D34" i="80"/>
  <c r="D33" i="80"/>
  <c r="D32" i="80"/>
  <c r="D31" i="80"/>
  <c r="D30" i="80"/>
  <c r="D29" i="80"/>
  <c r="A29" i="80"/>
  <c r="N29" i="80"/>
  <c r="N28" i="80"/>
  <c r="D28" i="80"/>
  <c r="N26" i="80"/>
  <c r="A10" i="80"/>
  <c r="A11" i="80"/>
  <c r="N9" i="80"/>
  <c r="N8" i="80"/>
  <c r="I59" i="79"/>
  <c r="H59" i="79"/>
  <c r="G59" i="79"/>
  <c r="E59" i="79"/>
  <c r="D59" i="79"/>
  <c r="F49" i="79"/>
  <c r="F59" i="79"/>
  <c r="F48" i="79"/>
  <c r="F47" i="79"/>
  <c r="F46" i="79"/>
  <c r="F45" i="79"/>
  <c r="F44" i="79"/>
  <c r="F43" i="79"/>
  <c r="F42" i="79"/>
  <c r="F41" i="79"/>
  <c r="F40" i="79"/>
  <c r="F39" i="79"/>
  <c r="F38" i="79"/>
  <c r="A38" i="79"/>
  <c r="A39" i="79"/>
  <c r="J37" i="79"/>
  <c r="F37" i="79"/>
  <c r="J36" i="79"/>
  <c r="D26" i="79"/>
  <c r="A14" i="79"/>
  <c r="A15" i="79"/>
  <c r="J13" i="79"/>
  <c r="J12" i="79"/>
  <c r="G6" i="78"/>
  <c r="G42" i="71"/>
  <c r="E42" i="71"/>
  <c r="A38" i="71"/>
  <c r="K37" i="71"/>
  <c r="K36" i="71"/>
  <c r="H30" i="71"/>
  <c r="J29" i="71"/>
  <c r="I29" i="71"/>
  <c r="J28" i="71"/>
  <c r="I28" i="71"/>
  <c r="J27" i="71"/>
  <c r="I27" i="71"/>
  <c r="J26" i="71"/>
  <c r="J25" i="71"/>
  <c r="I25" i="71"/>
  <c r="J24" i="71"/>
  <c r="J23" i="71"/>
  <c r="I23" i="71"/>
  <c r="A23" i="71"/>
  <c r="A24" i="71"/>
  <c r="A25" i="71"/>
  <c r="K22" i="71"/>
  <c r="J22" i="71"/>
  <c r="G30" i="71"/>
  <c r="E11" i="71"/>
  <c r="I22" i="71"/>
  <c r="K21" i="71"/>
  <c r="E7" i="71"/>
  <c r="A7" i="71"/>
  <c r="A8" i="71"/>
  <c r="K6" i="71"/>
  <c r="K5" i="71"/>
  <c r="A10" i="70"/>
  <c r="H9" i="70"/>
  <c r="A75" i="47"/>
  <c r="A76" i="47"/>
  <c r="A77" i="47"/>
  <c r="A78" i="47"/>
  <c r="A79" i="47"/>
  <c r="A80" i="47"/>
  <c r="A81" i="47"/>
  <c r="A82" i="47"/>
  <c r="L74" i="47"/>
  <c r="L72" i="47"/>
  <c r="A52" i="47"/>
  <c r="L51" i="47"/>
  <c r="L50" i="47"/>
  <c r="A39" i="47"/>
  <c r="A40" i="47"/>
  <c r="L36" i="47"/>
  <c r="L35" i="47"/>
  <c r="C26" i="47"/>
  <c r="E13" i="47"/>
  <c r="A9" i="47"/>
  <c r="L8" i="47"/>
  <c r="L6" i="47"/>
  <c r="E112" i="1"/>
  <c r="A105" i="1"/>
  <c r="F15" i="1"/>
  <c r="L104" i="1"/>
  <c r="L102" i="1"/>
  <c r="E82" i="1"/>
  <c r="A77" i="1"/>
  <c r="L77" i="1"/>
  <c r="L76" i="1"/>
  <c r="L75" i="1"/>
  <c r="E67" i="1"/>
  <c r="A58" i="1"/>
  <c r="L57" i="1"/>
  <c r="L55" i="1"/>
  <c r="L32" i="1"/>
  <c r="E13" i="1"/>
  <c r="A9" i="1"/>
  <c r="K10" i="1"/>
  <c r="L8" i="1"/>
  <c r="L6" i="1"/>
  <c r="K2" i="1"/>
  <c r="F1" i="141"/>
  <c r="F56" i="79"/>
  <c r="BH1" i="139"/>
  <c r="BH1" i="140"/>
  <c r="G1" i="109"/>
  <c r="L1" i="85"/>
  <c r="B85" i="135"/>
  <c r="B61" i="138"/>
  <c r="C15" i="138"/>
  <c r="C74" i="137"/>
  <c r="C70" i="137"/>
  <c r="C66" i="137"/>
  <c r="C50" i="137"/>
  <c r="C46" i="137"/>
  <c r="C42" i="137"/>
  <c r="C38" i="137"/>
  <c r="C22" i="137"/>
  <c r="C18" i="137"/>
  <c r="C14" i="137"/>
  <c r="C102" i="136"/>
  <c r="C129" i="137"/>
  <c r="C88" i="137"/>
  <c r="C129" i="136"/>
  <c r="C73" i="136"/>
  <c r="C69" i="136"/>
  <c r="C65" i="136"/>
  <c r="C49" i="136"/>
  <c r="C45" i="136"/>
  <c r="C41" i="136"/>
  <c r="C25" i="136"/>
  <c r="C21" i="136"/>
  <c r="C17" i="136"/>
  <c r="C13" i="136"/>
  <c r="C48" i="136"/>
  <c r="C20" i="136"/>
  <c r="C16" i="136"/>
  <c r="C116" i="137"/>
  <c r="C71" i="136"/>
  <c r="C43" i="136"/>
  <c r="C19" i="136"/>
  <c r="B50" i="138"/>
  <c r="C14" i="138"/>
  <c r="C73" i="137"/>
  <c r="C69" i="137"/>
  <c r="C65" i="137"/>
  <c r="C49" i="137"/>
  <c r="C45" i="137"/>
  <c r="C41" i="137"/>
  <c r="C25" i="137"/>
  <c r="C21" i="137"/>
  <c r="C17" i="137"/>
  <c r="C13" i="137"/>
  <c r="C101" i="136"/>
  <c r="C128" i="137"/>
  <c r="C87" i="137"/>
  <c r="C128" i="136"/>
  <c r="C72" i="136"/>
  <c r="C68" i="136"/>
  <c r="C64" i="136"/>
  <c r="C40" i="136"/>
  <c r="C75" i="136"/>
  <c r="C47" i="136"/>
  <c r="C23" i="136"/>
  <c r="B38" i="138"/>
  <c r="C13" i="138"/>
  <c r="C72" i="137"/>
  <c r="C68" i="137"/>
  <c r="C64" i="137"/>
  <c r="C48" i="137"/>
  <c r="C44" i="137"/>
  <c r="C40" i="137"/>
  <c r="C24" i="137"/>
  <c r="C20" i="137"/>
  <c r="C16" i="137"/>
  <c r="C88" i="136"/>
  <c r="C102" i="137"/>
  <c r="C63" i="136"/>
  <c r="C15" i="136"/>
  <c r="B26" i="138"/>
  <c r="C75" i="137"/>
  <c r="C71" i="137"/>
  <c r="C67" i="137"/>
  <c r="C63" i="137"/>
  <c r="C47" i="137"/>
  <c r="C43" i="137"/>
  <c r="C39" i="137"/>
  <c r="C23" i="137"/>
  <c r="C19" i="137"/>
  <c r="C15" i="137"/>
  <c r="C87" i="136"/>
  <c r="C115" i="136"/>
  <c r="C115" i="137"/>
  <c r="C101" i="137"/>
  <c r="C74" i="136"/>
  <c r="C70" i="136"/>
  <c r="C66" i="136"/>
  <c r="C50" i="136"/>
  <c r="C46" i="136"/>
  <c r="C42" i="136"/>
  <c r="C38" i="136"/>
  <c r="C22" i="136"/>
  <c r="C18" i="136"/>
  <c r="C14" i="136"/>
  <c r="C44" i="136"/>
  <c r="C24" i="136"/>
  <c r="C116" i="136"/>
  <c r="C67" i="136"/>
  <c r="C39" i="136"/>
  <c r="H1" i="135"/>
  <c r="AC1" i="138"/>
  <c r="AC1" i="137"/>
  <c r="AC1" i="136"/>
  <c r="D93" i="80"/>
  <c r="F11" i="84"/>
  <c r="J30" i="71"/>
  <c r="E6" i="71"/>
  <c r="E8" i="71"/>
  <c r="I24" i="71"/>
  <c r="I26" i="71"/>
  <c r="J38" i="79"/>
  <c r="J14" i="79"/>
  <c r="A16" i="88"/>
  <c r="F16" i="88"/>
  <c r="A83" i="47"/>
  <c r="K83" i="47"/>
  <c r="K7" i="71"/>
  <c r="K23" i="71"/>
  <c r="K24" i="71"/>
  <c r="F75" i="47"/>
  <c r="A30" i="80"/>
  <c r="N30" i="80"/>
  <c r="N91" i="80"/>
  <c r="N93" i="80"/>
  <c r="N90" i="80"/>
  <c r="J51" i="47"/>
  <c r="I51" i="47"/>
  <c r="I52" i="47"/>
  <c r="J52" i="47"/>
  <c r="F1" i="78"/>
  <c r="G1" i="86"/>
  <c r="F59" i="1"/>
  <c r="K59" i="1"/>
  <c r="J117" i="1"/>
  <c r="E117" i="1"/>
  <c r="I117" i="1"/>
  <c r="I116" i="1"/>
  <c r="J116" i="1"/>
  <c r="E116" i="1"/>
  <c r="A21" i="86"/>
  <c r="A22" i="86"/>
  <c r="H22" i="86"/>
  <c r="I11" i="84"/>
  <c r="J11" i="84"/>
  <c r="C21" i="90" s="1"/>
  <c r="K11" i="84"/>
  <c r="A13" i="84"/>
  <c r="Q13" i="84"/>
  <c r="C300" i="108"/>
  <c r="C296" i="108"/>
  <c r="C292" i="108"/>
  <c r="C324" i="108"/>
  <c r="C326" i="108"/>
  <c r="C328" i="108"/>
  <c r="C330" i="108"/>
  <c r="C332" i="108"/>
  <c r="C334" i="108"/>
  <c r="C335" i="108" s="1"/>
  <c r="C336" i="108"/>
  <c r="C337" i="108" s="1"/>
  <c r="C338" i="108" s="1"/>
  <c r="C339" i="108" s="1"/>
  <c r="C340" i="108" s="1"/>
  <c r="C341" i="108" s="1"/>
  <c r="C342" i="108" s="1"/>
  <c r="C343" i="108" s="1"/>
  <c r="C344" i="108" s="1"/>
  <c r="C345" i="108" s="1"/>
  <c r="C346" i="108" s="1"/>
  <c r="C176" i="108"/>
  <c r="C177" i="108" s="1"/>
  <c r="C178" i="108" s="1"/>
  <c r="C179" i="108" s="1"/>
  <c r="C180" i="108" s="1"/>
  <c r="C181" i="108" s="1"/>
  <c r="C182" i="108" s="1"/>
  <c r="C183" i="108" s="1"/>
  <c r="C184" i="108" s="1"/>
  <c r="C185" i="108" s="1"/>
  <c r="C186" i="108" s="1"/>
  <c r="C187" i="108" s="1"/>
  <c r="C188" i="108" s="1"/>
  <c r="C172" i="108"/>
  <c r="C168" i="108"/>
  <c r="C113" i="108"/>
  <c r="C109" i="108"/>
  <c r="C105" i="108"/>
  <c r="C270" i="108"/>
  <c r="C266" i="108"/>
  <c r="C262" i="108"/>
  <c r="C237" i="108"/>
  <c r="C233" i="108"/>
  <c r="C229" i="108"/>
  <c r="C228" i="108" s="1"/>
  <c r="C208" i="108"/>
  <c r="C209" i="108"/>
  <c r="C210" i="108" s="1"/>
  <c r="C211" i="108" s="1"/>
  <c r="C212" i="108"/>
  <c r="C213" i="108" s="1"/>
  <c r="C214" i="108" s="1"/>
  <c r="C215" i="108" s="1"/>
  <c r="C216" i="108" s="1"/>
  <c r="C217" i="108" s="1"/>
  <c r="C218" i="108" s="1"/>
  <c r="C219" i="108" s="1"/>
  <c r="C220" i="108" s="1"/>
  <c r="C204" i="108"/>
  <c r="C200" i="108"/>
  <c r="C145" i="108"/>
  <c r="C141" i="108"/>
  <c r="C137" i="108"/>
  <c r="C327" i="108"/>
  <c r="C268" i="108"/>
  <c r="C235" i="108"/>
  <c r="C206" i="108"/>
  <c r="C198" i="108"/>
  <c r="C139" i="108"/>
  <c r="C301" i="108"/>
  <c r="C297" i="108"/>
  <c r="C173" i="108"/>
  <c r="C169" i="108"/>
  <c r="C165" i="108"/>
  <c r="C164" i="108" s="1"/>
  <c r="C114" i="108"/>
  <c r="C115" i="108" s="1"/>
  <c r="C116" i="108" s="1"/>
  <c r="C117" i="108" s="1"/>
  <c r="C118" i="108" s="1"/>
  <c r="C119" i="108" s="1"/>
  <c r="C120" i="108" s="1"/>
  <c r="C121" i="108" s="1"/>
  <c r="C122" i="108" s="1"/>
  <c r="C123" i="108" s="1"/>
  <c r="C124" i="108" s="1"/>
  <c r="C125" i="108" s="1"/>
  <c r="C126" i="108" s="1"/>
  <c r="C106" i="108"/>
  <c r="C267" i="108"/>
  <c r="C238" i="108"/>
  <c r="C230" i="108"/>
  <c r="C201" i="108"/>
  <c r="C197" i="108"/>
  <c r="C196" i="108"/>
  <c r="C142" i="108"/>
  <c r="C138" i="108"/>
  <c r="C299" i="108"/>
  <c r="C295" i="108"/>
  <c r="C291" i="108"/>
  <c r="C290" i="108" s="1"/>
  <c r="C175" i="108"/>
  <c r="C171" i="108"/>
  <c r="C167" i="108"/>
  <c r="C112" i="108"/>
  <c r="C108" i="108"/>
  <c r="C104" i="108"/>
  <c r="C269" i="108"/>
  <c r="C265" i="108"/>
  <c r="C261" i="108"/>
  <c r="C260" i="108"/>
  <c r="C240" i="108"/>
  <c r="C241" i="108" s="1"/>
  <c r="C242" i="108" s="1"/>
  <c r="C243" i="108" s="1"/>
  <c r="C244" i="108" s="1"/>
  <c r="C245" i="108" s="1"/>
  <c r="C246" i="108" s="1"/>
  <c r="C247" i="108" s="1"/>
  <c r="C248" i="108" s="1"/>
  <c r="C249" i="108" s="1"/>
  <c r="C250" i="108" s="1"/>
  <c r="C251" i="108" s="1"/>
  <c r="C252" i="108" s="1"/>
  <c r="C236" i="108"/>
  <c r="C232" i="108"/>
  <c r="C207" i="108"/>
  <c r="C203" i="108"/>
  <c r="C199" i="108"/>
  <c r="C144" i="108"/>
  <c r="C140" i="108"/>
  <c r="C136" i="108"/>
  <c r="C302" i="108"/>
  <c r="C303" i="108" s="1"/>
  <c r="C304" i="108" s="1"/>
  <c r="C305" i="108" s="1"/>
  <c r="C306" i="108" s="1"/>
  <c r="C307" i="108" s="1"/>
  <c r="C308" i="108" s="1"/>
  <c r="C309" i="108" s="1"/>
  <c r="C310" i="108" s="1"/>
  <c r="C311" i="108" s="1"/>
  <c r="C312" i="108" s="1"/>
  <c r="C313" i="108" s="1"/>
  <c r="C314" i="108" s="1"/>
  <c r="C298" i="108"/>
  <c r="C294" i="108"/>
  <c r="C323" i="108"/>
  <c r="C322" i="108" s="1"/>
  <c r="C325" i="108"/>
  <c r="C329" i="108"/>
  <c r="C331" i="108"/>
  <c r="C333" i="108"/>
  <c r="C174" i="108"/>
  <c r="C170" i="108"/>
  <c r="C166" i="108"/>
  <c r="C111" i="108"/>
  <c r="C107" i="108"/>
  <c r="C103" i="108"/>
  <c r="C102" i="108" s="1"/>
  <c r="C272" i="108"/>
  <c r="C273" i="108" s="1"/>
  <c r="C274" i="108" s="1"/>
  <c r="C275" i="108" s="1"/>
  <c r="C276" i="108" s="1"/>
  <c r="C277" i="108" s="1"/>
  <c r="C278" i="108" s="1"/>
  <c r="C279" i="108" s="1"/>
  <c r="C280" i="108" s="1"/>
  <c r="C281" i="108" s="1"/>
  <c r="C282" i="108" s="1"/>
  <c r="C283" i="108" s="1"/>
  <c r="C284" i="108" s="1"/>
  <c r="C264" i="108"/>
  <c r="C239" i="108"/>
  <c r="C231" i="108"/>
  <c r="C202" i="108"/>
  <c r="C143" i="108"/>
  <c r="C135" i="108"/>
  <c r="C134" i="108" s="1"/>
  <c r="C293" i="108"/>
  <c r="C110" i="108"/>
  <c r="C271" i="108"/>
  <c r="C263" i="108"/>
  <c r="C234" i="108"/>
  <c r="C205" i="108"/>
  <c r="C146" i="108"/>
  <c r="C147" i="108" s="1"/>
  <c r="C148" i="108" s="1"/>
  <c r="C149" i="108" s="1"/>
  <c r="C150" i="108" s="1"/>
  <c r="C151" i="108" s="1"/>
  <c r="C152" i="108" s="1"/>
  <c r="C153" i="108" s="1"/>
  <c r="C154" i="108" s="1"/>
  <c r="C155" i="108" s="1"/>
  <c r="C156" i="108" s="1"/>
  <c r="C157" i="108" s="1"/>
  <c r="C158" i="108" s="1"/>
  <c r="C84" i="108"/>
  <c r="C85" i="108" s="1"/>
  <c r="C86" i="108" s="1"/>
  <c r="C87" i="108" s="1"/>
  <c r="C88" i="108" s="1"/>
  <c r="C89" i="108" s="1"/>
  <c r="C90" i="108" s="1"/>
  <c r="C91" i="108" s="1"/>
  <c r="C92" i="108" s="1"/>
  <c r="C93" i="108" s="1"/>
  <c r="C94" i="108" s="1"/>
  <c r="C95" i="108" s="1"/>
  <c r="C96" i="108" s="1"/>
  <c r="C80" i="108"/>
  <c r="C76" i="108"/>
  <c r="C78" i="108"/>
  <c r="C81" i="108"/>
  <c r="C73" i="108"/>
  <c r="C72" i="108" s="1"/>
  <c r="C83" i="108"/>
  <c r="C79" i="108"/>
  <c r="C75" i="108"/>
  <c r="C82" i="108"/>
  <c r="C74" i="108"/>
  <c r="C77" i="108"/>
  <c r="A106" i="1"/>
  <c r="A37" i="86"/>
  <c r="H37" i="86"/>
  <c r="A16" i="86"/>
  <c r="H21" i="86"/>
  <c r="H14" i="86"/>
  <c r="F15" i="47"/>
  <c r="F10" i="1"/>
  <c r="A10" i="1"/>
  <c r="L77" i="47"/>
  <c r="L9" i="47"/>
  <c r="A10" i="47"/>
  <c r="F10" i="47"/>
  <c r="E62" i="47"/>
  <c r="H62" i="47"/>
  <c r="L75" i="47"/>
  <c r="K1" i="108"/>
  <c r="M1" i="105"/>
  <c r="L58" i="1"/>
  <c r="J1" i="104"/>
  <c r="B64" i="83"/>
  <c r="B60" i="83"/>
  <c r="B67" i="83"/>
  <c r="B63" i="83"/>
  <c r="B56" i="83"/>
  <c r="B66" i="83"/>
  <c r="B62" i="83"/>
  <c r="B58" i="83"/>
  <c r="B61" i="83"/>
  <c r="B57" i="83"/>
  <c r="B59" i="83"/>
  <c r="B65" i="83"/>
  <c r="K26" i="83"/>
  <c r="D58" i="80"/>
  <c r="E25" i="83"/>
  <c r="E27" i="1"/>
  <c r="D39" i="80"/>
  <c r="E82" i="47"/>
  <c r="T82" i="47" s="1"/>
  <c r="B118" i="80"/>
  <c r="B114" i="80"/>
  <c r="B110" i="80"/>
  <c r="B117" i="80"/>
  <c r="B109" i="80"/>
  <c r="B111" i="80"/>
  <c r="B107" i="80"/>
  <c r="B113" i="80"/>
  <c r="B116" i="80"/>
  <c r="B112" i="80"/>
  <c r="B108" i="80"/>
  <c r="B115" i="80"/>
  <c r="A78" i="1"/>
  <c r="E98" i="1"/>
  <c r="O98" i="1" s="1"/>
  <c r="L105" i="1"/>
  <c r="A74" i="80"/>
  <c r="N74" i="80"/>
  <c r="N107" i="80"/>
  <c r="H78" i="1"/>
  <c r="L40" i="47"/>
  <c r="A41" i="47"/>
  <c r="F42" i="47"/>
  <c r="A59" i="1"/>
  <c r="L76" i="47"/>
  <c r="A26" i="71"/>
  <c r="K25" i="71"/>
  <c r="L39" i="47"/>
  <c r="A53" i="47"/>
  <c r="K62" i="47"/>
  <c r="L52" i="47"/>
  <c r="A39" i="71"/>
  <c r="K38" i="71"/>
  <c r="L9" i="1"/>
  <c r="A11" i="70"/>
  <c r="H10" i="70"/>
  <c r="E1" i="88"/>
  <c r="F1" i="91"/>
  <c r="E1" i="90"/>
  <c r="P1" i="84"/>
  <c r="J1" i="83"/>
  <c r="F57" i="83" s="1"/>
  <c r="G56" i="83" s="1"/>
  <c r="C23" i="79"/>
  <c r="C19" i="79"/>
  <c r="C15" i="79"/>
  <c r="I1" i="79"/>
  <c r="C22" i="79"/>
  <c r="C18" i="79"/>
  <c r="C14" i="79"/>
  <c r="C48" i="79"/>
  <c r="C46" i="79"/>
  <c r="C44" i="79"/>
  <c r="C42" i="79"/>
  <c r="C40" i="79"/>
  <c r="C24" i="79"/>
  <c r="C16" i="79"/>
  <c r="C38" i="79"/>
  <c r="C37" i="79"/>
  <c r="C25" i="79"/>
  <c r="C17" i="79"/>
  <c r="M1" i="80"/>
  <c r="F108" i="80"/>
  <c r="G107" i="80" s="1"/>
  <c r="C49" i="79"/>
  <c r="C47" i="79"/>
  <c r="C45" i="79"/>
  <c r="C43" i="79"/>
  <c r="C41" i="79"/>
  <c r="C39" i="79"/>
  <c r="C20" i="79"/>
  <c r="C21" i="79"/>
  <c r="C13" i="79"/>
  <c r="K1" i="47"/>
  <c r="J1" i="71"/>
  <c r="G1" i="70"/>
  <c r="A10" i="71"/>
  <c r="K8" i="71"/>
  <c r="F30" i="71"/>
  <c r="F8" i="71"/>
  <c r="N11" i="80"/>
  <c r="A12" i="80"/>
  <c r="A75" i="80"/>
  <c r="A40" i="79"/>
  <c r="J39" i="79"/>
  <c r="N10" i="80"/>
  <c r="A16" i="79"/>
  <c r="J15" i="79"/>
  <c r="A109" i="80"/>
  <c r="N108" i="80"/>
  <c r="A31" i="80"/>
  <c r="A53" i="80"/>
  <c r="D77" i="80"/>
  <c r="K27" i="83"/>
  <c r="A34" i="83"/>
  <c r="A31" i="86"/>
  <c r="H30" i="86"/>
  <c r="A17" i="86"/>
  <c r="H17" i="86"/>
  <c r="H16" i="86"/>
  <c r="A45" i="86"/>
  <c r="H44" i="86"/>
  <c r="D13" i="90"/>
  <c r="A8" i="90"/>
  <c r="F7" i="90"/>
  <c r="C20" i="90"/>
  <c r="C17" i="90"/>
  <c r="F31" i="85"/>
  <c r="I30" i="71"/>
  <c r="L78" i="1"/>
  <c r="K96" i="1"/>
  <c r="F96" i="1"/>
  <c r="F76" i="47"/>
  <c r="K76" i="47"/>
  <c r="E87" i="47"/>
  <c r="T87" i="47" s="1"/>
  <c r="H117" i="1"/>
  <c r="E98" i="80"/>
  <c r="N94" i="80"/>
  <c r="I95" i="80"/>
  <c r="E86" i="47"/>
  <c r="T86" i="47" s="1"/>
  <c r="H116" i="1"/>
  <c r="N14" i="84"/>
  <c r="M14" i="84"/>
  <c r="N24" i="84"/>
  <c r="M24" i="84"/>
  <c r="M16" i="84"/>
  <c r="N16" i="84"/>
  <c r="N30" i="84"/>
  <c r="M30" i="84"/>
  <c r="N28" i="84"/>
  <c r="M28" i="84"/>
  <c r="M25" i="84"/>
  <c r="N25" i="84"/>
  <c r="N20" i="84"/>
  <c r="M20" i="84"/>
  <c r="N19" i="84"/>
  <c r="M19" i="84"/>
  <c r="M29" i="84"/>
  <c r="N29" i="84"/>
  <c r="N27" i="84"/>
  <c r="M27" i="84"/>
  <c r="M26" i="84"/>
  <c r="N26" i="84"/>
  <c r="I53" i="47"/>
  <c r="I62" i="47"/>
  <c r="J53" i="47"/>
  <c r="J62" i="47"/>
  <c r="A23" i="86"/>
  <c r="A24" i="86"/>
  <c r="A38" i="86"/>
  <c r="H38" i="86"/>
  <c r="A14" i="84"/>
  <c r="Q14" i="84"/>
  <c r="A81" i="1"/>
  <c r="F82" i="1"/>
  <c r="F44" i="47"/>
  <c r="E55" i="83"/>
  <c r="J55" i="83"/>
  <c r="E96" i="1"/>
  <c r="A36" i="83"/>
  <c r="K36" i="83"/>
  <c r="K34" i="83"/>
  <c r="E13" i="80"/>
  <c r="A13" i="80"/>
  <c r="N12" i="80"/>
  <c r="A13" i="1"/>
  <c r="L10" i="1"/>
  <c r="A46" i="86"/>
  <c r="H45" i="86"/>
  <c r="A32" i="86"/>
  <c r="H31" i="86"/>
  <c r="A77" i="80"/>
  <c r="N75" i="80"/>
  <c r="F62" i="47"/>
  <c r="A55" i="47"/>
  <c r="L53" i="47"/>
  <c r="F8" i="90"/>
  <c r="A9" i="90"/>
  <c r="H11" i="70"/>
  <c r="A12" i="70"/>
  <c r="L78" i="47"/>
  <c r="K39" i="71"/>
  <c r="A40" i="71"/>
  <c r="A54" i="80"/>
  <c r="N53" i="80"/>
  <c r="A110" i="80"/>
  <c r="N109" i="80"/>
  <c r="A41" i="79"/>
  <c r="J40" i="79"/>
  <c r="A11" i="71"/>
  <c r="K10" i="71"/>
  <c r="F12" i="71"/>
  <c r="A27" i="71"/>
  <c r="K26" i="71"/>
  <c r="L41" i="47"/>
  <c r="A42" i="47"/>
  <c r="A32" i="80"/>
  <c r="N31" i="80"/>
  <c r="A13" i="47"/>
  <c r="L10" i="47"/>
  <c r="A39" i="86"/>
  <c r="J16" i="79"/>
  <c r="A17" i="79"/>
  <c r="E10" i="71"/>
  <c r="E12" i="71"/>
  <c r="E14" i="71"/>
  <c r="E40" i="1"/>
  <c r="L59" i="1"/>
  <c r="A62" i="1"/>
  <c r="A15" i="84"/>
  <c r="A82" i="1"/>
  <c r="K98" i="1"/>
  <c r="O28" i="84"/>
  <c r="O30" i="84"/>
  <c r="O14" i="84"/>
  <c r="L81" i="1"/>
  <c r="O20" i="84"/>
  <c r="O29" i="84"/>
  <c r="O25" i="84"/>
  <c r="F80" i="47"/>
  <c r="K80" i="47"/>
  <c r="I87" i="47"/>
  <c r="V87" i="47" s="1"/>
  <c r="F64" i="47"/>
  <c r="E12" i="80"/>
  <c r="O16" i="84"/>
  <c r="H96" i="1"/>
  <c r="O19" i="84"/>
  <c r="O24" i="84"/>
  <c r="O27" i="84"/>
  <c r="O26" i="84"/>
  <c r="H23" i="86"/>
  <c r="L106" i="1"/>
  <c r="A107" i="1"/>
  <c r="E27" i="47"/>
  <c r="A63" i="1"/>
  <c r="L62" i="1"/>
  <c r="A41" i="71"/>
  <c r="K40" i="71"/>
  <c r="A37" i="83"/>
  <c r="A25" i="86"/>
  <c r="H24" i="86"/>
  <c r="A33" i="86"/>
  <c r="H33" i="86"/>
  <c r="H32" i="86"/>
  <c r="H46" i="86"/>
  <c r="A47" i="86"/>
  <c r="L13" i="47"/>
  <c r="A14" i="47"/>
  <c r="A13" i="70"/>
  <c r="H12" i="70"/>
  <c r="L42" i="47"/>
  <c r="A44" i="47"/>
  <c r="A42" i="79"/>
  <c r="J41" i="79"/>
  <c r="A55" i="80"/>
  <c r="N54" i="80"/>
  <c r="L79" i="47"/>
  <c r="A57" i="47"/>
  <c r="K55" i="47"/>
  <c r="L55" i="47"/>
  <c r="A78" i="80"/>
  <c r="N77" i="80"/>
  <c r="A111" i="80"/>
  <c r="N110" i="80"/>
  <c r="L13" i="1"/>
  <c r="A14" i="1"/>
  <c r="J17" i="79"/>
  <c r="A18" i="79"/>
  <c r="A16" i="84"/>
  <c r="Q15" i="84"/>
  <c r="A40" i="86"/>
  <c r="H39" i="86"/>
  <c r="A33" i="80"/>
  <c r="N32" i="80"/>
  <c r="A28" i="71"/>
  <c r="K27" i="71"/>
  <c r="A12" i="71"/>
  <c r="K11" i="71"/>
  <c r="A10" i="90"/>
  <c r="F9" i="90"/>
  <c r="A85" i="1"/>
  <c r="N13" i="80"/>
  <c r="A17" i="80"/>
  <c r="K64" i="47"/>
  <c r="L82" i="1"/>
  <c r="F98" i="1"/>
  <c r="H40" i="1"/>
  <c r="A46" i="47"/>
  <c r="K61" i="47"/>
  <c r="A98" i="80"/>
  <c r="N98" i="80"/>
  <c r="N95" i="80"/>
  <c r="A108" i="1"/>
  <c r="A109" i="1"/>
  <c r="K77" i="47"/>
  <c r="F77" i="47"/>
  <c r="L107" i="1"/>
  <c r="J40" i="1"/>
  <c r="I40" i="1"/>
  <c r="H40" i="86"/>
  <c r="A41" i="86"/>
  <c r="H41" i="86"/>
  <c r="A43" i="79"/>
  <c r="J42" i="79"/>
  <c r="A26" i="86"/>
  <c r="H25" i="86"/>
  <c r="K41" i="71"/>
  <c r="A42" i="71"/>
  <c r="A64" i="1"/>
  <c r="L63" i="1"/>
  <c r="L14" i="1"/>
  <c r="A15" i="1"/>
  <c r="A15" i="47"/>
  <c r="K16" i="47"/>
  <c r="L14" i="47"/>
  <c r="A14" i="71"/>
  <c r="K14" i="71"/>
  <c r="K12" i="71"/>
  <c r="F14" i="71"/>
  <c r="A34" i="80"/>
  <c r="N33" i="80"/>
  <c r="A17" i="84"/>
  <c r="Q16" i="84"/>
  <c r="A112" i="80"/>
  <c r="N111" i="80"/>
  <c r="N78" i="80"/>
  <c r="A79" i="80"/>
  <c r="A60" i="47"/>
  <c r="F55" i="47"/>
  <c r="L57" i="47"/>
  <c r="A56" i="80"/>
  <c r="N55" i="80"/>
  <c r="F61" i="47"/>
  <c r="L44" i="47"/>
  <c r="F10" i="90"/>
  <c r="A12" i="90"/>
  <c r="A29" i="71"/>
  <c r="K28" i="71"/>
  <c r="A21" i="80"/>
  <c r="N21" i="80"/>
  <c r="N17" i="80"/>
  <c r="L85" i="1"/>
  <c r="A86" i="1"/>
  <c r="K87" i="1"/>
  <c r="A19" i="79"/>
  <c r="J18" i="79"/>
  <c r="I79" i="80"/>
  <c r="L80" i="47"/>
  <c r="H13" i="70"/>
  <c r="A14" i="70"/>
  <c r="A48" i="86"/>
  <c r="H47" i="86"/>
  <c r="A38" i="83"/>
  <c r="K37" i="83"/>
  <c r="L46" i="47"/>
  <c r="K78" i="47"/>
  <c r="F78" i="47"/>
  <c r="F87" i="1"/>
  <c r="K79" i="47"/>
  <c r="F79" i="47"/>
  <c r="F16" i="1"/>
  <c r="K16" i="1"/>
  <c r="L108" i="1"/>
  <c r="A20" i="79"/>
  <c r="J19" i="79"/>
  <c r="A16" i="47"/>
  <c r="L15" i="47"/>
  <c r="F16" i="47"/>
  <c r="A61" i="47"/>
  <c r="L60" i="47"/>
  <c r="N34" i="80"/>
  <c r="A35" i="80"/>
  <c r="K42" i="71"/>
  <c r="F7" i="71"/>
  <c r="H26" i="86"/>
  <c r="A27" i="86"/>
  <c r="H27" i="86"/>
  <c r="A44" i="79"/>
  <c r="J43" i="79"/>
  <c r="K38" i="83"/>
  <c r="A39" i="83"/>
  <c r="K39" i="83"/>
  <c r="A15" i="70"/>
  <c r="H14" i="70"/>
  <c r="F12" i="90"/>
  <c r="A13" i="90"/>
  <c r="A58" i="80"/>
  <c r="N56" i="80"/>
  <c r="N79" i="80"/>
  <c r="E11" i="80"/>
  <c r="A82" i="80"/>
  <c r="N82" i="80"/>
  <c r="A65" i="1"/>
  <c r="L64" i="1"/>
  <c r="A30" i="71"/>
  <c r="K29" i="71"/>
  <c r="H48" i="86"/>
  <c r="A49" i="86"/>
  <c r="L81" i="47"/>
  <c r="L86" i="1"/>
  <c r="A87" i="1"/>
  <c r="A113" i="80"/>
  <c r="N112" i="80"/>
  <c r="Q17" i="84"/>
  <c r="A18" i="84"/>
  <c r="L15" i="1"/>
  <c r="A16" i="1"/>
  <c r="F63" i="47"/>
  <c r="K63" i="47"/>
  <c r="K97" i="1"/>
  <c r="F97" i="1"/>
  <c r="A110" i="1"/>
  <c r="L109" i="1"/>
  <c r="K30" i="71"/>
  <c r="F11" i="71"/>
  <c r="F10" i="71"/>
  <c r="F6" i="71"/>
  <c r="A19" i="84"/>
  <c r="Q18" i="84"/>
  <c r="F13" i="90"/>
  <c r="A14" i="90"/>
  <c r="L16" i="1"/>
  <c r="A19" i="1"/>
  <c r="A50" i="86"/>
  <c r="H49" i="86"/>
  <c r="A36" i="80"/>
  <c r="N35" i="80"/>
  <c r="A114" i="80"/>
  <c r="N113" i="80"/>
  <c r="H15" i="70"/>
  <c r="A16" i="70"/>
  <c r="G16" i="70"/>
  <c r="L87" i="1"/>
  <c r="A89" i="1"/>
  <c r="A66" i="1"/>
  <c r="L65" i="1"/>
  <c r="A59" i="80"/>
  <c r="I60" i="80"/>
  <c r="N58" i="80"/>
  <c r="A45" i="79"/>
  <c r="J44" i="79"/>
  <c r="A62" i="47"/>
  <c r="L61" i="47"/>
  <c r="A19" i="47"/>
  <c r="L16" i="47"/>
  <c r="J20" i="79"/>
  <c r="A21" i="79"/>
  <c r="K110" i="1"/>
  <c r="F110" i="1"/>
  <c r="K67" i="1"/>
  <c r="F67" i="1"/>
  <c r="A111" i="1"/>
  <c r="L110" i="1"/>
  <c r="A115" i="80"/>
  <c r="N114" i="80"/>
  <c r="A20" i="1"/>
  <c r="A21" i="1"/>
  <c r="L19" i="1"/>
  <c r="A67" i="1"/>
  <c r="L66" i="1"/>
  <c r="H16" i="70"/>
  <c r="A19" i="70"/>
  <c r="H50" i="86"/>
  <c r="A51" i="86"/>
  <c r="A15" i="90"/>
  <c r="F14" i="90"/>
  <c r="A20" i="84"/>
  <c r="Q19" i="84"/>
  <c r="A20" i="47"/>
  <c r="A21" i="47"/>
  <c r="L19" i="47"/>
  <c r="A63" i="47"/>
  <c r="L62" i="47"/>
  <c r="A35" i="1"/>
  <c r="L34" i="1"/>
  <c r="A37" i="80"/>
  <c r="N36" i="80"/>
  <c r="A22" i="79"/>
  <c r="J21" i="79"/>
  <c r="A46" i="79"/>
  <c r="J45" i="79"/>
  <c r="A60" i="80"/>
  <c r="N59" i="80"/>
  <c r="A91" i="1"/>
  <c r="L89" i="1"/>
  <c r="L82" i="47"/>
  <c r="F83" i="47"/>
  <c r="K21" i="47"/>
  <c r="A112" i="1"/>
  <c r="K81" i="47"/>
  <c r="F81" i="47"/>
  <c r="K21" i="1"/>
  <c r="K89" i="1"/>
  <c r="F89" i="1"/>
  <c r="F21" i="1"/>
  <c r="F21" i="47"/>
  <c r="L21" i="47"/>
  <c r="L21" i="1"/>
  <c r="L111" i="1"/>
  <c r="D17" i="90"/>
  <c r="F15" i="90"/>
  <c r="D20" i="90"/>
  <c r="A17" i="90"/>
  <c r="A69" i="1"/>
  <c r="L67" i="1"/>
  <c r="A39" i="80"/>
  <c r="N37" i="80"/>
  <c r="A64" i="47"/>
  <c r="L63" i="47"/>
  <c r="L20" i="1"/>
  <c r="A116" i="80"/>
  <c r="N115" i="80"/>
  <c r="E10" i="80"/>
  <c r="A63" i="80"/>
  <c r="N60" i="80"/>
  <c r="A47" i="79"/>
  <c r="J46" i="79"/>
  <c r="A23" i="79"/>
  <c r="J22" i="79"/>
  <c r="Q20" i="84"/>
  <c r="A21" i="84"/>
  <c r="A52" i="86"/>
  <c r="H51" i="86"/>
  <c r="L83" i="47"/>
  <c r="A86" i="47"/>
  <c r="L91" i="1"/>
  <c r="A94" i="1"/>
  <c r="L35" i="1"/>
  <c r="A36" i="1"/>
  <c r="F41" i="47"/>
  <c r="L20" i="47"/>
  <c r="A20" i="70"/>
  <c r="H19" i="70"/>
  <c r="H36" i="1"/>
  <c r="I36" i="1"/>
  <c r="J36" i="1"/>
  <c r="E41" i="47"/>
  <c r="T41" i="47" s="1"/>
  <c r="E47" i="1"/>
  <c r="H35" i="1"/>
  <c r="E46" i="1"/>
  <c r="J35" i="1"/>
  <c r="I35" i="1"/>
  <c r="H34" i="1"/>
  <c r="I34" i="1"/>
  <c r="J34" i="1"/>
  <c r="K70" i="1"/>
  <c r="F70" i="1"/>
  <c r="F82" i="47"/>
  <c r="K82" i="47"/>
  <c r="F113" i="1"/>
  <c r="K113" i="1"/>
  <c r="C31" i="90"/>
  <c r="C41" i="90" s="1"/>
  <c r="C43" i="90" s="1"/>
  <c r="E77" i="47"/>
  <c r="T77" i="47" s="1"/>
  <c r="A22" i="84"/>
  <c r="Q21" i="84"/>
  <c r="A48" i="79"/>
  <c r="J47" i="79"/>
  <c r="L36" i="1"/>
  <c r="A39" i="1"/>
  <c r="A23" i="1"/>
  <c r="L64" i="47"/>
  <c r="L69" i="1"/>
  <c r="A70" i="1"/>
  <c r="F17" i="90"/>
  <c r="A20" i="90"/>
  <c r="L94" i="1"/>
  <c r="A95" i="1"/>
  <c r="L86" i="47"/>
  <c r="A87" i="47"/>
  <c r="K88" i="47"/>
  <c r="A24" i="79"/>
  <c r="J23" i="79"/>
  <c r="N63" i="80"/>
  <c r="H20" i="70"/>
  <c r="A21" i="70"/>
  <c r="A23" i="47"/>
  <c r="A53" i="86"/>
  <c r="H52" i="86"/>
  <c r="A117" i="80"/>
  <c r="N116" i="80"/>
  <c r="C29" i="90"/>
  <c r="G54" i="79" s="1"/>
  <c r="N39" i="80"/>
  <c r="E44" i="80"/>
  <c r="A40" i="80"/>
  <c r="J41" i="47"/>
  <c r="W41" i="47" s="1"/>
  <c r="E40" i="47"/>
  <c r="T40" i="47" s="1"/>
  <c r="I46" i="1"/>
  <c r="E50" i="1"/>
  <c r="H46" i="1"/>
  <c r="J46" i="1"/>
  <c r="J47" i="1"/>
  <c r="H47" i="1"/>
  <c r="I47" i="1"/>
  <c r="F72" i="1"/>
  <c r="K72" i="1"/>
  <c r="A24" i="47"/>
  <c r="K25" i="47"/>
  <c r="A24" i="1"/>
  <c r="A113" i="1"/>
  <c r="L112" i="1"/>
  <c r="A22" i="70"/>
  <c r="H21" i="70"/>
  <c r="L95" i="1"/>
  <c r="A96" i="1"/>
  <c r="J24" i="79"/>
  <c r="A25" i="79"/>
  <c r="L70" i="1"/>
  <c r="A72" i="1"/>
  <c r="A118" i="80"/>
  <c r="N117" i="80"/>
  <c r="A54" i="86"/>
  <c r="H53" i="86"/>
  <c r="L23" i="47"/>
  <c r="L87" i="47"/>
  <c r="A88" i="47"/>
  <c r="K90" i="47"/>
  <c r="F88" i="47"/>
  <c r="A40" i="1"/>
  <c r="A42" i="1"/>
  <c r="L39" i="1"/>
  <c r="F45" i="1"/>
  <c r="A41" i="80"/>
  <c r="N40" i="80"/>
  <c r="N65" i="80"/>
  <c r="N64" i="80"/>
  <c r="A49" i="79"/>
  <c r="J48" i="79"/>
  <c r="I41" i="80"/>
  <c r="A21" i="90"/>
  <c r="F20" i="90"/>
  <c r="L23" i="1"/>
  <c r="A23" i="84"/>
  <c r="Q22" i="84"/>
  <c r="E44" i="47"/>
  <c r="T44" i="47" s="1"/>
  <c r="I50" i="1"/>
  <c r="I95" i="1"/>
  <c r="E95" i="1"/>
  <c r="H50" i="1"/>
  <c r="J50" i="1"/>
  <c r="J95" i="1"/>
  <c r="K109" i="1"/>
  <c r="F109" i="1"/>
  <c r="A25" i="47"/>
  <c r="L24" i="47"/>
  <c r="F25" i="47"/>
  <c r="A25" i="1"/>
  <c r="L24" i="1"/>
  <c r="A45" i="1"/>
  <c r="F39" i="47"/>
  <c r="F47" i="1"/>
  <c r="K25" i="1"/>
  <c r="F25" i="1"/>
  <c r="A116" i="1"/>
  <c r="F86" i="47"/>
  <c r="L113" i="1"/>
  <c r="N41" i="80"/>
  <c r="E9" i="80"/>
  <c r="A44" i="80"/>
  <c r="N44" i="80"/>
  <c r="A24" i="84"/>
  <c r="Q23" i="84"/>
  <c r="L88" i="47"/>
  <c r="A90" i="47"/>
  <c r="F90" i="47"/>
  <c r="H54" i="86"/>
  <c r="A55" i="86"/>
  <c r="A119" i="80"/>
  <c r="N118" i="80"/>
  <c r="J25" i="79"/>
  <c r="A26" i="79"/>
  <c r="J26" i="79"/>
  <c r="A54" i="79"/>
  <c r="J49" i="79"/>
  <c r="C59" i="79"/>
  <c r="C56" i="79"/>
  <c r="L40" i="1"/>
  <c r="F46" i="1"/>
  <c r="D24" i="90"/>
  <c r="D23" i="90"/>
  <c r="F21" i="90"/>
  <c r="A23" i="90"/>
  <c r="L72" i="1"/>
  <c r="L96" i="1"/>
  <c r="A97" i="1"/>
  <c r="H22" i="70"/>
  <c r="A23" i="70"/>
  <c r="H95" i="1"/>
  <c r="A26" i="47"/>
  <c r="L25" i="47"/>
  <c r="A26" i="1"/>
  <c r="A27" i="1"/>
  <c r="F29" i="1"/>
  <c r="L25" i="1"/>
  <c r="D45" i="138"/>
  <c r="E110" i="136"/>
  <c r="E110" i="137"/>
  <c r="A117" i="1"/>
  <c r="F87" i="47"/>
  <c r="L116" i="1"/>
  <c r="A120" i="80"/>
  <c r="N119" i="80"/>
  <c r="L90" i="47"/>
  <c r="A56" i="86"/>
  <c r="H55" i="86"/>
  <c r="J54" i="79"/>
  <c r="A56" i="79"/>
  <c r="C57" i="79"/>
  <c r="A24" i="70"/>
  <c r="H23" i="70"/>
  <c r="G24" i="70"/>
  <c r="L97" i="1"/>
  <c r="A98" i="1"/>
  <c r="F23" i="90"/>
  <c r="A24" i="90"/>
  <c r="A27" i="47"/>
  <c r="F29" i="47"/>
  <c r="L26" i="47"/>
  <c r="Q24" i="84"/>
  <c r="A25" i="84"/>
  <c r="L26" i="1"/>
  <c r="K29" i="47"/>
  <c r="K118" i="1"/>
  <c r="F118" i="1"/>
  <c r="K29" i="1"/>
  <c r="E96" i="136"/>
  <c r="D33" i="138"/>
  <c r="E96" i="137"/>
  <c r="A118" i="1"/>
  <c r="L117" i="1"/>
  <c r="A26" i="84"/>
  <c r="Q25" i="84"/>
  <c r="L98" i="1"/>
  <c r="A26" i="70"/>
  <c r="H26" i="70"/>
  <c r="H24" i="70"/>
  <c r="G26" i="70"/>
  <c r="A57" i="79"/>
  <c r="J56" i="79"/>
  <c r="N120" i="80"/>
  <c r="E21" i="80"/>
  <c r="L42" i="1"/>
  <c r="A29" i="47"/>
  <c r="L27" i="47"/>
  <c r="A27" i="90"/>
  <c r="F24" i="90"/>
  <c r="H56" i="86"/>
  <c r="A57" i="86"/>
  <c r="A29" i="1"/>
  <c r="L27" i="1"/>
  <c r="A120" i="1"/>
  <c r="F120" i="1"/>
  <c r="K120" i="1"/>
  <c r="F46" i="47"/>
  <c r="F60" i="47"/>
  <c r="K60" i="47"/>
  <c r="K46" i="47"/>
  <c r="K94" i="1"/>
  <c r="F94" i="1"/>
  <c r="D31" i="90"/>
  <c r="L118" i="1"/>
  <c r="L29" i="47"/>
  <c r="L29" i="1"/>
  <c r="A58" i="86"/>
  <c r="H57" i="86"/>
  <c r="F27" i="90"/>
  <c r="A28" i="90"/>
  <c r="D29" i="90"/>
  <c r="J57" i="79"/>
  <c r="A59" i="79"/>
  <c r="A27" i="84"/>
  <c r="Q26" i="84"/>
  <c r="L120" i="1"/>
  <c r="Q27" i="84"/>
  <c r="A28" i="84"/>
  <c r="A60" i="79"/>
  <c r="J60" i="79"/>
  <c r="J59" i="79"/>
  <c r="C60" i="79"/>
  <c r="A29" i="90"/>
  <c r="F28" i="90"/>
  <c r="H58" i="86"/>
  <c r="A59" i="86"/>
  <c r="L45" i="1"/>
  <c r="A46" i="1"/>
  <c r="F40" i="47"/>
  <c r="L46" i="1"/>
  <c r="A47" i="1"/>
  <c r="A29" i="84"/>
  <c r="Q28" i="84"/>
  <c r="A31" i="90"/>
  <c r="F29" i="90"/>
  <c r="D36" i="90"/>
  <c r="A60" i="86"/>
  <c r="H59" i="86"/>
  <c r="L47" i="1"/>
  <c r="A48" i="1"/>
  <c r="F48" i="1"/>
  <c r="F31" i="90"/>
  <c r="A32" i="90"/>
  <c r="D33" i="90"/>
  <c r="A30" i="84"/>
  <c r="Q29" i="84"/>
  <c r="A61" i="86"/>
  <c r="H60" i="86"/>
  <c r="F50" i="1"/>
  <c r="F52" i="1"/>
  <c r="K52" i="1"/>
  <c r="A31" i="84"/>
  <c r="Q30" i="84"/>
  <c r="A33" i="90"/>
  <c r="A36" i="90"/>
  <c r="F32" i="90"/>
  <c r="A62" i="86"/>
  <c r="H61" i="86"/>
  <c r="L48" i="1"/>
  <c r="A50" i="1"/>
  <c r="A52" i="1"/>
  <c r="K95" i="1"/>
  <c r="F95" i="1"/>
  <c r="L50" i="1"/>
  <c r="H62" i="86"/>
  <c r="A63" i="86"/>
  <c r="H63" i="86"/>
  <c r="F33" i="90"/>
  <c r="Q31" i="84"/>
  <c r="K108" i="1"/>
  <c r="F108" i="1"/>
  <c r="L52" i="1"/>
  <c r="F36" i="90"/>
  <c r="A39" i="90"/>
  <c r="A40" i="90"/>
  <c r="F39" i="90"/>
  <c r="A41" i="90"/>
  <c r="F40" i="90"/>
  <c r="F41" i="90"/>
  <c r="A42" i="90"/>
  <c r="A43" i="90"/>
  <c r="F43" i="90"/>
  <c r="F42" i="90"/>
  <c r="D200" i="108"/>
  <c r="F200" i="108"/>
  <c r="D201" i="108"/>
  <c r="F201" i="108"/>
  <c r="D198" i="108"/>
  <c r="F198" i="108"/>
  <c r="D197" i="108"/>
  <c r="F197" i="108"/>
  <c r="G197" i="108" s="1"/>
  <c r="D323" i="108"/>
  <c r="F323" i="108"/>
  <c r="G323" i="108" s="1"/>
  <c r="D327" i="108"/>
  <c r="F327" i="108"/>
  <c r="D324" i="108"/>
  <c r="F324" i="108"/>
  <c r="D326" i="108"/>
  <c r="F326" i="108"/>
  <c r="D233" i="108"/>
  <c r="F233" i="108"/>
  <c r="D231" i="108"/>
  <c r="F231" i="108"/>
  <c r="D232" i="108"/>
  <c r="F232" i="108"/>
  <c r="D229" i="108"/>
  <c r="F229" i="108"/>
  <c r="G229" i="108" s="1"/>
  <c r="D230" i="108"/>
  <c r="F230" i="108"/>
  <c r="D137" i="108"/>
  <c r="F137" i="108"/>
  <c r="D139" i="108"/>
  <c r="F139" i="108"/>
  <c r="D136" i="108"/>
  <c r="F136" i="108"/>
  <c r="D135" i="108"/>
  <c r="F135" i="108"/>
  <c r="G135" i="108" s="1"/>
  <c r="D138" i="108"/>
  <c r="F138" i="108"/>
  <c r="D262" i="108"/>
  <c r="F262" i="108"/>
  <c r="D265" i="108"/>
  <c r="F265" i="108"/>
  <c r="D263" i="108"/>
  <c r="F263" i="108"/>
  <c r="D264" i="108"/>
  <c r="F264" i="108"/>
  <c r="D261" i="108"/>
  <c r="F261" i="108"/>
  <c r="G261" i="108" s="1"/>
  <c r="D77" i="108"/>
  <c r="F77" i="108"/>
  <c r="D76" i="108"/>
  <c r="F76" i="108"/>
  <c r="D75" i="108"/>
  <c r="F75" i="108"/>
  <c r="D73" i="108"/>
  <c r="F73" i="108"/>
  <c r="G73" i="108" s="1"/>
  <c r="K51" i="85"/>
  <c r="K59" i="85"/>
  <c r="K63" i="85"/>
  <c r="K56" i="85"/>
  <c r="K53" i="85"/>
  <c r="K57" i="85"/>
  <c r="K61" i="85"/>
  <c r="K55" i="85"/>
  <c r="K52" i="85"/>
  <c r="K60" i="85"/>
  <c r="K50" i="85"/>
  <c r="K54" i="85"/>
  <c r="K58" i="85"/>
  <c r="K62" i="85"/>
  <c r="D295" i="108"/>
  <c r="F295" i="108"/>
  <c r="D292" i="108"/>
  <c r="D291" i="108"/>
  <c r="F291" i="108"/>
  <c r="G291" i="108" s="1"/>
  <c r="D294" i="108"/>
  <c r="F294" i="108"/>
  <c r="D293" i="108"/>
  <c r="F293" i="108"/>
  <c r="D104" i="108"/>
  <c r="F104" i="108"/>
  <c r="D103" i="108"/>
  <c r="F103" i="108"/>
  <c r="G103" i="108" s="1"/>
  <c r="D105" i="108"/>
  <c r="F105" i="108"/>
  <c r="D107" i="108"/>
  <c r="F107" i="108"/>
  <c r="D106" i="108"/>
  <c r="F106" i="108"/>
  <c r="D167" i="108"/>
  <c r="F167" i="108"/>
  <c r="D165" i="108"/>
  <c r="F165" i="108"/>
  <c r="G165" i="108" s="1"/>
  <c r="D166" i="108"/>
  <c r="F166" i="108"/>
  <c r="D169" i="108"/>
  <c r="F169" i="108"/>
  <c r="D168" i="108"/>
  <c r="F168" i="108"/>
  <c r="I229" i="108"/>
  <c r="J229" i="108" s="1"/>
  <c r="I324" i="108"/>
  <c r="I323" i="108"/>
  <c r="J323" i="108" s="1"/>
  <c r="I197" i="108"/>
  <c r="J197" i="108" s="1"/>
  <c r="I136" i="108"/>
  <c r="I135" i="108"/>
  <c r="J135" i="108" s="1"/>
  <c r="I263" i="108"/>
  <c r="I261" i="108"/>
  <c r="J261" i="108" s="1"/>
  <c r="I73" i="108"/>
  <c r="J73" i="108" s="1"/>
  <c r="K64" i="85"/>
  <c r="I230" i="108"/>
  <c r="I75" i="108"/>
  <c r="I325" i="108"/>
  <c r="I165" i="108"/>
  <c r="J165" i="108" s="1"/>
  <c r="I103" i="108"/>
  <c r="J103" i="108" s="1"/>
  <c r="I105" i="108"/>
  <c r="I291" i="108"/>
  <c r="J291" i="108" s="1"/>
  <c r="I199" i="108"/>
  <c r="I198" i="108"/>
  <c r="I231" i="108"/>
  <c r="I262" i="108"/>
  <c r="I166" i="108"/>
  <c r="I200" i="108"/>
  <c r="I104" i="108"/>
  <c r="I293" i="108"/>
  <c r="I167" i="108"/>
  <c r="I264" i="108"/>
  <c r="I137" i="108"/>
  <c r="I76" i="108"/>
  <c r="I326" i="108"/>
  <c r="I106" i="108"/>
  <c r="I327" i="108"/>
  <c r="I232" i="108"/>
  <c r="I201" i="108"/>
  <c r="I233" i="108"/>
  <c r="I77" i="108"/>
  <c r="I265" i="108"/>
  <c r="I138" i="108"/>
  <c r="I168" i="108"/>
  <c r="I294" i="108"/>
  <c r="I169" i="108"/>
  <c r="I107" i="108"/>
  <c r="I295" i="108"/>
  <c r="I139" i="108"/>
  <c r="BD117" i="139" l="1"/>
  <c r="BF117" i="139" s="1"/>
  <c r="E64" i="47"/>
  <c r="T64" i="47" s="1"/>
  <c r="O82" i="1"/>
  <c r="G106" i="80"/>
  <c r="H107" i="80" s="1"/>
  <c r="H56" i="83"/>
  <c r="G55" i="83"/>
  <c r="H44" i="47"/>
  <c r="U44" i="47" s="1"/>
  <c r="I40" i="47"/>
  <c r="I41" i="47"/>
  <c r="V41" i="47" s="1"/>
  <c r="H41" i="47"/>
  <c r="U41" i="47" s="1"/>
  <c r="I86" i="47"/>
  <c r="V86" i="47" s="1"/>
  <c r="J40" i="47"/>
  <c r="J87" i="47"/>
  <c r="W87" i="47" s="1"/>
  <c r="H87" i="47"/>
  <c r="U87" i="47" s="1"/>
  <c r="E61" i="47"/>
  <c r="H40" i="47"/>
  <c r="U40" i="47" s="1"/>
  <c r="J86" i="47"/>
  <c r="W86" i="47" s="1"/>
  <c r="H86" i="47"/>
  <c r="U86" i="47" s="1"/>
  <c r="L76" i="136"/>
  <c r="D66" i="135"/>
  <c r="G66" i="135" s="1"/>
  <c r="D38" i="135"/>
  <c r="AC26" i="137"/>
  <c r="E19" i="47" s="1"/>
  <c r="L51" i="137"/>
  <c r="L76" i="137"/>
  <c r="G51" i="137"/>
  <c r="G51" i="136"/>
  <c r="G76" i="136"/>
  <c r="K51" i="136"/>
  <c r="AR16" i="139"/>
  <c r="AR22" i="139" s="1"/>
  <c r="BB94" i="139"/>
  <c r="BB14" i="139" s="1"/>
  <c r="G262" i="108"/>
  <c r="G263" i="108" s="1"/>
  <c r="C33" i="90"/>
  <c r="G40" i="80" s="1"/>
  <c r="G41" i="80" s="1"/>
  <c r="G59" i="80"/>
  <c r="G60" i="80" s="1"/>
  <c r="D60" i="80" s="1"/>
  <c r="D10" i="80" s="1"/>
  <c r="G94" i="80"/>
  <c r="G95" i="80" s="1"/>
  <c r="G78" i="80"/>
  <c r="G79" i="80" s="1"/>
  <c r="G65" i="135"/>
  <c r="H65" i="135"/>
  <c r="E65" i="135"/>
  <c r="F65" i="135"/>
  <c r="G72" i="135"/>
  <c r="H72" i="135"/>
  <c r="F72" i="135"/>
  <c r="E72" i="135"/>
  <c r="H70" i="135"/>
  <c r="E70" i="135"/>
  <c r="G70" i="135"/>
  <c r="F70" i="135"/>
  <c r="F62" i="135"/>
  <c r="G62" i="135"/>
  <c r="H62" i="135"/>
  <c r="E62" i="135"/>
  <c r="H68" i="135"/>
  <c r="E68" i="135"/>
  <c r="F68" i="135"/>
  <c r="G68" i="135"/>
  <c r="G74" i="135"/>
  <c r="E74" i="135"/>
  <c r="H74" i="135"/>
  <c r="F74" i="135"/>
  <c r="E64" i="135"/>
  <c r="H64" i="135"/>
  <c r="G64" i="135"/>
  <c r="F64" i="135"/>
  <c r="E73" i="135"/>
  <c r="F73" i="135"/>
  <c r="G73" i="135"/>
  <c r="H73" i="135"/>
  <c r="G71" i="135"/>
  <c r="G27" i="135"/>
  <c r="G61" i="135"/>
  <c r="D69" i="135"/>
  <c r="E63" i="135"/>
  <c r="H63" i="135"/>
  <c r="H66" i="135"/>
  <c r="F66" i="135"/>
  <c r="E66" i="135"/>
  <c r="D41" i="135"/>
  <c r="D51" i="135" s="1"/>
  <c r="D325" i="108"/>
  <c r="F325" i="108"/>
  <c r="D199" i="108"/>
  <c r="F199" i="108"/>
  <c r="I292" i="108"/>
  <c r="J292" i="108" s="1"/>
  <c r="A44" i="108"/>
  <c r="L42" i="108"/>
  <c r="L74" i="108"/>
  <c r="A75" i="108"/>
  <c r="F74" i="108"/>
  <c r="G74" i="108" s="1"/>
  <c r="G75" i="108" s="1"/>
  <c r="G76" i="108" s="1"/>
  <c r="A29" i="108"/>
  <c r="L26" i="108"/>
  <c r="L191" i="108"/>
  <c r="A223" i="108"/>
  <c r="A196" i="108"/>
  <c r="L62" i="108"/>
  <c r="A63" i="108"/>
  <c r="D74" i="108"/>
  <c r="A138" i="108"/>
  <c r="L137" i="108"/>
  <c r="L135" i="108"/>
  <c r="J24" i="105"/>
  <c r="K26" i="105"/>
  <c r="E48" i="108"/>
  <c r="F18" i="106"/>
  <c r="E76" i="47"/>
  <c r="T76" i="47" s="1"/>
  <c r="C10" i="125"/>
  <c r="G76" i="137"/>
  <c r="K76" i="136"/>
  <c r="AC26" i="136"/>
  <c r="E8" i="47" s="1"/>
  <c r="C26" i="105"/>
  <c r="F37" i="105" s="1"/>
  <c r="I23" i="85"/>
  <c r="K23" i="85"/>
  <c r="F27" i="85" s="1"/>
  <c r="F30" i="85" s="1"/>
  <c r="F32" i="85" s="1"/>
  <c r="F26" i="70"/>
  <c r="E39" i="1" s="1"/>
  <c r="J39" i="1" s="1"/>
  <c r="L21" i="84"/>
  <c r="C24" i="90"/>
  <c r="C23" i="90"/>
  <c r="N15" i="84"/>
  <c r="O15" i="84" s="1"/>
  <c r="L11" i="84"/>
  <c r="I54" i="79"/>
  <c r="E101" i="136"/>
  <c r="F101" i="136" s="1"/>
  <c r="H59" i="80"/>
  <c r="H60" i="80" s="1"/>
  <c r="D38" i="138"/>
  <c r="E38" i="138" s="1"/>
  <c r="C36" i="90"/>
  <c r="H54" i="79" s="1"/>
  <c r="H57" i="79" s="1"/>
  <c r="E39" i="141"/>
  <c r="H78" i="80"/>
  <c r="H79" i="80" s="1"/>
  <c r="D79" i="80" s="1"/>
  <c r="D11" i="80" s="1"/>
  <c r="E101" i="137"/>
  <c r="F101" i="137" s="1"/>
  <c r="E102" i="137"/>
  <c r="F102" i="137" s="1"/>
  <c r="H94" i="80"/>
  <c r="H95" i="80" s="1"/>
  <c r="E102" i="136"/>
  <c r="F102" i="136" s="1"/>
  <c r="E115" i="136"/>
  <c r="F115" i="136" s="1"/>
  <c r="D50" i="138"/>
  <c r="E50" i="138" s="1"/>
  <c r="E115" i="137"/>
  <c r="F115" i="137" s="1"/>
  <c r="F33" i="85"/>
  <c r="F34" i="85" s="1"/>
  <c r="E116" i="136"/>
  <c r="F116" i="136" s="1"/>
  <c r="J69" i="1"/>
  <c r="E69" i="1"/>
  <c r="K35" i="105"/>
  <c r="K37" i="105"/>
  <c r="D26" i="105"/>
  <c r="F40" i="105" s="1"/>
  <c r="C30" i="106"/>
  <c r="BD116" i="139"/>
  <c r="BF118" i="139"/>
  <c r="BF116" i="139" s="1"/>
  <c r="BF19" i="139" s="1"/>
  <c r="AT22" i="139"/>
  <c r="E85" i="1" s="1"/>
  <c r="BF109" i="139"/>
  <c r="BF108" i="139" s="1"/>
  <c r="BF15" i="139" s="1"/>
  <c r="BF98" i="139"/>
  <c r="BD14" i="139"/>
  <c r="BB16" i="139"/>
  <c r="BB22" i="139" s="1"/>
  <c r="BD99" i="139"/>
  <c r="BF99" i="139" s="1"/>
  <c r="AZ34" i="139"/>
  <c r="AZ13" i="139" s="1"/>
  <c r="AZ16" i="139" s="1"/>
  <c r="AZ22" i="139" s="1"/>
  <c r="BD34" i="139"/>
  <c r="BF35" i="139"/>
  <c r="BF34" i="139" s="1"/>
  <c r="BF13" i="139" s="1"/>
  <c r="BD25" i="139"/>
  <c r="BF26" i="139"/>
  <c r="BF25" i="139" s="1"/>
  <c r="BF12" i="139" s="1"/>
  <c r="AX25" i="139"/>
  <c r="AX12" i="139" s="1"/>
  <c r="C48" i="90"/>
  <c r="F36" i="85" s="1"/>
  <c r="F39" i="85" s="1"/>
  <c r="G57" i="79"/>
  <c r="G60" i="79"/>
  <c r="I58" i="1"/>
  <c r="E58" i="1"/>
  <c r="J58" i="1"/>
  <c r="G324" i="108"/>
  <c r="K51" i="137"/>
  <c r="K76" i="137"/>
  <c r="C24" i="105"/>
  <c r="F26" i="105"/>
  <c r="H37" i="105" s="1"/>
  <c r="F24" i="105"/>
  <c r="D24" i="105"/>
  <c r="C18" i="106"/>
  <c r="C37" i="106" s="1"/>
  <c r="C41" i="108"/>
  <c r="J166" i="108"/>
  <c r="J167" i="108" s="1"/>
  <c r="J168" i="108" s="1"/>
  <c r="J169" i="108" s="1"/>
  <c r="J198" i="108"/>
  <c r="J199" i="108" s="1"/>
  <c r="J200" i="108" s="1"/>
  <c r="J201" i="108" s="1"/>
  <c r="G292" i="108"/>
  <c r="G293" i="108" s="1"/>
  <c r="G294" i="108" s="1"/>
  <c r="G295" i="108" s="1"/>
  <c r="G230" i="108"/>
  <c r="G231" i="108" s="1"/>
  <c r="G232" i="108" s="1"/>
  <c r="J262" i="108"/>
  <c r="J263" i="108" s="1"/>
  <c r="J264" i="108" s="1"/>
  <c r="J265" i="108" s="1"/>
  <c r="G104" i="108"/>
  <c r="G105" i="108" s="1"/>
  <c r="G106" i="108" s="1"/>
  <c r="K103" i="108"/>
  <c r="G136" i="108"/>
  <c r="G137" i="108" s="1"/>
  <c r="G138" i="108" s="1"/>
  <c r="G139" i="108" s="1"/>
  <c r="K261" i="108"/>
  <c r="K291" i="108"/>
  <c r="J104" i="108"/>
  <c r="J105" i="108" s="1"/>
  <c r="J106" i="108" s="1"/>
  <c r="J107" i="108" s="1"/>
  <c r="J230" i="108"/>
  <c r="J74" i="108"/>
  <c r="K73" i="108"/>
  <c r="K229" i="108"/>
  <c r="J136" i="108"/>
  <c r="K135" i="108"/>
  <c r="J324" i="108"/>
  <c r="K323" i="108"/>
  <c r="K197" i="108"/>
  <c r="G198" i="108"/>
  <c r="G166" i="108"/>
  <c r="K165" i="108"/>
  <c r="E81" i="47"/>
  <c r="T81" i="47" s="1"/>
  <c r="E87" i="1" l="1"/>
  <c r="E63" i="47" s="1"/>
  <c r="T63" i="47" s="1"/>
  <c r="O85" i="1"/>
  <c r="V40" i="47"/>
  <c r="I44" i="47"/>
  <c r="T61" i="47"/>
  <c r="H61" i="47"/>
  <c r="U61" i="47" s="1"/>
  <c r="H61" i="83"/>
  <c r="H62" i="83"/>
  <c r="H59" i="83"/>
  <c r="H67" i="83"/>
  <c r="H63" i="83"/>
  <c r="H57" i="83"/>
  <c r="H64" i="83"/>
  <c r="H66" i="83"/>
  <c r="H58" i="83"/>
  <c r="H65" i="83"/>
  <c r="H60" i="83"/>
  <c r="W40" i="47"/>
  <c r="J44" i="47"/>
  <c r="H117" i="80"/>
  <c r="H116" i="80"/>
  <c r="H118" i="80"/>
  <c r="H108" i="80"/>
  <c r="H109" i="80"/>
  <c r="H110" i="80"/>
  <c r="H112" i="80"/>
  <c r="H111" i="80"/>
  <c r="H113" i="80"/>
  <c r="H114" i="80"/>
  <c r="H115" i="80"/>
  <c r="E21" i="47"/>
  <c r="T21" i="47" s="1"/>
  <c r="T19" i="47"/>
  <c r="D95" i="80"/>
  <c r="D12" i="80" s="1"/>
  <c r="E10" i="47"/>
  <c r="T10" i="47" s="1"/>
  <c r="T8" i="47"/>
  <c r="BD13" i="139"/>
  <c r="F42" i="85"/>
  <c r="F43" i="85" s="1"/>
  <c r="F45" i="85" s="1"/>
  <c r="E105" i="1" s="1"/>
  <c r="E75" i="47" s="1"/>
  <c r="T75" i="47" s="1"/>
  <c r="H60" i="79"/>
  <c r="G325" i="108"/>
  <c r="G326" i="108" s="1"/>
  <c r="G327" i="108" s="1"/>
  <c r="E69" i="135"/>
  <c r="F69" i="135"/>
  <c r="G69" i="135"/>
  <c r="H69" i="135"/>
  <c r="H75" i="135" s="1"/>
  <c r="H85" i="135" s="1"/>
  <c r="G75" i="135"/>
  <c r="D75" i="135"/>
  <c r="E37" i="135" a="1"/>
  <c r="E37" i="135" s="1"/>
  <c r="A228" i="108"/>
  <c r="L223" i="108"/>
  <c r="A255" i="108"/>
  <c r="A45" i="108"/>
  <c r="L44" i="108"/>
  <c r="A197" i="108"/>
  <c r="L196" i="108"/>
  <c r="A139" i="108"/>
  <c r="L138" i="108"/>
  <c r="A31" i="108"/>
  <c r="L29" i="108"/>
  <c r="A64" i="108"/>
  <c r="L64" i="108" s="1"/>
  <c r="L63" i="108"/>
  <c r="A76" i="108"/>
  <c r="L75" i="108"/>
  <c r="K40" i="105"/>
  <c r="E40" i="105" s="1"/>
  <c r="C40" i="105" s="1"/>
  <c r="K41" i="105"/>
  <c r="K39" i="105"/>
  <c r="K38" i="105"/>
  <c r="F36" i="105"/>
  <c r="E37" i="105"/>
  <c r="C37" i="105" s="1"/>
  <c r="F35" i="105"/>
  <c r="E35" i="105" s="1"/>
  <c r="C35" i="105" s="1"/>
  <c r="H39" i="1"/>
  <c r="E45" i="1"/>
  <c r="I39" i="1"/>
  <c r="H45" i="1"/>
  <c r="J45" i="1"/>
  <c r="E39" i="47"/>
  <c r="T39" i="47" s="1"/>
  <c r="E48" i="1"/>
  <c r="I45" i="1"/>
  <c r="E116" i="137"/>
  <c r="F116" i="137" s="1"/>
  <c r="I69" i="1"/>
  <c r="H40" i="80"/>
  <c r="H41" i="80" s="1"/>
  <c r="D41" i="80" s="1"/>
  <c r="D9" i="80" s="1"/>
  <c r="D13" i="80" s="1"/>
  <c r="D112" i="80" s="1"/>
  <c r="F103" i="136"/>
  <c r="D39" i="141"/>
  <c r="D40" i="141" s="1"/>
  <c r="D19" i="141" s="1"/>
  <c r="E40" i="141"/>
  <c r="E19" i="141" s="1"/>
  <c r="I60" i="79"/>
  <c r="I57" i="79"/>
  <c r="F117" i="136"/>
  <c r="H69" i="1"/>
  <c r="E70" i="1"/>
  <c r="F103" i="137"/>
  <c r="D5" i="84"/>
  <c r="E104" i="1"/>
  <c r="E74" i="47" s="1"/>
  <c r="T74" i="47" s="1"/>
  <c r="F38" i="105"/>
  <c r="E38" i="105" s="1"/>
  <c r="C38" i="105" s="1"/>
  <c r="F39" i="105"/>
  <c r="E39" i="105" s="1"/>
  <c r="C39" i="105" s="1"/>
  <c r="F41" i="105"/>
  <c r="E41" i="105" s="1"/>
  <c r="C41" i="105" s="1"/>
  <c r="E97" i="1"/>
  <c r="O97" i="1" s="1"/>
  <c r="BD94" i="139"/>
  <c r="BF94" i="139"/>
  <c r="BF14" i="139" s="1"/>
  <c r="BF16" i="139" s="1"/>
  <c r="BF22" i="139" s="1"/>
  <c r="BD12" i="139"/>
  <c r="BD16" i="139" s="1"/>
  <c r="BD22" i="139" s="1"/>
  <c r="C47" i="83" s="1"/>
  <c r="AX16" i="139"/>
  <c r="AX22" i="139" s="1"/>
  <c r="H35" i="105"/>
  <c r="F57" i="79"/>
  <c r="E14" i="47" s="1"/>
  <c r="T14" i="47" s="1"/>
  <c r="E59" i="1"/>
  <c r="H58" i="1"/>
  <c r="H36" i="105"/>
  <c r="K262" i="108"/>
  <c r="E36" i="105"/>
  <c r="C36" i="105" s="1"/>
  <c r="K292" i="108"/>
  <c r="K104" i="108"/>
  <c r="K105" i="108"/>
  <c r="J75" i="108"/>
  <c r="K74" i="108"/>
  <c r="K230" i="108"/>
  <c r="J231" i="108"/>
  <c r="G233" i="108"/>
  <c r="G107" i="108"/>
  <c r="K107" i="108" s="1"/>
  <c r="K106" i="108"/>
  <c r="J293" i="108"/>
  <c r="K166" i="108"/>
  <c r="G167" i="108"/>
  <c r="G264" i="108"/>
  <c r="K263" i="108"/>
  <c r="K198" i="108"/>
  <c r="G199" i="108"/>
  <c r="G77" i="108"/>
  <c r="J325" i="108"/>
  <c r="K324" i="108"/>
  <c r="K136" i="108"/>
  <c r="J137" i="108"/>
  <c r="O87" i="1" l="1"/>
  <c r="I112" i="80"/>
  <c r="V44" i="47"/>
  <c r="I61" i="47"/>
  <c r="V61" i="47" s="1"/>
  <c r="W44" i="47"/>
  <c r="J61" i="47"/>
  <c r="W61" i="47" s="1"/>
  <c r="F60" i="79"/>
  <c r="E14" i="1" s="1"/>
  <c r="G85" i="135"/>
  <c r="D14" i="149"/>
  <c r="E14" i="149"/>
  <c r="D39" i="136"/>
  <c r="E41" i="137"/>
  <c r="D44" i="137"/>
  <c r="D50" i="137"/>
  <c r="E48" i="137"/>
  <c r="D46" i="136"/>
  <c r="D45" i="137"/>
  <c r="E42" i="136"/>
  <c r="D40" i="137"/>
  <c r="D48" i="136"/>
  <c r="AC48" i="136" s="1"/>
  <c r="E45" i="136"/>
  <c r="E46" i="137"/>
  <c r="E44" i="137"/>
  <c r="E39" i="136"/>
  <c r="D45" i="136"/>
  <c r="E50" i="136"/>
  <c r="E14" i="138"/>
  <c r="E39" i="137"/>
  <c r="E46" i="136"/>
  <c r="D41" i="137"/>
  <c r="E49" i="137"/>
  <c r="D44" i="136"/>
  <c r="E48" i="136"/>
  <c r="D46" i="137"/>
  <c r="D39" i="137"/>
  <c r="D49" i="137"/>
  <c r="E47" i="136"/>
  <c r="E42" i="137"/>
  <c r="F37" i="135"/>
  <c r="E50" i="137"/>
  <c r="D42" i="137"/>
  <c r="E40" i="137"/>
  <c r="E41" i="136"/>
  <c r="D50" i="136"/>
  <c r="AC50" i="136" s="1"/>
  <c r="I8" i="1" s="1"/>
  <c r="D41" i="136"/>
  <c r="D38" i="136"/>
  <c r="E43" i="137"/>
  <c r="E45" i="137"/>
  <c r="D40" i="136"/>
  <c r="D42" i="136"/>
  <c r="AC42" i="136" s="1"/>
  <c r="D48" i="137"/>
  <c r="E44" i="136"/>
  <c r="D14" i="138"/>
  <c r="E38" i="137"/>
  <c r="E47" i="137"/>
  <c r="E61" i="135"/>
  <c r="E75" i="135" s="1"/>
  <c r="E85" i="135" s="1"/>
  <c r="E40" i="136"/>
  <c r="AC40" i="136" s="1"/>
  <c r="D47" i="137"/>
  <c r="D43" i="137"/>
  <c r="D43" i="136"/>
  <c r="D38" i="137"/>
  <c r="E43" i="136"/>
  <c r="E49" i="136"/>
  <c r="E38" i="136"/>
  <c r="D49" i="136"/>
  <c r="D47" i="136"/>
  <c r="A140" i="108"/>
  <c r="L139" i="108"/>
  <c r="A260" i="108"/>
  <c r="A317" i="108"/>
  <c r="L255" i="108"/>
  <c r="L76" i="108"/>
  <c r="A77" i="108"/>
  <c r="A46" i="108"/>
  <c r="L45" i="108"/>
  <c r="A32" i="108"/>
  <c r="L31" i="108"/>
  <c r="A198" i="108"/>
  <c r="L197" i="108"/>
  <c r="A229" i="108"/>
  <c r="L228" i="108"/>
  <c r="C11" i="108"/>
  <c r="C25" i="106" s="1"/>
  <c r="E23" i="1"/>
  <c r="O23" i="1" s="1"/>
  <c r="D114" i="80"/>
  <c r="I114" i="80" s="1"/>
  <c r="D118" i="80"/>
  <c r="I118" i="80" s="1"/>
  <c r="D113" i="80"/>
  <c r="I113" i="80" s="1"/>
  <c r="D110" i="80"/>
  <c r="I110" i="80" s="1"/>
  <c r="D117" i="80"/>
  <c r="I117" i="80" s="1"/>
  <c r="D116" i="80"/>
  <c r="I116" i="80" s="1"/>
  <c r="D111" i="80"/>
  <c r="I111" i="80" s="1"/>
  <c r="D109" i="80"/>
  <c r="I109" i="80" s="1"/>
  <c r="H48" i="1"/>
  <c r="J48" i="1"/>
  <c r="I48" i="1"/>
  <c r="E42" i="47"/>
  <c r="H39" i="47"/>
  <c r="U39" i="47" s="1"/>
  <c r="I39" i="47"/>
  <c r="J39" i="47"/>
  <c r="D107" i="80"/>
  <c r="I107" i="80" s="1"/>
  <c r="J107" i="80" s="1"/>
  <c r="E119" i="80"/>
  <c r="D115" i="80"/>
  <c r="I115" i="80" s="1"/>
  <c r="E72" i="1"/>
  <c r="E109" i="1" s="1"/>
  <c r="E79" i="47" s="1"/>
  <c r="T79" i="47" s="1"/>
  <c r="F117" i="137"/>
  <c r="D108" i="80"/>
  <c r="I108" i="80" s="1"/>
  <c r="E15" i="1"/>
  <c r="E15" i="47"/>
  <c r="T15" i="47" s="1"/>
  <c r="D66" i="83"/>
  <c r="I66" i="83" s="1"/>
  <c r="D62" i="83"/>
  <c r="I62" i="83" s="1"/>
  <c r="D60" i="83"/>
  <c r="I60" i="83" s="1"/>
  <c r="D67" i="83"/>
  <c r="I67" i="83" s="1"/>
  <c r="D65" i="83"/>
  <c r="I65" i="83" s="1"/>
  <c r="D56" i="83"/>
  <c r="D63" i="83"/>
  <c r="I63" i="83" s="1"/>
  <c r="D59" i="83"/>
  <c r="I59" i="83" s="1"/>
  <c r="D64" i="83"/>
  <c r="I64" i="83" s="1"/>
  <c r="E68" i="83"/>
  <c r="D58" i="83"/>
  <c r="I58" i="83" s="1"/>
  <c r="E24" i="1"/>
  <c r="O24" i="1" s="1"/>
  <c r="D61" i="83"/>
  <c r="I61" i="83" s="1"/>
  <c r="D57" i="83"/>
  <c r="I57" i="83" s="1"/>
  <c r="I8" i="108"/>
  <c r="H13" i="106" s="1"/>
  <c r="D8" i="108"/>
  <c r="E8" i="108"/>
  <c r="D13" i="106" s="1"/>
  <c r="F8" i="108"/>
  <c r="E13" i="106" s="1"/>
  <c r="H8" i="108"/>
  <c r="G13" i="106" s="1"/>
  <c r="G8" i="108"/>
  <c r="F13" i="106" s="1"/>
  <c r="C8" i="108"/>
  <c r="C13" i="106" s="1"/>
  <c r="D11" i="108"/>
  <c r="E11" i="108"/>
  <c r="D25" i="106" s="1"/>
  <c r="J232" i="108"/>
  <c r="K231" i="108"/>
  <c r="K75" i="108"/>
  <c r="J76" i="108"/>
  <c r="K199" i="108"/>
  <c r="G200" i="108"/>
  <c r="J326" i="108"/>
  <c r="K325" i="108"/>
  <c r="K293" i="108"/>
  <c r="J294" i="108"/>
  <c r="K137" i="108"/>
  <c r="J138" i="108"/>
  <c r="K167" i="108"/>
  <c r="G168" i="108"/>
  <c r="K264" i="108"/>
  <c r="G265" i="108"/>
  <c r="K265" i="108" s="1"/>
  <c r="I42" i="47" l="1"/>
  <c r="V42" i="47" s="1"/>
  <c r="V39" i="47"/>
  <c r="H42" i="47"/>
  <c r="U42" i="47" s="1"/>
  <c r="T42" i="47"/>
  <c r="J42" i="47"/>
  <c r="W42" i="47" s="1"/>
  <c r="W39" i="47"/>
  <c r="AC47" i="136"/>
  <c r="AC14" i="138"/>
  <c r="I106" i="1" s="1"/>
  <c r="I76" i="47" s="1"/>
  <c r="V76" i="47" s="1"/>
  <c r="AC46" i="136"/>
  <c r="AC48" i="137"/>
  <c r="AC46" i="137"/>
  <c r="AC43" i="137"/>
  <c r="AC47" i="137"/>
  <c r="AC42" i="137"/>
  <c r="AC49" i="136"/>
  <c r="AC45" i="136"/>
  <c r="D51" i="136"/>
  <c r="AC43" i="136"/>
  <c r="AC39" i="137"/>
  <c r="AC40" i="137"/>
  <c r="AC39" i="136"/>
  <c r="AC45" i="137"/>
  <c r="AC14" i="149"/>
  <c r="E51" i="136"/>
  <c r="D26" i="149"/>
  <c r="F38" i="149"/>
  <c r="M22" i="84"/>
  <c r="F50" i="149"/>
  <c r="E87" i="137"/>
  <c r="M31" i="84"/>
  <c r="M23" i="84"/>
  <c r="M17" i="84"/>
  <c r="M12" i="84"/>
  <c r="E87" i="136"/>
  <c r="I4" i="1"/>
  <c r="I15" i="1" s="1"/>
  <c r="E88" i="137"/>
  <c r="M13" i="84"/>
  <c r="D26" i="138"/>
  <c r="I4" i="47"/>
  <c r="M18" i="84"/>
  <c r="M21" i="84"/>
  <c r="E88" i="136"/>
  <c r="G102" i="136"/>
  <c r="G115" i="136"/>
  <c r="G101" i="137"/>
  <c r="G102" i="137"/>
  <c r="G116" i="136"/>
  <c r="G115" i="137"/>
  <c r="F50" i="138"/>
  <c r="F38" i="138"/>
  <c r="G101" i="136"/>
  <c r="G103" i="136" s="1"/>
  <c r="AC44" i="136"/>
  <c r="I23" i="1"/>
  <c r="Q23" i="1" s="1"/>
  <c r="E51" i="137"/>
  <c r="E74" i="137"/>
  <c r="E15" i="149"/>
  <c r="D15" i="149"/>
  <c r="E66" i="137"/>
  <c r="E71" i="137"/>
  <c r="D72" i="137"/>
  <c r="E69" i="137"/>
  <c r="E64" i="136"/>
  <c r="D65" i="137"/>
  <c r="D73" i="136"/>
  <c r="E72" i="136"/>
  <c r="E73" i="137"/>
  <c r="D74" i="137"/>
  <c r="D63" i="136"/>
  <c r="E70" i="136"/>
  <c r="E65" i="136"/>
  <c r="D70" i="137"/>
  <c r="D63" i="137"/>
  <c r="E63" i="137"/>
  <c r="D68" i="137"/>
  <c r="E75" i="137"/>
  <c r="D69" i="136"/>
  <c r="D73" i="137"/>
  <c r="AC73" i="137" s="1"/>
  <c r="D64" i="136"/>
  <c r="AC64" i="136" s="1"/>
  <c r="E69" i="136"/>
  <c r="E68" i="137"/>
  <c r="E74" i="136"/>
  <c r="D68" i="136"/>
  <c r="E71" i="136"/>
  <c r="D75" i="136"/>
  <c r="E65" i="137"/>
  <c r="D64" i="137"/>
  <c r="D70" i="136"/>
  <c r="D67" i="137"/>
  <c r="E15" i="138"/>
  <c r="D15" i="138"/>
  <c r="D71" i="136"/>
  <c r="AC71" i="136" s="1"/>
  <c r="E66" i="136"/>
  <c r="E72" i="137"/>
  <c r="AC72" i="137" s="1"/>
  <c r="D69" i="137"/>
  <c r="D71" i="137"/>
  <c r="E68" i="136"/>
  <c r="E67" i="136"/>
  <c r="E63" i="136"/>
  <c r="F61" i="135"/>
  <c r="F75" i="135" s="1"/>
  <c r="F85" i="135" s="1"/>
  <c r="E73" i="136"/>
  <c r="AC73" i="136" s="1"/>
  <c r="E70" i="137"/>
  <c r="D66" i="137"/>
  <c r="AC66" i="137" s="1"/>
  <c r="E64" i="137"/>
  <c r="D67" i="136"/>
  <c r="E67" i="137"/>
  <c r="D66" i="136"/>
  <c r="D74" i="136"/>
  <c r="AC74" i="136" s="1"/>
  <c r="D72" i="136"/>
  <c r="AC72" i="136" s="1"/>
  <c r="E75" i="136"/>
  <c r="D65" i="136"/>
  <c r="AC65" i="136" s="1"/>
  <c r="D75" i="137"/>
  <c r="AC49" i="137"/>
  <c r="G116" i="137"/>
  <c r="AC38" i="136"/>
  <c r="AC41" i="137"/>
  <c r="AC50" i="137"/>
  <c r="I19" i="1" s="1"/>
  <c r="D51" i="137"/>
  <c r="AC38" i="137"/>
  <c r="AC51" i="137" s="1"/>
  <c r="I19" i="47" s="1"/>
  <c r="V19" i="47" s="1"/>
  <c r="AC41" i="136"/>
  <c r="AC44" i="137"/>
  <c r="A47" i="108"/>
  <c r="L46" i="108"/>
  <c r="L198" i="108"/>
  <c r="A199" i="108"/>
  <c r="A322" i="108"/>
  <c r="L317" i="108"/>
  <c r="L260" i="108"/>
  <c r="A261" i="108"/>
  <c r="L77" i="108"/>
  <c r="A78" i="108"/>
  <c r="A230" i="108"/>
  <c r="L229" i="108"/>
  <c r="L32" i="108"/>
  <c r="A33" i="108"/>
  <c r="A141" i="108"/>
  <c r="L140" i="108"/>
  <c r="J108" i="80"/>
  <c r="J109" i="80" s="1"/>
  <c r="J110" i="80" s="1"/>
  <c r="J111" i="80" s="1"/>
  <c r="J112" i="80" s="1"/>
  <c r="J113" i="80" s="1"/>
  <c r="J114" i="80" s="1"/>
  <c r="J115" i="80" s="1"/>
  <c r="J116" i="80" s="1"/>
  <c r="J117" i="80" s="1"/>
  <c r="J118" i="80" s="1"/>
  <c r="J120" i="80" s="1"/>
  <c r="D21" i="80" s="1"/>
  <c r="E23" i="47" s="1"/>
  <c r="T23" i="47" s="1"/>
  <c r="E107" i="80"/>
  <c r="E108" i="80" s="1"/>
  <c r="E109" i="80" s="1"/>
  <c r="E110" i="80" s="1"/>
  <c r="E111" i="80" s="1"/>
  <c r="E112" i="80" s="1"/>
  <c r="E113" i="80" s="1"/>
  <c r="E114" i="80" s="1"/>
  <c r="E115" i="80" s="1"/>
  <c r="E116" i="80" s="1"/>
  <c r="E117" i="80" s="1"/>
  <c r="E118" i="80" s="1"/>
  <c r="E16" i="47"/>
  <c r="T16" i="47" s="1"/>
  <c r="E16" i="1"/>
  <c r="I56" i="83"/>
  <c r="J56" i="83" s="1"/>
  <c r="J57" i="83" s="1"/>
  <c r="J58" i="83" s="1"/>
  <c r="J59" i="83" s="1"/>
  <c r="J60" i="83" s="1"/>
  <c r="J61" i="83" s="1"/>
  <c r="J62" i="83" s="1"/>
  <c r="J63" i="83" s="1"/>
  <c r="J64" i="83" s="1"/>
  <c r="J65" i="83" s="1"/>
  <c r="J66" i="83" s="1"/>
  <c r="J67" i="83" s="1"/>
  <c r="J69" i="83" s="1"/>
  <c r="C48" i="83" s="1"/>
  <c r="E24" i="47" s="1"/>
  <c r="T24" i="47" s="1"/>
  <c r="E56" i="83"/>
  <c r="E57" i="83" s="1"/>
  <c r="E58" i="83" s="1"/>
  <c r="E59" i="83" s="1"/>
  <c r="E60" i="83" s="1"/>
  <c r="E61" i="83" s="1"/>
  <c r="E62" i="83" s="1"/>
  <c r="E63" i="83" s="1"/>
  <c r="E64" i="83" s="1"/>
  <c r="E65" i="83" s="1"/>
  <c r="E66" i="83" s="1"/>
  <c r="E67" i="83" s="1"/>
  <c r="E25" i="1"/>
  <c r="O25" i="1" s="1"/>
  <c r="J233" i="108"/>
  <c r="K233" i="108" s="1"/>
  <c r="K232" i="108"/>
  <c r="J77" i="108"/>
  <c r="K77" i="108" s="1"/>
  <c r="K76" i="108"/>
  <c r="K168" i="108"/>
  <c r="G169" i="108"/>
  <c r="K169" i="108" s="1"/>
  <c r="K326" i="108"/>
  <c r="J327" i="108"/>
  <c r="K327" i="108" s="1"/>
  <c r="K294" i="108"/>
  <c r="J295" i="108"/>
  <c r="K295" i="108" s="1"/>
  <c r="K200" i="108"/>
  <c r="G201" i="108"/>
  <c r="K201" i="108" s="1"/>
  <c r="J139" i="108"/>
  <c r="K139" i="108" s="1"/>
  <c r="K138" i="108"/>
  <c r="AC68" i="136" l="1"/>
  <c r="AC70" i="137"/>
  <c r="AC65" i="137"/>
  <c r="G103" i="137"/>
  <c r="AC74" i="137"/>
  <c r="C61" i="149"/>
  <c r="I23" i="47"/>
  <c r="V23" i="47" s="1"/>
  <c r="AC15" i="149"/>
  <c r="I15" i="47"/>
  <c r="V15" i="47" s="1"/>
  <c r="V4" i="47"/>
  <c r="AC64" i="137"/>
  <c r="AC15" i="138"/>
  <c r="J106" i="1" s="1"/>
  <c r="J76" i="47" s="1"/>
  <c r="AC66" i="136"/>
  <c r="AC69" i="136"/>
  <c r="E89" i="137"/>
  <c r="D128" i="137"/>
  <c r="D130" i="137" s="1"/>
  <c r="I20" i="47" s="1"/>
  <c r="AC75" i="136"/>
  <c r="J8" i="1" s="1"/>
  <c r="AC63" i="136"/>
  <c r="D76" i="136"/>
  <c r="G117" i="136"/>
  <c r="D129" i="137"/>
  <c r="I20" i="1" s="1"/>
  <c r="AC51" i="136"/>
  <c r="I8" i="47" s="1"/>
  <c r="V8" i="47" s="1"/>
  <c r="E76" i="136"/>
  <c r="H106" i="1"/>
  <c r="D129" i="136"/>
  <c r="I9" i="1" s="1"/>
  <c r="I10" i="1" s="1"/>
  <c r="E89" i="136"/>
  <c r="D128" i="136"/>
  <c r="D130" i="136" s="1"/>
  <c r="M11" i="84"/>
  <c r="AC67" i="136"/>
  <c r="AC67" i="137"/>
  <c r="AC68" i="137"/>
  <c r="AC63" i="137"/>
  <c r="D76" i="137"/>
  <c r="G117" i="137"/>
  <c r="E26" i="149"/>
  <c r="G38" i="149"/>
  <c r="G50" i="149"/>
  <c r="J4" i="47"/>
  <c r="N31" i="84"/>
  <c r="O31" i="84" s="1"/>
  <c r="F88" i="136"/>
  <c r="N18" i="84"/>
  <c r="O18" i="84" s="1"/>
  <c r="H116" i="137"/>
  <c r="H101" i="136"/>
  <c r="H103" i="136" s="1"/>
  <c r="F88" i="137"/>
  <c r="N22" i="84"/>
  <c r="O22" i="84" s="1"/>
  <c r="N17" i="84"/>
  <c r="O17" i="84" s="1"/>
  <c r="F87" i="137"/>
  <c r="H102" i="137"/>
  <c r="G38" i="138"/>
  <c r="E26" i="138"/>
  <c r="N21" i="84"/>
  <c r="O21" i="84" s="1"/>
  <c r="N12" i="84"/>
  <c r="F87" i="136"/>
  <c r="H115" i="136"/>
  <c r="H117" i="136" s="1"/>
  <c r="N13" i="84"/>
  <c r="O13" i="84" s="1"/>
  <c r="G50" i="138"/>
  <c r="H115" i="137"/>
  <c r="H117" i="137" s="1"/>
  <c r="H102" i="136"/>
  <c r="H116" i="136"/>
  <c r="N23" i="84"/>
  <c r="O23" i="84" s="1"/>
  <c r="J4" i="1"/>
  <c r="H101" i="137"/>
  <c r="I111" i="1"/>
  <c r="I64" i="1"/>
  <c r="I63" i="1"/>
  <c r="I65" i="1"/>
  <c r="I62" i="1"/>
  <c r="I85" i="1"/>
  <c r="Q85" i="1" s="1"/>
  <c r="I13" i="1"/>
  <c r="I27" i="1"/>
  <c r="I57" i="1"/>
  <c r="I86" i="1"/>
  <c r="Q86" i="1" s="1"/>
  <c r="I81" i="1"/>
  <c r="Q81" i="1" s="1"/>
  <c r="I112" i="1"/>
  <c r="I66" i="1"/>
  <c r="I14" i="1"/>
  <c r="I105" i="1"/>
  <c r="I24" i="1"/>
  <c r="AC75" i="137"/>
  <c r="J19" i="1" s="1"/>
  <c r="H19" i="1" s="1"/>
  <c r="E76" i="137"/>
  <c r="AC71" i="137"/>
  <c r="AC70" i="136"/>
  <c r="I27" i="47"/>
  <c r="V27" i="47" s="1"/>
  <c r="I13" i="47"/>
  <c r="V13" i="47" s="1"/>
  <c r="I14" i="47"/>
  <c r="V14" i="47" s="1"/>
  <c r="I75" i="47"/>
  <c r="V75" i="47" s="1"/>
  <c r="AC69" i="137"/>
  <c r="C61" i="138"/>
  <c r="I107" i="1" s="1"/>
  <c r="L261" i="108"/>
  <c r="A262" i="108"/>
  <c r="L322" i="108"/>
  <c r="A323" i="108"/>
  <c r="A142" i="108"/>
  <c r="L141" i="108"/>
  <c r="A34" i="108"/>
  <c r="L34" i="108" s="1"/>
  <c r="L33" i="108"/>
  <c r="L199" i="108"/>
  <c r="A200" i="108"/>
  <c r="L230" i="108"/>
  <c r="A231" i="108"/>
  <c r="L78" i="108"/>
  <c r="A79" i="108"/>
  <c r="A48" i="108"/>
  <c r="L47" i="108"/>
  <c r="I24" i="47"/>
  <c r="V24" i="47" s="1"/>
  <c r="E25" i="47"/>
  <c r="T25" i="47" s="1"/>
  <c r="I25" i="1" l="1"/>
  <c r="Q25" i="1" s="1"/>
  <c r="Q24" i="1"/>
  <c r="H103" i="137"/>
  <c r="H76" i="47"/>
  <c r="U76" i="47" s="1"/>
  <c r="W76" i="47"/>
  <c r="J24" i="47"/>
  <c r="W24" i="47" s="1"/>
  <c r="W4" i="47"/>
  <c r="E129" i="137"/>
  <c r="J20" i="1" s="1"/>
  <c r="H20" i="1" s="1"/>
  <c r="I21" i="47"/>
  <c r="V21" i="47" s="1"/>
  <c r="V20" i="47"/>
  <c r="I16" i="47"/>
  <c r="V16" i="47" s="1"/>
  <c r="I87" i="1"/>
  <c r="Q87" i="1" s="1"/>
  <c r="O12" i="84"/>
  <c r="N11" i="84"/>
  <c r="D61" i="149"/>
  <c r="H8" i="1"/>
  <c r="J112" i="1"/>
  <c r="J82" i="47" s="1"/>
  <c r="W82" i="47" s="1"/>
  <c r="J86" i="1"/>
  <c r="J14" i="1"/>
  <c r="H14" i="1" s="1"/>
  <c r="J111" i="1"/>
  <c r="J81" i="47" s="1"/>
  <c r="W81" i="47" s="1"/>
  <c r="J81" i="1"/>
  <c r="J62" i="1"/>
  <c r="J63" i="1"/>
  <c r="H63" i="1" s="1"/>
  <c r="J85" i="1"/>
  <c r="R85" i="1" s="1"/>
  <c r="J57" i="1"/>
  <c r="J59" i="1" s="1"/>
  <c r="J65" i="1"/>
  <c r="H65" i="1" s="1"/>
  <c r="J27" i="1"/>
  <c r="H27" i="1" s="1"/>
  <c r="J64" i="1"/>
  <c r="H64" i="1" s="1"/>
  <c r="J105" i="1"/>
  <c r="H105" i="1" s="1"/>
  <c r="J66" i="1"/>
  <c r="H66" i="1" s="1"/>
  <c r="J13" i="1"/>
  <c r="J15" i="1"/>
  <c r="H15" i="1" s="1"/>
  <c r="J24" i="1"/>
  <c r="R24" i="1" s="1"/>
  <c r="J23" i="1"/>
  <c r="I77" i="47"/>
  <c r="V77" i="47" s="1"/>
  <c r="I82" i="47"/>
  <c r="V82" i="47" s="1"/>
  <c r="D61" i="138"/>
  <c r="J107" i="1" s="1"/>
  <c r="J77" i="47" s="1"/>
  <c r="W77" i="47" s="1"/>
  <c r="I74" i="47"/>
  <c r="V74" i="47" s="1"/>
  <c r="E5" i="84"/>
  <c r="I104" i="1"/>
  <c r="O11" i="84"/>
  <c r="G5" i="84" s="1"/>
  <c r="I21" i="1"/>
  <c r="F89" i="136"/>
  <c r="E128" i="136"/>
  <c r="J21" i="1"/>
  <c r="E129" i="136"/>
  <c r="J9" i="1" s="1"/>
  <c r="H9" i="1" s="1"/>
  <c r="I16" i="1"/>
  <c r="J13" i="47"/>
  <c r="W13" i="47" s="1"/>
  <c r="J27" i="47"/>
  <c r="J75" i="47"/>
  <c r="J14" i="47"/>
  <c r="J15" i="47"/>
  <c r="J23" i="47"/>
  <c r="I67" i="1"/>
  <c r="H62" i="1"/>
  <c r="I10" i="47"/>
  <c r="V10" i="47" s="1"/>
  <c r="I82" i="1"/>
  <c r="Q82" i="1" s="1"/>
  <c r="I59" i="1"/>
  <c r="I81" i="47"/>
  <c r="F89" i="137"/>
  <c r="E128" i="137"/>
  <c r="E130" i="137" s="1"/>
  <c r="J20" i="47" s="1"/>
  <c r="AC76" i="137"/>
  <c r="J19" i="47" s="1"/>
  <c r="W19" i="47" s="1"/>
  <c r="AC76" i="136"/>
  <c r="J8" i="47" s="1"/>
  <c r="A49" i="108"/>
  <c r="L49" i="108" s="1"/>
  <c r="L48" i="108"/>
  <c r="A80" i="108"/>
  <c r="L79" i="108"/>
  <c r="A143" i="108"/>
  <c r="L142" i="108"/>
  <c r="A232" i="108"/>
  <c r="L231" i="108"/>
  <c r="L323" i="108"/>
  <c r="A324" i="108"/>
  <c r="L200" i="108"/>
  <c r="A201" i="108"/>
  <c r="A263" i="108"/>
  <c r="L262" i="108"/>
  <c r="I25" i="47"/>
  <c r="V25" i="47" s="1"/>
  <c r="H24" i="47" l="1"/>
  <c r="U24" i="47" s="1"/>
  <c r="H23" i="1"/>
  <c r="P23" i="1" s="1"/>
  <c r="R23" i="1"/>
  <c r="H86" i="1"/>
  <c r="P86" i="1" s="1"/>
  <c r="R86" i="1"/>
  <c r="J82" i="1"/>
  <c r="R82" i="1" s="1"/>
  <c r="R81" i="1"/>
  <c r="J87" i="1"/>
  <c r="R87" i="1" s="1"/>
  <c r="H13" i="47"/>
  <c r="U13" i="47" s="1"/>
  <c r="H15" i="47"/>
  <c r="U15" i="47" s="1"/>
  <c r="W15" i="47"/>
  <c r="H14" i="47"/>
  <c r="U14" i="47" s="1"/>
  <c r="W14" i="47"/>
  <c r="H81" i="47"/>
  <c r="U81" i="47" s="1"/>
  <c r="V81" i="47"/>
  <c r="H75" i="47"/>
  <c r="U75" i="47" s="1"/>
  <c r="W75" i="47"/>
  <c r="H8" i="47"/>
  <c r="U8" i="47" s="1"/>
  <c r="W8" i="47"/>
  <c r="H20" i="47"/>
  <c r="U20" i="47" s="1"/>
  <c r="W20" i="47"/>
  <c r="H23" i="47"/>
  <c r="U23" i="47" s="1"/>
  <c r="W23" i="47"/>
  <c r="E130" i="136"/>
  <c r="H27" i="47"/>
  <c r="U27" i="47" s="1"/>
  <c r="W27" i="47"/>
  <c r="H85" i="1"/>
  <c r="P85" i="1" s="1"/>
  <c r="J25" i="47"/>
  <c r="W25" i="47" s="1"/>
  <c r="I70" i="1"/>
  <c r="J25" i="1"/>
  <c r="H24" i="1"/>
  <c r="P24" i="1" s="1"/>
  <c r="H57" i="1"/>
  <c r="H59" i="1"/>
  <c r="J16" i="1"/>
  <c r="H16" i="1" s="1"/>
  <c r="J10" i="1"/>
  <c r="H81" i="1"/>
  <c r="P81" i="1" s="1"/>
  <c r="H82" i="47"/>
  <c r="U82" i="47" s="1"/>
  <c r="J67" i="1"/>
  <c r="J70" i="1" s="1"/>
  <c r="J72" i="1" s="1"/>
  <c r="J109" i="1" s="1"/>
  <c r="J79" i="47" s="1"/>
  <c r="W79" i="47" s="1"/>
  <c r="H112" i="1"/>
  <c r="J64" i="47"/>
  <c r="W64" i="47" s="1"/>
  <c r="J98" i="1"/>
  <c r="R98" i="1" s="1"/>
  <c r="H21" i="1"/>
  <c r="H13" i="1"/>
  <c r="H77" i="47"/>
  <c r="U77" i="47" s="1"/>
  <c r="H19" i="47"/>
  <c r="U19" i="47" s="1"/>
  <c r="J21" i="47"/>
  <c r="H82" i="1"/>
  <c r="P82" i="1" s="1"/>
  <c r="I64" i="47"/>
  <c r="V64" i="47" s="1"/>
  <c r="I98" i="1"/>
  <c r="Q98" i="1" s="1"/>
  <c r="H107" i="1"/>
  <c r="J104" i="1"/>
  <c r="H104" i="1" s="1"/>
  <c r="J74" i="47"/>
  <c r="F5" i="84"/>
  <c r="H111" i="1"/>
  <c r="J16" i="47"/>
  <c r="I63" i="47"/>
  <c r="I97" i="1"/>
  <c r="Q97" i="1" s="1"/>
  <c r="L232" i="108"/>
  <c r="A233" i="108"/>
  <c r="A202" i="108"/>
  <c r="L201" i="108"/>
  <c r="L263" i="108"/>
  <c r="A264" i="108"/>
  <c r="A144" i="108"/>
  <c r="L143" i="108"/>
  <c r="L80" i="108"/>
  <c r="A81" i="108"/>
  <c r="A325" i="108"/>
  <c r="L324" i="108"/>
  <c r="J97" i="1" l="1"/>
  <c r="R97" i="1" s="1"/>
  <c r="H87" i="1"/>
  <c r="P87" i="1" s="1"/>
  <c r="J63" i="47"/>
  <c r="W63" i="47" s="1"/>
  <c r="H25" i="1"/>
  <c r="P25" i="1" s="1"/>
  <c r="R25" i="1"/>
  <c r="H25" i="47"/>
  <c r="U25" i="47" s="1"/>
  <c r="H63" i="47"/>
  <c r="U63" i="47" s="1"/>
  <c r="V63" i="47"/>
  <c r="H16" i="47"/>
  <c r="U16" i="47" s="1"/>
  <c r="W16" i="47"/>
  <c r="H21" i="47"/>
  <c r="U21" i="47" s="1"/>
  <c r="W21" i="47"/>
  <c r="H74" i="47"/>
  <c r="U74" i="47" s="1"/>
  <c r="W74" i="47"/>
  <c r="J10" i="47"/>
  <c r="H97" i="1"/>
  <c r="P97" i="1" s="1"/>
  <c r="H98" i="1"/>
  <c r="P98" i="1" s="1"/>
  <c r="H64" i="47"/>
  <c r="U64" i="47" s="1"/>
  <c r="H10" i="1"/>
  <c r="H67" i="1"/>
  <c r="H70" i="1"/>
  <c r="I72" i="1"/>
  <c r="A145" i="108"/>
  <c r="L144" i="108"/>
  <c r="L264" i="108"/>
  <c r="A265" i="108"/>
  <c r="L325" i="108"/>
  <c r="A326" i="108"/>
  <c r="L202" i="108"/>
  <c r="A203" i="108"/>
  <c r="L81" i="108"/>
  <c r="A82" i="108"/>
  <c r="A234" i="108"/>
  <c r="L233" i="108"/>
  <c r="W10" i="47" l="1"/>
  <c r="H10" i="47"/>
  <c r="U10" i="47" s="1"/>
  <c r="H72" i="1"/>
  <c r="I109" i="1"/>
  <c r="L326" i="108"/>
  <c r="A327" i="108"/>
  <c r="A204" i="108"/>
  <c r="L203" i="108"/>
  <c r="L265" i="108"/>
  <c r="A266" i="108"/>
  <c r="L234" i="108"/>
  <c r="A235" i="108"/>
  <c r="L82" i="108"/>
  <c r="A83" i="108"/>
  <c r="A146" i="108"/>
  <c r="L145" i="108"/>
  <c r="H109" i="1" l="1"/>
  <c r="I79" i="47"/>
  <c r="V79" i="47" s="1"/>
  <c r="L235" i="108"/>
  <c r="A236" i="108"/>
  <c r="L266" i="108"/>
  <c r="A267" i="108"/>
  <c r="A147" i="108"/>
  <c r="L146" i="108"/>
  <c r="L204" i="108"/>
  <c r="A205" i="108"/>
  <c r="A84" i="108"/>
  <c r="L83" i="108"/>
  <c r="L327" i="108"/>
  <c r="A328" i="108"/>
  <c r="H79" i="47" l="1"/>
  <c r="U79" i="47" s="1"/>
  <c r="A206" i="108"/>
  <c r="L205" i="108"/>
  <c r="L147" i="108"/>
  <c r="A148" i="108"/>
  <c r="L328" i="108"/>
  <c r="A329" i="108"/>
  <c r="A268" i="108"/>
  <c r="L267" i="108"/>
  <c r="L236" i="108"/>
  <c r="A237" i="108"/>
  <c r="L84" i="108"/>
  <c r="A85" i="108"/>
  <c r="L268" i="108" l="1"/>
  <c r="A269" i="108"/>
  <c r="L329" i="108"/>
  <c r="A330" i="108"/>
  <c r="A86" i="108"/>
  <c r="L85" i="108"/>
  <c r="A149" i="108"/>
  <c r="L148" i="108"/>
  <c r="A238" i="108"/>
  <c r="L237" i="108"/>
  <c r="L206" i="108"/>
  <c r="A207" i="108"/>
  <c r="A208" i="108" l="1"/>
  <c r="L207" i="108"/>
  <c r="A150" i="108"/>
  <c r="L149" i="108"/>
  <c r="L86" i="108"/>
  <c r="A87" i="108"/>
  <c r="L269" i="108"/>
  <c r="A270" i="108"/>
  <c r="L330" i="108"/>
  <c r="A331" i="108"/>
  <c r="L238" i="108"/>
  <c r="A239" i="108"/>
  <c r="L270" i="108" l="1"/>
  <c r="A271" i="108"/>
  <c r="A88" i="108"/>
  <c r="L87" i="108"/>
  <c r="A240" i="108"/>
  <c r="L239" i="108"/>
  <c r="A151" i="108"/>
  <c r="L150" i="108"/>
  <c r="A332" i="108"/>
  <c r="L331" i="108"/>
  <c r="L208" i="108"/>
  <c r="A209" i="108"/>
  <c r="A210" i="108" l="1"/>
  <c r="L209" i="108"/>
  <c r="L240" i="108"/>
  <c r="A241" i="108"/>
  <c r="A89" i="108"/>
  <c r="L88" i="108"/>
  <c r="L271" i="108"/>
  <c r="A272" i="108"/>
  <c r="L151" i="108"/>
  <c r="A152" i="108"/>
  <c r="L332" i="108"/>
  <c r="A333" i="108"/>
  <c r="L272" i="108" l="1"/>
  <c r="A273" i="108"/>
  <c r="L333" i="108"/>
  <c r="A334" i="108"/>
  <c r="A153" i="108"/>
  <c r="L152" i="108"/>
  <c r="A90" i="108"/>
  <c r="L89" i="108"/>
  <c r="A242" i="108"/>
  <c r="L241" i="108"/>
  <c r="A211" i="108"/>
  <c r="L210" i="108"/>
  <c r="A91" i="108" l="1"/>
  <c r="L90" i="108"/>
  <c r="L334" i="108"/>
  <c r="A335" i="108"/>
  <c r="A212" i="108"/>
  <c r="L211" i="108"/>
  <c r="A274" i="108"/>
  <c r="L273" i="108"/>
  <c r="A154" i="108"/>
  <c r="L153" i="108"/>
  <c r="A243" i="108"/>
  <c r="L242" i="108"/>
  <c r="L212" i="108" l="1"/>
  <c r="A213" i="108"/>
  <c r="L274" i="108"/>
  <c r="A275" i="108"/>
  <c r="L335" i="108"/>
  <c r="A336" i="108"/>
  <c r="A244" i="108"/>
  <c r="L243" i="108"/>
  <c r="L154" i="108"/>
  <c r="A155" i="108"/>
  <c r="A92" i="108"/>
  <c r="L91" i="108"/>
  <c r="L244" i="108" l="1"/>
  <c r="A245" i="108"/>
  <c r="A276" i="108"/>
  <c r="L275" i="108"/>
  <c r="L336" i="108"/>
  <c r="A337" i="108"/>
  <c r="L92" i="108"/>
  <c r="A93" i="108"/>
  <c r="L155" i="108"/>
  <c r="A156" i="108"/>
  <c r="A214" i="108"/>
  <c r="L213" i="108"/>
  <c r="L93" i="108" l="1"/>
  <c r="A94" i="108"/>
  <c r="A246" i="108"/>
  <c r="L245" i="108"/>
  <c r="L337" i="108"/>
  <c r="A338" i="108"/>
  <c r="A215" i="108"/>
  <c r="L214" i="108"/>
  <c r="A277" i="108"/>
  <c r="L276" i="108"/>
  <c r="A157" i="108"/>
  <c r="L156" i="108"/>
  <c r="A95" i="108" l="1"/>
  <c r="L94" i="108"/>
  <c r="L338" i="108"/>
  <c r="A339" i="108"/>
  <c r="L277" i="108"/>
  <c r="A278" i="108"/>
  <c r="L157" i="108"/>
  <c r="A158" i="108"/>
  <c r="A247" i="108"/>
  <c r="L246" i="108"/>
  <c r="A216" i="108"/>
  <c r="L215" i="108"/>
  <c r="L278" i="108" l="1"/>
  <c r="A279" i="108"/>
  <c r="L216" i="108"/>
  <c r="A217" i="108"/>
  <c r="L339" i="108"/>
  <c r="A340" i="108"/>
  <c r="A248" i="108"/>
  <c r="L247" i="108"/>
  <c r="L158" i="108"/>
  <c r="A164" i="108"/>
  <c r="A96" i="108"/>
  <c r="L95" i="108"/>
  <c r="A341" i="108" l="1"/>
  <c r="L340" i="108"/>
  <c r="L96" i="108"/>
  <c r="A102" i="108"/>
  <c r="L164" i="108"/>
  <c r="A165" i="108"/>
  <c r="A218" i="108"/>
  <c r="L217" i="108"/>
  <c r="A280" i="108"/>
  <c r="L279" i="108"/>
  <c r="L248" i="108"/>
  <c r="A249" i="108"/>
  <c r="A219" i="108" l="1"/>
  <c r="L218" i="108"/>
  <c r="A250" i="108"/>
  <c r="L249" i="108"/>
  <c r="L165" i="108"/>
  <c r="A166" i="108"/>
  <c r="A103" i="108"/>
  <c r="L102" i="108"/>
  <c r="L280" i="108"/>
  <c r="A281" i="108"/>
  <c r="L341" i="108"/>
  <c r="A342" i="108"/>
  <c r="L103" i="108" l="1"/>
  <c r="A104" i="108"/>
  <c r="L166" i="108"/>
  <c r="A167" i="108"/>
  <c r="L342" i="108"/>
  <c r="A343" i="108"/>
  <c r="A251" i="108"/>
  <c r="L250" i="108"/>
  <c r="A282" i="108"/>
  <c r="L281" i="108"/>
  <c r="A220" i="108"/>
  <c r="L220" i="108" s="1"/>
  <c r="L219" i="108"/>
  <c r="A252" i="108" l="1"/>
  <c r="L252" i="108" s="1"/>
  <c r="L251" i="108"/>
  <c r="A344" i="108"/>
  <c r="L343" i="108"/>
  <c r="A168" i="108"/>
  <c r="L167" i="108"/>
  <c r="A105" i="108"/>
  <c r="L104" i="108"/>
  <c r="L282" i="108"/>
  <c r="A283" i="108"/>
  <c r="A106" i="108" l="1"/>
  <c r="L105" i="108"/>
  <c r="L168" i="108"/>
  <c r="A169" i="108"/>
  <c r="L344" i="108"/>
  <c r="A345" i="108"/>
  <c r="A284" i="108"/>
  <c r="L283" i="108"/>
  <c r="A170" i="108" l="1"/>
  <c r="L169" i="108"/>
  <c r="L284" i="108"/>
  <c r="A290" i="108"/>
  <c r="L345" i="108"/>
  <c r="A346" i="108"/>
  <c r="L346" i="108" s="1"/>
  <c r="A107" i="108"/>
  <c r="L106" i="108"/>
  <c r="A108" i="108" l="1"/>
  <c r="L107" i="108"/>
  <c r="L290" i="108"/>
  <c r="A291" i="108"/>
  <c r="L170" i="108"/>
  <c r="A171" i="108"/>
  <c r="L171" i="108" l="1"/>
  <c r="A172" i="108"/>
  <c r="A292" i="108"/>
  <c r="L291" i="108"/>
  <c r="A109" i="108"/>
  <c r="L108" i="108"/>
  <c r="L292" i="108" l="1"/>
  <c r="A293" i="108"/>
  <c r="L172" i="108"/>
  <c r="A173" i="108"/>
  <c r="L109" i="108"/>
  <c r="A110" i="108"/>
  <c r="A111" i="108" l="1"/>
  <c r="L110" i="108"/>
  <c r="A174" i="108"/>
  <c r="L173" i="108"/>
  <c r="L293" i="108"/>
  <c r="A294" i="108"/>
  <c r="A295" i="108" l="1"/>
  <c r="L294" i="108"/>
  <c r="L174" i="108"/>
  <c r="A175" i="108"/>
  <c r="A112" i="108"/>
  <c r="L111" i="108"/>
  <c r="L112" i="108" l="1"/>
  <c r="A113" i="108"/>
  <c r="A176" i="108"/>
  <c r="L175" i="108"/>
  <c r="A296" i="108"/>
  <c r="L295" i="108"/>
  <c r="L296" i="108" l="1"/>
  <c r="A297" i="108"/>
  <c r="L176" i="108"/>
  <c r="A177" i="108"/>
  <c r="A114" i="108"/>
  <c r="L113" i="108"/>
  <c r="L114" i="108" l="1"/>
  <c r="A115" i="108"/>
  <c r="A178" i="108"/>
  <c r="L177" i="108"/>
  <c r="A298" i="108"/>
  <c r="L297" i="108"/>
  <c r="L298" i="108" l="1"/>
  <c r="A299" i="108"/>
  <c r="A179" i="108"/>
  <c r="L178" i="108"/>
  <c r="L115" i="108"/>
  <c r="A116" i="108"/>
  <c r="L116" i="108" l="1"/>
  <c r="A117" i="108"/>
  <c r="A180" i="108"/>
  <c r="L179" i="108"/>
  <c r="A300" i="108"/>
  <c r="L299" i="108"/>
  <c r="L300" i="108" l="1"/>
  <c r="A301" i="108"/>
  <c r="L180" i="108"/>
  <c r="A181" i="108"/>
  <c r="L117" i="108"/>
  <c r="A118" i="108"/>
  <c r="L118" i="108" l="1"/>
  <c r="A119" i="108"/>
  <c r="A182" i="108"/>
  <c r="L181" i="108"/>
  <c r="A302" i="108"/>
  <c r="L301" i="108"/>
  <c r="L302" i="108" l="1"/>
  <c r="A303" i="108"/>
  <c r="A183" i="108"/>
  <c r="L182" i="108"/>
  <c r="L119" i="108"/>
  <c r="A120" i="108"/>
  <c r="A304" i="108" l="1"/>
  <c r="L303" i="108"/>
  <c r="L120" i="108"/>
  <c r="A121" i="108"/>
  <c r="L183" i="108"/>
  <c r="A184" i="108"/>
  <c r="L184" i="108" l="1"/>
  <c r="A185" i="108"/>
  <c r="A122" i="108"/>
  <c r="L121" i="108"/>
  <c r="A305" i="108"/>
  <c r="L304" i="108"/>
  <c r="A306" i="108" l="1"/>
  <c r="L305" i="108"/>
  <c r="A123" i="108"/>
  <c r="L122" i="108"/>
  <c r="A186" i="108"/>
  <c r="L185" i="108"/>
  <c r="A187" i="108" l="1"/>
  <c r="L186" i="108"/>
  <c r="A124" i="108"/>
  <c r="L123" i="108"/>
  <c r="L306" i="108"/>
  <c r="A307" i="108"/>
  <c r="A308" i="108" l="1"/>
  <c r="L307" i="108"/>
  <c r="A125" i="108"/>
  <c r="L124" i="108"/>
  <c r="L187" i="108"/>
  <c r="A188" i="108"/>
  <c r="L188" i="108" s="1"/>
  <c r="A126" i="108" l="1"/>
  <c r="L126" i="108" s="1"/>
  <c r="L125" i="108"/>
  <c r="A309" i="108"/>
  <c r="L308" i="108"/>
  <c r="A310" i="108" l="1"/>
  <c r="L309" i="108"/>
  <c r="L310" i="108" l="1"/>
  <c r="A311" i="108"/>
  <c r="A312" i="108" l="1"/>
  <c r="L311" i="108"/>
  <c r="A313" i="108" l="1"/>
  <c r="L312" i="108"/>
  <c r="A314" i="108" l="1"/>
  <c r="L314" i="108" s="1"/>
  <c r="L313" i="108"/>
  <c r="E90" i="141" l="1"/>
  <c r="E26" i="1"/>
  <c r="I26" i="1" l="1"/>
  <c r="J26" i="1"/>
  <c r="J29" i="1" s="1"/>
  <c r="R29" i="1" s="1"/>
  <c r="E29" i="1"/>
  <c r="O29" i="1" s="1"/>
  <c r="E26" i="47"/>
  <c r="E52" i="1" l="1"/>
  <c r="E94" i="1"/>
  <c r="J52" i="1"/>
  <c r="J94" i="1"/>
  <c r="I26" i="47"/>
  <c r="V26" i="47" s="1"/>
  <c r="J26" i="47"/>
  <c r="E29" i="47"/>
  <c r="I29" i="1"/>
  <c r="Q29" i="1" s="1"/>
  <c r="H26" i="1"/>
  <c r="J89" i="1" l="1"/>
  <c r="R94" i="1"/>
  <c r="J108" i="1"/>
  <c r="R108" i="1" s="1"/>
  <c r="R52" i="1"/>
  <c r="E89" i="1"/>
  <c r="O94" i="1"/>
  <c r="E108" i="1"/>
  <c r="O108" i="1" s="1"/>
  <c r="O52" i="1"/>
  <c r="J110" i="1"/>
  <c r="R110" i="1" s="1"/>
  <c r="R89" i="1"/>
  <c r="E110" i="1"/>
  <c r="O110" i="1" s="1"/>
  <c r="O89" i="1"/>
  <c r="T29" i="47"/>
  <c r="Y46" i="47" s="1"/>
  <c r="E46" i="47"/>
  <c r="T46" i="47" s="1"/>
  <c r="J29" i="47"/>
  <c r="W29" i="47" s="1"/>
  <c r="W26" i="47"/>
  <c r="H26" i="47"/>
  <c r="U26" i="47" s="1"/>
  <c r="I29" i="47"/>
  <c r="V29" i="47" s="1"/>
  <c r="E78" i="47"/>
  <c r="T78" i="47" s="1"/>
  <c r="E60" i="47"/>
  <c r="I52" i="1"/>
  <c r="Q52" i="1" s="1"/>
  <c r="I94" i="1"/>
  <c r="Q94" i="1" s="1"/>
  <c r="H29" i="1"/>
  <c r="P29" i="1" s="1"/>
  <c r="J113" i="1" l="1"/>
  <c r="E113" i="1"/>
  <c r="E118" i="1" s="1"/>
  <c r="C13" i="125"/>
  <c r="C14" i="125" s="1"/>
  <c r="O113" i="1"/>
  <c r="J118" i="1"/>
  <c r="R113" i="1"/>
  <c r="J60" i="47"/>
  <c r="J55" i="47" s="1"/>
  <c r="E55" i="47"/>
  <c r="T60" i="47"/>
  <c r="J46" i="47"/>
  <c r="W46" i="47" s="1"/>
  <c r="I108" i="1"/>
  <c r="Q108" i="1" s="1"/>
  <c r="H52" i="1"/>
  <c r="P52" i="1" s="1"/>
  <c r="I46" i="47"/>
  <c r="V46" i="47" s="1"/>
  <c r="I60" i="47"/>
  <c r="V60" i="47" s="1"/>
  <c r="H29" i="47"/>
  <c r="U29" i="47" s="1"/>
  <c r="I89" i="1"/>
  <c r="Q89" i="1" s="1"/>
  <c r="H94" i="1"/>
  <c r="P94" i="1" s="1"/>
  <c r="J78" i="47" l="1"/>
  <c r="W78" i="47" s="1"/>
  <c r="W60" i="47"/>
  <c r="J120" i="1"/>
  <c r="R118" i="1"/>
  <c r="E120" i="1"/>
  <c r="O118" i="1"/>
  <c r="E80" i="47"/>
  <c r="T55" i="47"/>
  <c r="J80" i="47"/>
  <c r="W55" i="47"/>
  <c r="H60" i="47"/>
  <c r="U60" i="47" s="1"/>
  <c r="I55" i="47"/>
  <c r="V55" i="47" s="1"/>
  <c r="H46" i="47"/>
  <c r="U46" i="47" s="1"/>
  <c r="I78" i="47"/>
  <c r="V78" i="47" s="1"/>
  <c r="I110" i="1"/>
  <c r="H89" i="1"/>
  <c r="P89" i="1" s="1"/>
  <c r="H108" i="1"/>
  <c r="P108" i="1" s="1"/>
  <c r="C9" i="125" l="1"/>
  <c r="C15" i="125" s="1"/>
  <c r="C16" i="125" s="1"/>
  <c r="C17" i="125" s="1"/>
  <c r="C5" i="125" s="1"/>
  <c r="O120" i="1"/>
  <c r="H110" i="1"/>
  <c r="P110" i="1" s="1"/>
  <c r="Q110" i="1"/>
  <c r="C22" i="106"/>
  <c r="R120" i="1"/>
  <c r="T80" i="47"/>
  <c r="E83" i="47"/>
  <c r="W80" i="47"/>
  <c r="J83" i="47"/>
  <c r="H78" i="47"/>
  <c r="U78" i="47" s="1"/>
  <c r="I80" i="47"/>
  <c r="H55" i="47"/>
  <c r="U55" i="47" s="1"/>
  <c r="I113" i="1"/>
  <c r="Q113" i="1" s="1"/>
  <c r="C26" i="106" l="1"/>
  <c r="D26" i="106"/>
  <c r="E88" i="47"/>
  <c r="T83" i="47"/>
  <c r="J88" i="47"/>
  <c r="W83" i="47"/>
  <c r="H80" i="47"/>
  <c r="U80" i="47" s="1"/>
  <c r="V80" i="47"/>
  <c r="I118" i="1"/>
  <c r="Q118" i="1" s="1"/>
  <c r="H113" i="1"/>
  <c r="P113" i="1" s="1"/>
  <c r="I83" i="47"/>
  <c r="V83" i="47" s="1"/>
  <c r="E90" i="47" l="1"/>
  <c r="T90" i="47" s="1"/>
  <c r="T88" i="47"/>
  <c r="J90" i="47"/>
  <c r="W88" i="47"/>
  <c r="I88" i="47"/>
  <c r="V88" i="47" s="1"/>
  <c r="H83" i="47"/>
  <c r="U83" i="47" s="1"/>
  <c r="I120" i="1"/>
  <c r="H118" i="1"/>
  <c r="H120" i="1" l="1"/>
  <c r="P120" i="1" s="1"/>
  <c r="P118" i="1"/>
  <c r="C7" i="106"/>
  <c r="Q120" i="1"/>
  <c r="W90" i="47"/>
  <c r="C29" i="108"/>
  <c r="C14" i="106"/>
  <c r="G14" i="106"/>
  <c r="D14" i="106"/>
  <c r="E14" i="106"/>
  <c r="F14" i="106"/>
  <c r="H14" i="106"/>
  <c r="H17" i="106" s="1"/>
  <c r="H88" i="47"/>
  <c r="U88" i="47" s="1"/>
  <c r="I90" i="47"/>
  <c r="V90" i="47" s="1"/>
  <c r="C32" i="108" l="1"/>
  <c r="C34" i="108" s="1"/>
  <c r="C45" i="108" s="1"/>
  <c r="D32" i="108"/>
  <c r="D34" i="108" s="1"/>
  <c r="D45" i="108" s="1"/>
  <c r="E32" i="108"/>
  <c r="E34" i="108" s="1"/>
  <c r="E45" i="108" s="1"/>
  <c r="C17" i="108"/>
  <c r="H90" i="47"/>
  <c r="U90" i="47" s="1"/>
  <c r="F15" i="106"/>
  <c r="E15" i="106"/>
  <c r="D15" i="106"/>
  <c r="G15" i="106"/>
  <c r="C15" i="106"/>
  <c r="C36" i="106"/>
  <c r="C38" i="106" s="1"/>
  <c r="F23" i="108" l="1"/>
  <c r="H23" i="108"/>
  <c r="E23" i="108"/>
  <c r="D23" i="108"/>
  <c r="C23" i="108"/>
  <c r="I23" i="108"/>
  <c r="G23" i="108"/>
  <c r="I26" i="108"/>
  <c r="I40" i="108" s="1"/>
  <c r="C24" i="108" l="1"/>
  <c r="C26" i="108" s="1"/>
  <c r="C40" i="108" s="1"/>
  <c r="G24" i="108"/>
  <c r="G26" i="108" s="1"/>
  <c r="G40" i="108" s="1"/>
  <c r="F24" i="108"/>
  <c r="F26" i="108" s="1"/>
  <c r="F40" i="108" s="1"/>
  <c r="F42" i="108" s="1"/>
  <c r="E24" i="108"/>
  <c r="E26" i="108" s="1"/>
  <c r="E40" i="108" s="1"/>
  <c r="E42" i="108" s="1"/>
  <c r="D24" i="108"/>
  <c r="D26" i="108" s="1"/>
  <c r="D40" i="108" s="1"/>
  <c r="H24" i="108"/>
  <c r="H26" i="108" s="1"/>
  <c r="H40" i="108" s="1"/>
  <c r="H42" i="108" s="1"/>
  <c r="D42" i="108" l="1"/>
  <c r="D46" i="108" s="1"/>
  <c r="D47" i="108" s="1"/>
  <c r="D49" i="108" s="1"/>
  <c r="D203" i="108"/>
  <c r="F203" i="108" s="1"/>
  <c r="D207" i="108"/>
  <c r="F207" i="108" s="1"/>
  <c r="D202" i="108"/>
  <c r="F202" i="108" s="1"/>
  <c r="D206" i="108"/>
  <c r="F206" i="108" s="1"/>
  <c r="D205" i="108"/>
  <c r="F205" i="108" s="1"/>
  <c r="D208" i="108"/>
  <c r="F208" i="108" s="1"/>
  <c r="D204" i="108"/>
  <c r="F204" i="108" s="1"/>
  <c r="D330" i="108"/>
  <c r="F330" i="108" s="1"/>
  <c r="D334" i="108"/>
  <c r="F334" i="108" s="1"/>
  <c r="D331" i="108"/>
  <c r="F331" i="108" s="1"/>
  <c r="D329" i="108"/>
  <c r="F329" i="108" s="1"/>
  <c r="D333" i="108"/>
  <c r="F333" i="108" s="1"/>
  <c r="D328" i="108"/>
  <c r="F328" i="108" s="1"/>
  <c r="D332" i="108"/>
  <c r="F332" i="108" s="1"/>
  <c r="D234" i="108"/>
  <c r="F234" i="108" s="1"/>
  <c r="D238" i="108"/>
  <c r="F238" i="108" s="1"/>
  <c r="D237" i="108"/>
  <c r="F237" i="108" s="1"/>
  <c r="D236" i="108"/>
  <c r="F236" i="108" s="1"/>
  <c r="D240" i="108"/>
  <c r="F240" i="108" s="1"/>
  <c r="D235" i="108"/>
  <c r="F235" i="108" s="1"/>
  <c r="D239" i="108"/>
  <c r="F239" i="108" s="1"/>
  <c r="G42" i="108"/>
  <c r="C42" i="108"/>
  <c r="C46" i="108" s="1"/>
  <c r="C47" i="108" s="1"/>
  <c r="C49" i="108" s="1"/>
  <c r="G202" i="108" l="1"/>
  <c r="I202" i="108"/>
  <c r="J202" i="108" s="1"/>
  <c r="I203" i="108" s="1"/>
  <c r="J203" i="108" s="1"/>
  <c r="D267" i="108"/>
  <c r="F267" i="108" s="1"/>
  <c r="D271" i="108"/>
  <c r="F271" i="108" s="1"/>
  <c r="D266" i="108"/>
  <c r="F266" i="108" s="1"/>
  <c r="D270" i="108"/>
  <c r="F270" i="108" s="1"/>
  <c r="D268" i="108"/>
  <c r="F268" i="108" s="1"/>
  <c r="D269" i="108"/>
  <c r="F269" i="108" s="1"/>
  <c r="D272" i="108"/>
  <c r="F272" i="108" s="1"/>
  <c r="G328" i="108"/>
  <c r="G329" i="108" s="1"/>
  <c r="I328" i="108"/>
  <c r="J328" i="108" s="1"/>
  <c r="G203" i="108"/>
  <c r="G204" i="108" s="1"/>
  <c r="G205" i="108" s="1"/>
  <c r="D110" i="108"/>
  <c r="F110" i="108" s="1"/>
  <c r="D114" i="108"/>
  <c r="F114" i="108" s="1"/>
  <c r="D109" i="108"/>
  <c r="F109" i="108" s="1"/>
  <c r="D113" i="108"/>
  <c r="F113" i="108" s="1"/>
  <c r="D108" i="108"/>
  <c r="F108" i="108" s="1"/>
  <c r="D112" i="108"/>
  <c r="F112" i="108" s="1"/>
  <c r="D111" i="108"/>
  <c r="F111" i="108" s="1"/>
  <c r="D81" i="108"/>
  <c r="F81" i="108" s="1"/>
  <c r="D80" i="108"/>
  <c r="F80" i="108" s="1"/>
  <c r="D84" i="108"/>
  <c r="F84" i="108" s="1"/>
  <c r="D79" i="108"/>
  <c r="F79" i="108" s="1"/>
  <c r="D83" i="108"/>
  <c r="F83" i="108" s="1"/>
  <c r="D82" i="108"/>
  <c r="F82" i="108" s="1"/>
  <c r="D78" i="108"/>
  <c r="F78" i="108" s="1"/>
  <c r="D173" i="108"/>
  <c r="F173" i="108" s="1"/>
  <c r="D172" i="108"/>
  <c r="F172" i="108" s="1"/>
  <c r="D176" i="108"/>
  <c r="F176" i="108" s="1"/>
  <c r="D171" i="108"/>
  <c r="F171" i="108" s="1"/>
  <c r="D175" i="108"/>
  <c r="F175" i="108" s="1"/>
  <c r="D170" i="108"/>
  <c r="F170" i="108" s="1"/>
  <c r="D174" i="108"/>
  <c r="F174" i="108" s="1"/>
  <c r="E46" i="108"/>
  <c r="E47" i="108" s="1"/>
  <c r="E49" i="108" s="1"/>
  <c r="G234" i="108"/>
  <c r="I234" i="108"/>
  <c r="J234" i="108" s="1"/>
  <c r="D140" i="108"/>
  <c r="F140" i="108" s="1"/>
  <c r="D144" i="108"/>
  <c r="F144" i="108" s="1"/>
  <c r="D143" i="108"/>
  <c r="F143" i="108" s="1"/>
  <c r="D142" i="108"/>
  <c r="F142" i="108" s="1"/>
  <c r="D146" i="108"/>
  <c r="F146" i="108" s="1"/>
  <c r="D145" i="108"/>
  <c r="F145" i="108" s="1"/>
  <c r="D141" i="108"/>
  <c r="F141" i="108" s="1"/>
  <c r="G330" i="108" l="1"/>
  <c r="G331" i="108" s="1"/>
  <c r="I330" i="108"/>
  <c r="I329" i="108"/>
  <c r="J329" i="108" s="1"/>
  <c r="I204" i="108"/>
  <c r="K234" i="108"/>
  <c r="I331" i="108"/>
  <c r="G332" i="108"/>
  <c r="G206" i="108"/>
  <c r="G140" i="108"/>
  <c r="I140" i="108"/>
  <c r="J140" i="108" s="1"/>
  <c r="K329" i="108"/>
  <c r="G170" i="108"/>
  <c r="G171" i="108" s="1"/>
  <c r="I170" i="108"/>
  <c r="J170" i="108" s="1"/>
  <c r="G78" i="108"/>
  <c r="G79" i="108" s="1"/>
  <c r="G80" i="108" s="1"/>
  <c r="I78" i="108"/>
  <c r="J78" i="108" s="1"/>
  <c r="G266" i="108"/>
  <c r="I266" i="108"/>
  <c r="J266" i="108" s="1"/>
  <c r="K202" i="108"/>
  <c r="G108" i="108"/>
  <c r="I108" i="108"/>
  <c r="J108" i="108" s="1"/>
  <c r="J204" i="108"/>
  <c r="K204" i="108" s="1"/>
  <c r="D299" i="108"/>
  <c r="F299" i="108" s="1"/>
  <c r="D298" i="108"/>
  <c r="F298" i="108" s="1"/>
  <c r="D302" i="108"/>
  <c r="F302" i="108" s="1"/>
  <c r="D297" i="108"/>
  <c r="F297" i="108" s="1"/>
  <c r="D301" i="108"/>
  <c r="F301" i="108" s="1"/>
  <c r="D296" i="108"/>
  <c r="F296" i="108" s="1"/>
  <c r="D300" i="108"/>
  <c r="F300" i="108" s="1"/>
  <c r="I235" i="108"/>
  <c r="J235" i="108" s="1"/>
  <c r="K203" i="108"/>
  <c r="K328" i="108"/>
  <c r="G235" i="108"/>
  <c r="I205" i="108"/>
  <c r="J330" i="108" l="1"/>
  <c r="K330" i="108" s="1"/>
  <c r="J331" i="108"/>
  <c r="K331" i="108" s="1"/>
  <c r="I141" i="108"/>
  <c r="J141" i="108" s="1"/>
  <c r="G141" i="108"/>
  <c r="G142" i="108" s="1"/>
  <c r="I332" i="108"/>
  <c r="J332" i="108" s="1"/>
  <c r="K332" i="108" s="1"/>
  <c r="I171" i="108"/>
  <c r="J171" i="108" s="1"/>
  <c r="K171" i="108" s="1"/>
  <c r="G143" i="108"/>
  <c r="G144" i="108" s="1"/>
  <c r="I143" i="108"/>
  <c r="I79" i="108"/>
  <c r="J79" i="108" s="1"/>
  <c r="K79" i="108" s="1"/>
  <c r="J205" i="108"/>
  <c r="K205" i="108" s="1"/>
  <c r="K266" i="108"/>
  <c r="K108" i="108"/>
  <c r="G81" i="108"/>
  <c r="I81" i="108"/>
  <c r="I109" i="108"/>
  <c r="J109" i="108" s="1"/>
  <c r="I80" i="108"/>
  <c r="G109" i="108"/>
  <c r="G207" i="108"/>
  <c r="K235" i="108"/>
  <c r="G236" i="108"/>
  <c r="I236" i="108"/>
  <c r="J236" i="108" s="1"/>
  <c r="K78" i="108"/>
  <c r="I172" i="108"/>
  <c r="G172" i="108"/>
  <c r="G296" i="108"/>
  <c r="G297" i="108" s="1"/>
  <c r="I296" i="108"/>
  <c r="J296" i="108" s="1"/>
  <c r="I267" i="108"/>
  <c r="J267" i="108" s="1"/>
  <c r="K170" i="108"/>
  <c r="G333" i="108"/>
  <c r="I333" i="108"/>
  <c r="G267" i="108"/>
  <c r="K140" i="108"/>
  <c r="I142" i="108" l="1"/>
  <c r="J142" i="108" s="1"/>
  <c r="J143" i="108" s="1"/>
  <c r="K141" i="108"/>
  <c r="J333" i="108"/>
  <c r="K333" i="108" s="1"/>
  <c r="J172" i="108"/>
  <c r="K172" i="108" s="1"/>
  <c r="I206" i="108"/>
  <c r="J206" i="108" s="1"/>
  <c r="K206" i="108" s="1"/>
  <c r="J80" i="108"/>
  <c r="K80" i="108" s="1"/>
  <c r="I207" i="108"/>
  <c r="I297" i="108"/>
  <c r="J297" i="108" s="1"/>
  <c r="K297" i="108" s="1"/>
  <c r="I334" i="108"/>
  <c r="J334" i="108" s="1"/>
  <c r="P334" i="108" s="1"/>
  <c r="G334" i="108"/>
  <c r="G208" i="108"/>
  <c r="O208" i="108" s="1"/>
  <c r="I208" i="108"/>
  <c r="I298" i="108"/>
  <c r="G82" i="108"/>
  <c r="G298" i="108"/>
  <c r="G173" i="108"/>
  <c r="I173" i="108"/>
  <c r="G145" i="108"/>
  <c r="K267" i="108"/>
  <c r="G268" i="108"/>
  <c r="I268" i="108"/>
  <c r="J268" i="108" s="1"/>
  <c r="K296" i="108"/>
  <c r="K236" i="108"/>
  <c r="G237" i="108"/>
  <c r="I237" i="108"/>
  <c r="J237" i="108" s="1"/>
  <c r="K109" i="108"/>
  <c r="G110" i="108"/>
  <c r="I110" i="108"/>
  <c r="J110" i="108" s="1"/>
  <c r="K142" i="108" l="1"/>
  <c r="J173" i="108"/>
  <c r="I174" i="108" s="1"/>
  <c r="J174" i="108" s="1"/>
  <c r="K143" i="108"/>
  <c r="I144" i="108"/>
  <c r="J144" i="108" s="1"/>
  <c r="K144" i="108" s="1"/>
  <c r="I145" i="108"/>
  <c r="J81" i="108"/>
  <c r="K81" i="108" s="1"/>
  <c r="J207" i="108"/>
  <c r="K207" i="108" s="1"/>
  <c r="J298" i="108"/>
  <c r="K298" i="108" s="1"/>
  <c r="J208" i="108"/>
  <c r="P208" i="108" s="1"/>
  <c r="K268" i="108"/>
  <c r="G269" i="108"/>
  <c r="I269" i="108"/>
  <c r="J269" i="108" s="1"/>
  <c r="G209" i="108"/>
  <c r="G146" i="108"/>
  <c r="I146" i="108"/>
  <c r="G299" i="108"/>
  <c r="I299" i="108"/>
  <c r="G335" i="108"/>
  <c r="I335" i="108"/>
  <c r="J335" i="108" s="1"/>
  <c r="O334" i="108"/>
  <c r="Q334" i="108" s="1"/>
  <c r="K334" i="108"/>
  <c r="J145" i="108"/>
  <c r="K145" i="108" s="1"/>
  <c r="K173" i="108"/>
  <c r="G174" i="108"/>
  <c r="K110" i="108"/>
  <c r="G111" i="108"/>
  <c r="I111" i="108"/>
  <c r="J111" i="108" s="1"/>
  <c r="K237" i="108"/>
  <c r="G238" i="108"/>
  <c r="I238" i="108"/>
  <c r="J238" i="108" s="1"/>
  <c r="G83" i="108"/>
  <c r="J299" i="108" l="1"/>
  <c r="I83" i="108"/>
  <c r="I82" i="108"/>
  <c r="J82" i="108" s="1"/>
  <c r="K82" i="108" s="1"/>
  <c r="I209" i="108"/>
  <c r="J209" i="108" s="1"/>
  <c r="K209" i="108" s="1"/>
  <c r="K208" i="108"/>
  <c r="Q208" i="108"/>
  <c r="J146" i="108"/>
  <c r="P146" i="108" s="1"/>
  <c r="G84" i="108"/>
  <c r="O84" i="108" s="1"/>
  <c r="I84" i="108"/>
  <c r="I336" i="108"/>
  <c r="J336" i="108" s="1"/>
  <c r="K335" i="108"/>
  <c r="G336" i="108"/>
  <c r="K174" i="108"/>
  <c r="G175" i="108"/>
  <c r="I175" i="108"/>
  <c r="J175" i="108" s="1"/>
  <c r="K299" i="108"/>
  <c r="G300" i="108"/>
  <c r="I300" i="108"/>
  <c r="J300" i="108" s="1"/>
  <c r="G210" i="108"/>
  <c r="I210" i="108"/>
  <c r="J210" i="108" s="1"/>
  <c r="K269" i="108"/>
  <c r="G270" i="108"/>
  <c r="I270" i="108"/>
  <c r="J270" i="108" s="1"/>
  <c r="K146" i="108"/>
  <c r="O146" i="108"/>
  <c r="G147" i="108"/>
  <c r="K238" i="108"/>
  <c r="G239" i="108"/>
  <c r="I239" i="108"/>
  <c r="J239" i="108" s="1"/>
  <c r="K111" i="108"/>
  <c r="I112" i="108"/>
  <c r="J112" i="108" s="1"/>
  <c r="G112" i="108"/>
  <c r="Q146" i="108" l="1"/>
  <c r="J83" i="108"/>
  <c r="K83" i="108" s="1"/>
  <c r="I147" i="108"/>
  <c r="J147" i="108" s="1"/>
  <c r="K147" i="108" s="1"/>
  <c r="K175" i="108"/>
  <c r="G176" i="108"/>
  <c r="O176" i="108" s="1"/>
  <c r="I176" i="108"/>
  <c r="J176" i="108" s="1"/>
  <c r="P176" i="108" s="1"/>
  <c r="G211" i="108"/>
  <c r="I211" i="108"/>
  <c r="J211" i="108" s="1"/>
  <c r="K210" i="108"/>
  <c r="K336" i="108"/>
  <c r="G337" i="108"/>
  <c r="I337" i="108"/>
  <c r="J337" i="108" s="1"/>
  <c r="K300" i="108"/>
  <c r="I301" i="108"/>
  <c r="J301" i="108" s="1"/>
  <c r="G301" i="108"/>
  <c r="G85" i="108"/>
  <c r="G148" i="108"/>
  <c r="I148" i="108"/>
  <c r="K112" i="108"/>
  <c r="G113" i="108"/>
  <c r="I113" i="108"/>
  <c r="J113" i="108" s="1"/>
  <c r="K270" i="108"/>
  <c r="G271" i="108"/>
  <c r="I271" i="108"/>
  <c r="J271" i="108" s="1"/>
  <c r="K239" i="108"/>
  <c r="G240" i="108"/>
  <c r="I240" i="108"/>
  <c r="J240" i="108" s="1"/>
  <c r="P240" i="108" s="1"/>
  <c r="J148" i="108" l="1"/>
  <c r="J84" i="108"/>
  <c r="I86" i="108" s="1"/>
  <c r="G86" i="108"/>
  <c r="I338" i="108"/>
  <c r="J338" i="108" s="1"/>
  <c r="K337" i="108"/>
  <c r="G338" i="108"/>
  <c r="K113" i="108"/>
  <c r="G114" i="108"/>
  <c r="I114" i="108"/>
  <c r="J114" i="108" s="1"/>
  <c r="P114" i="108" s="1"/>
  <c r="K211" i="108"/>
  <c r="G212" i="108"/>
  <c r="I212" i="108"/>
  <c r="J212" i="108" s="1"/>
  <c r="Q176" i="108"/>
  <c r="G177" i="108"/>
  <c r="I177" i="108"/>
  <c r="J177" i="108" s="1"/>
  <c r="K176" i="108"/>
  <c r="K301" i="108"/>
  <c r="G302" i="108"/>
  <c r="I302" i="108"/>
  <c r="J302" i="108" s="1"/>
  <c r="P302" i="108" s="1"/>
  <c r="K240" i="108"/>
  <c r="O240" i="108"/>
  <c r="Q240" i="108" s="1"/>
  <c r="G241" i="108"/>
  <c r="I241" i="108"/>
  <c r="J241" i="108" s="1"/>
  <c r="K148" i="108"/>
  <c r="G149" i="108"/>
  <c r="I149" i="108"/>
  <c r="J149" i="108" s="1"/>
  <c r="K271" i="108"/>
  <c r="G272" i="108"/>
  <c r="O272" i="108" s="1"/>
  <c r="I272" i="108"/>
  <c r="J272" i="108" s="1"/>
  <c r="P272" i="108" s="1"/>
  <c r="P84" i="108" l="1"/>
  <c r="Q84" i="108" s="1"/>
  <c r="K84" i="108"/>
  <c r="I85" i="108"/>
  <c r="J85" i="108" s="1"/>
  <c r="K85" i="108" s="1"/>
  <c r="K241" i="108"/>
  <c r="G242" i="108"/>
  <c r="I242" i="108"/>
  <c r="J242" i="108" s="1"/>
  <c r="I178" i="108"/>
  <c r="J178" i="108" s="1"/>
  <c r="K177" i="108"/>
  <c r="G178" i="108"/>
  <c r="G115" i="108"/>
  <c r="I115" i="108"/>
  <c r="J115" i="108" s="1"/>
  <c r="K114" i="108"/>
  <c r="O114" i="108"/>
  <c r="Q114" i="108" s="1"/>
  <c r="K338" i="108"/>
  <c r="G339" i="108"/>
  <c r="I339" i="108"/>
  <c r="J339" i="108" s="1"/>
  <c r="I273" i="108"/>
  <c r="J273" i="108" s="1"/>
  <c r="K272" i="108"/>
  <c r="G273" i="108"/>
  <c r="K302" i="108"/>
  <c r="O302" i="108"/>
  <c r="Q302" i="108" s="1"/>
  <c r="G303" i="108"/>
  <c r="I303" i="108"/>
  <c r="J303" i="108" s="1"/>
  <c r="K149" i="108"/>
  <c r="G150" i="108"/>
  <c r="I150" i="108"/>
  <c r="J150" i="108" s="1"/>
  <c r="G213" i="108"/>
  <c r="I213" i="108"/>
  <c r="J213" i="108" s="1"/>
  <c r="K212" i="108"/>
  <c r="Q272" i="108"/>
  <c r="G87" i="108"/>
  <c r="I87" i="108"/>
  <c r="J86" i="108" l="1"/>
  <c r="K86" i="108" s="1"/>
  <c r="K115" i="108"/>
  <c r="G116" i="108"/>
  <c r="I116" i="108"/>
  <c r="J116" i="108" s="1"/>
  <c r="K150" i="108"/>
  <c r="G151" i="108"/>
  <c r="I151" i="108"/>
  <c r="J151" i="108" s="1"/>
  <c r="G88" i="108"/>
  <c r="G304" i="108"/>
  <c r="I304" i="108"/>
  <c r="J304" i="108" s="1"/>
  <c r="K303" i="108"/>
  <c r="K213" i="108"/>
  <c r="G214" i="108"/>
  <c r="I214" i="108"/>
  <c r="J214" i="108" s="1"/>
  <c r="K273" i="108"/>
  <c r="G274" i="108"/>
  <c r="I274" i="108"/>
  <c r="J274" i="108" s="1"/>
  <c r="K242" i="108"/>
  <c r="G243" i="108"/>
  <c r="I243" i="108"/>
  <c r="J243" i="108" s="1"/>
  <c r="K178" i="108"/>
  <c r="G179" i="108"/>
  <c r="I179" i="108"/>
  <c r="J179" i="108" s="1"/>
  <c r="I340" i="108"/>
  <c r="J340" i="108" s="1"/>
  <c r="K339" i="108"/>
  <c r="G340" i="108"/>
  <c r="J87" i="108" l="1"/>
  <c r="K151" i="108"/>
  <c r="G152" i="108"/>
  <c r="I152" i="108"/>
  <c r="J152" i="108" s="1"/>
  <c r="I180" i="108"/>
  <c r="J180" i="108" s="1"/>
  <c r="K179" i="108"/>
  <c r="G180" i="108"/>
  <c r="K243" i="108"/>
  <c r="G244" i="108"/>
  <c r="I244" i="108"/>
  <c r="J244" i="108" s="1"/>
  <c r="K304" i="108"/>
  <c r="G305" i="108"/>
  <c r="I305" i="108"/>
  <c r="J305" i="108" s="1"/>
  <c r="K116" i="108"/>
  <c r="G117" i="108"/>
  <c r="I117" i="108"/>
  <c r="J117" i="108" s="1"/>
  <c r="G89" i="108"/>
  <c r="I89" i="108"/>
  <c r="G215" i="108"/>
  <c r="I215" i="108"/>
  <c r="J215" i="108" s="1"/>
  <c r="K214" i="108"/>
  <c r="K340" i="108"/>
  <c r="G341" i="108"/>
  <c r="I341" i="108"/>
  <c r="J341" i="108" s="1"/>
  <c r="I275" i="108"/>
  <c r="J275" i="108" s="1"/>
  <c r="K274" i="108"/>
  <c r="G275" i="108"/>
  <c r="I88" i="108" l="1"/>
  <c r="J88" i="108" s="1"/>
  <c r="K88" i="108" s="1"/>
  <c r="K87" i="108"/>
  <c r="K244" i="108"/>
  <c r="G245" i="108"/>
  <c r="I245" i="108"/>
  <c r="J245" i="108" s="1"/>
  <c r="K180" i="108"/>
  <c r="G181" i="108"/>
  <c r="I181" i="108"/>
  <c r="J181" i="108" s="1"/>
  <c r="K341" i="108"/>
  <c r="G342" i="108"/>
  <c r="I342" i="108"/>
  <c r="J342" i="108" s="1"/>
  <c r="K117" i="108"/>
  <c r="G118" i="108"/>
  <c r="I118" i="108"/>
  <c r="J118" i="108" s="1"/>
  <c r="K152" i="108"/>
  <c r="G153" i="108"/>
  <c r="I153" i="108"/>
  <c r="J153" i="108" s="1"/>
  <c r="K275" i="108"/>
  <c r="G276" i="108"/>
  <c r="I276" i="108"/>
  <c r="J276" i="108" s="1"/>
  <c r="K215" i="108"/>
  <c r="G216" i="108"/>
  <c r="I216" i="108"/>
  <c r="J216" i="108" s="1"/>
  <c r="G306" i="108"/>
  <c r="I306" i="108"/>
  <c r="J306" i="108" s="1"/>
  <c r="K305" i="108"/>
  <c r="G90" i="108"/>
  <c r="I90" i="108"/>
  <c r="J89" i="108" l="1"/>
  <c r="K89" i="108" s="1"/>
  <c r="K342" i="108"/>
  <c r="G343" i="108"/>
  <c r="I343" i="108"/>
  <c r="J343" i="108" s="1"/>
  <c r="I182" i="108"/>
  <c r="J182" i="108" s="1"/>
  <c r="K181" i="108"/>
  <c r="G182" i="108"/>
  <c r="K306" i="108"/>
  <c r="G307" i="108"/>
  <c r="I307" i="108"/>
  <c r="J307" i="108" s="1"/>
  <c r="G217" i="108"/>
  <c r="I217" i="108"/>
  <c r="J217" i="108" s="1"/>
  <c r="K216" i="108"/>
  <c r="K245" i="108"/>
  <c r="G246" i="108"/>
  <c r="I246" i="108"/>
  <c r="J246" i="108" s="1"/>
  <c r="K153" i="108"/>
  <c r="G154" i="108"/>
  <c r="I154" i="108"/>
  <c r="J154" i="108" s="1"/>
  <c r="K118" i="108"/>
  <c r="G119" i="108"/>
  <c r="I119" i="108"/>
  <c r="J119" i="108" s="1"/>
  <c r="G91" i="108"/>
  <c r="I277" i="108"/>
  <c r="J277" i="108" s="1"/>
  <c r="K276" i="108"/>
  <c r="G277" i="108"/>
  <c r="J90" i="108" l="1"/>
  <c r="G308" i="108"/>
  <c r="I308" i="108"/>
  <c r="J308" i="108" s="1"/>
  <c r="K307" i="108"/>
  <c r="K182" i="108"/>
  <c r="G183" i="108"/>
  <c r="I183" i="108"/>
  <c r="J183" i="108" s="1"/>
  <c r="G92" i="108"/>
  <c r="I92" i="108"/>
  <c r="K277" i="108"/>
  <c r="G278" i="108"/>
  <c r="I278" i="108"/>
  <c r="J278" i="108" s="1"/>
  <c r="K217" i="108"/>
  <c r="G218" i="108"/>
  <c r="I218" i="108"/>
  <c r="J218" i="108" s="1"/>
  <c r="K343" i="108"/>
  <c r="I344" i="108"/>
  <c r="J344" i="108" s="1"/>
  <c r="G344" i="108"/>
  <c r="K246" i="108"/>
  <c r="G247" i="108"/>
  <c r="I247" i="108"/>
  <c r="J247" i="108" s="1"/>
  <c r="K119" i="108"/>
  <c r="G120" i="108"/>
  <c r="I120" i="108"/>
  <c r="J120" i="108" s="1"/>
  <c r="K154" i="108"/>
  <c r="G155" i="108"/>
  <c r="I155" i="108"/>
  <c r="J155" i="108" s="1"/>
  <c r="I91" i="108" l="1"/>
  <c r="J91" i="108" s="1"/>
  <c r="K91" i="108" s="1"/>
  <c r="K90" i="108"/>
  <c r="G219" i="108"/>
  <c r="I219" i="108"/>
  <c r="J219" i="108" s="1"/>
  <c r="K218" i="108"/>
  <c r="G93" i="108"/>
  <c r="I93" i="108"/>
  <c r="I184" i="108"/>
  <c r="J184" i="108" s="1"/>
  <c r="K183" i="108"/>
  <c r="G184" i="108"/>
  <c r="K247" i="108"/>
  <c r="G248" i="108"/>
  <c r="I248" i="108"/>
  <c r="J248" i="108" s="1"/>
  <c r="K120" i="108"/>
  <c r="G121" i="108"/>
  <c r="I121" i="108"/>
  <c r="J121" i="108" s="1"/>
  <c r="I279" i="108"/>
  <c r="J279" i="108" s="1"/>
  <c r="K278" i="108"/>
  <c r="G279" i="108"/>
  <c r="K155" i="108"/>
  <c r="G156" i="108"/>
  <c r="I156" i="108"/>
  <c r="J156" i="108" s="1"/>
  <c r="K344" i="108"/>
  <c r="G345" i="108"/>
  <c r="I345" i="108"/>
  <c r="J345" i="108" s="1"/>
  <c r="K308" i="108"/>
  <c r="G309" i="108"/>
  <c r="I309" i="108"/>
  <c r="J309" i="108" s="1"/>
  <c r="J92" i="108" l="1"/>
  <c r="K92" i="108" s="1"/>
  <c r="K121" i="108"/>
  <c r="G122" i="108"/>
  <c r="I122" i="108"/>
  <c r="J122" i="108" s="1"/>
  <c r="G94" i="108"/>
  <c r="K248" i="108"/>
  <c r="G249" i="108"/>
  <c r="I249" i="108"/>
  <c r="J249" i="108" s="1"/>
  <c r="K345" i="108"/>
  <c r="G346" i="108"/>
  <c r="I346" i="108"/>
  <c r="J346" i="108" s="1"/>
  <c r="K156" i="108"/>
  <c r="G157" i="108"/>
  <c r="I157" i="108"/>
  <c r="J157" i="108" s="1"/>
  <c r="G310" i="108"/>
  <c r="I310" i="108"/>
  <c r="J310" i="108" s="1"/>
  <c r="K309" i="108"/>
  <c r="K279" i="108"/>
  <c r="G280" i="108"/>
  <c r="I280" i="108"/>
  <c r="J280" i="108" s="1"/>
  <c r="K184" i="108"/>
  <c r="G185" i="108"/>
  <c r="I185" i="108"/>
  <c r="J185" i="108" s="1"/>
  <c r="K219" i="108"/>
  <c r="G220" i="108"/>
  <c r="I220" i="108"/>
  <c r="J220" i="108" s="1"/>
  <c r="J93" i="108" l="1"/>
  <c r="K310" i="108"/>
  <c r="G311" i="108"/>
  <c r="I311" i="108"/>
  <c r="J311" i="108" s="1"/>
  <c r="G250" i="108"/>
  <c r="K249" i="108"/>
  <c r="I250" i="108"/>
  <c r="J250" i="108" s="1"/>
  <c r="I186" i="108"/>
  <c r="J186" i="108" s="1"/>
  <c r="K185" i="108"/>
  <c r="G186" i="108"/>
  <c r="G95" i="108"/>
  <c r="I95" i="108"/>
  <c r="K157" i="108"/>
  <c r="G158" i="108"/>
  <c r="I158" i="108"/>
  <c r="J158" i="108" s="1"/>
  <c r="K346" i="108"/>
  <c r="H59" i="108" s="1"/>
  <c r="G16" i="106" s="1"/>
  <c r="G17" i="106" s="1"/>
  <c r="G19" i="106" s="1"/>
  <c r="I281" i="108"/>
  <c r="J281" i="108" s="1"/>
  <c r="K280" i="108"/>
  <c r="G281" i="108"/>
  <c r="K220" i="108"/>
  <c r="E59" i="108" s="1"/>
  <c r="D16" i="106" s="1"/>
  <c r="D17" i="106" s="1"/>
  <c r="D19" i="106" s="1"/>
  <c r="K122" i="108"/>
  <c r="G123" i="108"/>
  <c r="I123" i="108"/>
  <c r="J123" i="108" s="1"/>
  <c r="I94" i="108" l="1"/>
  <c r="J94" i="108" s="1"/>
  <c r="K94" i="108" s="1"/>
  <c r="K93" i="108"/>
  <c r="K250" i="108"/>
  <c r="G251" i="108"/>
  <c r="I251" i="108"/>
  <c r="J251" i="108" s="1"/>
  <c r="K123" i="108"/>
  <c r="G124" i="108"/>
  <c r="I124" i="108"/>
  <c r="J124" i="108" s="1"/>
  <c r="G312" i="108"/>
  <c r="I312" i="108"/>
  <c r="J312" i="108" s="1"/>
  <c r="K311" i="108"/>
  <c r="K158" i="108"/>
  <c r="D59" i="108" s="1"/>
  <c r="K281" i="108"/>
  <c r="G282" i="108"/>
  <c r="I282" i="108"/>
  <c r="J282" i="108" s="1"/>
  <c r="G96" i="108"/>
  <c r="I96" i="108"/>
  <c r="K186" i="108"/>
  <c r="G187" i="108"/>
  <c r="I187" i="108"/>
  <c r="J187" i="108" s="1"/>
  <c r="J95" i="108" l="1"/>
  <c r="K95" i="108" s="1"/>
  <c r="K124" i="108"/>
  <c r="G125" i="108"/>
  <c r="I125" i="108"/>
  <c r="J125" i="108" s="1"/>
  <c r="I283" i="108"/>
  <c r="J283" i="108" s="1"/>
  <c r="K282" i="108"/>
  <c r="G283" i="108"/>
  <c r="G252" i="108"/>
  <c r="K251" i="108"/>
  <c r="I252" i="108"/>
  <c r="J252" i="108" s="1"/>
  <c r="K312" i="108"/>
  <c r="G313" i="108"/>
  <c r="I313" i="108"/>
  <c r="J313" i="108" s="1"/>
  <c r="I188" i="108"/>
  <c r="J188" i="108" s="1"/>
  <c r="K187" i="108"/>
  <c r="G188" i="108"/>
  <c r="K252" i="108" l="1"/>
  <c r="F59" i="108" s="1"/>
  <c r="E16" i="106" s="1"/>
  <c r="E17" i="106" s="1"/>
  <c r="E19" i="106" s="1"/>
  <c r="J96" i="108"/>
  <c r="K96" i="108" s="1"/>
  <c r="C59" i="108" s="1"/>
  <c r="C16" i="106" s="1"/>
  <c r="C17" i="106" s="1"/>
  <c r="C19" i="106" s="1"/>
  <c r="C28" i="106" s="1"/>
  <c r="K188" i="108"/>
  <c r="D63" i="108" s="1"/>
  <c r="K283" i="108"/>
  <c r="G284" i="108"/>
  <c r="I284" i="108"/>
  <c r="J284" i="108" s="1"/>
  <c r="G314" i="108"/>
  <c r="I314" i="108"/>
  <c r="J314" i="108" s="1"/>
  <c r="K313" i="108"/>
  <c r="K125" i="108"/>
  <c r="G126" i="108"/>
  <c r="I126" i="108"/>
  <c r="J126" i="108" s="1"/>
  <c r="K126" i="108" l="1"/>
  <c r="C63" i="108" s="1"/>
  <c r="C27" i="106" s="1"/>
  <c r="C29" i="106" s="1"/>
  <c r="C31" i="106" s="1"/>
  <c r="K314" i="108"/>
  <c r="E63" i="108" s="1"/>
  <c r="D27" i="106" s="1"/>
  <c r="K284" i="108"/>
  <c r="G59" i="108" s="1"/>
  <c r="F16" i="106" s="1"/>
  <c r="F17" i="106" s="1"/>
  <c r="F19" i="106" l="1"/>
  <c r="D28" i="106" s="1"/>
  <c r="D29" i="106" s="1"/>
  <c r="D31" i="10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<sst xmlns="http://schemas.openxmlformats.org/spreadsheetml/2006/main" count="9946" uniqueCount="1954">
  <si>
    <t>Pacific Gas and Electric Company</t>
  </si>
  <si>
    <t>Wholesale Distribution Tariff</t>
  </si>
  <si>
    <t>Appendix I: Wholesale Distribution Formula Rate</t>
  </si>
  <si>
    <t>Attachment 2: Model</t>
  </si>
  <si>
    <t>Appendix I: Formula Rate</t>
  </si>
  <si>
    <t>Table of Contents</t>
  </si>
  <si>
    <t>Schedule</t>
  </si>
  <si>
    <t>Description</t>
  </si>
  <si>
    <t>1-DRR</t>
  </si>
  <si>
    <t>Distribution Revenue Requirement</t>
  </si>
  <si>
    <t>2-True-upDRR</t>
  </si>
  <si>
    <t>True-up Distribution Revenue Requirement</t>
  </si>
  <si>
    <t>3-ATA</t>
  </si>
  <si>
    <t>Annual True-up Adjustments</t>
  </si>
  <si>
    <t>4-WholesaleRates</t>
  </si>
  <si>
    <t>Wholesale Distribution Rates</t>
  </si>
  <si>
    <t>5-CostofCap-1</t>
  </si>
  <si>
    <t>Calculation of Components of Cost of Capital Rate</t>
  </si>
  <si>
    <t>5-CostofCap-2</t>
  </si>
  <si>
    <t>Calculation of 13-Month Average Capitalization Balances</t>
  </si>
  <si>
    <t>5-CostofCap-3</t>
  </si>
  <si>
    <t>Long Term Debt Cost Percentage</t>
  </si>
  <si>
    <t>5-CostofCap-4</t>
  </si>
  <si>
    <t>Preferred Stock Cost Percentage</t>
  </si>
  <si>
    <t>6-PlantJurisdiction</t>
  </si>
  <si>
    <t>Primary and Secondary Distribution Plant Allocation</t>
  </si>
  <si>
    <t>7-PlantInService</t>
  </si>
  <si>
    <t>Distribution Plant In Service</t>
  </si>
  <si>
    <t>8-DemandForAllocation</t>
  </si>
  <si>
    <t>Peak Demands for Allocation of Revenue Requirements</t>
  </si>
  <si>
    <t>9-WholesaleRevenues</t>
  </si>
  <si>
    <t>Wholesale Distribution Revenues</t>
  </si>
  <si>
    <t>10-AccDep</t>
  </si>
  <si>
    <t>Accumulated Depreciation for Distribution Assets</t>
  </si>
  <si>
    <t>11-Depreciation</t>
  </si>
  <si>
    <t>Distribution Depreciation Expense</t>
  </si>
  <si>
    <t>12-DepRates</t>
  </si>
  <si>
    <t>Depreciation Rates</t>
  </si>
  <si>
    <t>13-WorkCap</t>
  </si>
  <si>
    <t>Calculation of Components of Working Capital</t>
  </si>
  <si>
    <t>14-ADIT</t>
  </si>
  <si>
    <t xml:space="preserve">Accumulated Deferred Income Taxes </t>
  </si>
  <si>
    <t>15-LossFactors</t>
  </si>
  <si>
    <t>Distribution Loss Factors</t>
  </si>
  <si>
    <t>16-AccruedVacation</t>
  </si>
  <si>
    <t>Calculation of Allocated Accrued Vacation</t>
  </si>
  <si>
    <t>17-RegAssets-1</t>
  </si>
  <si>
    <t>Regulatory Assets and Liabilities and Associated Amortization and Regulatory Debits and Credits</t>
  </si>
  <si>
    <t>17-RegAssets-2</t>
  </si>
  <si>
    <t>Amortization of Excess Deferred Federal Income Taxes</t>
  </si>
  <si>
    <t>18-OandM</t>
  </si>
  <si>
    <t>Operations and Maintenance Expense</t>
  </si>
  <si>
    <t>19-AandG</t>
  </si>
  <si>
    <t>Administrative and General Expenses</t>
  </si>
  <si>
    <t>20-RevenueCredits</t>
  </si>
  <si>
    <t>Revenue Credits</t>
  </si>
  <si>
    <t>21-CoO</t>
  </si>
  <si>
    <t>Cost of Ownership Rates Calculations</t>
  </si>
  <si>
    <t>22-TaxRates</t>
  </si>
  <si>
    <t>Income Tax Rates</t>
  </si>
  <si>
    <t>23-CustServCharge</t>
  </si>
  <si>
    <t>Customer Service Charges</t>
  </si>
  <si>
    <t>24-Allocators</t>
  </si>
  <si>
    <t>Calculation of Allocation Factors</t>
  </si>
  <si>
    <t>25-RevenueFeeFactors</t>
  </si>
  <si>
    <t>Franchise Fees and San Francisco Gross Reciepts Tax Factors</t>
  </si>
  <si>
    <t>FORMATTING:</t>
  </si>
  <si>
    <t>Shading and Labeling</t>
  </si>
  <si>
    <t>In the Schedules and Workpapers, those cells shaded in gold are inputs to the Model and change for each Annual Update.   
Cells labeled as Sources or Notes are subject to revision pursuant to Section 8 of the Protocols.</t>
  </si>
  <si>
    <t>Number Format</t>
  </si>
  <si>
    <t>Excel “Currency” number format is used.</t>
  </si>
  <si>
    <t>Reference Order</t>
  </si>
  <si>
    <t>Reference order: page (or tab) number, line number, column number, note number.  A comma separates each reference element.  Notes contained in the FERC Form 1 are not numbered (see example below).</t>
  </si>
  <si>
    <t>Workpaper Naming Conventions</t>
  </si>
  <si>
    <t>Workpaper names are prefaced with “WP_” followed by the schedule name to which it corresponds (e.g.:  WP_18-O&amp;M).  If workpapers in support of a Schedule come from different sources or support distinctly different sections of a Schedule, the workpaper name includes a short description suffix  (e.g.:  WP_25-RevenueFeeFactors_FF, where FF describes Franchise Fees).</t>
  </si>
  <si>
    <t>Workpaper Tabs and Structure</t>
  </si>
  <si>
    <t>Workpaper tabs are numbered and do not have names or otherwise attempt to describe the contents of the workpaper with the exception of the Table of Contents sheet.</t>
  </si>
  <si>
    <t>The first sheet of a workpaper with multiple sheets is a Table of Contents.  The tab for the Table of Contents sheet is named “TOC”.  The TOC sheet lists the tab number and the description of the workpaper contents taken from the workpaper heading.</t>
  </si>
  <si>
    <t>REFERENCES:</t>
  </si>
  <si>
    <t>REFERENCE</t>
  </si>
  <si>
    <t>FORM OF REFERENCE</t>
  </si>
  <si>
    <t>EXAMPLE</t>
  </si>
  <si>
    <t>NOTES</t>
  </si>
  <si>
    <t>Column</t>
  </si>
  <si>
    <t>col (column # or letter)</t>
  </si>
  <si>
    <t>col k or col 6</t>
  </si>
  <si>
    <t>FERC Form No. 1</t>
  </si>
  <si>
    <t>FF1</t>
  </si>
  <si>
    <t>FF1 337.2, L. 20, col k</t>
  </si>
  <si>
    <t>FF1 234, Note(s)</t>
  </si>
  <si>
    <t>Line</t>
  </si>
  <si>
    <t>Line (line #)</t>
  </si>
  <si>
    <t>Line 25</t>
  </si>
  <si>
    <t>Internal reference – source within the same Schedule or Workpaper sheet</t>
  </si>
  <si>
    <t>(internal reference)</t>
  </si>
  <si>
    <t>L. (line #)</t>
  </si>
  <si>
    <t>L. 25</t>
  </si>
  <si>
    <t>External reference – source outside the Schedule or Workpaper sheet</t>
  </si>
  <si>
    <t>(external reference)</t>
  </si>
  <si>
    <t>Note</t>
  </si>
  <si>
    <t>Note(s) (note #, if provided)</t>
  </si>
  <si>
    <t>Note 1</t>
  </si>
  <si>
    <t>14-ADIT, Note 1</t>
  </si>
  <si>
    <t>FF1 450.1, Notes</t>
  </si>
  <si>
    <t>Page</t>
  </si>
  <si>
    <t>(page #)</t>
  </si>
  <si>
    <t>337.2 or 2-24</t>
  </si>
  <si>
    <t>Nothing precedes the page number(s).</t>
  </si>
  <si>
    <t>337.2, L. 10, col k</t>
  </si>
  <si>
    <t>(schedule name)</t>
  </si>
  <si>
    <t>Nothing precedes the schedule name</t>
  </si>
  <si>
    <t>Tabs</t>
  </si>
  <si>
    <t>(tab #)</t>
  </si>
  <si>
    <t>WP_10-AccDep 4</t>
  </si>
  <si>
    <t>Nothing precedes the tab number.</t>
  </si>
  <si>
    <t>WP_7-PlantInService 6, L. 122, col 7 &amp; 8</t>
  </si>
  <si>
    <t>Line for extra data</t>
  </si>
  <si>
    <t>…</t>
  </si>
  <si>
    <t>Some Schedules have a"…" row.  These rows are intended for new data to be added in a future update.</t>
  </si>
  <si>
    <t>Rate Year:</t>
  </si>
  <si>
    <t>Input cells are shaded gold</t>
  </si>
  <si>
    <t>Prior Year:</t>
  </si>
  <si>
    <t>Col 1</t>
  </si>
  <si>
    <t>Col 2</t>
  </si>
  <si>
    <t>Col 3</t>
  </si>
  <si>
    <t>Col 4</t>
  </si>
  <si>
    <t>Source</t>
  </si>
  <si>
    <t>Col 3 + Col 4</t>
  </si>
  <si>
    <t>6-PlantJurisdiction, L. 400, col 1 and col 2</t>
  </si>
  <si>
    <t>1) Rate Base</t>
  </si>
  <si>
    <t>Total Distribution</t>
  </si>
  <si>
    <t>Notes</t>
  </si>
  <si>
    <t xml:space="preserve">Total Wholesale Distribution </t>
  </si>
  <si>
    <t>Primary Distribution</t>
  </si>
  <si>
    <t>Secondary Distribution</t>
  </si>
  <si>
    <t>Plant</t>
  </si>
  <si>
    <t>Distribution Plant</t>
  </si>
  <si>
    <t>7-PlantInService, L. 112, col 26</t>
  </si>
  <si>
    <t>End of Year Value</t>
  </si>
  <si>
    <t>7-PlantInService, L. 212 and L. 312, col 26</t>
  </si>
  <si>
    <t>Common + General + Intangible Plant</t>
  </si>
  <si>
    <t>WP_7-PlantInService 6, L. 122, col 10</t>
  </si>
  <si>
    <t>7-PlantInService, L. 701, col 2 and col 3</t>
  </si>
  <si>
    <t>Total Plant</t>
  </si>
  <si>
    <t>Working Capital</t>
  </si>
  <si>
    <t>Materials and Supplies</t>
  </si>
  <si>
    <t>13-WorkCap, L. 112, col 2</t>
  </si>
  <si>
    <t>Line 103, col 1 * Line 1, col 3 and col 4</t>
  </si>
  <si>
    <t>Prepayments</t>
  </si>
  <si>
    <t>13-WorkCap, L. 217, col 5</t>
  </si>
  <si>
    <t>Line 104, col 1 * Line 1, col 3 and col 4</t>
  </si>
  <si>
    <t>Cash Working Capital</t>
  </si>
  <si>
    <t>Line 105, col 1 * Line 1, col 3 and col 4</t>
  </si>
  <si>
    <t>Total Working Capital</t>
  </si>
  <si>
    <t>Accumulated Depreciation Reserve</t>
  </si>
  <si>
    <t>Distribution Depreciation Reserve</t>
  </si>
  <si>
    <t>10-AccDep, L. 112, col 26</t>
  </si>
  <si>
    <t>Negative End of Year Value</t>
  </si>
  <si>
    <t>10-AccDep, L. 212 and L. 312, col 26</t>
  </si>
  <si>
    <t>Common + General + Intangible Depreciation Reserve</t>
  </si>
  <si>
    <t>WP_10-AccDep 6, L. 122, col 10</t>
  </si>
  <si>
    <t>10-AccDep, L. 701, col 2 and col 3</t>
  </si>
  <si>
    <t>Total Accumulated Depreciation Reserve</t>
  </si>
  <si>
    <t>a</t>
  </si>
  <si>
    <t>Accumulated Deferred Income Taxes</t>
  </si>
  <si>
    <t>14-ADIT, L. 104, col 2</t>
  </si>
  <si>
    <t>Line 110a, col 1 * Line 1, col 3 and col 4</t>
  </si>
  <si>
    <t>b</t>
  </si>
  <si>
    <t>Excess Acccumulated Deferred Income Taxes</t>
  </si>
  <si>
    <t>17-RegAssets-1, L. 201</t>
  </si>
  <si>
    <t>Line 110b, col 1 * Line 1, col 3 and col 4</t>
  </si>
  <si>
    <t>c</t>
  </si>
  <si>
    <t>Total Excess and Accumulated Deferred Income Taxes</t>
  </si>
  <si>
    <t>Unfunded Reserves</t>
  </si>
  <si>
    <t>UnfundedReserves, L. 101, col 2</t>
  </si>
  <si>
    <t>Line 111, col 1 * Line 1, col 3 and col 4</t>
  </si>
  <si>
    <t>Other Regulatory Assets or Liabilities</t>
  </si>
  <si>
    <t>17-RegAssets-1, L. 100</t>
  </si>
  <si>
    <t>Line 112, col 1 * Line 1, col 3 and col 4</t>
  </si>
  <si>
    <t>Rate Base</t>
  </si>
  <si>
    <t>2) ROE and Capitalization Calculations</t>
  </si>
  <si>
    <t>Capital Percentages</t>
  </si>
  <si>
    <t>Long Term Debt Capital Percentage</t>
  </si>
  <si>
    <t>Set at 49.75</t>
  </si>
  <si>
    <t>Second Partial Settlement Value</t>
  </si>
  <si>
    <t>Line 200, col 1</t>
  </si>
  <si>
    <t>Preferred Stock Capital Percentage</t>
  </si>
  <si>
    <t>Set at 0.5%</t>
  </si>
  <si>
    <t>Line 201, col 1</t>
  </si>
  <si>
    <t>Common Stock Capital Percentage</t>
  </si>
  <si>
    <t>Line 202, col 1</t>
  </si>
  <si>
    <t>Annual Cost of Capital Components</t>
  </si>
  <si>
    <t>5-CostofCap-3, L. 114</t>
  </si>
  <si>
    <t>Line 203, col 1</t>
  </si>
  <si>
    <t>5-CostofCap-4, L. 106</t>
  </si>
  <si>
    <t>Line 204, col 1</t>
  </si>
  <si>
    <t>PG&amp;E Return on Common Equity</t>
  </si>
  <si>
    <t>Set at 10.25%</t>
  </si>
  <si>
    <t>Line 205, col 1</t>
  </si>
  <si>
    <t>Calculation of Cost of Capital Rate</t>
  </si>
  <si>
    <t>Weighted Cost of Long Term Debt</t>
  </si>
  <si>
    <t>Line 206, col 1</t>
  </si>
  <si>
    <t>Weighted Cost of Preferred Stock</t>
  </si>
  <si>
    <t>Line 207, col 1</t>
  </si>
  <si>
    <t>Weighted Cost of Common Stock</t>
  </si>
  <si>
    <t>Line 208, col 1</t>
  </si>
  <si>
    <t>Cost of Capital Rate</t>
  </si>
  <si>
    <t>Line 209, col 1</t>
  </si>
  <si>
    <t xml:space="preserve">Equity Rate of Return Including Common and Preferred Stock </t>
  </si>
  <si>
    <t>Line 210, col 1</t>
  </si>
  <si>
    <t>Total Return on Capital</t>
  </si>
  <si>
    <t>3) Other Taxes</t>
  </si>
  <si>
    <t>Property Taxes</t>
  </si>
  <si>
    <t>Sub-Total Local Taxes</t>
  </si>
  <si>
    <t>FF1 263, L. 9, col L</t>
  </si>
  <si>
    <t>Line 300, col 1 * Line 1, col 3 and col 4</t>
  </si>
  <si>
    <t>Property Tax Allocation Factor</t>
  </si>
  <si>
    <t>24-Allocators, L. 125</t>
  </si>
  <si>
    <t>Line 301, col 1</t>
  </si>
  <si>
    <t>Total Distribution Property Taxes</t>
  </si>
  <si>
    <t>Payroll Tax Expense</t>
  </si>
  <si>
    <t>Fed Ins Cont Amt -- Current</t>
  </si>
  <si>
    <t>FF1 263, L. 1, col L</t>
  </si>
  <si>
    <t>Line 303, col 1 * Line 1, col 3 and col 4</t>
  </si>
  <si>
    <t>CA SUI Current</t>
  </si>
  <si>
    <t>FF1 263, L. 7, col L</t>
  </si>
  <si>
    <t>Line 304, col 1 * Line 1, col 3 and col 4</t>
  </si>
  <si>
    <t>Fed Unemp Tax Act- Current</t>
  </si>
  <si>
    <t>FF1 263, L. 3, col L</t>
  </si>
  <si>
    <t>Line 305, col 1 * Line 1, col 3 and col 4</t>
  </si>
  <si>
    <t>Business Taxes</t>
  </si>
  <si>
    <t>WP_1-BaseDRR_Pyrl_Tax 2, L. 106</t>
  </si>
  <si>
    <t>Portion of FF1, 263.14L Total</t>
  </si>
  <si>
    <t>Line 306, col 1 * Line 1, col 3 and col 4</t>
  </si>
  <si>
    <t xml:space="preserve">SF Pyrl Exp Tx </t>
  </si>
  <si>
    <t>WP_1-BaseDRR_Pyrl_Tax 2, L. 107</t>
  </si>
  <si>
    <t>Line 307, col 1 * Line 1, col 3 and col 4</t>
  </si>
  <si>
    <t>Total Electric Payroll Tax Expense</t>
  </si>
  <si>
    <t>Network Distribution Labor as a % of Total Electric Labor Allocation Factor</t>
  </si>
  <si>
    <t>24-Allocators, L. 112</t>
  </si>
  <si>
    <t>Line 309, col 1</t>
  </si>
  <si>
    <t>Total Distribution Payroll Tax Expense</t>
  </si>
  <si>
    <t>Total Other Taxes</t>
  </si>
  <si>
    <t>4) Income Taxes</t>
  </si>
  <si>
    <t>Federal Income Tax Rate</t>
  </si>
  <si>
    <t>22-TaxRates, L. 100</t>
  </si>
  <si>
    <t>Line 400, col 1</t>
  </si>
  <si>
    <t>State Income Tax Rate</t>
  </si>
  <si>
    <t>22-TaxRates, L. 101</t>
  </si>
  <si>
    <t>Line 401, col 1</t>
  </si>
  <si>
    <t>Composite Tax Rate</t>
  </si>
  <si>
    <t>22-TaxRates, L. 103</t>
  </si>
  <si>
    <t>Line 402, col 1</t>
  </si>
  <si>
    <t>Calculation of Flowthrough and Permanent Tax Deductions (FPD):</t>
  </si>
  <si>
    <t>Book Depreciation of AFUDC Equity Book Basis</t>
  </si>
  <si>
    <t>WP_1-BaseDRR_Tax 1, L. 101</t>
  </si>
  <si>
    <t>Line 403, col 1 * Line 1, col 3 and col 4</t>
  </si>
  <si>
    <t>Flowthrough and Permanent Tax Deductions</t>
  </si>
  <si>
    <t>Calculation of Credits and Other (CO):</t>
  </si>
  <si>
    <t>Amortization of Excess Deferred Tax Liability</t>
  </si>
  <si>
    <t>17-RegAssets-2, col 18-20, L. 110</t>
  </si>
  <si>
    <t>Line 405, col 1 * Line 1, col 3 and col 4</t>
  </si>
  <si>
    <t>Federal and State Tax Credits</t>
  </si>
  <si>
    <t>WP_1-BaseDRR_Tax 2, L. 103</t>
  </si>
  <si>
    <t>Line 406, col 1 * Line 1, col 3 and col 4</t>
  </si>
  <si>
    <t>Credits and Other</t>
  </si>
  <si>
    <t>Income Taxes:</t>
  </si>
  <si>
    <t>Income Taxes = [((RB * ER) + FPD) * (CTR/(1 – CTR))]  + CO/(1 – CTR)]</t>
  </si>
  <si>
    <t>Where:</t>
  </si>
  <si>
    <t>RB = Rate Base</t>
  </si>
  <si>
    <t>ER = Equity Rate of Return Including Common and Preferred Stock</t>
  </si>
  <si>
    <t>CTR = Composite Tax Rate</t>
  </si>
  <si>
    <t>CO = Credits and Other</t>
  </si>
  <si>
    <t>FPD = Flowback and Permanent Tax Deductions</t>
  </si>
  <si>
    <t>5) Distribution Revenue Requirement</t>
  </si>
  <si>
    <t>Prior Year DRR Components</t>
  </si>
  <si>
    <t>O&amp;M Expense</t>
  </si>
  <si>
    <t>18-OandM, L. 101, col 11</t>
  </si>
  <si>
    <t>18-OandM, L. 101, col 12 and col 13</t>
  </si>
  <si>
    <t>A&amp;G Expense</t>
  </si>
  <si>
    <t>19-AandG, L. 219</t>
  </si>
  <si>
    <t>Line 501, col 1 * Line 1, col 3 and col 4</t>
  </si>
  <si>
    <t>Depreciation Expense for Distribution Plant</t>
  </si>
  <si>
    <t>11-Depreciation, L. 100, col 26</t>
  </si>
  <si>
    <t>11-Depreciation, L. 101 and L. 102, col 26</t>
  </si>
  <si>
    <t>Depreciation Expense for Common, General and Intangible Plant</t>
  </si>
  <si>
    <t>WP_11-Depreciation 5, L. 122, col 10</t>
  </si>
  <si>
    <t>11-Depreciation, L. 500, col 1 and col 2</t>
  </si>
  <si>
    <t>Return on Capital</t>
  </si>
  <si>
    <t>Other Taxes</t>
  </si>
  <si>
    <t>Income Taxes</t>
  </si>
  <si>
    <t>20-RevenueCredits, L. 100, col 5</t>
  </si>
  <si>
    <t>Negative Value</t>
  </si>
  <si>
    <t>Line 507, col 1 * Line 1, col 3 and col 4</t>
  </si>
  <si>
    <t>Amortization and Regulatory Debits/Credits</t>
  </si>
  <si>
    <t>17-RegAssets-1, L. 102</t>
  </si>
  <si>
    <t>Line 508, col 1 * Line 1, col 3 and col 4</t>
  </si>
  <si>
    <t>Prior Year DRR</t>
  </si>
  <si>
    <t>SFGR Tax and Franchise Fees</t>
  </si>
  <si>
    <t>Franchise Fees Factor</t>
  </si>
  <si>
    <t>25-RevenueFeeFactors, L. 400</t>
  </si>
  <si>
    <t>Line 510, col 1</t>
  </si>
  <si>
    <t>SFGR Tax Factor</t>
  </si>
  <si>
    <t>25-RevenueFeeFactors, L. 401</t>
  </si>
  <si>
    <t>Line 511, col 1</t>
  </si>
  <si>
    <t>Total SFGR Tax and Franchise Fees</t>
  </si>
  <si>
    <t>Line 100 + Line 101</t>
  </si>
  <si>
    <t>(Line 500 + Line 501) / 8</t>
  </si>
  <si>
    <t>Sum of Lines 103 to 105</t>
  </si>
  <si>
    <t>Line 107 + Line 108</t>
  </si>
  <si>
    <t>Line 110a + Line 110b</t>
  </si>
  <si>
    <t>Sum of Lines 102, 106, 109 and Lines 110c to 112</t>
  </si>
  <si>
    <t>Line 200 * Line 203</t>
  </si>
  <si>
    <t>Line 201 * Line 204</t>
  </si>
  <si>
    <t>Line 202 * Line 205</t>
  </si>
  <si>
    <t>Sum of Lines 206 to 208</t>
  </si>
  <si>
    <t>Line 207 + Line 208</t>
  </si>
  <si>
    <t>Line 113 * Line 209</t>
  </si>
  <si>
    <t>Line 300 * Line 301</t>
  </si>
  <si>
    <t>Sum of Lines 303 to 307</t>
  </si>
  <si>
    <t>Line 309 *  Line 308</t>
  </si>
  <si>
    <t>Line 302 + Line 310</t>
  </si>
  <si>
    <t>Line 403</t>
  </si>
  <si>
    <t>Line 405 + Line 406</t>
  </si>
  <si>
    <t>Line 409</t>
  </si>
  <si>
    <t>Line 113, col 1</t>
  </si>
  <si>
    <t>Line 113, col 3 and col 4</t>
  </si>
  <si>
    <t>Line 210, col 3 and col 4</t>
  </si>
  <si>
    <t>Line 402, col 3 and col 4</t>
  </si>
  <si>
    <t>Line 407, col 1</t>
  </si>
  <si>
    <t>Line 407, col 3 and col 4</t>
  </si>
  <si>
    <t>Line 404, col 1</t>
  </si>
  <si>
    <t>Line 404, col 3 and col 4</t>
  </si>
  <si>
    <t>Line 211, col 1</t>
  </si>
  <si>
    <t>Line 211, col 3 and col 4</t>
  </si>
  <si>
    <t>Line 311, col 1</t>
  </si>
  <si>
    <t>Line 311, col 3 and col 4</t>
  </si>
  <si>
    <t>Line 408, col 1</t>
  </si>
  <si>
    <t>Line 408, col 3 and col 4</t>
  </si>
  <si>
    <t>Sum of Lines 500 to Line 508</t>
  </si>
  <si>
    <t>Line 509 * (Line 510 + Line 511)</t>
  </si>
  <si>
    <t>Line 509 + Line 512</t>
  </si>
  <si>
    <t>Total Company Distribution</t>
  </si>
  <si>
    <t>7-PlantInService, L. 113 col 26</t>
  </si>
  <si>
    <t>13-Month Avg</t>
  </si>
  <si>
    <t>7-PlantInService, L. 213 and L. 313, col 26</t>
  </si>
  <si>
    <t>BOY EOY Avg</t>
  </si>
  <si>
    <t>7-PlantInService, L. 702, col 2 and col 3</t>
  </si>
  <si>
    <t>13-WorkCap, L. 113, col 2</t>
  </si>
  <si>
    <t>13-WorkCap, L. 215, col 5</t>
  </si>
  <si>
    <t>10-AccDep, L. 113, col 26</t>
  </si>
  <si>
    <t>Negative 13-Month Avg</t>
  </si>
  <si>
    <t>10-AccDep, L. 213 and L. 313, col 26</t>
  </si>
  <si>
    <t>Negative BOY EOY Avg</t>
  </si>
  <si>
    <t>10-AccDep, L. 702, col 2 and col 3</t>
  </si>
  <si>
    <t>14-ADIT, L. 106, col 2</t>
  </si>
  <si>
    <t>Weighted Average</t>
  </si>
  <si>
    <t>17-RegAssets-1, L. 202</t>
  </si>
  <si>
    <t>Total Excess and Accumulated Statutory Deferred Income Taxes</t>
  </si>
  <si>
    <t>UnfundedReserves, L. 100, col 2</t>
  </si>
  <si>
    <t>17-RegAssets, L. 101</t>
  </si>
  <si>
    <t>Instructions:</t>
  </si>
  <si>
    <t xml:space="preserve">1) Input the ROE for the Prior Year on Line 200. </t>
  </si>
  <si>
    <t>Prior Year Return on Common Equity</t>
  </si>
  <si>
    <t>ROE from Schedule 1; if there are mid-year changes, a workpaper will be provided</t>
  </si>
  <si>
    <t>Line 200, Col 1</t>
  </si>
  <si>
    <t>Line 201, Col 1</t>
  </si>
  <si>
    <t>Line 202, Col 1</t>
  </si>
  <si>
    <t>Line 203, Col 1</t>
  </si>
  <si>
    <t>Line 204, Col 1</t>
  </si>
  <si>
    <t>Line 205, Col 1</t>
  </si>
  <si>
    <t>3) Income Taxes</t>
  </si>
  <si>
    <t>22-TaxRates, L. 200</t>
  </si>
  <si>
    <t>Line 300, Col 1</t>
  </si>
  <si>
    <t>22-TaxRates, L. 201</t>
  </si>
  <si>
    <t>Line 301, Col 1</t>
  </si>
  <si>
    <t>22-TaxRates, L. 203</t>
  </si>
  <si>
    <t>Line 302, Col 1</t>
  </si>
  <si>
    <t>Income Taxes = [((RB * ER) + FPD) * (CTR/(1 – CTR))]  + CO/(1 – CTR]</t>
  </si>
  <si>
    <t>4) True-up Distribution Revenue Requirement</t>
  </si>
  <si>
    <t>Total without Franchise Fees and SFGR Tax</t>
  </si>
  <si>
    <t>Line 410, Col 1</t>
  </si>
  <si>
    <t>Line 411, Col 1</t>
  </si>
  <si>
    <t>Total True-up DRR</t>
  </si>
  <si>
    <t>Prior Year: 2021</t>
  </si>
  <si>
    <t>(Line 400 + Line 401) / 8</t>
  </si>
  <si>
    <t>1-DRR, L. 205</t>
  </si>
  <si>
    <t>1-DRR, L. 206</t>
  </si>
  <si>
    <t>1-DRR, L. 207</t>
  </si>
  <si>
    <t>Line 200 * 1-DRR, L. 202</t>
  </si>
  <si>
    <t>Sum of Lines 201 to 203</t>
  </si>
  <si>
    <t>Line 202 + Line 203</t>
  </si>
  <si>
    <t>Line 113 * Line 204</t>
  </si>
  <si>
    <t>Line 304</t>
  </si>
  <si>
    <t>Line 113 col 1</t>
  </si>
  <si>
    <t>Line 113</t>
  </si>
  <si>
    <t>Line 205</t>
  </si>
  <si>
    <t>Line 302</t>
  </si>
  <si>
    <t>1-DRR, L. 407, col 1</t>
  </si>
  <si>
    <t>1-DRR, L. 407, col 3 and col 4</t>
  </si>
  <si>
    <t>1-DRR, L. 404, col 1</t>
  </si>
  <si>
    <t>1-DRR, L. 404, col 3 and col 4</t>
  </si>
  <si>
    <t>1) Input the Annual True-up Adjustment that was included in the Prior Year's rates on Line  and input the Rate Year the ATA trued-up. (For example,  if the Prior Year is 2021, then the ATA that was included in the 2021 rates was the ATA for 2019.)</t>
  </si>
  <si>
    <t>1-DRR, L. 500, col 1</t>
  </si>
  <si>
    <t>1-DRR, L. 501, col 1</t>
  </si>
  <si>
    <t>1-DRR, L. 502, col 1</t>
  </si>
  <si>
    <t>1-DRR, L. 502, col 3 and col 4</t>
  </si>
  <si>
    <t>1-DRR, L. 503, col 1</t>
  </si>
  <si>
    <t>1-DRR, L. 503, col 3 and col 4</t>
  </si>
  <si>
    <t>Line 206, col 3 and col 4</t>
  </si>
  <si>
    <t>1-DRR, L. 505, col 1</t>
  </si>
  <si>
    <t>1-DRR, L. 505, col 3 and col 4</t>
  </si>
  <si>
    <t>Line 303, col 1</t>
  </si>
  <si>
    <t>Line 303, col 3 and col 4</t>
  </si>
  <si>
    <t>1-DRR, L. 507, col 1</t>
  </si>
  <si>
    <t>1-DRR, L. 507, col 3 and col 4</t>
  </si>
  <si>
    <t>1-DRR, L. 508, col 1</t>
  </si>
  <si>
    <t>1-DRR, L. 508, col 3 and col 4</t>
  </si>
  <si>
    <t>Sum Lines 400 to 408</t>
  </si>
  <si>
    <t>1-DRR, L. 510</t>
  </si>
  <si>
    <t>1-DRR, L. 511</t>
  </si>
  <si>
    <t>Line 409 * ( Line 410 + Line 411)</t>
  </si>
  <si>
    <t>Line 409 + Line 412</t>
  </si>
  <si>
    <t>1) Calculation of Prior Year Load Ratio Shares</t>
  </si>
  <si>
    <t>Instructions: Add new customers to lines 100 and 101 when needed.</t>
  </si>
  <si>
    <t>CCSF
(SA No. 275)</t>
  </si>
  <si>
    <t>PWRPA 1 
(SA No. 30)</t>
  </si>
  <si>
    <t>PWRPA 2
(SA No. 56)</t>
  </si>
  <si>
    <t>Shelter Cove
(SA No. 40)</t>
  </si>
  <si>
    <t>WAPA
(SA No. 17)</t>
  </si>
  <si>
    <t>Westside
(SA No. 15)</t>
  </si>
  <si>
    <t>Primary Load Ratio Share:</t>
  </si>
  <si>
    <t>8-DemandForAllocation, L. 203, each customer's col / L. 203, col 1</t>
  </si>
  <si>
    <t>Secondary Load Ratio Share:</t>
  </si>
  <si>
    <t>8-DemandForAllocation, L. 206, each customer's col / L. 206, col 1</t>
  </si>
  <si>
    <t>2) Calculation of Allocated True-up Revenue Requirements</t>
  </si>
  <si>
    <t>Instructions: Add new customers to lines 200 - 204 when needed. If applicable, include the True-up Adjustments Included in Prior Year's Rates in lines 203 and 208 (will be applicable for the True-ups of RY2023 and onward).</t>
  </si>
  <si>
    <t>Prior Year Primary True-up DRR</t>
  </si>
  <si>
    <t>2-True-upDRR, L. 413, col 3</t>
  </si>
  <si>
    <t>Wholesale Primary Credit</t>
  </si>
  <si>
    <t>200a</t>
  </si>
  <si>
    <t>Note 7</t>
  </si>
  <si>
    <t>Allocated Primary True-up DRR:</t>
  </si>
  <si>
    <t>Line 101 * Line 200</t>
  </si>
  <si>
    <t>202a</t>
  </si>
  <si>
    <t>Allocated Wholesale Primary True-up Credit</t>
  </si>
  <si>
    <t>Note 8</t>
  </si>
  <si>
    <t>Primary True-up Adjustment Included in Prior Year's Rates:</t>
  </si>
  <si>
    <t>Total Allocated Primary True-up DRR:</t>
  </si>
  <si>
    <t>Line 202 + Line 203 + Line 202a</t>
  </si>
  <si>
    <t>Prior Year Secondary True-up DRR</t>
  </si>
  <si>
    <t>2-True-upDRR, L. 413, col 4</t>
  </si>
  <si>
    <t>Allocated Secondary True-up DRR:</t>
  </si>
  <si>
    <t>Line 103 * Line 205</t>
  </si>
  <si>
    <t>Secondary True-up Adjustment Included in Prior Year's Rates:</t>
  </si>
  <si>
    <t>Total Allocated Secondary True-up DRR:</t>
  </si>
  <si>
    <t>3) Calculation of Prior Year Customer-Specific True-up Rates</t>
  </si>
  <si>
    <t>Instructions: Add new customers to lines 300 - 303 when needed.</t>
  </si>
  <si>
    <t>Primary Rates Calculation</t>
  </si>
  <si>
    <t>Line 204</t>
  </si>
  <si>
    <t>Prior Year Annual Primary NCP Demand:</t>
  </si>
  <si>
    <t>Note 9</t>
  </si>
  <si>
    <t>Prior Year Primary True-up Rates:</t>
  </si>
  <si>
    <t>Line 301 / Line 302</t>
  </si>
  <si>
    <t>Secondary Rates Calculation</t>
  </si>
  <si>
    <t>Line 209</t>
  </si>
  <si>
    <t>Prior Year Secondary Load Primary Cost:</t>
  </si>
  <si>
    <t>Line 301 - (Line 303 * 9-WholesaleRevenues, L. 112)</t>
  </si>
  <si>
    <t>Total Prior Year Secondary Load DRR:</t>
  </si>
  <si>
    <t>Line 305 + Line 306</t>
  </si>
  <si>
    <t>Prior Year Annual Secondary NCP Demand:</t>
  </si>
  <si>
    <t>9-WholesaleRevenues, L. 312</t>
  </si>
  <si>
    <t>Prior Year Secondary True-up Rates:</t>
  </si>
  <si>
    <t>Line 307 / Line 308</t>
  </si>
  <si>
    <t>4) Calculation of True-up Adjustments</t>
  </si>
  <si>
    <t>Instructions: 1) Add new customers to lines 400 - 402. Create a new Sections below to calculate the Cumulative Excess or Shortfall in Revenue with Interest for the new customers. 2) Input the monthly FERC interest rates (18 C.F.R. §35.19a) for the corresponding Month and Year into Col 6.</t>
  </si>
  <si>
    <t>Summary of True-up Adjustments</t>
  </si>
  <si>
    <t>Primary True-up Adjustment:</t>
  </si>
  <si>
    <t>Source:</t>
  </si>
  <si>
    <t>Line 525, Col 9</t>
  </si>
  <si>
    <t>Line 625, Col 9</t>
  </si>
  <si>
    <t>Line 725, Col 9</t>
  </si>
  <si>
    <t>Line 825, Col 9</t>
  </si>
  <si>
    <t>Line 925, Col 9</t>
  </si>
  <si>
    <t>Line 1025, Col 9</t>
  </si>
  <si>
    <t>Secondary True-up Adjustment:</t>
  </si>
  <si>
    <t>Line 550, Col 9</t>
  </si>
  <si>
    <t>Line 650, Col 9</t>
  </si>
  <si>
    <t>Line 950, Col 9</t>
  </si>
  <si>
    <t>Customer</t>
  </si>
  <si>
    <t>Col 5</t>
  </si>
  <si>
    <t>Col 6</t>
  </si>
  <si>
    <t>Col 7</t>
  </si>
  <si>
    <t>Col 8</t>
  </si>
  <si>
    <t>Col 9</t>
  </si>
  <si>
    <t>CCSF (SA No. 275)</t>
  </si>
  <si>
    <t>Note 2</t>
  </si>
  <si>
    <t>Note 3</t>
  </si>
  <si>
    <t>Note 4</t>
  </si>
  <si>
    <t>Note 5</t>
  </si>
  <si>
    <t>Note 6</t>
  </si>
  <si>
    <t>Cumulative Excess</t>
  </si>
  <si>
    <t>Monthly</t>
  </si>
  <si>
    <t>Prior Year</t>
  </si>
  <si>
    <t>or Shortfall in</t>
  </si>
  <si>
    <t>Primary</t>
  </si>
  <si>
    <t xml:space="preserve">Monthly Excess or </t>
  </si>
  <si>
    <t>Retail Revenue</t>
  </si>
  <si>
    <t>FERC</t>
  </si>
  <si>
    <t>Accumulated</t>
  </si>
  <si>
    <t>Revenue</t>
  </si>
  <si>
    <t>Month</t>
  </si>
  <si>
    <t>Year</t>
  </si>
  <si>
    <t>True-up Revenue</t>
  </si>
  <si>
    <t>Revenues</t>
  </si>
  <si>
    <t>Shortfall in Revenue</t>
  </si>
  <si>
    <t>without Interest</t>
  </si>
  <si>
    <t>Interest Rate</t>
  </si>
  <si>
    <t>Interest</t>
  </si>
  <si>
    <t>with Interest</t>
  </si>
  <si>
    <t>December</t>
  </si>
  <si>
    <t>N/A</t>
  </si>
  <si>
    <t>January</t>
  </si>
  <si>
    <t>February</t>
  </si>
  <si>
    <t>March</t>
  </si>
  <si>
    <t>April</t>
  </si>
  <si>
    <t>May</t>
  </si>
  <si>
    <t xml:space="preserve">June </t>
  </si>
  <si>
    <t>July</t>
  </si>
  <si>
    <t>August</t>
  </si>
  <si>
    <t>September</t>
  </si>
  <si>
    <t>October</t>
  </si>
  <si>
    <t>November</t>
  </si>
  <si>
    <t>Principal</t>
  </si>
  <si>
    <t>Total</t>
  </si>
  <si>
    <t>Correction amount:</t>
  </si>
  <si>
    <t>Secondary</t>
  </si>
  <si>
    <t>PWRPA 1  (SA No. 30)</t>
  </si>
  <si>
    <t>PWRPA 2 (SA No. 56)</t>
  </si>
  <si>
    <t>Shelter Cove (SA No. 382)</t>
  </si>
  <si>
    <t>WAPA (SA No. 17)</t>
  </si>
  <si>
    <t>Westside (SA No. 15)</t>
  </si>
  <si>
    <r>
      <rPr>
        <b/>
        <sz val="11"/>
        <color theme="1"/>
        <rFont val="Calibri"/>
        <family val="2"/>
        <scheme val="minor"/>
      </rPr>
      <t>Note 1:</t>
    </r>
    <r>
      <rPr>
        <sz val="11"/>
        <color theme="1"/>
        <rFont val="Calibri"/>
        <family val="2"/>
        <scheme val="minor"/>
      </rPr>
      <t xml:space="preserve"> The Monthly True-up Revenue is calculated by multiplying the True-up Rates from lines 303 for Primary and 309  for Secondary by the Prior Year billed demand from 9-WholesaleRevenues, lines 100 - 111 and 300 - 311.</t>
    </r>
  </si>
  <si>
    <r>
      <rPr>
        <b/>
        <sz val="11"/>
        <color theme="1"/>
        <rFont val="Calibri"/>
        <family val="2"/>
        <scheme val="minor"/>
      </rPr>
      <t>Note 2:</t>
    </r>
    <r>
      <rPr>
        <sz val="11"/>
        <color theme="1"/>
        <rFont val="Calibri"/>
        <family val="2"/>
        <scheme val="minor"/>
      </rPr>
      <t xml:space="preserve"> The monthly Prior Year Revenues are from 9-WholesaleRevenues, lines 200 - 211 for Primary and lines 400 - 411 for Secondary.</t>
    </r>
  </si>
  <si>
    <r>
      <rPr>
        <b/>
        <sz val="11"/>
        <color theme="1"/>
        <rFont val="Calibri"/>
        <family val="2"/>
        <scheme val="minor"/>
      </rPr>
      <t>Note 3:</t>
    </r>
    <r>
      <rPr>
        <sz val="11"/>
        <color theme="1"/>
        <rFont val="Calibri"/>
        <family val="2"/>
        <scheme val="minor"/>
      </rPr>
      <t xml:space="preserve"> Corrections or Adjustments applied from previously-filed Annual Updates are outlined in Section 4.6.5 of the Protocols. </t>
    </r>
  </si>
  <si>
    <r>
      <rPr>
        <b/>
        <sz val="11"/>
        <color theme="1"/>
        <rFont val="Calibri"/>
        <family val="2"/>
        <scheme val="minor"/>
      </rPr>
      <t>Note 4:</t>
    </r>
    <r>
      <rPr>
        <sz val="11"/>
        <color theme="1"/>
        <rFont val="Calibri"/>
        <family val="2"/>
        <scheme val="minor"/>
      </rPr>
      <t xml:space="preserve"> Monthly FERC interest rates (18 C.F.R. §35.19a).</t>
    </r>
  </si>
  <si>
    <r>
      <t xml:space="preserve">Note 5: </t>
    </r>
    <r>
      <rPr>
        <sz val="11"/>
        <color theme="1"/>
        <rFont val="Calibri"/>
        <family val="2"/>
        <scheme val="minor"/>
      </rPr>
      <t xml:space="preserve">Monthly Interest is calculated by summing the current month's "Excess or Shortfall in Revenue" divided by 2, last month's "Cumulative Excess or Shortfall in Revenue without Interest", the beginning quarter's Accumulated Interest and multiplying the result by the current month's FERC interest rate. </t>
    </r>
  </si>
  <si>
    <r>
      <rPr>
        <b/>
        <sz val="11"/>
        <color theme="1"/>
        <rFont val="Calibri"/>
        <family val="2"/>
        <scheme val="minor"/>
      </rPr>
      <t>Note 6:</t>
    </r>
    <r>
      <rPr>
        <sz val="11"/>
        <color theme="1"/>
        <rFont val="Calibri"/>
        <family val="2"/>
        <scheme val="minor"/>
      </rPr>
      <t xml:space="preserve"> Accumulated Interest is the sum of the current month's "Monthly Interest" with last month's "Accumulated Interest".</t>
    </r>
  </si>
  <si>
    <r>
      <t>Note 7:</t>
    </r>
    <r>
      <rPr>
        <sz val="10"/>
        <rFont val="Arial"/>
        <family val="2"/>
      </rPr>
      <t xml:space="preserve"> Per the Second Partial Settlement, the Wholesale Primary Credit for RY2021 is ($3,500,000), for RY2022 is ($3,500,000), for RY2023 is ($2,000,000), and for RY2024 is ($1,000,000). </t>
    </r>
  </si>
  <si>
    <r>
      <rPr>
        <b/>
        <sz val="11"/>
        <rFont val="Calibri"/>
        <family val="2"/>
        <scheme val="minor"/>
      </rPr>
      <t>Note 8:</t>
    </r>
    <r>
      <rPr>
        <sz val="11"/>
        <rFont val="Calibri"/>
        <family val="2"/>
        <scheme val="minor"/>
      </rPr>
      <t xml:space="preserve"> The Allocated Wholesale Primary True-up Credits are only applicable to SA Nos. 275, 30, 56, 382, 17, and 15. The calculation to allocate the credit is equal to each customer's Allocated Rate Year Primary True-up DRR (Line 202) divided by the sum of all the Allocated Rate Year Primary True-up DRRs of each applicable Wholesale Customers multiplied by the Wholesale Primary Credit for the Rate Year (Line 200a).</t>
    </r>
  </si>
  <si>
    <r>
      <rPr>
        <b/>
        <sz val="10"/>
        <color rgb="FF000000"/>
        <rFont val="Arial"/>
        <family val="2"/>
      </rPr>
      <t>Note 9:</t>
    </r>
    <r>
      <rPr>
        <sz val="10"/>
        <color indexed="8"/>
        <rFont val="Arial"/>
        <family val="2"/>
      </rPr>
      <t xml:space="preserve"> The Prior Year Annual Primary Non-Coincident Demand for Customers with Secondary loads is calculated using this formula: 9-WholesaleRevenues, L. 112 + (9-WholesaleRevenues, L. 412) * (1.13848 / 1.07414). The loss factor 1.07414 is found in 15-LossFactors, col 1, line 103 and the loss factor 1.13848 is found in 15-LossFactors, col 1, line 104. For Customer with Primary only, see 9-WholesaleRevenues, L 112.</t>
    </r>
  </si>
  <si>
    <t>Col 2 - Col 3</t>
  </si>
  <si>
    <t>Col 5 + Col 8</t>
  </si>
  <si>
    <t>1) Calculation of Customer Specific Rates for Wholesale Distribution Service</t>
  </si>
  <si>
    <t>Wholesale Primary DRR</t>
  </si>
  <si>
    <t>1-DRR, L. 513, col 3</t>
  </si>
  <si>
    <t>100a</t>
  </si>
  <si>
    <t>3-ATA L. 101</t>
  </si>
  <si>
    <t>Allocated Rate Year Primary DRR:</t>
  </si>
  <si>
    <t>Line 102 * Line 100</t>
  </si>
  <si>
    <t>103a</t>
  </si>
  <si>
    <t>Allocated Wholesale Primary Credit</t>
  </si>
  <si>
    <t>Prior Year Primary True-up Adjustment:</t>
  </si>
  <si>
    <t>3-ATA L. 401</t>
  </si>
  <si>
    <t>Total Allocated Rate Year Primary DRR:</t>
  </si>
  <si>
    <t>Line 103 + Line 103a + Line 104</t>
  </si>
  <si>
    <t>Prior Year Annual Primary Non-Coincident Demand:</t>
  </si>
  <si>
    <t>Rate Year Primary Demand Rate ($/kW):</t>
  </si>
  <si>
    <t>Line 105 / Line 106</t>
  </si>
  <si>
    <t>Wholesale Secondary DRR</t>
  </si>
  <si>
    <t>3-ATA L. 103</t>
  </si>
  <si>
    <t>Allocated Rate Year Secondary DRR:</t>
  </si>
  <si>
    <t>Line 108 * Line 109</t>
  </si>
  <si>
    <t>Prior Year Secondary True-up Adjustment:</t>
  </si>
  <si>
    <t>3-ATA L. 404</t>
  </si>
  <si>
    <t>Secondary Load Primary Cost:</t>
  </si>
  <si>
    <t>Line 105 - (Line 107 * 9-WholesaleRevenues, L. 112)</t>
  </si>
  <si>
    <t>Total Allocated Rate Year Secondary Load DRR:</t>
  </si>
  <si>
    <t>Sum Lines 110 - 112</t>
  </si>
  <si>
    <t>Prior Year Annual Secondary Non-Coincident Demand:</t>
  </si>
  <si>
    <t>Rate Year Secondary Demand Rate ($/kW):</t>
  </si>
  <si>
    <t>Line 113 / 114</t>
  </si>
  <si>
    <t>2) Calculation of Initial Rates for Wholesale Distribution Service</t>
  </si>
  <si>
    <t>Value</t>
  </si>
  <si>
    <t>Total Allocated Primary DRR</t>
  </si>
  <si>
    <t>Sum Line 103</t>
  </si>
  <si>
    <t>Total Annual Primary Demand</t>
  </si>
  <si>
    <t>Sum Line 106</t>
  </si>
  <si>
    <t>Initial Primary Rate</t>
  </si>
  <si>
    <t>Line 200 / 201</t>
  </si>
  <si>
    <t>3) List of Wholesale Customers on Initial Rates for Wholesale Distribution Service</t>
  </si>
  <si>
    <t>Instruction: Add new customers taking the Initial Rate. Remove the customer from this list when a customer-specific rate is calculated.</t>
  </si>
  <si>
    <t>Service Agreement No.</t>
  </si>
  <si>
    <t>Service Start Date</t>
  </si>
  <si>
    <r>
      <rPr>
        <b/>
        <sz val="10"/>
        <color rgb="FF000000"/>
        <rFont val="Arial"/>
        <family val="2"/>
      </rPr>
      <t>Note 1:</t>
    </r>
    <r>
      <rPr>
        <sz val="10"/>
        <color indexed="8"/>
        <rFont val="Arial"/>
        <family val="2"/>
      </rPr>
      <t xml:space="preserve"> The Prior Year Annual Primary Non-Coincident Demand for Customers with Secondary loads is calculated using this formula: 9-WholesaleRevenues, L. 112 + (9-WholesaleRevenues, L. 412) * (1.13848 / 1.07414). The loss factor 1.07414 is found in 15-LossFactors, col 1, line 103 and the loss factor 1.13848 is found in 15-LossFactors, col 1, line 104. For Customer with Primary only, see 9-WholesaleRevenues, L 112.</t>
    </r>
  </si>
  <si>
    <r>
      <t>Note 2:</t>
    </r>
    <r>
      <rPr>
        <sz val="10"/>
        <rFont val="Arial"/>
        <family val="2"/>
      </rPr>
      <t xml:space="preserve"> Per the Second Partial Settlement, the Wholesale Primary Credit for RY2021 is ($3,500,000), for RY2022 is ($3,500,000), for RY2023 is ($2,000,000), and for RY2024 is ($1,000,000). </t>
    </r>
  </si>
  <si>
    <r>
      <rPr>
        <b/>
        <sz val="11"/>
        <rFont val="Calibri"/>
        <family val="2"/>
        <scheme val="minor"/>
      </rPr>
      <t>Note 3:</t>
    </r>
    <r>
      <rPr>
        <sz val="11"/>
        <rFont val="Calibri"/>
        <family val="2"/>
        <scheme val="minor"/>
      </rPr>
      <t xml:space="preserve"> The Allocated Wholesale Primary Credits are only applicable to SA Nos. 275, 30, 56, 382, 17, and 15. The calculation to allocate the credit is equal to each customer's Allocated Rate Year Primary DRR (Line 103) divided by the sum of all the Allocated Rate Year Primary DRRs of each applicable Wholesale Customers multiplied by the Wholesale Primary Credit for the Rate Year (Line 100a).</t>
    </r>
  </si>
  <si>
    <t>1) Calculation of Cost of Long Term Debt</t>
  </si>
  <si>
    <t>Instructions: Enter credit balances as positive balances.</t>
  </si>
  <si>
    <t>Values</t>
  </si>
  <si>
    <t>Long-Term Debt Component - Denominator:</t>
  </si>
  <si>
    <t>(Plus) Bonds (Acct. 221)</t>
  </si>
  <si>
    <t>FF1 112, L. 18, col c</t>
  </si>
  <si>
    <t>(Less) Reacquired Bonds (Acct. 222)</t>
  </si>
  <si>
    <t>FF1 112, L. 19, col c</t>
  </si>
  <si>
    <t>(Plus) Other Long-Term Debt (Acct. 224)</t>
  </si>
  <si>
    <t>FF1 112, L. 21, col c</t>
  </si>
  <si>
    <t xml:space="preserve">(Plus) Unamortized Premium on Long-Term Debt (Acct. 225) </t>
  </si>
  <si>
    <t>FF1 112, L. 22, col c</t>
  </si>
  <si>
    <t xml:space="preserve">(Less) Unamortized Discount on Long-Term Debt-Debit (Acct. 226) </t>
  </si>
  <si>
    <t>FF1 112, L. 23, col c</t>
  </si>
  <si>
    <t>(Less) Unamortized Debt Expenses (Acct. 181)</t>
  </si>
  <si>
    <t>FF1 111, L. 69, col c</t>
  </si>
  <si>
    <t>(Less) Unamortized Loss on Reacquired Debt (Acct. 189)</t>
  </si>
  <si>
    <t>FF1 111, L. 81, col c</t>
  </si>
  <si>
    <t>LTD = Long Term Debt</t>
  </si>
  <si>
    <t>Long-Term Debt Component - Numerator:</t>
  </si>
  <si>
    <t xml:space="preserve">(Plus) Interest on Long-Term Debt (Acct. 427) </t>
  </si>
  <si>
    <t>FF1 117, L. 62, col c</t>
  </si>
  <si>
    <t>(Plus) Amort. of Debt Disc. and Expense (Acct. 428)</t>
  </si>
  <si>
    <t>FF1 117, L. 63, col c</t>
  </si>
  <si>
    <t>(Plus) Amortization of Loss on Reacquired Debt (Acct. 428.1)</t>
  </si>
  <si>
    <t>FF1 117, L. 64, col c</t>
  </si>
  <si>
    <t>(Less) Amort. of Premium on Debt-Credit (Acct. 429)</t>
  </si>
  <si>
    <t>FF1 117, L. 65, col c</t>
  </si>
  <si>
    <t xml:space="preserve">(Less) Amortization of Gain on Reacquired Debt-Credit (Acct. 429.1) </t>
  </si>
  <si>
    <t>FF1 117, L. 66, col c</t>
  </si>
  <si>
    <t>LTD interest</t>
  </si>
  <si>
    <t>Cost of Long-Term Debt:</t>
  </si>
  <si>
    <t>1) Calculation of "Preferred Stock Cost Percentage"</t>
  </si>
  <si>
    <t>Amount</t>
  </si>
  <si>
    <t>Reference</t>
  </si>
  <si>
    <t>Total Annual Cost of Preferred Stock:</t>
  </si>
  <si>
    <t>Total Reacquired Preferred Stock Cost:</t>
  </si>
  <si>
    <t>Total Annual Cost of Preferred:</t>
  </si>
  <si>
    <t>Total Preferred Stock Amount Outstanding:</t>
  </si>
  <si>
    <t>Total Premium/Discount</t>
  </si>
  <si>
    <t>Total Preferred Balance:</t>
  </si>
  <si>
    <t>Preferred Stock Cost Percentage:</t>
  </si>
  <si>
    <t>2) Preferred Stock Information for each Outstanding Series</t>
  </si>
  <si>
    <t>PG&amp;E Records</t>
  </si>
  <si>
    <t>FF1 250, col a</t>
  </si>
  <si>
    <t>FF1 251, col f</t>
  </si>
  <si>
    <t>FF1 251, col e</t>
  </si>
  <si>
    <t>= Col 5 + Col 6</t>
  </si>
  <si>
    <t>= Col 3 x Col 5</t>
  </si>
  <si>
    <t>Preferred Stock Series Name</t>
  </si>
  <si>
    <t>Issue Date</t>
  </si>
  <si>
    <t>Dividend Rate</t>
  </si>
  <si>
    <t>Dividend</t>
  </si>
  <si>
    <t>Face Value/ Amount Outstanding</t>
  </si>
  <si>
    <t>Total Premium/
Discount Cost</t>
  </si>
  <si>
    <t>Shares Outstanding</t>
  </si>
  <si>
    <t>Net Proceeds at Issuance</t>
  </si>
  <si>
    <t>Annual
Dividend</t>
  </si>
  <si>
    <t>A</t>
  </si>
  <si>
    <t>B</t>
  </si>
  <si>
    <t>C</t>
  </si>
  <si>
    <t>D</t>
  </si>
  <si>
    <t>E</t>
  </si>
  <si>
    <t>G</t>
  </si>
  <si>
    <t>H</t>
  </si>
  <si>
    <t>I</t>
  </si>
  <si>
    <t>Total Amount Outstanding (sum of above):</t>
  </si>
  <si>
    <t>3) Reacquired Preferred Stock Information</t>
  </si>
  <si>
    <t>Preferred Stock</t>
  </si>
  <si>
    <t>Call Date</t>
  </si>
  <si>
    <t>Total Issuance Cost</t>
  </si>
  <si>
    <t>Unamortized Issuance Cost</t>
  </si>
  <si>
    <t>Amortization Period</t>
  </si>
  <si>
    <t xml:space="preserve">Issuance Amortization Cost </t>
  </si>
  <si>
    <t>Notes and Sources</t>
  </si>
  <si>
    <t>---</t>
  </si>
  <si>
    <t>Total Annual Cost (sum of above):</t>
  </si>
  <si>
    <t>Notes:</t>
  </si>
  <si>
    <t xml:space="preserve">1) PG&amp;E's Treasury uses an internal monthly Excel-based report to track historical information associated with preferred stock issuances.  Due to the age of </t>
  </si>
  <si>
    <t>each preferred stock series, many of the original hard copy records are no longer available, and electronic records were not available at time of issuance.</t>
  </si>
  <si>
    <t>2) Annual dividend calculation is comparable to the calculation described in 18 CFR 35.13 (22) (iii)</t>
  </si>
  <si>
    <t>Electric Distribution Plant by FERC Account</t>
  </si>
  <si>
    <t>1) Adjustment of Electric Distribution Plant in FERC Form 1 for Prior Year:</t>
  </si>
  <si>
    <t>FERC Form 1 Distribution Plant balances are Prior Year ending balances from PG&amp;E's FERC Form 1. Electric Distribution Plant represents the Distribution plant that is eligible for inclusion in rate base.</t>
  </si>
  <si>
    <t>Col 1 + Col 3</t>
  </si>
  <si>
    <t>FERC Form 1</t>
  </si>
  <si>
    <t>Electric</t>
  </si>
  <si>
    <t>FERC Account</t>
  </si>
  <si>
    <t>Account Description</t>
  </si>
  <si>
    <t>Source for Col 1</t>
  </si>
  <si>
    <t>Adjustments</t>
  </si>
  <si>
    <t>Formula Model Reference</t>
  </si>
  <si>
    <t>Land and Land Rights</t>
  </si>
  <si>
    <t xml:space="preserve">FF1 207, L. 60, col g </t>
  </si>
  <si>
    <t>7-PlantInService L 112, col 1 + 2</t>
  </si>
  <si>
    <t>Structures and Improvements</t>
  </si>
  <si>
    <t xml:space="preserve">FF1 207, L. 61, col g </t>
  </si>
  <si>
    <t>7-PlantInService L 112, col 3 + 4</t>
  </si>
  <si>
    <t>Station Equipment</t>
  </si>
  <si>
    <t xml:space="preserve">FF1 207, L. 62, col g </t>
  </si>
  <si>
    <t>7-PlantInService L 112, col 5</t>
  </si>
  <si>
    <t>Storage Battery Equipment</t>
  </si>
  <si>
    <t xml:space="preserve">FF1 207, L. 63, col g </t>
  </si>
  <si>
    <t>7-PlantInService L 112, col 6 + 7</t>
  </si>
  <si>
    <t>Poles, Towers, and Fixtures</t>
  </si>
  <si>
    <t xml:space="preserve">FF1 207, L. 64, col g </t>
  </si>
  <si>
    <t>7-PlantInService L 112, col 8</t>
  </si>
  <si>
    <t>Overhead Conductors and Devices</t>
  </si>
  <si>
    <t xml:space="preserve">FF1 207, L. 65, col g </t>
  </si>
  <si>
    <t>7-PlantInService L 112, col 9</t>
  </si>
  <si>
    <t>Underground Conduit</t>
  </si>
  <si>
    <t xml:space="preserve">FF1 207, L. 66, col g </t>
  </si>
  <si>
    <t>7-PlantInService L 112, col 10</t>
  </si>
  <si>
    <t>Underground Conduit and Devices</t>
  </si>
  <si>
    <t xml:space="preserve">FF1 207, L. 67, col g </t>
  </si>
  <si>
    <t>7-PlantInService L 112, col 11</t>
  </si>
  <si>
    <t>Line Transformers</t>
  </si>
  <si>
    <t xml:space="preserve">FF1 207, L. 68, col g </t>
  </si>
  <si>
    <t>7-PlantInService L 112, col 12 + 13</t>
  </si>
  <si>
    <t>Services</t>
  </si>
  <si>
    <t xml:space="preserve">FF1 207, L. 69, col g </t>
  </si>
  <si>
    <t>7-PlantInService L 112, col 14 + 15</t>
  </si>
  <si>
    <t>Meters</t>
  </si>
  <si>
    <t xml:space="preserve">FF1 207, L. 70, col g </t>
  </si>
  <si>
    <t>7-PlantInService L 112, col 16 + 17</t>
  </si>
  <si>
    <t>Installations on Customer Premises</t>
  </si>
  <si>
    <t xml:space="preserve">FF1 207, L. 71, col g </t>
  </si>
  <si>
    <t>7-PlantInService L 112, Sum of col 18-20</t>
  </si>
  <si>
    <t>Leased Property on Customer Premises</t>
  </si>
  <si>
    <t xml:space="preserve">FF1 207, L. 72, col g </t>
  </si>
  <si>
    <t>7-PlantInService L 112, col 21</t>
  </si>
  <si>
    <t>Street Lighting and Signal Systems</t>
  </si>
  <si>
    <t xml:space="preserve">FF1 207, L. 73, col g </t>
  </si>
  <si>
    <t>7-PlantInService L 112, Sum of col 22-25</t>
  </si>
  <si>
    <t>Asset Retirement Costs for Distribution Plant</t>
  </si>
  <si>
    <t xml:space="preserve">FF1 207, L. 74, col g </t>
  </si>
  <si>
    <t>Total Electric Distribution Plant</t>
  </si>
  <si>
    <t>2) Primary/Secondary Distribution Plant Allocation Factors</t>
  </si>
  <si>
    <t>Section 1, Col 4</t>
  </si>
  <si>
    <t>Adjusted Plant</t>
  </si>
  <si>
    <t>Distribution</t>
  </si>
  <si>
    <t>Balance</t>
  </si>
  <si>
    <t>Street Lights</t>
  </si>
  <si>
    <t>Land and Land Rights (Note 6)</t>
  </si>
  <si>
    <t>Poles, Towers, and Fixtures (Note 7)</t>
  </si>
  <si>
    <t>Overhead Conductors and Devices (Note 7)</t>
  </si>
  <si>
    <t>Underground Conduit (Note 7)</t>
  </si>
  <si>
    <t>Underground Conduit and Devices (Note 7)</t>
  </si>
  <si>
    <t>3) Allocation of Electric Distribution Plant to Primary/Secondary Distribution</t>
  </si>
  <si>
    <t>Col 1 * Section 2, Col 2</t>
  </si>
  <si>
    <t>Col 1 * Section 2, Col 3</t>
  </si>
  <si>
    <t>Col 1 * Section 2, Col 4</t>
  </si>
  <si>
    <t>Col 1 * Section 2, Col 5</t>
  </si>
  <si>
    <t>4) Development of Primary/Secondary Distribution General Allocation Factor</t>
  </si>
  <si>
    <t>Section 3, Line 314
Col 2/Col 1</t>
  </si>
  <si>
    <t>Section 3, Line 314
Col 3/Col 1</t>
  </si>
  <si>
    <t>Section 3, Line 314
Col 4/Col 1</t>
  </si>
  <si>
    <t>Section 3, Line 314
Col 5/Col 1</t>
  </si>
  <si>
    <t>Primary/Secondary General Allocation Factor</t>
  </si>
  <si>
    <t xml:space="preserve">1) These adjustments are due to small differences between recorded rate base and how costs were classified in PG&amp;E's FERC Form 1. </t>
  </si>
  <si>
    <t>2) FERC Account 374 - Asset Retirement Costs for Distribution Plant is not included in rate base.</t>
  </si>
  <si>
    <t>3) Electric Distribution Plant balances were assigned to cost categories for Primary and Secondary distribution based on engineering reviews, observations of equipment, and studies.</t>
  </si>
  <si>
    <t>4) Distribution Meters are not included in the Wholesale Distribution Tariff.</t>
  </si>
  <si>
    <t>5) Distribution Street Lights are not included in the Wholesale Distribution Tariff.</t>
  </si>
  <si>
    <t>6) For Land and Land Rights, the Primary percentage is calculated by summing Col 2, Lines 301 to 313, then dividing the sum of Cols 2 and 3, Lines 301 to 313. The secondary percentage is 1 minus the primary percentage.</t>
  </si>
  <si>
    <t>7) See Workpaper WP_6-PlantJurisdiction, Lines 117 and 118,Cols 1 and 2</t>
  </si>
  <si>
    <t xml:space="preserve">. . . </t>
  </si>
  <si>
    <t>Electric Distribution Plant In Service</t>
  </si>
  <si>
    <t>1) Total Electric Distribution Functional Plant</t>
  </si>
  <si>
    <t>Electric Distribution Plant balances are extracted from PowerPlant, PG&amp;E's fixed asset system of record, by querying by Asset Class, FERC Account and UCC.</t>
  </si>
  <si>
    <t>The monthly balances in Lines 100-112 are the end-of-month balances for Prior Year and December of Prior Year - 1.</t>
  </si>
  <si>
    <t>Col 10</t>
  </si>
  <si>
    <t>Col 11</t>
  </si>
  <si>
    <t>Col 12</t>
  </si>
  <si>
    <t>Col 13</t>
  </si>
  <si>
    <t>Col 14</t>
  </si>
  <si>
    <t>Col 15</t>
  </si>
  <si>
    <t>Col 16</t>
  </si>
  <si>
    <t>Col 17</t>
  </si>
  <si>
    <t>Col 18</t>
  </si>
  <si>
    <t>Col 19</t>
  </si>
  <si>
    <t>Col 20</t>
  </si>
  <si>
    <t>Col 21</t>
  </si>
  <si>
    <t>Col 22</t>
  </si>
  <si>
    <t>Col 23</t>
  </si>
  <si>
    <t>Col 24</t>
  </si>
  <si>
    <t>Col 25</t>
  </si>
  <si>
    <t>Col 26</t>
  </si>
  <si>
    <t>Total of Col 1-25</t>
  </si>
  <si>
    <t>FERC Account:</t>
  </si>
  <si>
    <t>EDP36001</t>
  </si>
  <si>
    <t>EDP36002</t>
  </si>
  <si>
    <t>EDP36101</t>
  </si>
  <si>
    <t>EDP36102</t>
  </si>
  <si>
    <t>EDP36200</t>
  </si>
  <si>
    <t>EDP36300</t>
  </si>
  <si>
    <t>EDP36301</t>
  </si>
  <si>
    <t>EDP36400</t>
  </si>
  <si>
    <t>EDP36500</t>
  </si>
  <si>
    <t>EDP36600</t>
  </si>
  <si>
    <t>EDP36700</t>
  </si>
  <si>
    <t>EDP36801</t>
  </si>
  <si>
    <t>EDP36802</t>
  </si>
  <si>
    <t>EDP36901</t>
  </si>
  <si>
    <t>EDP36902</t>
  </si>
  <si>
    <t>EDP37000</t>
  </si>
  <si>
    <t>EDP37001</t>
  </si>
  <si>
    <t>EDP37100</t>
  </si>
  <si>
    <t>EDP37101</t>
  </si>
  <si>
    <t>EDP37102</t>
  </si>
  <si>
    <t>EDP37200</t>
  </si>
  <si>
    <t>EDP37301</t>
  </si>
  <si>
    <t>EDP37302</t>
  </si>
  <si>
    <t>EDP37303</t>
  </si>
  <si>
    <t>EDP37304</t>
  </si>
  <si>
    <t>June</t>
  </si>
  <si>
    <t>13-Month Average</t>
  </si>
  <si>
    <t>2) Electric Distribution Functional Plant - Primary Distribution</t>
  </si>
  <si>
    <t>Total Electric Distribution Plant (Section 1) is allocated to Primary and Secondary Distribution using allocation factors shown on 6-PlantJurisdiction, Lines 200-213.</t>
  </si>
  <si>
    <t>Section 1, Col 1 * 
6-PlantJurisdiction, L. 200, Col 2</t>
  </si>
  <si>
    <t>Section 1, Col 2 * 
6-PlantJurisdiction, L. 200, Col 2</t>
  </si>
  <si>
    <t>Section 1, Col 3 * 
6-PlantJurisdiction, L. 201, Col 2</t>
  </si>
  <si>
    <t>Section 1, Col 4 * 
6-PlantJurisdiction, L. 201, Col 2</t>
  </si>
  <si>
    <t>Section 1, Col 5 * 
6-PlantJurisdiction, L. 202, Col 2</t>
  </si>
  <si>
    <t>Section 1, Col 6 * 
6-PlantJurisdiction, L. 203, Col 2</t>
  </si>
  <si>
    <t>Section 1, Col 7 * 
6-PlantJurisdiction, L. 203, Col 2</t>
  </si>
  <si>
    <t>Section 1, Col 8 * 
6-PlantJurisdiction, L. 204, Col 2</t>
  </si>
  <si>
    <t>Section 1, Col 9 * 
6-PlantJurisdiction, L. 205, Col 2</t>
  </si>
  <si>
    <t>Section 1, Col 10 * 
6-PlantJurisdiction, L. 206, Col 2</t>
  </si>
  <si>
    <t>Section 1, Col 11 * 
6-PlantJurisdiction, L. 207, Col 2</t>
  </si>
  <si>
    <t>Section 1, Col 12 * 
6-PlantJurisdiction, L. 208, Col 2</t>
  </si>
  <si>
    <t>Section 1, Col 13 * 
6-PlantJurisdiction, L. 208, Col 2</t>
  </si>
  <si>
    <t>Section 1, Col 14 * 
6-PlantJurisdiction, L. 209, Col 2</t>
  </si>
  <si>
    <t>Section 1, Col 15 * 
6-PlantJurisdiction, L. 209, Col 2</t>
  </si>
  <si>
    <t>Section 1, Col 16 * 
6-PlantJurisdiction, L. 210, Col 2</t>
  </si>
  <si>
    <t>Section 1, Col 17 * 
6-PlantJurisdiction, L. 210, Col 2</t>
  </si>
  <si>
    <t>Section 1, Col 18 * 
6-PlantJurisdiction, L. 211, Col 2</t>
  </si>
  <si>
    <t>Section 1, Col 19 * 
6-PlantJurisdiction, L. 211, Col 2</t>
  </si>
  <si>
    <t>Section 1, Col 20 * 
6-PlantJurisdiction, L. 211, Col 2</t>
  </si>
  <si>
    <t>Section 1, Col 21 * 
6-PlantJurisdiction, L. 212, Col 2</t>
  </si>
  <si>
    <t>Section 1, Col 22 * 
6-PlantJurisdiction, L. 213, Col 2</t>
  </si>
  <si>
    <t>Section 1, Col 23 * 
6-PlantJurisdiction, L. 213, Col 2</t>
  </si>
  <si>
    <t>Section 1, Col 24 * 
6-PlantJurisdiction, L. 213, Col 2</t>
  </si>
  <si>
    <t>Section 1, Col 25 * 
6-PlantJurisdiction, L. 213, Col 2</t>
  </si>
  <si>
    <t>3) Electric Distribution Functional Plant - Secondary Distribution</t>
  </si>
  <si>
    <t>Section 1, Col 1 * 
6-PlantJurisdiction, L. 200, Col 3</t>
  </si>
  <si>
    <t>Section 1, Col 2 * 
6-PlantJurisdiction, L. 200, Col 3</t>
  </si>
  <si>
    <t>Section 1, Col 3 * 
6-PlantJurisdiction, L. 201, Col 3</t>
  </si>
  <si>
    <t>Section 1, Col 4 * 
6-PlantJurisdiction, L. 201, Col 3</t>
  </si>
  <si>
    <t>Section 1, Col 5 * 
6-PlantJurisdiction, L. 202, Col 3</t>
  </si>
  <si>
    <t>Section 1, Col 6 * 
6-PlantJurisdiction, L. 203, Col 3</t>
  </si>
  <si>
    <t>Section 1, Col 7 * 
6-PlantJurisdiction, L. 203, Col 3</t>
  </si>
  <si>
    <t>Section 1, Col 8 * 
6-PlantJurisdiction, L. 204, Col 3</t>
  </si>
  <si>
    <t>Section 1, Col 9 * 
6-PlantJurisdiction, L. 205, Col 3</t>
  </si>
  <si>
    <t>Section 1, Col 10 * 
6-PlantJurisdiction, L. 206, Col 3</t>
  </si>
  <si>
    <t>Section 1, Col 11 * 
6-PlantJurisdiction, L. 207, Col 3</t>
  </si>
  <si>
    <t>Section 1, Col 12 * 
6-PlantJurisdiction, L. 208, Col 3</t>
  </si>
  <si>
    <t>Section 1, Col 13 * 
6-PlantJurisdiction, L. 208, Col 3</t>
  </si>
  <si>
    <t>Section 1, Col 14 * 
6-PlantJurisdiction, L. 209, Col 3</t>
  </si>
  <si>
    <t>Section 1, Col 15 * 
6-PlantJurisdiction, L. 209, Col 3</t>
  </si>
  <si>
    <t>Section 1, Col 16 * 
6-PlantJurisdiction, L. 210, Col 3</t>
  </si>
  <si>
    <t>Section 1, Col 17 * 
6-PlantJurisdiction, L. 210, Col 3</t>
  </si>
  <si>
    <t>Section 1, Col 18 * 
6-PlantJurisdiction, L. 211, Col 3</t>
  </si>
  <si>
    <t>Section 1, Col 19 * 
6-PlantJurisdiction, L. 211, Col 3</t>
  </si>
  <si>
    <t>Section 1, Col 20 * 
6-PlantJurisdiction, L. 211, Col 3</t>
  </si>
  <si>
    <t>Section 1, Col 21 * 
6-PlantJurisdiction, L. 212, Col 3</t>
  </si>
  <si>
    <t>Section 1, Col 22 * 
6-PlantJurisdiction, L. 213, Col 3</t>
  </si>
  <si>
    <t>Section 1, Col 23 * 
6-PlantJurisdiction, L. 213, Col 3</t>
  </si>
  <si>
    <t>Section 1, Col 24 * 
6-PlantJurisdiction, L. 213, Col 3</t>
  </si>
  <si>
    <t>Section 1, Col 25 * 
6-PlantJurisdiction, L. 213, Col 3</t>
  </si>
  <si>
    <t>4) Direct Assigned Common, General and Intangible (CGI) Plant</t>
  </si>
  <si>
    <t>Direct Assigned Common, General and Intangible (CGI) Plant In Service balances are extracted from PowerPlant, PG&amp;E's fixed asset system of record, by querying by Asset Class, FERC Account and UCC.</t>
  </si>
  <si>
    <t>Col 1 * 
6-PlantJurisdiction, L. 400, col 1</t>
  </si>
  <si>
    <t>Col 1 * 
6-PlantJurisdiction, L. 400, col 2</t>
  </si>
  <si>
    <t>Total Direct</t>
  </si>
  <si>
    <t>Assigned Electric Distribution CGI</t>
  </si>
  <si>
    <t>See WP_7-PlantInService 4, L. 122, col 7 &amp; 8</t>
  </si>
  <si>
    <t>Average</t>
  </si>
  <si>
    <t>5) Corporate Services (Gas and Electric) Residual Common, General and Intangible (CGI) Plant</t>
  </si>
  <si>
    <t>Corporate Services (Gas and Electric) Residual Common, General and Intangible (CGI) Plant is extracted from PowerPlant, PG&amp;E's fixed asset system of record, by querying by Asset Class, FERC Account and UCC. Corporate Services (Gas and Electric) Residual CGI Plant is allocated to Line of Business based on O&amp;M labor factors.</t>
  </si>
  <si>
    <t>Col 1 * Col 2</t>
  </si>
  <si>
    <t>Col 3 * 
6-PlantJurisdiction, L. 400, col 1</t>
  </si>
  <si>
    <t>Col 3 * 
6-PlantJurisdiction, L. 400, col 2</t>
  </si>
  <si>
    <t xml:space="preserve">Electric </t>
  </si>
  <si>
    <t>Wholesale</t>
  </si>
  <si>
    <t>Total PG&amp;E</t>
  </si>
  <si>
    <t>Residual CGI</t>
  </si>
  <si>
    <t>O&amp;M Labor Factor</t>
  </si>
  <si>
    <t>Corporate CGI</t>
  </si>
  <si>
    <t>6) Corporate Services (Electric) Residual Common, General and Intangible (CGI) Plant</t>
  </si>
  <si>
    <t>Corporate Services (Electric) Residual Common, General and Intangible (CGI) Plant is extracted from PowerPlant, PG&amp;E's fixed asset system of record, by querying by Asset Class, FERC Account and UCC. Corporate Services (Electric) Residual CGI Plant is allocated to Line of Business based on O&amp;M labor factors.</t>
  </si>
  <si>
    <t>Total Electric</t>
  </si>
  <si>
    <t>7) Total Electric Distribution Common, General and Intangible (CGI) Plant</t>
  </si>
  <si>
    <t>Total Electric Distribution Common, General and Intangible (CGI) Plant is the total of the Direct Assigned CGI Plant (Section 4) and the residual CGI Plant (Sections 5-6) allocated to Electric Distribution.</t>
  </si>
  <si>
    <t>Total of 
Sections 4-6</t>
  </si>
  <si>
    <t>See WP_7-PlantInService 6, L. 122, col 7 &amp; 8</t>
  </si>
  <si>
    <t>1) Electric Distribution Direct Assigned CGI Plant is Plant in FERC Accounts 389-399 or 301-303 that serves only Electric Distribution. For Prior Year amounts, see WP_7-PlantInService 4, L. 122, col 7-10.</t>
  </si>
  <si>
    <t>2) Corporate (Gas and Electric) Residual CGI Plant is Plant in FERC Accounts 389-399 or 301-303 that serves all PG&amp;E Gas and Electric Lines of Business. For Prior Year amount, see WP_7-PlantInService 4, L. 122, col 14.</t>
  </si>
  <si>
    <t>3) Corporate (Electric) Residual CGI Plant is Plant in FERC Accounts 389-399 or 301-303 that serves PG&amp;E Electric Lines of Business only. For Prior Year amount, see WP_7-PlantInService 4, L. 122, col 15.</t>
  </si>
  <si>
    <t>See RY2022 Model, 7-PlantInService, L. 401, col 1</t>
  </si>
  <si>
    <t>(Line 400 + Line 401)/2</t>
  </si>
  <si>
    <t>24-Allocators, Line 113</t>
  </si>
  <si>
    <t>(Line 500 + Line 501)/2</t>
  </si>
  <si>
    <t>24-Allocators, Line 112</t>
  </si>
  <si>
    <t>(Line 600 + Line 601)/2</t>
  </si>
  <si>
    <t>(Line 700 + Line 701)/2</t>
  </si>
  <si>
    <t>System Demand</t>
  </si>
  <si>
    <t>1) Wholesale Distribution Tariff Demand for Allocation (kW) (Note 1)</t>
  </si>
  <si>
    <r>
      <t xml:space="preserve">Diversified Peak (DP): </t>
    </r>
    <r>
      <rPr>
        <sz val="11"/>
        <rFont val="Calibri"/>
        <family val="2"/>
        <scheme val="minor"/>
      </rPr>
      <t>For each PG&amp;E WDT Distribution Customer, the highest monthly demand coincident among each Distribution Customer’s points of interconnection.  For Customers with one point of interconnection, the Diversified Peak Demand and the Non-Coincident Peak Demand will be the same</t>
    </r>
    <r>
      <rPr>
        <b/>
        <sz val="11"/>
        <rFont val="Calibri"/>
        <family val="2"/>
        <scheme val="minor"/>
      </rPr>
      <t>.</t>
    </r>
  </si>
  <si>
    <r>
      <t xml:space="preserve">Non-Coincident Peak (NCP): </t>
    </r>
    <r>
      <rPr>
        <sz val="11"/>
        <rFont val="Calibri"/>
        <family val="2"/>
        <scheme val="minor"/>
      </rPr>
      <t>The Distribution Customer’s highest monthly demand irrespective of the date or time the peak occurred in that month.  For Customers with more than one POI, the NCP is a sum of each POIs NCP.</t>
    </r>
  </si>
  <si>
    <t xml:space="preserve"> </t>
  </si>
  <si>
    <t>Port Of Oakland
(SA No. 3)</t>
  </si>
  <si>
    <t>PWRPA 1
(SA No. 30)</t>
  </si>
  <si>
    <t>Shelter Cove
(SA No. 382)</t>
  </si>
  <si>
    <t>Diversified Peak (DP) at Primary
(DEMD 6 - 8) (Note 2)</t>
  </si>
  <si>
    <t>NonCoincident Peak (NCP) at Secondary
(DEMD 9 - 12)</t>
  </si>
  <si>
    <t>Diversified Peak (DP) at Primary
(DEMD 6 - 8)</t>
  </si>
  <si>
    <t>Maximum</t>
  </si>
  <si>
    <t>2) Summary of System Demand for Allocation (kW)</t>
  </si>
  <si>
    <t>Col 1
(Sum Cols 2 - 3)</t>
  </si>
  <si>
    <t>Col 2
(Note 3)</t>
  </si>
  <si>
    <t>Col 3
(Sum Cols 4 - 10)</t>
  </si>
  <si>
    <t>Col 4
(Note 4)</t>
  </si>
  <si>
    <t>Col 5
(Note 4)</t>
  </si>
  <si>
    <t>Col 6
(Note 4)</t>
  </si>
  <si>
    <t>Col 7
(Note 4)</t>
  </si>
  <si>
    <t>Col 8
(Note 4)</t>
  </si>
  <si>
    <t>Col 9
(Note 4)</t>
  </si>
  <si>
    <t>Col 10
(Note 4)</t>
  </si>
  <si>
    <t>Allocation Factor Names and Mnemonics</t>
  </si>
  <si>
    <t>Total Retail</t>
  </si>
  <si>
    <t>Total Wholesale</t>
  </si>
  <si>
    <t>CCSF</t>
  </si>
  <si>
    <t>Port of Oakland</t>
  </si>
  <si>
    <t>PWRPA 1</t>
  </si>
  <si>
    <t>PWRPA 2</t>
  </si>
  <si>
    <t>Shelter Cove</t>
  </si>
  <si>
    <t>WAPA</t>
  </si>
  <si>
    <t>Westside</t>
  </si>
  <si>
    <t>Production Demand  (DEMD 1) (CP)</t>
  </si>
  <si>
    <t>High Voltage (DEMD 4) (CP)</t>
  </si>
  <si>
    <t>Low Voltage (DEMD 5) (CP)</t>
  </si>
  <si>
    <t>Distribution - Substa (DEMD 6) (DP)</t>
  </si>
  <si>
    <t>Overhead Primary Line (DEMD 7) (DP)</t>
  </si>
  <si>
    <t>Underground Primary Line (DEMD 8) (DP)</t>
  </si>
  <si>
    <t>Line Transformers (DEMD 9) (NCP)</t>
  </si>
  <si>
    <t>Overhead Secondary Line (DEMD 10) (NCP)</t>
  </si>
  <si>
    <t>Underground Secondary Line (DEMD 11) (NCP)</t>
  </si>
  <si>
    <t>Services (DEMD 12) (NCP)</t>
  </si>
  <si>
    <r>
      <rPr>
        <b/>
        <sz val="10"/>
        <rFont val="Arial"/>
        <family val="2"/>
      </rPr>
      <t>Note 1:</t>
    </r>
    <r>
      <rPr>
        <sz val="10"/>
        <rFont val="Arial"/>
        <family val="2"/>
      </rPr>
      <t xml:space="preserve"> Primary and Secondary Demand data is from Schedule 9-Wholesale Revenues, lines 113 - 124 for Primary and lines 313 - 324 for Secondary.</t>
    </r>
  </si>
  <si>
    <r>
      <rPr>
        <b/>
        <sz val="10"/>
        <rFont val="Arial"/>
        <family val="2"/>
      </rPr>
      <t>Note 2:</t>
    </r>
    <r>
      <rPr>
        <sz val="10"/>
        <rFont val="Arial"/>
        <family val="2"/>
      </rPr>
      <t xml:space="preserve"> The monthly Primary Demands for Customers with Secondary loads is calculated using this formula: Recorded Primary DP Demand + [Recorded Secondary DP Demand * (1.13848 / 1.07414)]. The loss factor 1.07414 is found in 
15-LossFactors, col 1, line 103 and the loss factor 1.13848 is found in 15-LossFactors, col 1, line 104.</t>
    </r>
  </si>
  <si>
    <r>
      <rPr>
        <b/>
        <sz val="10"/>
        <rFont val="Arial"/>
        <family val="2"/>
      </rPr>
      <t>Note 3:</t>
    </r>
    <r>
      <rPr>
        <sz val="10"/>
        <rFont val="Arial"/>
        <family val="2"/>
      </rPr>
      <t xml:space="preserve"> Total recorded Retail System Coincident Peaks (CP) (DEMD 1 - 5),  Diversified Peaks (DP) (DEMD 6 - 8), and Non-Coincident Peaks (NCP) (DEMD 9 -12) for the Prior Year.</t>
    </r>
  </si>
  <si>
    <r>
      <rPr>
        <b/>
        <sz val="10"/>
        <color rgb="FF000000"/>
        <rFont val="Arial"/>
        <family val="2"/>
      </rPr>
      <t>Note 4:</t>
    </r>
    <r>
      <rPr>
        <sz val="10"/>
        <color indexed="8"/>
        <rFont val="Arial"/>
        <family val="2"/>
      </rPr>
      <t xml:space="preserve"> For each Customer, the sources for DEMD 6 - 8 and DEMD 9 - 12 are found on Line 113.</t>
    </r>
  </si>
  <si>
    <t>1) Prior Year Wholesale Primary Demand (kW) (Note 1)</t>
  </si>
  <si>
    <t>Instructions: Add any new customers during the Annual Update Process.</t>
  </si>
  <si>
    <t>Non-Coincident Peak (NCP)</t>
  </si>
  <si>
    <t>Diversified Peak (DP)</t>
  </si>
  <si>
    <t>2) Prior Year Wholesale Primary Distribution Revenue (Note 2)</t>
  </si>
  <si>
    <t>3) Prior Year Wholesale Secondary Demand (kW) (Note 1)</t>
  </si>
  <si>
    <t>4) Prior Year Wholesale Secondary Distribution Revenue (Note 2)</t>
  </si>
  <si>
    <r>
      <rPr>
        <b/>
        <sz val="11"/>
        <rFont val="Calibri"/>
        <family val="2"/>
        <scheme val="minor"/>
      </rPr>
      <t>Note 1:</t>
    </r>
    <r>
      <rPr>
        <sz val="11"/>
        <rFont val="Calibri"/>
        <family val="2"/>
        <scheme val="minor"/>
      </rPr>
      <t xml:space="preserve"> Data is from each Customer’s monthly billed Non-Coincident Peak demand. </t>
    </r>
  </si>
  <si>
    <r>
      <rPr>
        <b/>
        <sz val="11"/>
        <rFont val="Calibri"/>
        <family val="2"/>
        <scheme val="minor"/>
      </rPr>
      <t>Note 2:</t>
    </r>
    <r>
      <rPr>
        <sz val="11"/>
        <rFont val="Calibri"/>
        <family val="2"/>
        <scheme val="minor"/>
      </rPr>
      <t xml:space="preserve"> The Prior Year Primary and Secondy monthly Revenue can be found on each Customer's monthly bill. </t>
    </r>
  </si>
  <si>
    <t>Accumulated Depreciation for Electric Distribution Assets</t>
  </si>
  <si>
    <t>1) Total Accumulated Depreciation for Electric Distribution Functional Plant</t>
  </si>
  <si>
    <t>Accumulated Depreciation balances for Electric Distribution Plant are extracted from PowerPlant, PG&amp;E's fixed asset system of record, by querying by Asset Class, FERC Account and UCC.</t>
  </si>
  <si>
    <t>The monthly balances in Lines 100 -112 are the end-of-month balances for Prior Year and December of Prior Year - 1.</t>
  </si>
  <si>
    <t>2) Accumulated Depreciation for Electric Distribution Functional Plant - Primary Distribution</t>
  </si>
  <si>
    <t>Total Accumulated Depreciation balances for Electric Distribution Plant (Section 1) is allocated to Primary and Secondary Distribution using allocation factors shown on 6-PlantJurisdiction, Lines 200-213.</t>
  </si>
  <si>
    <t>3) Accumulated Depreciation for Electric Distribution Functional Plant - Secondary Distribution</t>
  </si>
  <si>
    <t>4) Accumulated Depreciation for Direct Assigned Common, General and Intangible (CGI) Plant</t>
  </si>
  <si>
    <t>Accumulated Depreciation balances for Direct Assigned CGI Plant are extracted from PowerPlant, PG&amp;E's fixed asset system of record, by querying by Asset Class, FERC Account and UCC.</t>
  </si>
  <si>
    <t>Assigned CGI</t>
  </si>
  <si>
    <t>See WP_10-AccDep 4, L. 122, col 7 &amp; 8</t>
  </si>
  <si>
    <t>5) Accumulated Depreciation for Corporate Services (Gas and Electric) Residual Common, General and Intangible (CGI) Plant</t>
  </si>
  <si>
    <t>Accumulated Depreciation balances for Corporate Services (Gas and Electric) Residual CGI Plant are extracted from PowerPlant, PG&amp;E's fixed asset system of record, by querying by Asset Class, FERC Account and UCC. Corporate Services (Gas and Electric) Residual CGI is allocated to Line of Business based on O&amp;M labor factors.</t>
  </si>
  <si>
    <t>6) Accumulated Depreciation for Corporate Services (Electric) Residual Common, General and Intangible (CGI) Plant</t>
  </si>
  <si>
    <t>Accumulated Depreciation balances for Corporate Services (Electric) CGI Plant are extracted from PowerPlant, PG&amp;E's fixed asset system of record, by querying by Asset Class, FERC Account and UCC. Corporate Services (Electric) Residual CGI is allocated to Line of Business based on O&amp;M labor factors.</t>
  </si>
  <si>
    <t>7) Total Accumulated Depreciation for Electric Distribution Common, General and Intangible (CGI) Plant</t>
  </si>
  <si>
    <t>Total Electric Distribution Accumulated Depreciation for Common, General and Intangible (CGI) Plant is the total of the Direct Assigned CGI Plant (Section 4) and the residual CGI Plant (Sections 5-6) allocated to Electric Distribution.</t>
  </si>
  <si>
    <t>See WP_10-AccDep 6, L. 122, col 7 &amp; 8</t>
  </si>
  <si>
    <t>1) Electric Distribution Direct Assigned CGI Plant is Plant in FERC Accounts 389-399 or 301-303 that serves only Electric Distribution. For Prior Year amounts, see WP_10-AccDep 4, L. 122, col 7-10.</t>
  </si>
  <si>
    <t>2) Corporate (Gas and Electric) Residual CGI Plant is Plant in FERC Accounts 389-399 or 301-303 that serves all PG&amp;E Gas and Electric Lines of Business. For Prior Year amount, see WP_10-AccDep 4, L. 122, col 14.</t>
  </si>
  <si>
    <t>3) Corporate (Electric) Residual CGI Plant is Plant in FERC Accounts 389-399 or 301-303 that serves PG&amp;E Electric Lines of Business only. For Prior Year amount, see WP_10-AccDep 4, L. 122, col 15.</t>
  </si>
  <si>
    <t>See RY2022 Model, 10-AccDep, L. 401, col 1</t>
  </si>
  <si>
    <t>Electric Distribution Depreciation Expense</t>
  </si>
  <si>
    <t>1) Depreciation Expense for Electric Distribution Functional Plant</t>
  </si>
  <si>
    <t xml:space="preserve">Prior Year recorded Depreciation Expense is extracted from PowerPlant, PG&amp;E's fixed asset system of record, by querying by Asset Class. It is then allocated to UCC and Line of Business based on Prior Year ending plant balances. </t>
  </si>
  <si>
    <t>Total Depreciation Expense for Electric Distribution Plant (Line 100) is allocated to Primary Distribution (Line 101) and Secondary Distribution (Line 102) using allocation factors shown on 6-PlantJurisdiction, Lines 200-213.</t>
  </si>
  <si>
    <t>Total Electric Distribution</t>
  </si>
  <si>
    <t>2) Depreciation Expense for Direct Assigned Common, General and Intangible (CGI) Plant</t>
  </si>
  <si>
    <t xml:space="preserve">Depreciation Expense for Direct Assigned CGI Plant is extracted from PowerPlant, PG&amp;E's fixed asset system of record, by querying by Asset Class. It is then allocated to UCC and Line of Business based on Prior Year ending plant balances. </t>
  </si>
  <si>
    <t>See WP_11-Depreciation 3, L. 122, col 7 &amp; 8</t>
  </si>
  <si>
    <t>3) Depreciation Expense for Corporate Services (Gas and Electric) Residual Common, General and Intangible (CGI) Plant</t>
  </si>
  <si>
    <t>Depreciation Expense for Corporate Services (Gas and Electric) Residual CGI Plant is extracted from PowerPlant, PG&amp;E's fixed asset system of record, by querying by Asset Class. It is allocated to UCC based on Prior Year ending plant balances and to Line of Business based on O&amp;M labor factors.</t>
  </si>
  <si>
    <t>Corporate</t>
  </si>
  <si>
    <t>4) Depreciation Expense for Corporate Services (Electric) Residual Common, General and Intangible (CGI) Plant</t>
  </si>
  <si>
    <t>Depreciation Expense for Corporate Services (Electric) Residual CGI Plant is extracted from PowerPlant, PG&amp;E's fixed asset system of record, by querying by Asset Class. It is allocated to UCC based on Prior Year ending plant balances and to Line of Business based on O&amp;M labor factors.</t>
  </si>
  <si>
    <t>5) Total Depreciation Expense for Electric Distribution Common, General and Intangible (CGI) Plant</t>
  </si>
  <si>
    <t>Total Depreciation Expense for Electric Distribution CGI Plant is the total of the amount related to Direct Assigned CGI Plant (Section 2) and amounts related to Residual CGI Plant (Sections 3-4) allocated to Electric Distribution.</t>
  </si>
  <si>
    <t>Total of 
Sections 2-4</t>
  </si>
  <si>
    <t>See WP_11-Depreciation 5, L. 122, col 7 &amp; 8</t>
  </si>
  <si>
    <t>1) Electric Distribution Direct Assigned CGI Plant is Plant in FERC Accounts 389-399 or 301-303 that serves only Electric Distribution. For Prior Year Electric Distribution Direct Assigned CGI Depreciation Expense, see WP_11-Depreciation 3, L. 122, col 7-10.</t>
  </si>
  <si>
    <t>2) Corporate (Gas and Electric) Residual CGI Plant is Plant in FERC Accounts 389-399 or 301-303 that serves all PG&amp;E Gas and Electric Lines of Business. For Prior Year Depreciation Expense for Corporate (Gas and Electric) Residual CGI Plant, see WP_11-Depreciation 3, L. 122, col 14.</t>
  </si>
  <si>
    <t>3) Corporate (Electric) Residual CGI Plant is Plant in FERC Accounts 389-399 or 301-303 that serves PG&amp;E Electric Lines of Business only. For Prior Year Depreciation Expense for Corporate (Electric) Residual CGI Plant, see WP_11-Depreciation 3, L. 122, Col 15.</t>
  </si>
  <si>
    <t>PRIOR YEAR DEPRECIATION RATES (Note 1)</t>
  </si>
  <si>
    <t>1) CPUC Approved Depreciation Rates for Electric Distribution Plant</t>
  </si>
  <si>
    <t>Depreciation</t>
  </si>
  <si>
    <t>Functional Group</t>
  </si>
  <si>
    <t>Asset Class</t>
  </si>
  <si>
    <t>Asset Class Description</t>
  </si>
  <si>
    <t>Accrual Rates</t>
  </si>
  <si>
    <t>EDP</t>
  </si>
  <si>
    <t>LAND</t>
  </si>
  <si>
    <t>LAND RIGHTS</t>
  </si>
  <si>
    <t>STRUCTURES AND IMPROVEMENTS</t>
  </si>
  <si>
    <t>STRUCTURES AND IMPROVEMENTS - EQUIPMENT</t>
  </si>
  <si>
    <t>STATION EQUIPMENT</t>
  </si>
  <si>
    <t>STORAGE BATTERY EQUIPMENT</t>
  </si>
  <si>
    <t>ENERGY STORAGE</t>
  </si>
  <si>
    <t>POLES, TOWERS AND FIXTURES</t>
  </si>
  <si>
    <t>OVERHEAD CONDUCTORS AND DEVICES</t>
  </si>
  <si>
    <t>UNDERGROUND CONDUIT</t>
  </si>
  <si>
    <t>UNDERGROUND CONDUCTORS AND DEVICES</t>
  </si>
  <si>
    <t>LINE TRANSFORMERS - OVERHEAD</t>
  </si>
  <si>
    <t>LINE TRANSFORMERS - UNDERGROUND</t>
  </si>
  <si>
    <t>SERVICES - OVERHEAD</t>
  </si>
  <si>
    <t>SERVICES - UNDERGROUND</t>
  </si>
  <si>
    <t>METERS</t>
  </si>
  <si>
    <t>INSTALLATIONS ON CUSTOMERS' PREMISES</t>
  </si>
  <si>
    <t>LEASED PROPERTY ON CUSTOMERS' PREMISES</t>
  </si>
  <si>
    <t>2) CPUC Approved Depreciation Rates for Common, General and Intangible (CGI) Plant</t>
  </si>
  <si>
    <t>CMP30101</t>
  </si>
  <si>
    <t>ORGANIZATION - COMMON PLANT</t>
  </si>
  <si>
    <t>CMP30200</t>
  </si>
  <si>
    <t>FRANCHISES AND CONSENTS - COMMON PLANT</t>
  </si>
  <si>
    <t>CMP30301</t>
  </si>
  <si>
    <t>MISCELLANEOUS INTANGIBLE PLANT</t>
  </si>
  <si>
    <t>CMP30302</t>
  </si>
  <si>
    <t>SOFTWARE</t>
  </si>
  <si>
    <t>CMP30304</t>
  </si>
  <si>
    <t>SOFTWARE CIS</t>
  </si>
  <si>
    <t>CMP38901</t>
  </si>
  <si>
    <t>LAND - COMMON PLANT</t>
  </si>
  <si>
    <t>CMP38902</t>
  </si>
  <si>
    <t>CMP39000</t>
  </si>
  <si>
    <t>CMP39001</t>
  </si>
  <si>
    <t>COMM PLANT: LEASEHOLD IMPR</t>
  </si>
  <si>
    <t>CMP39101</t>
  </si>
  <si>
    <t xml:space="preserve">OFFICE MACHINES </t>
  </si>
  <si>
    <t>CMP39102</t>
  </si>
  <si>
    <t>PC HARDWARE</t>
  </si>
  <si>
    <t>CMP39103</t>
  </si>
  <si>
    <t>OFFICE FURNITURE AND EQUIPMENT</t>
  </si>
  <si>
    <t>CMP39104</t>
  </si>
  <si>
    <t>OFFICE MACHINES AND COMPUTER EQUIPMENT - CIS - FULLY ACCRUED</t>
  </si>
  <si>
    <t>CMP39201</t>
  </si>
  <si>
    <t>TRANSPORTATION EQUIPMENT - AIR</t>
  </si>
  <si>
    <t>CMP39202</t>
  </si>
  <si>
    <t>TRANSPORTATION EQUIPMENT - CLASS P</t>
  </si>
  <si>
    <t>CMP39203</t>
  </si>
  <si>
    <t>TRANSPORTATION EQUIPMENT - CLASS C2</t>
  </si>
  <si>
    <t>CMP39204</t>
  </si>
  <si>
    <t>TRANSPORTATION EQUIPMENT - CLASS C4</t>
  </si>
  <si>
    <t>CMP39205</t>
  </si>
  <si>
    <t xml:space="preserve">TRANSPORTATION EQUIPMENT - CLASS T1 </t>
  </si>
  <si>
    <t>CMP39206</t>
  </si>
  <si>
    <t>TRANSPORTATION EQUIPMENT - CLASS T3</t>
  </si>
  <si>
    <t>CMP39207</t>
  </si>
  <si>
    <t xml:space="preserve">TRANSPORTATION EQUIPMENT - CLASS T4 </t>
  </si>
  <si>
    <t>CMP39208</t>
  </si>
  <si>
    <t>TRANSPORTATION EQUIPMENT - VESSELS</t>
  </si>
  <si>
    <t>CMP39209</t>
  </si>
  <si>
    <t>TRANSPORTATION EQUIPMENT - TRAILERS</t>
  </si>
  <si>
    <t>CMP39300</t>
  </si>
  <si>
    <t>STORES EQUIPMENT</t>
  </si>
  <si>
    <t>CMP39400</t>
  </si>
  <si>
    <t>TOOLS, SHOP AND GARAGE EQUIPMENT</t>
  </si>
  <si>
    <t>CMP39500</t>
  </si>
  <si>
    <t>LABORATORY EQUIPMENT</t>
  </si>
  <si>
    <t>CMP39600</t>
  </si>
  <si>
    <t>POWER OPERATED EQUIPMENT</t>
  </si>
  <si>
    <t>CMP39701</t>
  </si>
  <si>
    <t>COMMUNICATION EQUIPMENT - NON-COMPUTER</t>
  </si>
  <si>
    <t>CMP39702</t>
  </si>
  <si>
    <t>COMMUNICATION EQUIPMENT - COMPUTER</t>
  </si>
  <si>
    <t>CMP39703</t>
  </si>
  <si>
    <t>COMMUNICATION EQUIPMENT - RADIO SYSTEMS</t>
  </si>
  <si>
    <t>CMP39704</t>
  </si>
  <si>
    <t>COMMUNICATION EQUIPMENT - VOICE SYSTEMS</t>
  </si>
  <si>
    <t>CMP39705</t>
  </si>
  <si>
    <t>COMMUNICATION EQUIPMENT - TRANSMISSION SYSTEMS</t>
  </si>
  <si>
    <t>CMP39706</t>
  </si>
  <si>
    <t>COMMUNICATION EQUIPMENT - TRANSMISSION SYSTEMS, GAS AMI</t>
  </si>
  <si>
    <t>CMP39707</t>
  </si>
  <si>
    <t>COMMUNICATION EQUIPMENT - TRANSMISSION SYSTEMS, ELECTRIC AMI</t>
  </si>
  <si>
    <t>CMP39708</t>
  </si>
  <si>
    <t>AMI COMMUNICATION NETWORK</t>
  </si>
  <si>
    <t>CMP39800</t>
  </si>
  <si>
    <t>MISCELLANEOUS EQUIPMENT</t>
  </si>
  <si>
    <t>CMP39900</t>
  </si>
  <si>
    <t>OTHER TANGIBLE PROPERTY</t>
  </si>
  <si>
    <t>EGP38901</t>
  </si>
  <si>
    <t>EGP38902</t>
  </si>
  <si>
    <t>EGP39000</t>
  </si>
  <si>
    <t>EGP39100</t>
  </si>
  <si>
    <t>EGP39400</t>
  </si>
  <si>
    <t>TOOLS, SHOP AND WORK EQUIPMENT</t>
  </si>
  <si>
    <t>EGP39500</t>
  </si>
  <si>
    <t>EGP39600</t>
  </si>
  <si>
    <t>EGP39700</t>
  </si>
  <si>
    <t>COMMUNICATION EQUIPMENT</t>
  </si>
  <si>
    <t>EGP39708</t>
  </si>
  <si>
    <t>EGP39800</t>
  </si>
  <si>
    <t>EIP30201</t>
  </si>
  <si>
    <t>FRANCHISES AND CONSENTS</t>
  </si>
  <si>
    <t>EIP30301</t>
  </si>
  <si>
    <t>USBR - LIMITED TERM ELECTRIC</t>
  </si>
  <si>
    <t>EIP30303</t>
  </si>
  <si>
    <t>COMPUTER SOFTWARE</t>
  </si>
  <si>
    <t>1) See CPUC Decision 20-12-005.  In the event the CPUC modifies these depreciation rates in the future, PG&amp;E will make a Section 205 filing and update the rates in the next Annual Update.</t>
  </si>
  <si>
    <t>1) Calculation of Materials and Supplies</t>
  </si>
  <si>
    <t>Materials and Supplies balances are recorded in FERC Account 154.</t>
  </si>
  <si>
    <t xml:space="preserve">Total </t>
  </si>
  <si>
    <t>Company</t>
  </si>
  <si>
    <t xml:space="preserve">Line </t>
  </si>
  <si>
    <t>Materials &amp; Supplies</t>
  </si>
  <si>
    <t>2) Calculation of Prepayments</t>
  </si>
  <si>
    <t>Prepaid property insurance is allocated to Electric Distribution (ED) based on plant ratios.  Prepaid liability insurance is allocated to ED based on a 50% plant, 50% labor ratio.  Other prepayments are allocated to ED based on the labor ratio.</t>
  </si>
  <si>
    <t>Data Source:</t>
  </si>
  <si>
    <t>FF1 111, L. 57, col c and d</t>
  </si>
  <si>
    <t>col 3 - col 4</t>
  </si>
  <si>
    <t xml:space="preserve">Less:  </t>
  </si>
  <si>
    <t>Detail of Adjusted Total Prepaids</t>
  </si>
  <si>
    <t>Total Prepayments</t>
  </si>
  <si>
    <t>Direct Assignments</t>
  </si>
  <si>
    <t>Adjusted Total</t>
  </si>
  <si>
    <t>Property Insurance</t>
  </si>
  <si>
    <t>Liability Insurance</t>
  </si>
  <si>
    <t>Misc.</t>
  </si>
  <si>
    <t>50% Plant / 50%</t>
  </si>
  <si>
    <t>Allocation Method to Electric Distribution</t>
  </si>
  <si>
    <t>Plant Ratio</t>
  </si>
  <si>
    <t>Labor Average</t>
  </si>
  <si>
    <t>Labor Ratio</t>
  </si>
  <si>
    <t>Allocation Factor</t>
  </si>
  <si>
    <t>24-Allocators, L. 116, L. 120, L. 113</t>
  </si>
  <si>
    <t>a)  13 Month Avg Calculation</t>
  </si>
  <si>
    <t>Allocated Prepayments</t>
  </si>
  <si>
    <t>b)  EOY Calculation</t>
  </si>
  <si>
    <t xml:space="preserve">Note 1:   Materials and Supplies month-end balances are extracted from SAP by querying by General Ledger (GL) Account. December balances are from FF1 227, L. 12, cols b and c. </t>
  </si>
  <si>
    <t>Note 2:   PG&amp;E's supply chain management team uses specific material codes to assign recorded inventory balances to Electric Distribution.</t>
  </si>
  <si>
    <t>Note 3:   PG&amp;E conducted a query of the subaccounts of General Ledger (GL) Account 165 and removed all prepayments that are directly assigned to PG&amp;E's Generation department in col 4.</t>
  </si>
  <si>
    <t>Note 4:   PG&amp;E conducted a query of GL Acct 165 for prepaid amounts related to A&amp;G account 924 property insurance and reflected the month-end recorded balances in col 6.</t>
  </si>
  <si>
    <t>Note 5:   PG&amp;E conducted a query of GL Acct 165 for prepaid amounts related to A&amp;G account 925 general liability insurance and reflected the month-end recorded balances in col 7.</t>
  </si>
  <si>
    <t>Note 6:   PG&amp;E conducted a query of GL Acct 165 for other prepaid amounts consisting of Acct 308.1 excise taxes, property taxes and miscellaneous and reflected the</t>
  </si>
  <si>
    <t>month-end recorded balances in col 8.</t>
  </si>
  <si>
    <t>Debit balances are positive, Credit balances are negative</t>
  </si>
  <si>
    <t>1) Summary of Accumulated Deferred Income Taxes</t>
  </si>
  <si>
    <t>a) End of Year Accumulated Deferred Income Taxes</t>
  </si>
  <si>
    <t>Account</t>
  </si>
  <si>
    <t>Total Recorded ADIT</t>
  </si>
  <si>
    <t>Account 190</t>
  </si>
  <si>
    <t>Account 282</t>
  </si>
  <si>
    <t>Account 283</t>
  </si>
  <si>
    <t>Account 255</t>
  </si>
  <si>
    <t>Total Accumulated Deferred Income Taxes</t>
  </si>
  <si>
    <t>b) Beginning of Year Accumulated Deferred Income Taxes</t>
  </si>
  <si>
    <t>BOY ADIT</t>
  </si>
  <si>
    <t>WP_14-ADIT 1, L. 100, col 7</t>
  </si>
  <si>
    <t>c) Average of Beginning and End of Year Accumulated Deferred Income Taxes</t>
  </si>
  <si>
    <t>Average ADIT</t>
  </si>
  <si>
    <t>Weighted Average ADIT:</t>
  </si>
  <si>
    <t>2) Account 190 Detail</t>
  </si>
  <si>
    <t>END BAL per G/L</t>
  </si>
  <si>
    <t>Gas, Generation</t>
  </si>
  <si>
    <t xml:space="preserve">Plant Related </t>
  </si>
  <si>
    <t>Labor Related</t>
  </si>
  <si>
    <t>ACCT 190</t>
  </si>
  <si>
    <t>DESCRIPTION</t>
  </si>
  <si>
    <t>Sum Col 3 to Col 6</t>
  </si>
  <si>
    <t>or Other Related</t>
  </si>
  <si>
    <t>EDP Only</t>
  </si>
  <si>
    <t>Electric:</t>
  </si>
  <si>
    <t>Environmental</t>
  </si>
  <si>
    <t>Gas and Other Non-EDP Related Costs</t>
  </si>
  <si>
    <t>WP_14-ADIT 2, L. 100, Col 2</t>
  </si>
  <si>
    <t>Compensation</t>
  </si>
  <si>
    <t>WP_14-ADIT 2, L. 101, Col 2</t>
  </si>
  <si>
    <t>Vacation Timing Differences</t>
  </si>
  <si>
    <t>Relates to all Regulated Electric Property</t>
  </si>
  <si>
    <t>WP_14-ADIT 2, L. 102, Col 2</t>
  </si>
  <si>
    <t>Contributions In Aid of Construction (CIAC)</t>
  </si>
  <si>
    <t>WP_14-ADIT 2, L. 103, Col 2</t>
  </si>
  <si>
    <t>Injuries and Damages</t>
  </si>
  <si>
    <t>WP_14-ADIT 2, L. 104, Col 2</t>
  </si>
  <si>
    <t>California Corporation Franchise Tax</t>
  </si>
  <si>
    <t>WP_14-ADIT 2, L. 105, Col 2</t>
  </si>
  <si>
    <t>Net Operating Losses Deferred Taxes</t>
  </si>
  <si>
    <t>Property-Related EDP Costs</t>
  </si>
  <si>
    <t>WP_14-ADIT 2, L. 106, Col 2 and WP_14-ADIT 3, L. 113</t>
  </si>
  <si>
    <t>ITC FAS 109 Deferred Taxes</t>
  </si>
  <si>
    <t>WP_14-ADIT 2, L. 107, Col 2</t>
  </si>
  <si>
    <t>Property Tax Timing Differences</t>
  </si>
  <si>
    <t>WP_14-ADIT 2, L. 108, Col 2</t>
  </si>
  <si>
    <t>Other</t>
  </si>
  <si>
    <t>WP_14-ADIT 2, L. 109, Col 2</t>
  </si>
  <si>
    <t>Total Account 190</t>
  </si>
  <si>
    <t>Allocation Factors (Plant and Wages)</t>
  </si>
  <si>
    <t>24-Allocators, L. 119, 112</t>
  </si>
  <si>
    <t>Total Account 190 ADIT</t>
  </si>
  <si>
    <t>(Sum of amounts in Columns 4 to 6)</t>
  </si>
  <si>
    <t>FERC Form 1 Account 190</t>
  </si>
  <si>
    <t>FF1 234, L. 18, col c</t>
  </si>
  <si>
    <t>3) Account 282 Detail</t>
  </si>
  <si>
    <t>Plant Related</t>
  </si>
  <si>
    <t>Labor</t>
  </si>
  <si>
    <t>ACCT 282</t>
  </si>
  <si>
    <t>Related</t>
  </si>
  <si>
    <t xml:space="preserve">Fully Normalized Deferred Tax </t>
  </si>
  <si>
    <t>WP_14-ADIT 4, L. 103, Col 2</t>
  </si>
  <si>
    <t>Property/Non-EDP</t>
  </si>
  <si>
    <t>Property-Related CPUC Costs</t>
  </si>
  <si>
    <t xml:space="preserve">Common Plant </t>
  </si>
  <si>
    <t>Property-Related Total Company Costs</t>
  </si>
  <si>
    <t>Property - Off System DFIT for Repairs Section 481(a)</t>
  </si>
  <si>
    <t>Property/ISO (Abandoned Plant)</t>
  </si>
  <si>
    <t>WP_14-ADIT 6, L. 101, Col 6</t>
  </si>
  <si>
    <t>Total Account 282</t>
  </si>
  <si>
    <t>24-Allocators, L. 116, 113</t>
  </si>
  <si>
    <t>Total Account 282 ADIT</t>
  </si>
  <si>
    <t>FERC Form 1 Account 282</t>
  </si>
  <si>
    <t>FF1 275, L. 9, col k</t>
  </si>
  <si>
    <t>Not Used</t>
  </si>
  <si>
    <t>4) Account 283 Detail</t>
  </si>
  <si>
    <t>ACCT 283</t>
  </si>
  <si>
    <t>Loss on Reaquired Debt</t>
  </si>
  <si>
    <t>FF1 277, L. 3 + L. 11, col k</t>
  </si>
  <si>
    <t>Balancing Accounts</t>
  </si>
  <si>
    <t>Relates Entirely to CPUC Balancing Account Recovery</t>
  </si>
  <si>
    <t>FF1 277, L. 4 + L. 12, col k</t>
  </si>
  <si>
    <t>FF1 277, L. 5 + L. 14 + L.18, col k</t>
  </si>
  <si>
    <t>Total Account 283</t>
  </si>
  <si>
    <t>24-Allocators, Lines 116, 113</t>
  </si>
  <si>
    <t>Total Account 283 ADIT</t>
  </si>
  <si>
    <t>FERC Form 1 Account 283</t>
  </si>
  <si>
    <t>Must match amount on Line 404 Col 2</t>
  </si>
  <si>
    <t>FF1 277, L. 19, col k</t>
  </si>
  <si>
    <t>5) Account 255 Detail</t>
  </si>
  <si>
    <t>ACCT 255</t>
  </si>
  <si>
    <t>Investment Tax Credits</t>
  </si>
  <si>
    <t>WP_14-ADIT 7, L. 105, Col 6</t>
  </si>
  <si>
    <t>Investment Tax Credits - Common</t>
  </si>
  <si>
    <t>Property-Related Costs</t>
  </si>
  <si>
    <t>WP_14-ADIT 7, L. 100 + L. 101, col 6</t>
  </si>
  <si>
    <t>Investment Tax Credits -Other</t>
  </si>
  <si>
    <t>Total Electric 255</t>
  </si>
  <si>
    <t>Total Account 255 ADIT</t>
  </si>
  <si>
    <t>FERC Form 1 Account 255</t>
  </si>
  <si>
    <t>FF1 267, L. 8 + L. 13, col h</t>
  </si>
  <si>
    <t>6) Tax Normalization Calculation Pursuant to Treas. Reg §1.167(l)-1(h)(6); PLR 9313008; 9202029; 922404; 201717008</t>
  </si>
  <si>
    <t>See Note 1</t>
  </si>
  <si>
    <t>See Note 2</t>
  </si>
  <si>
    <t>Col 5 / Tot. Days</t>
  </si>
  <si>
    <t>= Col 2 * Col 6</t>
  </si>
  <si>
    <t>Prior Month Col 8 + Col 7</t>
  </si>
  <si>
    <t>Mthly Deferred</t>
  </si>
  <si>
    <t xml:space="preserve">Deferred </t>
  </si>
  <si>
    <t>Number of Days</t>
  </si>
  <si>
    <t>Prorata</t>
  </si>
  <si>
    <t xml:space="preserve">Monthly </t>
  </si>
  <si>
    <t>Annual Accumulated</t>
  </si>
  <si>
    <t>Future Test Period</t>
  </si>
  <si>
    <t>Tax Amount</t>
  </si>
  <si>
    <t>Tax Balance</t>
  </si>
  <si>
    <t>Days in Month</t>
  </si>
  <si>
    <t>Left in Period</t>
  </si>
  <si>
    <t>Percentages</t>
  </si>
  <si>
    <t>Prorata Amounts</t>
  </si>
  <si>
    <t>Prorata Calculation</t>
  </si>
  <si>
    <t>Beginning Deferred Tax Balance (Line 105, Col. 2)</t>
  </si>
  <si>
    <t>Ending Balance</t>
  </si>
  <si>
    <t>Weighted Average ADIT Balance:</t>
  </si>
  <si>
    <t>1) The monthly deferred tax amounts are equal to the ending ADIT balance minus the beginning ADIT balance, divided by 12 months.</t>
  </si>
  <si>
    <t>2) For January through December = previous month balance plus amount in col 2.</t>
  </si>
  <si>
    <t>3) FERC Account 190 amounts are coming from FERC Form 1, which lists Electric and Gas amounts separately.  For the amounts listed on 14-ADIT, PG&amp;E uses Electric amounts whenever possible.</t>
  </si>
  <si>
    <t>4) FERC Account 282 and Account 255 amounts are coming from PG&amp;E's tax fixed asset software system (PowerTax).   PowerTax common amounts are on a total company basis.</t>
  </si>
  <si>
    <t>Loss Factors</t>
  </si>
  <si>
    <t>FUNCTIONALIZED SYSTEM AVERAGE LOSS FACTORS</t>
  </si>
  <si>
    <t>Demand Loss Factors</t>
  </si>
  <si>
    <t>Energy Loss Factors</t>
  </si>
  <si>
    <t xml:space="preserve">Meter to </t>
  </si>
  <si>
    <t xml:space="preserve">Generation </t>
  </si>
  <si>
    <t>TRANSMISSION (Note 1)</t>
  </si>
  <si>
    <t>Generation</t>
  </si>
  <si>
    <t>to Meter</t>
  </si>
  <si>
    <t>Generation Tie Output (High Voltage Input)</t>
  </si>
  <si>
    <t>High Voltage Output (Low Voltage Input)</t>
  </si>
  <si>
    <t>Low Voltage Output (Primary Distn. Input)</t>
  </si>
  <si>
    <t>DISTRIBUTION (Note 2)</t>
  </si>
  <si>
    <t>Primary Output (Secondary Input)</t>
  </si>
  <si>
    <t>Secondary Output</t>
  </si>
  <si>
    <r>
      <rPr>
        <b/>
        <sz val="11"/>
        <color theme="1"/>
        <rFont val="Calibri"/>
        <family val="2"/>
        <scheme val="minor"/>
      </rPr>
      <t>Note 1:</t>
    </r>
    <r>
      <rPr>
        <sz val="11"/>
        <color theme="1"/>
        <rFont val="Calibri"/>
        <family val="2"/>
        <scheme val="minor"/>
      </rPr>
      <t xml:space="preserve"> Transmission Loss Factors are from the "Transmission Loss Factors Study", dated May 14, 2010 and from the "TO-14_TandD_LossFactors.xlsx" worksheet.</t>
    </r>
  </si>
  <si>
    <r>
      <rPr>
        <b/>
        <sz val="11"/>
        <color theme="1"/>
        <rFont val="Calibri"/>
        <family val="2"/>
        <scheme val="minor"/>
      </rPr>
      <t>Note 2:</t>
    </r>
    <r>
      <rPr>
        <sz val="11"/>
        <color theme="1"/>
        <rFont val="Calibri"/>
        <family val="2"/>
        <scheme val="minor"/>
      </rPr>
      <t xml:space="preserve"> Distribution Loss Factors are from the "Distribution Loss Values for theTO-8 Filing" study, updated for TO14, and from the "TO-14_TandD_LossFactors.xlsx" worksheet.</t>
    </r>
  </si>
  <si>
    <t>The Formula Rate shall include a credit to rate base for unfunded reserves, defined as funds (1) included in the revenue requirement or otherwise recovered from customers (2) in advance of expenditure that (3) have not been set aside in a trust, escrow or restricted account.  Reserves shall be included in rate base only to the extent that the reserves are customer-contributed capital or offsets to other rate base amounts for which the utility has not expended investor capital.  For the avoidance of doubt, unfunded reserves includes capitalized amounts for which PG&amp;E has not made corresponding cash expenditures.  "In advance of expenditure" is defined as one accounting period or longer prior to expenditure as "accounting period" is used to define prepayments in rate base.  Unfunded reserves shall be allocated to rate base on the same basis that the utlity recovers the underlying accrual through the Formula Rate.</t>
  </si>
  <si>
    <t>1)  Summary of Unfunded Reserves Average Balances</t>
  </si>
  <si>
    <t>Sum of 13-Month Averages</t>
  </si>
  <si>
    <t>Col 2, Line 200 + Line 300</t>
  </si>
  <si>
    <t>Sum of EOY Values</t>
  </si>
  <si>
    <t>Col 1, Line 200 + Line 300</t>
  </si>
  <si>
    <t>2)  Calculation of Allocated Accrued Vacation</t>
  </si>
  <si>
    <t>Instructions: Enter values as negatives.</t>
  </si>
  <si>
    <t>EOY</t>
  </si>
  <si>
    <t>Allocated Accrued Vacation</t>
  </si>
  <si>
    <t xml:space="preserve"> Line 219</t>
  </si>
  <si>
    <t>Description/Period</t>
  </si>
  <si>
    <t>Monthly Value</t>
  </si>
  <si>
    <t>13-Month Average Company Accrued Vacation Liability</t>
  </si>
  <si>
    <t>Less:  Accounting Adjustment</t>
  </si>
  <si>
    <t>Net Accrued Vacation (13-Month Average)</t>
  </si>
  <si>
    <t>Line 214 + Line 215</t>
  </si>
  <si>
    <t>Net Accrued Vacation (EOY)</t>
  </si>
  <si>
    <t>Line 213 + Line 215</t>
  </si>
  <si>
    <t>Labor Allocation Factor</t>
  </si>
  <si>
    <t>EOY &gt;&gt;</t>
  </si>
  <si>
    <t>Line 216 * Line 218</t>
  </si>
  <si>
    <t>3)  Calculation of Allocated Preferred Stock Dividends Payable</t>
  </si>
  <si>
    <t>Allocated Preferred Stock Dividends Payable</t>
  </si>
  <si>
    <t>Line 316</t>
  </si>
  <si>
    <t>13-Month Average Dividends Declared-Preferred Stock (Acct. 437)</t>
  </si>
  <si>
    <t>Electric Plant over Total Plant</t>
  </si>
  <si>
    <t>24-Allocators, Line 116</t>
  </si>
  <si>
    <t>Line 314 * Line 315 (see Note 3)</t>
  </si>
  <si>
    <t>4)  Other Unfunded Reserves</t>
  </si>
  <si>
    <t>Instructions: Add any new categories of unfunded reserves (as defined at the top of this schedule) to the gold shaded cells below. Add more categories as needed.</t>
  </si>
  <si>
    <t>Other Unfunded Reserves</t>
  </si>
  <si>
    <t>Line 417</t>
  </si>
  <si>
    <t>Allocations</t>
  </si>
  <si>
    <r>
      <rPr>
        <b/>
        <sz val="11"/>
        <rFont val="Calibri"/>
        <family val="2"/>
        <scheme val="minor"/>
      </rPr>
      <t>Note 1:</t>
    </r>
    <r>
      <rPr>
        <sz val="11"/>
        <rFont val="Calibri"/>
        <family val="2"/>
        <scheme val="minor"/>
      </rPr>
      <t xml:space="preserve">  PG&amp;E conducted a query of GL Acct 2420024 Accrued Vacation Liability and reflected the beginning-of-year (BOY) and end-of-year (EOY) recorded balances in col 1 and col 2.</t>
    </r>
  </si>
  <si>
    <r>
      <rPr>
        <b/>
        <sz val="11"/>
        <rFont val="Calibri"/>
        <family val="2"/>
        <scheme val="minor"/>
      </rPr>
      <t>Note 2:</t>
    </r>
    <r>
      <rPr>
        <sz val="11"/>
        <rFont val="Calibri"/>
        <family val="2"/>
        <scheme val="minor"/>
      </rPr>
      <t xml:space="preserve">  The amount of $47,500,000 represents a one-time accounting adjustment to increase the vacation accrual that was never reflected in operating expenses, never recovered from customers and was instead absorbed by shareholders.  Per the Second Partial Settlement, for Rate Year 2021 100% of the adjustment is applied, for Rate Year 2022, 70% is applied, for Rate Year 2023, 30% is applied, and for Rate Year 2024 and beyond, 0% is applied.</t>
    </r>
  </si>
  <si>
    <r>
      <rPr>
        <b/>
        <sz val="11"/>
        <rFont val="Calibri"/>
        <family val="2"/>
        <scheme val="minor"/>
      </rPr>
      <t>Note 3:</t>
    </r>
    <r>
      <rPr>
        <sz val="11"/>
        <rFont val="Calibri"/>
        <family val="2"/>
        <scheme val="minor"/>
      </rPr>
      <t xml:space="preserve">  During PG&amp;E's Chapter 11 bankruptcy, filed on January 29, 2019, and until preferred stock dividends resume, the company will treat monies collected to cover preferred stock costs as unfunded reserves for ratemaking purposes.</t>
    </r>
  </si>
  <si>
    <t>2420160 - Misc Curr &amp; Accrued Liab-Franchise Requiremnt Accr</t>
  </si>
  <si>
    <t>Other Regulatory Assets and Liabilities are a component of Rate Base representing costs that have been</t>
  </si>
  <si>
    <t>deferred to a future period and recorded in Other Regulatory Assets (Account 182.3) and Regulatory Liabilities</t>
  </si>
  <si>
    <t>(Account 254).  This Schedule does not include Abandoned Plant costs recovered through Schedule 8.</t>
  </si>
  <si>
    <t xml:space="preserve">PG&amp;E will include a non-zero amount of Other Regulatory Assets and Liabilities only with Commission </t>
  </si>
  <si>
    <t>approval received subsequent to a PG&amp;E Section 205 filing requesting such treatment.</t>
  </si>
  <si>
    <t xml:space="preserve">Amortization and Regulatory Debits and Credits are costs of revenues that are approved for recovery from or </t>
  </si>
  <si>
    <t>return to customers in this formula distribution rate.  Approved costs are amortized as expenses or revenue</t>
  </si>
  <si>
    <t xml:space="preserve">in the DRR, consistent with a Commission Order.  </t>
  </si>
  <si>
    <t>1) Calculation of Regulatory Assets and Liabilities and Amortization of Debits and Credits</t>
  </si>
  <si>
    <t>1) Upon Commission approval of recovery of Other Regulatory Assets and Liabilities, Amortization and</t>
  </si>
  <si>
    <t>Regulatory Debits and Credits costs through this formula wholesale distribution rate:</t>
  </si>
  <si>
    <t>a) Fill in Description for issue in above table.</t>
  </si>
  <si>
    <t>b) Enter costs in columns 1-3 in above table for the applicable Prior Year.</t>
  </si>
  <si>
    <t>2) Insert additional lines as necessary for additional issues.</t>
  </si>
  <si>
    <t>Calculation or Source</t>
  </si>
  <si>
    <t>Other Regulatory Assets and Liabilities (EOY):</t>
  </si>
  <si>
    <t>Line 103, col 2</t>
  </si>
  <si>
    <t>Other Regulatory Assets and Liabilities (BOY/EOY average):</t>
  </si>
  <si>
    <t>Avg. of Line 103 col 1 and col 2</t>
  </si>
  <si>
    <t>Amortization and Regulatory Debits and Credits:</t>
  </si>
  <si>
    <t>Line 103, col 3</t>
  </si>
  <si>
    <t>col 1</t>
  </si>
  <si>
    <t>col 2</t>
  </si>
  <si>
    <t>col 3</t>
  </si>
  <si>
    <t>Description of Issue</t>
  </si>
  <si>
    <t>BOY</t>
  </si>
  <si>
    <t>Amortization or</t>
  </si>
  <si>
    <t xml:space="preserve">  Commission Order</t>
  </si>
  <si>
    <t>Resulting in Other Regulatory</t>
  </si>
  <si>
    <t>Other Reg</t>
  </si>
  <si>
    <t>Regulatory</t>
  </si>
  <si>
    <t xml:space="preserve"> Granting Approval of </t>
  </si>
  <si>
    <t>Asset/Liability</t>
  </si>
  <si>
    <t>Debit/Credit</t>
  </si>
  <si>
    <t xml:space="preserve">  Regulatory Liability</t>
  </si>
  <si>
    <t>Sum of below</t>
  </si>
  <si>
    <t>Issue #1</t>
  </si>
  <si>
    <t>Issue #2</t>
  </si>
  <si>
    <t>Issue #3</t>
  </si>
  <si>
    <t>2) Unamortized Excess ADIT and Tax Normalization Calculation Pursuant to Treas. Reg §1.167(l)-1(h)(6); PLR 9313008; 9202029; 922404; 201717008</t>
  </si>
  <si>
    <t>BOY Unamortized Excess Federal Accumulated Deferred Income Taxes</t>
  </si>
  <si>
    <t>17-RegAssets-2, L. 109, Col 17 (zero in 2017 only)</t>
  </si>
  <si>
    <t>EOY Unamortized Excess Federal Accumulated Deferred Income Taxes</t>
  </si>
  <si>
    <t>17-RegAssets-2, L. 109, Col 24</t>
  </si>
  <si>
    <t>Weighted Average ADIT Balance</t>
  </si>
  <si>
    <t>Line 217, Col 8</t>
  </si>
  <si>
    <t>Beginning Deferred Tax Balance (Line 200)</t>
  </si>
  <si>
    <t>Note 1: The monthly deferred tax amounts are equal to the ending ADIT balance minus the beginning ADIT balance, divided by 12 months.</t>
  </si>
  <si>
    <t>Note 2: For January through December = previous month balance plus amount in col 2.</t>
  </si>
  <si>
    <r>
      <t xml:space="preserve">Amortization of (Excess)/Deficient Deferred Federal </t>
    </r>
    <r>
      <rPr>
        <b/>
        <sz val="9.35"/>
        <rFont val="Calibri"/>
        <family val="2"/>
      </rPr>
      <t>and State</t>
    </r>
    <r>
      <rPr>
        <b/>
        <sz val="11"/>
        <rFont val="Calibri"/>
        <family val="2"/>
        <scheme val="minor"/>
      </rPr>
      <t xml:space="preserve"> Income Taxes (Note 1)</t>
    </r>
  </si>
  <si>
    <t>Order 864 Permanent Worksheet(s) Category 1 Information</t>
  </si>
  <si>
    <t>Category 2 Information</t>
  </si>
  <si>
    <t>Category 3 Information</t>
  </si>
  <si>
    <t>Category 5 Information</t>
  </si>
  <si>
    <t>Category 4 Information</t>
  </si>
  <si>
    <t>Col 0</t>
  </si>
  <si>
    <t>Col 1 - Col 2</t>
  </si>
  <si>
    <t>Sum Col 5 to Col 7</t>
  </si>
  <si>
    <t>PRIOR PERIOD AMORTIZATION OF (EXCESS)DEFICIENT FEDERAL ACCUMULATED DEFERRED INCOME TAXES</t>
  </si>
  <si>
    <t>Col 5 - Col 10</t>
  </si>
  <si>
    <t>Col 6 - Col 11</t>
  </si>
  <si>
    <t>Col 7 - Col 12</t>
  </si>
  <si>
    <t>Sum Col 14 to Col 16</t>
  </si>
  <si>
    <t>CURRENT PERIOD AMORTIZATION OF (EXCESS)DEFICIENT FEDERAL ACCUMULATED DEFERRED INCOME TAXES</t>
  </si>
  <si>
    <t>Col 14 - Col 18</t>
  </si>
  <si>
    <t>Col 15 - Col 19</t>
  </si>
  <si>
    <t>Col 16 - Col 20</t>
  </si>
  <si>
    <t>Sum Col 21 to Col 23</t>
  </si>
  <si>
    <t>Col 24 x Gross-up</t>
  </si>
  <si>
    <t>Originating</t>
  </si>
  <si>
    <t xml:space="preserve">Originating </t>
  </si>
  <si>
    <t xml:space="preserve">ADIT Balance </t>
  </si>
  <si>
    <t>Remeasurement</t>
  </si>
  <si>
    <t>(Excess)/Deficient ADIT</t>
  </si>
  <si>
    <t>UNAMORTIZED (EXCESS)DEFICIENT FEDERAL ACCUMULATED DEFERRED INCOME TAXES</t>
  </si>
  <si>
    <t>Amortization</t>
  </si>
  <si>
    <t>UNAMORTIZED (EXCESS)DEFICIENT FEDERAL ACCUMULATED DEFERRED INCOME TAXES - BEGINNING BALANCE</t>
  </si>
  <si>
    <t>UNAMORTIZED (EXCESS)DEFICIENT FEDERAL ACCUMULATED DEFERRED INCOME TAXES - ENDING BALANCE</t>
  </si>
  <si>
    <t>(Excess)/Deficient</t>
  </si>
  <si>
    <t>Timing</t>
  </si>
  <si>
    <t>Prior to TCJA</t>
  </si>
  <si>
    <t>ADIT Balance</t>
  </si>
  <si>
    <t>Note F</t>
  </si>
  <si>
    <t>Beg Bal</t>
  </si>
  <si>
    <t>Expense</t>
  </si>
  <si>
    <t>ADIT Amortization</t>
  </si>
  <si>
    <t>End Bal</t>
  </si>
  <si>
    <t>Note H</t>
  </si>
  <si>
    <t>ADIT Recorded</t>
  </si>
  <si>
    <t>Difference</t>
  </si>
  <si>
    <t>@ 35% FIT</t>
  </si>
  <si>
    <t>@ 21% FIT</t>
  </si>
  <si>
    <t xml:space="preserve">PROTECTED </t>
  </si>
  <si>
    <t>UNPROTECTED</t>
  </si>
  <si>
    <t>Period</t>
  </si>
  <si>
    <t>Recorded</t>
  </si>
  <si>
    <t>Including Gross-up of</t>
  </si>
  <si>
    <t>Acct 182.3 / Acct 254</t>
  </si>
  <si>
    <t>FIXED ASSETS</t>
  </si>
  <si>
    <t>NON FIXED ASSETS</t>
  </si>
  <si>
    <t>TOTALS</t>
  </si>
  <si>
    <t>ARAM/ARL/Years</t>
  </si>
  <si>
    <t>Acct 410.1 / Acct 411.1</t>
  </si>
  <si>
    <t>Method Life</t>
  </si>
  <si>
    <t>Note A</t>
  </si>
  <si>
    <t>Acct # 282</t>
  </si>
  <si>
    <t>Acct # 254</t>
  </si>
  <si>
    <t>ARAM</t>
  </si>
  <si>
    <t>Acct # 411.1</t>
  </si>
  <si>
    <t>Fixed Assets Book Tax Basis Differences</t>
  </si>
  <si>
    <t>Note C</t>
  </si>
  <si>
    <t>130 Months (Note G and I)</t>
  </si>
  <si>
    <t>Non Fixed Assets Book Tax Basis Differences</t>
  </si>
  <si>
    <t>Note D</t>
  </si>
  <si>
    <t>Acct # 190/ # 282</t>
  </si>
  <si>
    <t>Acct # 182.3</t>
  </si>
  <si>
    <t>Acct # 410.1</t>
  </si>
  <si>
    <t>Non Fixed Asset Book Tax Differences</t>
  </si>
  <si>
    <t>Net Operating Loss Carryover</t>
  </si>
  <si>
    <t>Note E</t>
  </si>
  <si>
    <t>Acct # 190</t>
  </si>
  <si>
    <t>Adjustments to December 31, 2017 Amounts</t>
  </si>
  <si>
    <t>ADIT Item 1</t>
  </si>
  <si>
    <t>Repairs on System</t>
  </si>
  <si>
    <t>Total Including Adjustments</t>
  </si>
  <si>
    <t>Details of ADIT</t>
  </si>
  <si>
    <t xml:space="preserve">  Total Method Life</t>
  </si>
  <si>
    <t>FERC CA Method/Life</t>
  </si>
  <si>
    <t>Includes Cost of Removal</t>
  </si>
  <si>
    <t>FERC Fed Method/Life</t>
  </si>
  <si>
    <t>FERC St Off Method/Life</t>
  </si>
  <si>
    <t>Total Fixed Assets Book Tax Basis Differences</t>
  </si>
  <si>
    <t>FERC Audit Adjustment</t>
  </si>
  <si>
    <t>130 Months</t>
  </si>
  <si>
    <t>FERC Fed 1033 Involuntary Conv</t>
  </si>
  <si>
    <t>FERC Fed 263a F&amp;C 2014</t>
  </si>
  <si>
    <t>FERC Fed 263a F&amp;C Fed</t>
  </si>
  <si>
    <t>FERC Fed AFUDC Equity</t>
  </si>
  <si>
    <t>FERC Fed Audit Adj Bonus</t>
  </si>
  <si>
    <t>FERC Fed Casualty Loss 2008</t>
  </si>
  <si>
    <t>FERC Fed CIAC</t>
  </si>
  <si>
    <t>FERC Fed COR Fed</t>
  </si>
  <si>
    <t>FERC Fed ITC Basis Red</t>
  </si>
  <si>
    <t>FERC Fed Other Book Only</t>
  </si>
  <si>
    <t>FERC Fed Overheads</t>
  </si>
  <si>
    <t>FERC Fed Repair 2014</t>
  </si>
  <si>
    <t>FERC Fed Repair 2014 Fed</t>
  </si>
  <si>
    <t>FERC Fed Repair Allow</t>
  </si>
  <si>
    <t>FERC Fed Repair Fed</t>
  </si>
  <si>
    <t>FERC Fed Software</t>
  </si>
  <si>
    <t>FERC Fed Software CA NO</t>
  </si>
  <si>
    <t>FERC Fed Software FT-</t>
  </si>
  <si>
    <t>FERC Fed TOA Capitalization</t>
  </si>
  <si>
    <t>FERC Fed TOA Capitalization CA Norm</t>
  </si>
  <si>
    <t>FERC Fed TOA Software Other</t>
  </si>
  <si>
    <t>FERC Reg Plant Disallowance</t>
  </si>
  <si>
    <t>FERC St Off 1033 Involuntary Conv</t>
  </si>
  <si>
    <t>FERC St Off 263a F&amp;C 2014</t>
  </si>
  <si>
    <t>FERC St Off 263a F&amp;C CA</t>
  </si>
  <si>
    <t>FERC St Off 263a F&amp;C Fed</t>
  </si>
  <si>
    <t>FERC St Off AFUDC Equity</t>
  </si>
  <si>
    <t>FERC St Off AFUDC Equity CA</t>
  </si>
  <si>
    <t>FERC St Off Audit Adjustment</t>
  </si>
  <si>
    <t>FERC St Off Audit Adjustment CA</t>
  </si>
  <si>
    <t>FERC St Off Casualty Loss 2008</t>
  </si>
  <si>
    <t>FERC St Off CIAC</t>
  </si>
  <si>
    <t>FERC St Off COR Fed</t>
  </si>
  <si>
    <t>FERC St Off ITC Basis Red</t>
  </si>
  <si>
    <t>FERC St Off ITC Basis Red CA</t>
  </si>
  <si>
    <t>FERC St Off Other Book Only</t>
  </si>
  <si>
    <t>FERC St Off Overheads</t>
  </si>
  <si>
    <t>FERC St Off Overheads CA</t>
  </si>
  <si>
    <t>FERC St Off Reg Plant Disallow Fed</t>
  </si>
  <si>
    <t>FERC St Off Repair 2014</t>
  </si>
  <si>
    <t>FERC St Off Repair 2014 CA</t>
  </si>
  <si>
    <t>FERC St Off Repair 2014 Fed</t>
  </si>
  <si>
    <t>FERC St Off Repair Allow</t>
  </si>
  <si>
    <t>FERC St Off Repair Allow CA</t>
  </si>
  <si>
    <t>FERC St Off Repair CA</t>
  </si>
  <si>
    <t>FERC St Off Repair Fed</t>
  </si>
  <si>
    <t>FERC St Off Software</t>
  </si>
  <si>
    <t>FERC St Off Software CA NO</t>
  </si>
  <si>
    <t>FERC St Off Software FT-</t>
  </si>
  <si>
    <t>FERC St Off TOA Capital CA Norm</t>
  </si>
  <si>
    <t>FERC St Off TOA Capitaliz CA</t>
  </si>
  <si>
    <t>FERC St Off TOA Capitalization</t>
  </si>
  <si>
    <t>FERC St Off TOA Other CA</t>
  </si>
  <si>
    <t>FERC St Off TOA Software Other</t>
  </si>
  <si>
    <t>Total Non Fixed Assets Book Tax Basis Differences</t>
  </si>
  <si>
    <t>Vacation Pay Timing Differences</t>
  </si>
  <si>
    <t>12 Months</t>
  </si>
  <si>
    <t>402a</t>
  </si>
  <si>
    <t>Property Tax - Correction of 2017 FERC Form 1 Error</t>
  </si>
  <si>
    <t>FERC Fed AFUDC Debt</t>
  </si>
  <si>
    <t>FERC Fed FAS34 Cap Int</t>
  </si>
  <si>
    <t>FERC Fed Sec 263a Cap Int</t>
  </si>
  <si>
    <t>FERC St Off AFUDC Debt</t>
  </si>
  <si>
    <t>FERC St Off FAS34 Cap Int</t>
  </si>
  <si>
    <t>FERC St Off Sec 263a Cap Int</t>
  </si>
  <si>
    <t>Acct # 255</t>
  </si>
  <si>
    <t>Total Non Fixed Asset Book Tax Differences</t>
  </si>
  <si>
    <t xml:space="preserve">   Net Operating Loss Deferred Taxes</t>
  </si>
  <si>
    <t>FERC Fed 2017 481a Adj</t>
  </si>
  <si>
    <t>FERC Fed 2017 481a Bon Add Back</t>
  </si>
  <si>
    <t>FERC Fed St Off 2017 481a Adj CA</t>
  </si>
  <si>
    <t>This Schedule 17-RegAsset-2 reflects the federal income tax rate change due to the Tax Cuts and Job Act (TCJA).  This Schedule will be replicated for each tax rate change after the TCJA (see 17-RegAsset-3).</t>
  </si>
  <si>
    <t>Reflects the deferred tax liability (DTL) for the difference between book and tax depreciation methods and depreciable lives on plant capitalized for both book and tax.  Method life is a protected timing difference.</t>
  </si>
  <si>
    <t>Note B</t>
  </si>
  <si>
    <t>Reflects the deferred tax asset (DTA) difference between the book accrual and actual spending for cost of removal.</t>
  </si>
  <si>
    <t>Reflects the DTL difference between tax basis deductions and book depreciation on these tax basis deductions.</t>
  </si>
  <si>
    <t>Reflects the DTA difference between non-fixed asset tax deductions and book deductions.</t>
  </si>
  <si>
    <t>Reflects the tax net operating loss DTA.  The net operating loss DTA is protected.</t>
  </si>
  <si>
    <t>Basis for allocation is the 2017 value from Tab 24-Allocators, Rows 17 and 23 for common and direct function groups, respectively.</t>
  </si>
  <si>
    <t>Note G</t>
  </si>
  <si>
    <t>PG&amp;E's method for amortization of non protected excess ADIT</t>
  </si>
  <si>
    <t xml:space="preserve">The “grossed-up” portion included in Column 25, equals the amounts included in PG&amp;E's FERC Account 182.3 and 254 on its balance sheet, and is not included in rate base. </t>
  </si>
  <si>
    <t>Note I</t>
  </si>
  <si>
    <t>PG&amp;E's method provides for a base 130-months amortization subject to adjustment.  As a result, the overall amortization period may not be 130-months.  </t>
  </si>
  <si>
    <t>This Schedule 17-RegAsset-3 reflects the federal income tax rate change due to the Tax Cuts and Job Act (TCJA).  This Schedule will be replicated for each tax rate change after the TCJA.</t>
  </si>
  <si>
    <t xml:space="preserve">The “grossed-up” portion from Column 25 is excluded from rate base. </t>
  </si>
  <si>
    <t>Total Wholesale Distribution</t>
  </si>
  <si>
    <t>Distribution O&amp;M Expense (Line 101, Col 11, 12, 13, 14)</t>
  </si>
  <si>
    <t>Col 3 + Col 4, Note 2</t>
  </si>
  <si>
    <t>Note 1, Note 3</t>
  </si>
  <si>
    <t>Col 6 + Col 7</t>
  </si>
  <si>
    <t>Col 3 + Col 6</t>
  </si>
  <si>
    <t>Col 4 + Col 7</t>
  </si>
  <si>
    <t>Col 9 + Col 10, Note 4</t>
  </si>
  <si>
    <t>Col 12 + Col 13</t>
  </si>
  <si>
    <t>FERC Account Description</t>
  </si>
  <si>
    <t xml:space="preserve">FF1 Recorded O&amp;M Expense
 FF1 322, L. 156, col b </t>
  </si>
  <si>
    <t>Recorded Adjusted O&amp;M Expense</t>
  </si>
  <si>
    <t>Wholesale Distribution O&amp;M Expense</t>
  </si>
  <si>
    <t>Non-Labor</t>
  </si>
  <si>
    <t>Source for Col 12 and 13</t>
  </si>
  <si>
    <t>Total Distribution O&amp;M</t>
  </si>
  <si>
    <t>Operation Supervision and Engineering</t>
  </si>
  <si>
    <t>Col 11 * 6-PlantJurisdiction, Line 400, Cols 1 and 2</t>
  </si>
  <si>
    <t>Load Dispatching</t>
  </si>
  <si>
    <t>Station Expenses</t>
  </si>
  <si>
    <t>Col 11 * 6-PlantJurisdiction, Line 202, Cols 2 and 3</t>
  </si>
  <si>
    <t>Overhead Line Expenses</t>
  </si>
  <si>
    <t>Col 11 * 6-PlantJurisdiction, Line 205, Cols 2 and 3</t>
  </si>
  <si>
    <t>Underground Line Expenses</t>
  </si>
  <si>
    <t>Col 11 * 6-PlantJurisdiction, Line 206, Cols 2 and 3</t>
  </si>
  <si>
    <t>Operation of Energy Storage Equipment</t>
  </si>
  <si>
    <t>Street Lighting and Signal System Expenses</t>
  </si>
  <si>
    <t>Meter Expenses</t>
  </si>
  <si>
    <t>Col 11 * 6-PlantJurisdiction, Line 210, Cols 2 and 3</t>
  </si>
  <si>
    <t>Customer Installations Expenses</t>
  </si>
  <si>
    <t>Col 11 * 6-PlantJurisdiction, Line 211, Cols 2 and 3</t>
  </si>
  <si>
    <t>Miscellaneous Distribution Expenses</t>
  </si>
  <si>
    <t>Rents</t>
  </si>
  <si>
    <t>Maintenance Supervision and Engineering</t>
  </si>
  <si>
    <t>Maintenance of Structures</t>
  </si>
  <si>
    <t>Col 11 * 6-PlantJurisdiction, Line 201, Cols 2 and 3</t>
  </si>
  <si>
    <t>Maintenance of Station Equipment</t>
  </si>
  <si>
    <t>Maintenance of Overhead Lines</t>
  </si>
  <si>
    <t>Maintenance of Underground Lines</t>
  </si>
  <si>
    <t>Maintenance of Line Transformers</t>
  </si>
  <si>
    <t>Col 11 * 6-PlantJurisdiction, Line 208, Cols 2 and 3</t>
  </si>
  <si>
    <t>Maintenance of Street Lighting and Signal Systems</t>
  </si>
  <si>
    <t>Col 11 * 6-PlantJurisdiction, Line 213, Cols 2 and 3</t>
  </si>
  <si>
    <t>Maintenance of Meters</t>
  </si>
  <si>
    <t>Maintenance of Miscellaneous Distribution Plant</t>
  </si>
  <si>
    <t>1) Data are extracted from SAP for all costs (broken down into labor and non-labor components) in the Prior Year that are recorded in electric distribution operations and maintenance expense accounts.</t>
  </si>
  <si>
    <t xml:space="preserve">2) The Total FF1 Recorded O&amp;M Expense is the sum of Labor and Non-labor FF1 Recorded O&amp;M Expense (obtained as explained in Note 1) and tie to the amounts provided in FF1 322, L. 156, col b. </t>
  </si>
  <si>
    <t>3) See WP_18-OandM for adjustment details.</t>
  </si>
  <si>
    <t>4) If PG&amp;E wishes to recover the costs of cancelled capital distribution projects, it will petition the Commission seeking authorization for abandoned plant treatment for such costs. In its petition, PG&amp;E will ask the Commission to order PG&amp;E to make a compliance filing to revise the Model tariff record to reflect the recovery of abandoned plant should the Commission authorize such recovery.</t>
  </si>
  <si>
    <t>Input Cells are shaded in gold</t>
  </si>
  <si>
    <t>1)  Calculation of Total Company Adjusted A&amp;G Expense</t>
  </si>
  <si>
    <t>Col 5 = Col 1+Col 3</t>
  </si>
  <si>
    <t>Col 7 = Col 5 - Col 6</t>
  </si>
  <si>
    <t>Data</t>
  </si>
  <si>
    <t>FERC Form 2</t>
  </si>
  <si>
    <t xml:space="preserve">Total Company </t>
  </si>
  <si>
    <t>Total Company Adj</t>
  </si>
  <si>
    <t>Acct.</t>
  </si>
  <si>
    <t>Amount Excluded</t>
  </si>
  <si>
    <t>A&amp;G Salaries</t>
  </si>
  <si>
    <t>FF1 323, L. 181, col b</t>
  </si>
  <si>
    <t>FF2 325, L. 254, col b</t>
  </si>
  <si>
    <t>WP_19-AandG 1, L. 106</t>
  </si>
  <si>
    <t>Office Supplies and Expenses</t>
  </si>
  <si>
    <t>FF1 323, L. 182, col b</t>
  </si>
  <si>
    <t>FF2 325, L. 255, col b</t>
  </si>
  <si>
    <t>WP_19-AandG 1, L. 206</t>
  </si>
  <si>
    <t>A&amp;G Expenses Transferred</t>
  </si>
  <si>
    <t>FF1 323, L. 183, col b</t>
  </si>
  <si>
    <t>FF2 325, L. 256, col b</t>
  </si>
  <si>
    <t>WP_19-AandG 1, L. 306</t>
  </si>
  <si>
    <t>Outside Services Employed</t>
  </si>
  <si>
    <t>FF1 323, L. 184, col b</t>
  </si>
  <si>
    <t>FF2 325, L. 257, col b</t>
  </si>
  <si>
    <t>WP_19-AandG 1, L. 406</t>
  </si>
  <si>
    <t>FF1 323, L. 185, col b</t>
  </si>
  <si>
    <t>FF2 325, L. 258, col b</t>
  </si>
  <si>
    <t>WP_19-AandG 1, L. 506</t>
  </si>
  <si>
    <t>FF1 323, L. 186, col b</t>
  </si>
  <si>
    <t>FF2 325, L. 259, col b</t>
  </si>
  <si>
    <t>WP_19-AandG 1, L. 606</t>
  </si>
  <si>
    <t>Employee Pensions and Benefits</t>
  </si>
  <si>
    <t>FF1 323, L. 187, col b</t>
  </si>
  <si>
    <t>FF2 325, L. 260, col b</t>
  </si>
  <si>
    <t>WP_19-AandG 1, L. 706</t>
  </si>
  <si>
    <t>Franchise Requirements</t>
  </si>
  <si>
    <t>FF1 323, L. 188, col b</t>
  </si>
  <si>
    <t>FF2 325, L. 261, col b</t>
  </si>
  <si>
    <t>WP_19-AandG 1, L. 806</t>
  </si>
  <si>
    <t>Regulatory Commission Expenses</t>
  </si>
  <si>
    <t>FF1 323, L. 189, col b</t>
  </si>
  <si>
    <t>FF2 325, L. 262, col b</t>
  </si>
  <si>
    <t>Duplicate Charges</t>
  </si>
  <si>
    <t>FF1 323, L. 190, col b</t>
  </si>
  <si>
    <t>FF2 325, L. 263, col b</t>
  </si>
  <si>
    <t>General Advertising Expense</t>
  </si>
  <si>
    <t>FF1 323, L. 191, col b</t>
  </si>
  <si>
    <t>FF2 325, L. 264, col b</t>
  </si>
  <si>
    <t>WP_19-AandG 1, L. 906</t>
  </si>
  <si>
    <t>Miscellaneous General Expense</t>
  </si>
  <si>
    <t>FF1 323, L. 192, col b</t>
  </si>
  <si>
    <t>FF2 325, L. 265, col b</t>
  </si>
  <si>
    <t>FF1 323, L. 193, col b</t>
  </si>
  <si>
    <t>FF2 325, L. 266, col b</t>
  </si>
  <si>
    <t>Maintenance of General Plant</t>
  </si>
  <si>
    <t>FF1 323, L. 196, col b</t>
  </si>
  <si>
    <t>FF2 325, L. 269, col b</t>
  </si>
  <si>
    <t>WP_19-AandG 1, L. 1006</t>
  </si>
  <si>
    <t>Total A&amp;G Expenses:</t>
  </si>
  <si>
    <t>FF1 323, L. 197, col b</t>
  </si>
  <si>
    <t>FF2 325, L. 270, col b</t>
  </si>
  <si>
    <t>2)  Calculation of Distribution A&amp;G Expense</t>
  </si>
  <si>
    <t>Based on Labor Factors</t>
  </si>
  <si>
    <t>A&amp;G Expense after Adjustments</t>
  </si>
  <si>
    <t>Line 118, col 7</t>
  </si>
  <si>
    <t>Less Account  924 Property Insurance nonnuclear:</t>
  </si>
  <si>
    <t>Line 108, col 7</t>
  </si>
  <si>
    <t>Less Account 925 General Liability and Injuries and Damages</t>
  </si>
  <si>
    <t>WP_19-AandG 2, L. 102</t>
  </si>
  <si>
    <t>Total A&amp;G Expense Applicable to the O&amp;M Labor Allocation Factor:</t>
  </si>
  <si>
    <t>Line 202 - Line 203 - Line 206</t>
  </si>
  <si>
    <t>Electric O&amp;M Labor Allocation Factor:</t>
  </si>
  <si>
    <t>24-Allocators, L. 109</t>
  </si>
  <si>
    <t>Total Electric Portion of A&amp;G From Labor</t>
  </si>
  <si>
    <t>Line 205 * Line 206</t>
  </si>
  <si>
    <t>Distribution as a Percent of Electric O&amp;M Labor Allocation Factor:</t>
  </si>
  <si>
    <t>Distribution Portion of A&amp;G from Labor Allocation Factors:</t>
  </si>
  <si>
    <t>Line 207 * Line 208</t>
  </si>
  <si>
    <t>Based on Yearend Plant</t>
  </si>
  <si>
    <t>Total Electric Plant as a % of Total Company Plant</t>
  </si>
  <si>
    <t>24-Allocators, L. 128</t>
  </si>
  <si>
    <t>211a</t>
  </si>
  <si>
    <t>Total Insured Electric Distribution Plant as a % of Total Insured Electric Plant</t>
  </si>
  <si>
    <t>24-Allocators, L. 131</t>
  </si>
  <si>
    <t>Account 924 Property Insurance nonnuclear:</t>
  </si>
  <si>
    <t>Line 203</t>
  </si>
  <si>
    <t>Distribution Portion of Property Insurance Account 924</t>
  </si>
  <si>
    <t>Line 211 * Line 211a * Line 212</t>
  </si>
  <si>
    <t>Based on Blended Labor and Plant Factor</t>
  </si>
  <si>
    <t>General Liability Accrued Insurance and Paid Injuries and Damages:</t>
  </si>
  <si>
    <t>Factor using the combined O&amp;M Labor and Plant Factor:</t>
  </si>
  <si>
    <t>24-Allocators, L. 120</t>
  </si>
  <si>
    <t>Distribution Portion of General Liability Insurance and Injuries and Damages:</t>
  </si>
  <si>
    <t>Line 215 * Line 216</t>
  </si>
  <si>
    <t>Total Distribution Portion of Administrative and General Expenses:</t>
  </si>
  <si>
    <t>Line 209 + Line 213 + Line 217</t>
  </si>
  <si>
    <t>3)  Summary of Total Company Adjustments</t>
  </si>
  <si>
    <t>STIP</t>
  </si>
  <si>
    <t>Officer Compensation</t>
  </si>
  <si>
    <t>Accrual to Cash Basis</t>
  </si>
  <si>
    <t>Not Seeking Recovery</t>
  </si>
  <si>
    <t>Non A&amp;G Costs and Other</t>
  </si>
  <si>
    <t>Allocations on Adjustments</t>
  </si>
  <si>
    <t xml:space="preserve">Total by FERC Account </t>
  </si>
  <si>
    <t>Total by Adjustment Type</t>
  </si>
  <si>
    <t xml:space="preserve">PG&amp;E is a utility providing both electric and gas services to it customers.   The adjustments shown in the Table above are from WP_19-AandG.  </t>
  </si>
  <si>
    <t xml:space="preserve">Sources of adjustments are individual SAP reports by FERC account with detailed descriptions of activity and accounting information.  </t>
  </si>
  <si>
    <t>FERC Forms 1 and 2 balances in accounts 928, 929 and 931 are zero; therefore, these accounts are not shown on WP_19-AandG.</t>
  </si>
  <si>
    <t>Remove Officer STIP and True up Non-Officer STIP to actual cash payment.</t>
  </si>
  <si>
    <t>Remove Officer compensation.</t>
  </si>
  <si>
    <t>Remove accruals in the recorded balances for items such as STIP, Severance, Injuries and Damages and Workers Compensation.</t>
  </si>
  <si>
    <t>Remove costs PG&amp;E does not seek to recover in the WDT, such as Intervenor Compensation, MCI Exchange Rights, a portion of Injuries and Damages,  and Nuclear Property and Nuclear Liability Insurance.</t>
  </si>
  <si>
    <t>Remove Non A&amp;G Costs and other costs, for example Gas LOB costs erroneously recorded in A&amp;G FERC Accounts and Franchise Fee Expense that is a caclulation within the Model.</t>
  </si>
  <si>
    <t>Remove capital and below-the-line adjustments as appropriate associated with regulatory adjustments described in Notes 3 through 8.</t>
  </si>
  <si>
    <t>Total by FERC account</t>
  </si>
  <si>
    <t>1) Insert additional lines as necessary for additional items.</t>
  </si>
  <si>
    <t>FERC ACCT</t>
  </si>
  <si>
    <t>NATURAL ACCT</t>
  </si>
  <si>
    <t>ACCT DESCRIPTION</t>
  </si>
  <si>
    <t xml:space="preserve">Total Electric </t>
  </si>
  <si>
    <t>Totals</t>
  </si>
  <si>
    <t>Sum Lines 201, 301, 401, 501, 601</t>
  </si>
  <si>
    <t>Forfeited Discounts</t>
  </si>
  <si>
    <t>FF1 300, L. 16, col b</t>
  </si>
  <si>
    <t>Acct 450 Total</t>
  </si>
  <si>
    <t>Miscellaneous Service Revenues</t>
  </si>
  <si>
    <t>FF1 300, L. 17, col b</t>
  </si>
  <si>
    <t>Acct 451 Total</t>
  </si>
  <si>
    <t>NRD Revenue Other</t>
  </si>
  <si>
    <t>Miscellaneous Service Electric Customer Fund Management - RES</t>
  </si>
  <si>
    <t>Miscellaneous Service Electric Customer Fund Management Non-RES</t>
  </si>
  <si>
    <t>Miscellaneous Service Revenues - Reimbursable</t>
  </si>
  <si>
    <t>Misc Electric Service Revenue Protection</t>
  </si>
  <si>
    <t>Sales of Water and Water Power</t>
  </si>
  <si>
    <t>FF1 300, L. 18, col b</t>
  </si>
  <si>
    <t>Acct 453 Total</t>
  </si>
  <si>
    <t xml:space="preserve"> . . .</t>
  </si>
  <si>
    <t>FF1 300, L.19, col b</t>
  </si>
  <si>
    <t>Acct 454 Total</t>
  </si>
  <si>
    <t>Rent from Electric Property</t>
  </si>
  <si>
    <t>Note 2, 3</t>
  </si>
  <si>
    <t>New Revenue Development Rent</t>
  </si>
  <si>
    <t>New Revenue Development Fee Revenue</t>
  </si>
  <si>
    <t>Other Electric Revenue</t>
  </si>
  <si>
    <t>FF1 300, L. 21-22, col b</t>
  </si>
  <si>
    <t>Acct 456 Total</t>
  </si>
  <si>
    <t>Other Electric Revenues</t>
  </si>
  <si>
    <t>MCI Rights-of-Way (B)</t>
  </si>
  <si>
    <t>Recreation Facilities Revenue</t>
  </si>
  <si>
    <t>Timber Sales - Utility</t>
  </si>
  <si>
    <t>Other Revenue - Affiliate</t>
  </si>
  <si>
    <t>Revenue Damage Claims Electric</t>
  </si>
  <si>
    <t>Mobile Home Park Electric</t>
  </si>
  <si>
    <t>NEBS TCRA</t>
  </si>
  <si>
    <t>New Revenue Development - Electric Revenue</t>
  </si>
  <si>
    <t>Unbilled Electric Revenue</t>
  </si>
  <si>
    <t>Reimbursed Electric Revenue</t>
  </si>
  <si>
    <t>Note 2, 4</t>
  </si>
  <si>
    <t>Reimbursed Electric Revenue Joint Poles</t>
  </si>
  <si>
    <t>Reimbursed Electric Revenue Customer Care and Billing (CC&amp;B)</t>
  </si>
  <si>
    <t>Other Electric Revenue - Calif Department of Water &amp; Resources (DWR)</t>
  </si>
  <si>
    <t>Reimbursed Electric Revenue - CPUC</t>
  </si>
  <si>
    <t>Other Utility Operating Income</t>
  </si>
  <si>
    <t>Other Transmission Revenue - Wheeling</t>
  </si>
  <si>
    <t>Note 2, 5</t>
  </si>
  <si>
    <t>1) Immaterial reconciling difference.</t>
  </si>
  <si>
    <t>2) Run a query of col 2 (Natural Account) in SAP system to get col 4 and col 5.</t>
  </si>
  <si>
    <t>3) Run a query of rent in SAP system to get Line 502, col 4-5.</t>
  </si>
  <si>
    <t>4) Apply plant allocation factors after running a query of Natural Account in SAP system to get Line 612, col 4-5.</t>
  </si>
  <si>
    <t>5) See FF1 330, col n, Total</t>
  </si>
  <si>
    <t>Cost of Ownership Rates</t>
  </si>
  <si>
    <t>1) Monthly Cost of Ownership Rates</t>
  </si>
  <si>
    <t>Monthly Customer Financed Cost of Ownership Rate:</t>
  </si>
  <si>
    <t>Line 208</t>
  </si>
  <si>
    <t>2) Calcuation of the Cost of Ownership Rates</t>
  </si>
  <si>
    <t>1-DRR, L. 513</t>
  </si>
  <si>
    <t>1-DRR L. 502</t>
  </si>
  <si>
    <t>Gross Electric Distribution CGI Plant</t>
  </si>
  <si>
    <t>1-DRR L. 101</t>
  </si>
  <si>
    <t>Gross Electric Distribution Plant In Service including CGI Plant</t>
  </si>
  <si>
    <t>1-DRR L. 102</t>
  </si>
  <si>
    <t>Total Distribution Return on Capital and Income Taxes</t>
  </si>
  <si>
    <t>1-DRR, L. 504 +  L. 506</t>
  </si>
  <si>
    <t>Electric Distribution CGI Plant Portion of Return and Taxes</t>
  </si>
  <si>
    <t>(Line 202 / Line 203) * Line 204</t>
  </si>
  <si>
    <t>Distribution Revenue Requirement Return when capital is contributed</t>
  </si>
  <si>
    <t>Line 200 - Line 201 - Line 204 +Line 205</t>
  </si>
  <si>
    <t>Annual Distribution Carrying Percentage with contributing capital</t>
  </si>
  <si>
    <t>Line 203 / Line 206</t>
  </si>
  <si>
    <t>Monthly Distribution Carrying Percentage with contributing capital</t>
  </si>
  <si>
    <t>Line 207 / 12</t>
  </si>
  <si>
    <t>1) Tax Rates for the Rate Year</t>
  </si>
  <si>
    <t>Internal Revenue Code (IRC) Section 11</t>
  </si>
  <si>
    <t>In effect 2018 and forward</t>
  </si>
  <si>
    <t>State Franchise Tax Rate (California)</t>
  </si>
  <si>
    <t>California Rev. &amp; Tax. Cd. § 23151</t>
  </si>
  <si>
    <t>In effect 2017 and forward</t>
  </si>
  <si>
    <t>Federal Secondary</t>
  </si>
  <si>
    <t>Negative Line 100 * Line 101</t>
  </si>
  <si>
    <t>Reflects the federal tax deduction for state taxes which reduces the composite income tax rate</t>
  </si>
  <si>
    <t>Composite Income Tax Rate</t>
  </si>
  <si>
    <t>Sum of Lines 100-Line 102</t>
  </si>
  <si>
    <t>2)Tax Rates for the Prior Year True-up</t>
  </si>
  <si>
    <t>Customer Service Charge Calculations</t>
  </si>
  <si>
    <t>1) Average Hourly Rate Calculation</t>
  </si>
  <si>
    <t>2021 Planned Hourly Rate Complex Billing Organization</t>
  </si>
  <si>
    <t>Total Billable Labor Costs</t>
  </si>
  <si>
    <t>SAP Activity Type Price, Note 1</t>
  </si>
  <si>
    <t>Overheads (Note 2)</t>
  </si>
  <si>
    <t xml:space="preserve">   Operational Mgmt &amp; Support</t>
  </si>
  <si>
    <t>Utility Standard: FIN-1104S - Third Party Billing Overhead Allocations</t>
  </si>
  <si>
    <t xml:space="preserve">   Base Facility Charges</t>
  </si>
  <si>
    <t xml:space="preserve">   Computer/Telecom Charges</t>
  </si>
  <si>
    <t xml:space="preserve">   Benefits</t>
  </si>
  <si>
    <t xml:space="preserve">   Payroll Taxes</t>
  </si>
  <si>
    <t xml:space="preserve">   Pension</t>
  </si>
  <si>
    <t xml:space="preserve">   Workers Comp/LTD</t>
  </si>
  <si>
    <t>Total Overheads</t>
  </si>
  <si>
    <t>Sum Lines 101 to 107</t>
  </si>
  <si>
    <t>Average Hourly Rate (Total Costs/Billable Hours)</t>
  </si>
  <si>
    <t>Sum Lines 100 and 108</t>
  </si>
  <si>
    <t>2) Customer Service Charges</t>
  </si>
  <si>
    <r>
      <t xml:space="preserve">Hours
</t>
    </r>
    <r>
      <rPr>
        <b/>
        <sz val="11"/>
        <color theme="1"/>
        <rFont val="Calibri"/>
        <family val="2"/>
        <scheme val="minor"/>
      </rPr>
      <t>(Note 3)</t>
    </r>
  </si>
  <si>
    <r>
      <t>Total Charge</t>
    </r>
    <r>
      <rPr>
        <b/>
        <sz val="11"/>
        <color theme="1"/>
        <rFont val="Calibri"/>
        <family val="2"/>
        <scheme val="minor"/>
      </rPr>
      <t xml:space="preserve"> 
(Hours * Line 109)</t>
    </r>
  </si>
  <si>
    <t>City and County of San Francisco</t>
  </si>
  <si>
    <t>PWRPA</t>
  </si>
  <si>
    <t>Western Area Power Administration</t>
  </si>
  <si>
    <t>Westside Power Authority</t>
  </si>
  <si>
    <r>
      <rPr>
        <b/>
        <sz val="11"/>
        <color theme="1"/>
        <rFont val="Calibri"/>
        <family val="2"/>
        <scheme val="minor"/>
      </rPr>
      <t>Note 1</t>
    </r>
    <r>
      <rPr>
        <sz val="11"/>
        <color theme="1"/>
        <rFont val="Calibri"/>
        <family val="2"/>
        <scheme val="minor"/>
      </rPr>
      <t>: Total Billable Labor Costs represents the 2022 planned hourly billable cost of an employee in the Complex Billing organization.  Calculated as planned salary costs for organization, plus minor employee related expenses, divided by planned billable hours for the organization.</t>
    </r>
  </si>
  <si>
    <r>
      <rPr>
        <b/>
        <sz val="11"/>
        <color theme="1"/>
        <rFont val="Calibri"/>
        <family val="2"/>
        <scheme val="minor"/>
      </rPr>
      <t>Note 2</t>
    </r>
    <r>
      <rPr>
        <sz val="11"/>
        <color theme="1"/>
        <rFont val="Calibri"/>
        <family val="2"/>
        <scheme val="minor"/>
      </rPr>
      <t xml:space="preserve">:  To ensure rate payers are not subsidizing work being performed on behalf of third parties, the cost of the work must include a portion of overhead costs. This is required to reflect the full cost of work and allow for recovery of costs not included in labor rates. PG&amp;E’s costs are billed in accordance with the Uniform System of Accounts prescribed by the Federal Energy Regulatory Commission (FERC). </t>
    </r>
  </si>
  <si>
    <r>
      <rPr>
        <b/>
        <sz val="11"/>
        <color theme="1"/>
        <rFont val="Calibri"/>
        <family val="2"/>
        <scheme val="minor"/>
      </rPr>
      <t>Note 3</t>
    </r>
    <r>
      <rPr>
        <sz val="11"/>
        <color theme="1"/>
        <rFont val="Calibri"/>
        <family val="2"/>
        <scheme val="minor"/>
      </rPr>
      <t>: Estimated average monthly labor in hours provided by the Complex Billing Organization.</t>
    </r>
  </si>
  <si>
    <t>Calculation of Prior Year Total Electric Department Labor Allocation Factor</t>
  </si>
  <si>
    <t>Total Company Wages and Salaries</t>
  </si>
  <si>
    <t>FF1 355, L. 65, col b</t>
  </si>
  <si>
    <t xml:space="preserve">Electric A&amp;G Wages and Salaries </t>
  </si>
  <si>
    <t>FF1 354, L. 27, col b</t>
  </si>
  <si>
    <t>Gas A&amp;G Wages and Salaries</t>
  </si>
  <si>
    <t>FF1 355, L. 61, col b</t>
  </si>
  <si>
    <t>Cost Adjustment</t>
  </si>
  <si>
    <t>WP_24-Allocators_Labor, L. 100, col 3</t>
  </si>
  <si>
    <t>Total Company Wages and Salaries w/o A&amp;G</t>
  </si>
  <si>
    <t>Sum Lines 100 - 103</t>
  </si>
  <si>
    <t>Total Electric Department Wages and Salaries</t>
  </si>
  <si>
    <t>FF1 354, L. 28, col b</t>
  </si>
  <si>
    <t>Electric A&amp;G Wages and Salaries</t>
  </si>
  <si>
    <t>WP_24-Allocators_Labor, L. 100, col 5</t>
  </si>
  <si>
    <t>Total Adjusted Electric Wages and Salaries wo A&amp;G</t>
  </si>
  <si>
    <t>Sum Lines 105 - 107</t>
  </si>
  <si>
    <t>Total Electric Department Labor as a % of Total Company Labor</t>
  </si>
  <si>
    <t>Calculation of Prior Year Electric Distribution Labor Allocation Factors</t>
  </si>
  <si>
    <t>Electric Distribution Wages and Salaries</t>
  </si>
  <si>
    <t>18-OandM, L. 101, col 9</t>
  </si>
  <si>
    <t>Electric Distribution Labor as a % of Total Electric Allocation Factor</t>
  </si>
  <si>
    <t>Electric Distribution Labor as a % of Total Company Allocation Factor</t>
  </si>
  <si>
    <t>Calculation of Prior Year Distribution Plant Allocation Factor</t>
  </si>
  <si>
    <t>Electric Distribution Plant In Service including CGI Plant</t>
  </si>
  <si>
    <t>(WP_7-PlantInService 6, L. 148, col 10) - (WP_7-PlantInService 1, L. 102)</t>
  </si>
  <si>
    <t>Prior Year Dec</t>
  </si>
  <si>
    <t>Total PG&amp;E Company Plant In Service</t>
  </si>
  <si>
    <t>(WP_7-PlantInService 6, L. 148, col 13) - (WP_7-PlantInService 1, L. 102)</t>
  </si>
  <si>
    <t>Electric Distribution Plant as a % of Total Company Plant</t>
  </si>
  <si>
    <t>Total PG&amp;E Electric Plant In Service including CGI Plant</t>
  </si>
  <si>
    <t>(WP_7-PlantInService 6, L. 148, col 11) - (WP_7-PlantInService 1, L. 102)</t>
  </si>
  <si>
    <t>Electric Distribution Plant as a % of Total Electric Plant</t>
  </si>
  <si>
    <t>Calculation of Prior Year Liability Insurance Allocation Factor</t>
  </si>
  <si>
    <t>Liability Insurance Allocation Factor (50/50)</t>
  </si>
  <si>
    <t>Calculation of Prior Year Property Tax Allocation Factor</t>
  </si>
  <si>
    <t>Electric Distribution Accumulated Depreciation including CGI</t>
  </si>
  <si>
    <t>(WP_10-AccDep 6, L. 148, Col 10) - (WP_10-AccDep 1, L. 102)</t>
  </si>
  <si>
    <t>Total PG&amp;E Electric Accumulated Depreciation including CGI</t>
  </si>
  <si>
    <t>(WP_10-AccDep 6, L. 148, Col 11) - (WP_10-AccDep 1, L. 102)</t>
  </si>
  <si>
    <t>Electric Distribution Net Plant in Service (Functional + CGI)</t>
  </si>
  <si>
    <t>Line 117 - Line 121</t>
  </si>
  <si>
    <t>Total PG&amp;E Electric Net Plant In Service (Functional + CGI)</t>
  </si>
  <si>
    <t>Line 118 - Line 122</t>
  </si>
  <si>
    <t>Net Plant Property Tax Allocation Factor</t>
  </si>
  <si>
    <t>Line 123 / Line 124</t>
  </si>
  <si>
    <t>Calculation of Prior Year Property Insurance Allocation Factor</t>
  </si>
  <si>
    <t>Line 118</t>
  </si>
  <si>
    <t>Line 115</t>
  </si>
  <si>
    <t>Line 126 / Line 127</t>
  </si>
  <si>
    <t>Total Insured Electric Distribution Plant</t>
  </si>
  <si>
    <t>WP_24-Allocators_Property_Insurance, L. 1</t>
  </si>
  <si>
    <t>Total Insured Electric Plant</t>
  </si>
  <si>
    <t>WP_24-Allocators_Property_Insurance, L. 2</t>
  </si>
  <si>
    <t>Line 129 / Line 130</t>
  </si>
  <si>
    <t>Revenue Fee Factors</t>
  </si>
  <si>
    <t>1) Approved Franchise Fee Factor(s)</t>
  </si>
  <si>
    <t>From</t>
  </si>
  <si>
    <t>To</t>
  </si>
  <si>
    <t>Days in Prior Year</t>
  </si>
  <si>
    <t>Franchise Fee Factor</t>
  </si>
  <si>
    <t>Present</t>
  </si>
  <si>
    <t>WP_25-RevenueFeeFactors 1, L. 102</t>
  </si>
  <si>
    <t>2) Approved San Francisco Gross Receipts Tax Factor(s)</t>
  </si>
  <si>
    <t>WP_25-RevenueFeeFactors 2, L. 104</t>
  </si>
  <si>
    <t>3) Calculation of Weighted Average SFGR and Franchise Fee Factors</t>
  </si>
  <si>
    <t>WP_16-UnfundedReserves 1, L. 300</t>
  </si>
  <si>
    <t>Line 401 to 413, col 1 are sum of SAP Accounts</t>
  </si>
  <si>
    <t>2410031 - City Franchise Surcharge Liability and;</t>
  </si>
  <si>
    <t>Col 2, Line 200 + Line 300 + Line 400</t>
  </si>
  <si>
    <t>Col 1, Line 200 + Line 300 + Line 400</t>
  </si>
  <si>
    <t>Allocated Franchise Fees Accruals Unfunded Reserves</t>
  </si>
  <si>
    <t>Original</t>
  </si>
  <si>
    <t>Corrected - Original</t>
  </si>
  <si>
    <t>Due to change in property tax allocator as a result of the functional plant adjustment.</t>
  </si>
  <si>
    <t>Explanation to Total Company Distribution:</t>
  </si>
  <si>
    <t>Reduction of $6.9M in depreciation was due to reduction of Electric Distribution functional plant adjustment.</t>
  </si>
  <si>
    <t>N/A, no change</t>
  </si>
  <si>
    <t>Check:</t>
  </si>
  <si>
    <t>Due to reduction in rate base.</t>
  </si>
  <si>
    <t>Due to change in True-up Distribution Revenue Requirement without franchise fees and SFGR Tax.</t>
  </si>
  <si>
    <t>Line 212, Col. 2</t>
  </si>
  <si>
    <t>Line 309, Col. 2</t>
  </si>
  <si>
    <t>Line 406, Col. 2</t>
  </si>
  <si>
    <t>Line 506, Col. 2</t>
  </si>
  <si>
    <t>Sum of Lines 100 to 103</t>
  </si>
  <si>
    <t>Line 614, Col. 8</t>
  </si>
  <si>
    <t>Sum of Above Lines beginning on Line 200</t>
  </si>
  <si>
    <t>Line 210 * Line 211 for Cols 5 and 6</t>
  </si>
  <si>
    <t>Must match amount on Line 210 Col 2</t>
  </si>
  <si>
    <t>Sum of Above Lines beginning on Line 300</t>
  </si>
  <si>
    <t>Line 307 * Line 308 for Cols 5 and 6</t>
  </si>
  <si>
    <t>Must match amount on Line 307 Col 2</t>
  </si>
  <si>
    <t>Sum of Above Lines beginning on Line 400</t>
  </si>
  <si>
    <t>Line 404 * Line 405 for Cols 5 and 6</t>
  </si>
  <si>
    <t>Sum of Above Lines beginning on Line 500</t>
  </si>
  <si>
    <t>Line 504 * Line 505 for Cols 5 and 6</t>
  </si>
  <si>
    <t>Must match amount on Line 504 Col 2</t>
  </si>
  <si>
    <t>(Sum Line 200 to Line 212) / 13</t>
  </si>
  <si>
    <t>Line 213 * Line 214</t>
  </si>
  <si>
    <t>Line 212</t>
  </si>
  <si>
    <t>Line 213 * Line 216</t>
  </si>
  <si>
    <t>Line 101</t>
  </si>
  <si>
    <t>Line 108 / Line 104</t>
  </si>
  <si>
    <t>Line 108</t>
  </si>
  <si>
    <t>Line 111 / Line 110</t>
  </si>
  <si>
    <t>Line 111 / Line 104</t>
  </si>
  <si>
    <t>Line 114 / Line 115</t>
  </si>
  <si>
    <t>Line 114</t>
  </si>
  <si>
    <t>Line 117 / Line 118</t>
  </si>
  <si>
    <t>Average of Line 113 and Line 116</t>
  </si>
  <si>
    <t>Difference compared to Original</t>
  </si>
  <si>
    <t>Reduction of $960K in A&amp;G was due to the change in plant factor as a result of the plant factor change (19-A&amp;G, Line 216) from 35.86% to 35.77%.</t>
  </si>
  <si>
    <t>The decrease was due to reduction in rate base resulted from (a) $187 million of plant net of accumulated depreciation and (b) $37 million of provision of franchise fees unfunded reserves and, (c) associated impact on deferred taxes, prepayment and working capital as a result of change in plant related factors.</t>
  </si>
  <si>
    <t>The $21.2M difference in total company distribution was due to an input error but no impact on the allocation as the Primary and Secondary Distribution allocation are directly picked up from Schedule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</si>
</sst>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_(* #,##0_);_(* \(#,##0\);_(* &quot;-&quot;??_);_(@_)"/>
    <numFmt numFmtId="167" formatCode="0.0000%"/>
    <numFmt numFmtId="168" formatCode="0.0%"/>
    <numFmt numFmtId="169" formatCode="General_)"/>
    <numFmt numFmtId="170" formatCode="[$-409]mmmm\ d\,\ yyyy;@"/>
    <numFmt numFmtId="171" formatCode="[$-409]d\-mmm;@"/>
    <numFmt numFmtId="172" formatCode="_([$€-2]* #,##0.00_);_([$€-2]* \(#,##0.00\);_([$€-2]* &quot;-&quot;??_)"/>
    <numFmt numFmtId="173" formatCode="mmmddyyyy"/>
    <numFmt numFmtId="174" formatCode="0.000000"/>
    <numFmt numFmtId="175" formatCode="[$-409]d\-mmm\-yy;@"/>
    <numFmt numFmtId="176" formatCode="[$-409]mmm\-yy;@"/>
    <numFmt numFmtId="177" formatCode="m\-d\-yy"/>
    <numFmt numFmtId="178" formatCode="yymmmmdd"/>
    <numFmt numFmtId="179" formatCode="0.000\ \¢"/>
    <numFmt numFmtId="180" formatCode="_-* #,##0.00\ _D_M_-;\-* #,##0.00\ _D_M_-;_-* &quot;-&quot;??\ _D_M_-;_-@_-"/>
    <numFmt numFmtId="181" formatCode="&quot;$&quot;.00;;"/>
    <numFmt numFmtId="182" formatCode="_-* #,##0.00\ &quot;DM&quot;_-;\-* #,##0.00\ &quot;DM&quot;_-;_-* &quot;-&quot;??\ &quot;DM&quot;_-;_-@_-"/>
    <numFmt numFmtId="183" formatCode="&quot;$&quot;#,##0.00;\-&quot;$&quot;#,##0.00"/>
    <numFmt numFmtId="184" formatCode="_-* #,##0.0_-;\-* #,##0.0_-;_-* &quot;-&quot;??_-;_-@_-"/>
    <numFmt numFmtId="185" formatCode="#,##0.00&quot; $&quot;;\-#,##0.00&quot; $&quot;"/>
    <numFmt numFmtId="186" formatCode=";;;"/>
    <numFmt numFmtId="187" formatCode="#,##0;;"/>
    <numFmt numFmtId="188" formatCode="0.00_)"/>
    <numFmt numFmtId="189" formatCode="&quot;$&quot;#,##0_);[Red]\(&quot;$&quot;#,##0\);&quot;-&quot;???"/>
    <numFmt numFmtId="190" formatCode="0.0%;_(\ &quot;-&quot;_)"/>
    <numFmt numFmtId="191" formatCode="[$-409]mmmm\-yy;@"/>
    <numFmt numFmtId="192" formatCode="0.000000000"/>
    <numFmt numFmtId="193" formatCode="0.000"/>
    <numFmt numFmtId="194" formatCode="0.000%"/>
    <numFmt numFmtId="195" formatCode="_(&quot;$&quot;* #,##0.00_);_(&quot;$&quot;* \(#,##0.00\);_(&quot;$&quot;* &quot;-&quot;_);_(@_)"/>
    <numFmt numFmtId="196" formatCode="_(* #,##0.00000_);_(* \(#,##0.00000\);_(* &quot;-&quot;??_);_(@_)"/>
    <numFmt numFmtId="197" formatCode="&quot;$&quot;#,##0.00"/>
    <numFmt numFmtId="198" formatCode="0.00000"/>
    <numFmt numFmtId="199" formatCode="m/d/yy;@"/>
    <numFmt numFmtId="200" formatCode="#,##0.0000_);\(#,##0.0000\)"/>
    <numFmt numFmtId="201" formatCode="#,##0.000000_);\(#,##0.000000\)"/>
    <numFmt numFmtId="202" formatCode="0.0000000"/>
    <numFmt numFmtId="203" formatCode="&quot;$&quot;#,##0.000_);\(&quot;$&quot;#,##0.000\)"/>
    <numFmt numFmtId="204" formatCode="0.000000000000000%"/>
  </numFmts>
  <fonts count="111">
    <font>
      <sz val="11"/>
      <color theme="1"/>
      <name val="Calibri"/>
      <family val="2"/>
      <scheme val="minor"/>
    </font>
    <font>
      <sz val="10"/>
      <color theme="1"/>
      <name val="Arial"/>
      <family val="2"/>
    </font>
    <font>
      <b/>
      <sz val="11"/>
      <color theme="1"/>
      <name val="Calibri"/>
      <family val="2"/>
      <scheme val="minor"/>
    </font>
    <font>
      <u/>
      <sz val="11"/>
      <color theme="1"/>
      <name val="Calibri"/>
      <family val="2"/>
      <scheme val="minor"/>
    </font>
    <font>
      <b/>
      <u/>
      <sz val="11"/>
      <color theme="1"/>
      <name val="Calibri"/>
      <family val="2"/>
      <scheme val="minor"/>
    </font>
    <font>
      <sz val="10"/>
      <name val="Arial"/>
      <family val="2"/>
    </font>
    <font>
      <b/>
      <sz val="10"/>
      <name val="Arial"/>
      <family val="2"/>
    </font>
    <font>
      <sz val="10"/>
      <name val="MS Sans Serif"/>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1"/>
      <name val="Calibri"/>
      <family val="2"/>
      <scheme val="minor"/>
    </font>
    <font>
      <sz val="10"/>
      <name val="Helv"/>
      <family val="2"/>
    </font>
    <font>
      <sz val="8"/>
      <name val="Times New Roman"/>
      <family val="1"/>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9"/>
      <name val="Arial"/>
      <family val="2"/>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2"/>
      <name val="???"/>
      <family val="1"/>
      <charset val="129"/>
    </font>
    <font>
      <sz val="11"/>
      <color indexed="8"/>
      <name val="Calibri"/>
      <family val="2"/>
    </font>
    <font>
      <sz val="10"/>
      <color indexed="8"/>
      <name val="Arial"/>
      <family val="2"/>
    </font>
    <font>
      <sz val="11"/>
      <color indexed="9"/>
      <name val="Calibri"/>
      <family val="2"/>
    </font>
    <font>
      <sz val="10"/>
      <color indexed="9"/>
      <name val="Arial"/>
      <family val="2"/>
    </font>
    <font>
      <sz val="8"/>
      <name val="Arial"/>
      <family val="2"/>
    </font>
    <font>
      <sz val="11"/>
      <color indexed="20"/>
      <name val="Calibri"/>
      <family val="2"/>
    </font>
    <font>
      <sz val="11"/>
      <color indexed="37"/>
      <name val="Calibri"/>
      <family val="2"/>
    </font>
    <font>
      <sz val="11"/>
      <color indexed="16"/>
      <name val="Calibri"/>
      <family val="2"/>
    </font>
    <font>
      <sz val="12"/>
      <name val="Tms Rmn"/>
      <family val="2"/>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amily val="2"/>
    </font>
    <font>
      <sz val="11"/>
      <name val="??"/>
      <family val="3"/>
      <charset val="129"/>
    </font>
    <font>
      <sz val="12"/>
      <name val="Helv"/>
      <family val="2"/>
    </font>
    <font>
      <b/>
      <sz val="11"/>
      <color indexed="8"/>
      <name val="Calibri"/>
      <family val="2"/>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sz val="7"/>
      <color indexed="12"/>
      <name val="Arial"/>
      <family val="2"/>
    </font>
    <font>
      <sz val="6"/>
      <color indexed="12"/>
      <name val="Arial"/>
      <family val="2"/>
    </font>
    <font>
      <u/>
      <sz val="7.5"/>
      <color indexed="12"/>
      <name val="Arial"/>
      <family val="2"/>
    </font>
    <font>
      <b/>
      <i/>
      <sz val="10"/>
      <color indexed="62"/>
      <name val="Arial"/>
      <family val="2"/>
    </font>
    <font>
      <sz val="11"/>
      <color indexed="48"/>
      <name val="Calibri"/>
      <family val="2"/>
    </font>
    <font>
      <sz val="11"/>
      <color indexed="62"/>
      <name val="Calibri"/>
      <family val="2"/>
    </font>
    <font>
      <sz val="9"/>
      <name val="Helv"/>
      <family val="2"/>
    </font>
    <font>
      <sz val="11"/>
      <color indexed="52"/>
      <name val="Calibri"/>
      <family val="2"/>
    </font>
    <font>
      <sz val="11"/>
      <color indexed="53"/>
      <name val="Calibri"/>
      <family val="2"/>
    </font>
    <font>
      <b/>
      <sz val="9"/>
      <color indexed="18"/>
      <name val="Arial"/>
      <family val="2"/>
    </font>
    <font>
      <b/>
      <sz val="10"/>
      <name val="Helv"/>
      <family val="2"/>
    </font>
    <font>
      <sz val="11"/>
      <color indexed="60"/>
      <name val="Calibri"/>
      <family val="2"/>
    </font>
    <font>
      <sz val="7"/>
      <name val="Small Fonts"/>
      <family val="2"/>
    </font>
    <font>
      <b/>
      <i/>
      <sz val="16"/>
      <name val="Helv"/>
      <family val="2"/>
    </font>
    <font>
      <sz val="10"/>
      <name val="Tahoma"/>
      <family val="2"/>
    </font>
    <font>
      <sz val="11"/>
      <color theme="1"/>
      <name val="Times New Roman"/>
      <family val="1"/>
    </font>
    <font>
      <b/>
      <sz val="16"/>
      <color theme="1"/>
      <name val="Times New Roman"/>
      <family val="1"/>
    </font>
    <font>
      <b/>
      <sz val="14"/>
      <color theme="1"/>
      <name val="Times New Roman"/>
      <family val="1"/>
    </font>
    <font>
      <u/>
      <sz val="11"/>
      <name val="Calibri"/>
      <family val="2"/>
      <scheme val="minor"/>
    </font>
    <font>
      <b/>
      <sz val="11"/>
      <name val="Calibri"/>
      <family val="2"/>
      <scheme val="minor"/>
    </font>
    <font>
      <b/>
      <u/>
      <sz val="11"/>
      <name val="Calibri"/>
      <family val="2"/>
      <scheme val="minor"/>
    </font>
    <font>
      <b/>
      <sz val="11"/>
      <color rgb="FFFF0000"/>
      <name val="Calibri"/>
      <family val="2"/>
      <scheme val="minor"/>
    </font>
    <font>
      <sz val="11"/>
      <color rgb="FF000000"/>
      <name val="Calibri"/>
      <family val="2"/>
      <scheme val="minor"/>
    </font>
    <font>
      <u/>
      <sz val="11"/>
      <color theme="10"/>
      <name val="Calibri"/>
      <family val="2"/>
      <scheme val="minor"/>
    </font>
    <font>
      <b/>
      <i/>
      <sz val="11"/>
      <name val="Calibri"/>
      <family val="2"/>
      <scheme val="minor"/>
    </font>
    <font>
      <sz val="11"/>
      <color theme="1"/>
      <name val="Calibri"/>
      <family val="2"/>
      <scheme val="minor"/>
    </font>
    <font>
      <sz val="8"/>
      <name val="Calibri"/>
      <family val="2"/>
      <scheme val="minor"/>
    </font>
    <font>
      <sz val="10"/>
      <name val="Arial"/>
      <family val="2"/>
    </font>
    <font>
      <b/>
      <sz val="10"/>
      <color rgb="FF000000"/>
      <name val="Arial"/>
      <family val="2"/>
    </font>
    <font>
      <b/>
      <sz val="9.35"/>
      <name val="Calibri"/>
      <family val="2"/>
    </font>
    <font>
      <b/>
      <u/>
      <sz val="11"/>
      <color rgb="FFFF0000"/>
      <name val="Calibri"/>
      <family val="2"/>
      <scheme val="minor"/>
    </font>
    <font>
      <strike/>
      <sz val="10"/>
      <color rgb="FFFF0000"/>
      <name val="Arial"/>
      <family val="2"/>
    </font>
    <font>
      <b/>
      <sz val="10"/>
      <name val="Times New Roman"/>
      <family val="1"/>
    </font>
  </fonts>
  <fills count="118">
    <fill>
      <patternFill patternType="none"/>
    </fill>
    <fill>
      <patternFill patternType="gray125"/>
    </fill>
    <fill>
      <patternFill patternType="solid">
        <fgColor rgb="FFDBE5F1"/>
        <bgColor indexed="64"/>
      </patternFill>
    </fill>
    <fill>
      <patternFill patternType="solid">
        <fgColor rgb="FFFFFFFF"/>
        <bgColor indexed="64"/>
      </patternFill>
    </fill>
    <fill>
      <patternFill patternType="solid">
        <fgColor rgb="FFE9EFF7"/>
        <bgColor indexed="64"/>
      </patternFill>
    </fill>
    <fill>
      <patternFill patternType="solid">
        <fgColor rgb="FFF1F5FB"/>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F843"/>
        <bgColor indexed="64"/>
      </patternFill>
    </fill>
    <fill>
      <patternFill patternType="solid">
        <fgColor rgb="FFFFC7CE"/>
        <bgColor indexed="64"/>
      </patternFill>
    </fill>
    <fill>
      <patternFill patternType="solid">
        <fgColor rgb="FFFF988C"/>
        <bgColor indexed="64"/>
      </patternFill>
    </fill>
    <fill>
      <patternFill patternType="solid">
        <fgColor rgb="FFFF6758"/>
        <bgColor indexed="64"/>
      </patternFill>
    </fill>
    <fill>
      <patternFill patternType="solid">
        <fgColor rgb="FFB7CFE8"/>
        <bgColor indexed="64"/>
      </patternFill>
    </fill>
    <fill>
      <patternFill patternType="solid">
        <fgColor rgb="FFC3D6EB"/>
        <bgColor indexed="64"/>
      </patternFill>
    </fill>
    <fill>
      <patternFill patternType="solid">
        <fgColor rgb="FFDBE5F2"/>
        <bgColor indexed="64"/>
      </patternFill>
    </fill>
    <fill>
      <patternFill patternType="solid">
        <fgColor rgb="FFDBE5F1"/>
        <bgColor indexed="64"/>
      </patternFill>
    </fill>
    <fill>
      <patternFill patternType="solid">
        <fgColor indexed="31"/>
        <bgColor indexed="64"/>
      </patternFill>
    </fill>
    <fill>
      <patternFill patternType="solid">
        <fgColor indexed="40"/>
        <bgColor indexed="64"/>
      </patternFill>
    </fill>
    <fill>
      <patternFill patternType="solid">
        <fgColor theme="4" tint="0.79995117038483843"/>
        <bgColor indexed="64"/>
      </patternFill>
    </fill>
    <fill>
      <patternFill patternType="solid">
        <fgColor indexed="45"/>
        <bgColor indexed="64"/>
      </patternFill>
    </fill>
    <fill>
      <patternFill patternType="solid">
        <fgColor indexed="29"/>
        <bgColor indexed="64"/>
      </patternFill>
    </fill>
    <fill>
      <patternFill patternType="solid">
        <fgColor theme="5" tint="0.79995117038483843"/>
        <bgColor indexed="64"/>
      </patternFill>
    </fill>
    <fill>
      <patternFill patternType="solid">
        <fgColor indexed="42"/>
        <bgColor indexed="64"/>
      </patternFill>
    </fill>
    <fill>
      <patternFill patternType="solid">
        <fgColor indexed="26"/>
        <bgColor indexed="64"/>
      </patternFill>
    </fill>
    <fill>
      <patternFill patternType="solid">
        <fgColor theme="6" tint="0.79995117038483843"/>
        <bgColor indexed="64"/>
      </patternFill>
    </fill>
    <fill>
      <patternFill patternType="solid">
        <fgColor indexed="46"/>
        <bgColor indexed="64"/>
      </patternFill>
    </fill>
    <fill>
      <patternFill patternType="solid">
        <fgColor indexed="9"/>
        <bgColor indexed="64"/>
      </patternFill>
    </fill>
    <fill>
      <patternFill patternType="solid">
        <fgColor theme="7" tint="0.79995117038483843"/>
        <bgColor indexed="64"/>
      </patternFill>
    </fill>
    <fill>
      <patternFill patternType="solid">
        <fgColor indexed="27"/>
        <bgColor indexed="64"/>
      </patternFill>
    </fill>
    <fill>
      <patternFill patternType="solid">
        <fgColor indexed="44"/>
        <bgColor indexed="64"/>
      </patternFill>
    </fill>
    <fill>
      <patternFill patternType="solid">
        <fgColor theme="8" tint="0.79995117038483843"/>
        <bgColor indexed="64"/>
      </patternFill>
    </fill>
    <fill>
      <patternFill patternType="solid">
        <fgColor indexed="47"/>
        <bgColor indexed="64"/>
      </patternFill>
    </fill>
    <fill>
      <patternFill patternType="solid">
        <fgColor theme="9" tint="0.79995117038483843"/>
        <bgColor indexed="64"/>
      </patternFill>
    </fill>
    <fill>
      <patternFill patternType="solid">
        <fgColor indexed="54"/>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indexed="11"/>
        <bgColor indexed="64"/>
      </patternFill>
    </fill>
    <fill>
      <patternFill patternType="solid">
        <fgColor indexed="57"/>
        <bgColor indexed="64"/>
      </patternFill>
    </fill>
    <fill>
      <patternFill patternType="solid">
        <fgColor theme="6" tint="0.59996337778862885"/>
        <bgColor indexed="64"/>
      </patternFill>
    </fill>
    <fill>
      <patternFill patternType="solid">
        <fgColor indexed="22"/>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indexed="51"/>
        <bgColor indexed="64"/>
      </patternFill>
    </fill>
    <fill>
      <patternFill patternType="solid">
        <fgColor theme="9" tint="0.59996337778862885"/>
        <bgColor indexed="64"/>
      </patternFill>
    </fill>
    <fill>
      <patternFill patternType="solid">
        <fgColor indexed="3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indexed="49"/>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44"/>
        <bgColor indexed="64"/>
      </patternFill>
    </fill>
    <fill>
      <patternFill patternType="solid">
        <fgColor indexed="61"/>
        <bgColor indexed="64"/>
      </patternFill>
    </fill>
    <fill>
      <patternFill patternType="solid">
        <fgColor indexed="54"/>
        <bgColor indexed="64"/>
      </patternFill>
    </fill>
    <fill>
      <patternFill patternType="solid">
        <fgColor indexed="22"/>
        <bgColor indexed="64"/>
      </patternFill>
    </fill>
    <fill>
      <patternFill patternType="solid">
        <fgColor indexed="24"/>
        <bgColor indexed="64"/>
      </patternFill>
    </fill>
    <fill>
      <patternFill patternType="solid">
        <fgColor indexed="58"/>
        <bgColor indexed="64"/>
      </patternFill>
    </fill>
    <fill>
      <patternFill patternType="solid">
        <fgColor indexed="48"/>
        <bgColor indexed="64"/>
      </patternFill>
    </fill>
    <fill>
      <patternFill patternType="solid">
        <fgColor indexed="62"/>
        <bgColor indexed="64"/>
      </patternFill>
    </fill>
    <fill>
      <patternFill patternType="solid">
        <fgColor theme="4"/>
        <bgColor indexed="64"/>
      </patternFill>
    </fill>
    <fill>
      <patternFill patternType="solid">
        <fgColor indexed="15"/>
        <bgColor indexed="64"/>
      </patternFill>
    </fill>
    <fill>
      <patternFill patternType="solid">
        <fgColor indexed="31"/>
        <bgColor indexed="64"/>
      </patternFill>
    </fill>
    <fill>
      <patternFill patternType="solid">
        <fgColor indexed="45"/>
        <bgColor indexed="64"/>
      </patternFill>
    </fill>
    <fill>
      <patternFill patternType="solid">
        <fgColor indexed="40"/>
        <bgColor indexed="64"/>
      </patternFill>
    </fill>
    <fill>
      <patternFill patternType="solid">
        <fgColor indexed="55"/>
        <bgColor indexed="64"/>
      </patternFill>
    </fill>
    <fill>
      <patternFill patternType="solid">
        <fgColor indexed="25"/>
        <bgColor indexed="64"/>
      </patternFill>
    </fill>
    <fill>
      <patternFill patternType="solid">
        <fgColor indexed="10"/>
        <bgColor indexed="64"/>
      </patternFill>
    </fill>
    <fill>
      <patternFill patternType="solid">
        <fgColor theme="5"/>
        <bgColor indexed="64"/>
      </patternFill>
    </fill>
    <fill>
      <patternFill patternType="solid">
        <fgColor indexed="41"/>
        <bgColor indexed="64"/>
      </patternFill>
    </fill>
    <fill>
      <patternFill patternType="solid">
        <fgColor indexed="60"/>
        <bgColor indexed="64"/>
      </patternFill>
    </fill>
    <fill>
      <patternFill patternType="solid">
        <fgColor indexed="11"/>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23"/>
        <bgColor indexed="64"/>
      </patternFill>
    </fill>
    <fill>
      <patternFill patternType="solid">
        <fgColor indexed="18"/>
        <bgColor indexed="64"/>
      </patternFill>
    </fill>
    <fill>
      <patternFill patternType="solid">
        <fgColor theme="7"/>
        <bgColor indexed="64"/>
      </patternFill>
    </fill>
    <fill>
      <patternFill patternType="solid">
        <fgColor indexed="49"/>
        <bgColor indexed="64"/>
      </patternFill>
    </fill>
    <fill>
      <patternFill patternType="solid">
        <fgColor theme="8"/>
        <bgColor indexed="64"/>
      </patternFill>
    </fill>
    <fill>
      <patternFill patternType="solid">
        <fgColor indexed="26"/>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3"/>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indexed="35"/>
        <bgColor indexed="64"/>
      </patternFill>
    </fill>
    <fill>
      <patternFill patternType="solid">
        <fgColor indexed="9"/>
        <bgColor indexed="64"/>
      </patternFill>
    </fill>
    <fill>
      <patternFill patternType="solid">
        <fgColor indexed="55"/>
        <bgColor indexed="64"/>
      </patternFill>
    </fill>
    <fill>
      <patternFill patternType="solid">
        <fgColor rgb="FFA5A5A5"/>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rgb="FFC6EFCE"/>
        <bgColor indexed="64"/>
      </patternFill>
    </fill>
    <fill>
      <patternFill patternType="solid">
        <fgColor indexed="42"/>
        <bgColor indexed="64"/>
      </patternFill>
    </fill>
    <fill>
      <patternFill patternType="solid">
        <fgColor rgb="FFFFCC99"/>
        <bgColor indexed="64"/>
      </patternFill>
    </fill>
    <fill>
      <patternFill patternType="solid">
        <fgColor indexed="13"/>
        <bgColor indexed="64"/>
      </patternFill>
    </fill>
    <fill>
      <patternFill patternType="solid">
        <fgColor indexed="14"/>
        <bgColor indexed="64"/>
      </patternFill>
    </fill>
    <fill>
      <patternFill patternType="solid">
        <fgColor indexed="43"/>
        <bgColor indexed="64"/>
      </patternFill>
    </fill>
    <fill>
      <patternFill patternType="solid">
        <fgColor rgb="FFFFEB9C"/>
        <bgColor indexed="64"/>
      </patternFill>
    </fill>
    <fill>
      <patternFill patternType="solid">
        <fgColor indexed="60"/>
        <bgColor indexed="64"/>
      </patternFill>
    </fill>
    <fill>
      <patternFill patternType="solid">
        <fgColor rgb="FFFFE979"/>
        <bgColor indexed="64"/>
      </patternFill>
    </fill>
    <fill>
      <patternFill patternType="solid">
        <fgColor rgb="FF7DDDFF"/>
        <bgColor indexed="64"/>
      </patternFill>
    </fill>
    <fill>
      <patternFill patternType="solid">
        <fgColor rgb="FFFFE97D"/>
        <bgColor indexed="64"/>
      </patternFill>
    </fill>
    <fill>
      <patternFill patternType="solid">
        <fgColor rgb="FFFFE979"/>
        <bgColor rgb="FF000000"/>
      </patternFill>
    </fill>
    <fill>
      <patternFill patternType="solid">
        <fgColor rgb="FFFFE97D"/>
        <bgColor rgb="FF000000"/>
      </patternFill>
    </fill>
    <fill>
      <patternFill patternType="solid">
        <fgColor rgb="FFFF0000"/>
        <bgColor indexed="64"/>
      </patternFill>
    </fill>
    <fill>
      <patternFill patternType="solid">
        <fgColor rgb="FF92D050"/>
        <bgColor indexed="64"/>
      </patternFill>
    </fill>
  </fills>
  <borders count="51">
    <border>
      <left/>
      <right/>
      <top/>
      <bottom/>
      <diagonal/>
    </border>
    <border>
      <left style="thin">
        <color theme="3" tint="-0.24991607409894101"/>
      </left>
      <right style="thin">
        <color theme="3" tint="-0.24991607409894101"/>
      </right>
      <top style="thin">
        <color theme="3" tint="-0.24991607409894101"/>
      </top>
      <bottom style="thin">
        <color theme="3" tint="-0.24991607409894101"/>
      </bottom>
      <diagonal/>
    </border>
    <border>
      <left style="thin">
        <color theme="3" tint="0.59993285927915285"/>
      </left>
      <right style="thin">
        <color theme="3" tint="0.59993285927915285"/>
      </right>
      <top style="thin">
        <color theme="3" tint="0.59993285927915285"/>
      </top>
      <bottom style="thin">
        <color theme="3" tint="0.599932859279152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auto="1"/>
      </left>
      <right/>
      <top/>
      <bottom/>
      <diagonal/>
    </border>
    <border>
      <left style="double">
        <color auto="1"/>
      </left>
      <right/>
      <top/>
      <bottom style="hair">
        <color auto="1"/>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style="double">
        <color rgb="FF3F3F3F"/>
      </left>
      <right style="double">
        <color rgb="FF3F3F3F"/>
      </right>
      <top style="double">
        <color rgb="FF3F3F3F"/>
      </top>
      <bottom style="double">
        <color rgb="FF3F3F3F"/>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62"/>
      </bottom>
      <diagonal/>
    </border>
    <border>
      <left/>
      <right/>
      <top/>
      <bottom style="thick">
        <color indexed="48"/>
      </bottom>
      <diagonal/>
    </border>
    <border>
      <left/>
      <right/>
      <top/>
      <bottom style="thick">
        <color theme="4"/>
      </bottom>
      <diagonal/>
    </border>
    <border>
      <left/>
      <right/>
      <top/>
      <bottom style="thick">
        <color indexed="22"/>
      </bottom>
      <diagonal/>
    </border>
    <border>
      <left/>
      <right/>
      <top/>
      <bottom style="thick">
        <color indexed="58"/>
      </bottom>
      <diagonal/>
    </border>
    <border>
      <left/>
      <right/>
      <top/>
      <bottom style="thick">
        <color theme="4" tint="0.49995422223578601"/>
      </bottom>
      <diagonal/>
    </border>
    <border>
      <left/>
      <right/>
      <top/>
      <bottom style="medium">
        <color indexed="30"/>
      </bottom>
      <diagonal/>
    </border>
    <border>
      <left/>
      <right/>
      <top/>
      <bottom style="medium">
        <color indexed="58"/>
      </bottom>
      <diagonal/>
    </border>
    <border>
      <left/>
      <right/>
      <top/>
      <bottom style="medium">
        <color theme="4" tint="0.39997558519241921"/>
      </bottom>
      <diagonal/>
    </border>
    <border>
      <left/>
      <right/>
      <top/>
      <bottom style="medium">
        <color indexed="24"/>
      </bottom>
      <diagonal/>
    </border>
    <border>
      <left/>
      <right/>
      <top/>
      <bottom style="medium">
        <color auto="1"/>
      </bottom>
      <diagonal/>
    </border>
    <border>
      <left style="double">
        <color auto="1"/>
      </left>
      <right style="double">
        <color auto="1"/>
      </right>
      <top style="double">
        <color auto="1"/>
      </top>
      <bottom style="double">
        <color auto="1"/>
      </bottom>
      <diagonal/>
    </border>
    <border>
      <left/>
      <right/>
      <top/>
      <bottom style="double">
        <color indexed="52"/>
      </bottom>
      <diagonal/>
    </border>
    <border>
      <left/>
      <right/>
      <top/>
      <bottom style="double">
        <color indexed="17"/>
      </bottom>
      <diagonal/>
    </border>
    <border>
      <left/>
      <right/>
      <top/>
      <bottom style="double">
        <color rgb="FFFF8001"/>
      </bottom>
      <diagonal/>
    </border>
    <border>
      <left/>
      <right/>
      <top/>
      <bottom style="double">
        <color indexed="53"/>
      </bottom>
      <diagonal/>
    </border>
    <border>
      <left/>
      <right/>
      <top/>
      <bottom style="thin">
        <color auto="1"/>
      </bottom>
      <diagonal/>
    </border>
    <border>
      <left/>
      <right/>
      <top/>
      <bottom style="double">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s>
  <cellStyleXfs count="36495">
    <xf numFmtId="0" fontId="0" fillId="0" borderId="0"/>
    <xf numFmtId="9" fontId="103" fillId="0" borderId="0" applyFont="0" applyFill="0" applyBorder="0" applyAlignment="0" applyProtection="0"/>
    <xf numFmtId="44" fontId="103" fillId="0" borderId="0" applyFont="0" applyFill="0" applyBorder="0" applyAlignment="0" applyProtection="0"/>
    <xf numFmtId="42" fontId="1" fillId="0" borderId="0" applyFont="0" applyFill="0" applyBorder="0" applyAlignment="0" applyProtection="0"/>
    <xf numFmtId="43" fontId="103" fillId="0" borderId="0" applyFont="0" applyFill="0" applyBorder="0" applyAlignment="0" applyProtection="0"/>
    <xf numFmtId="41" fontId="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0" fontId="7" fillId="0" borderId="0" applyFont="0" applyFill="0" applyBorder="0" applyAlignment="0" applyProtection="0"/>
    <xf numFmtId="0" fontId="5" fillId="0" borderId="0"/>
    <xf numFmtId="0" fontId="7" fillId="0" borderId="0"/>
    <xf numFmtId="0" fontId="8" fillId="0" borderId="1" applyNumberFormat="0" applyFont="0" applyFill="0" applyAlignment="0" applyProtection="0"/>
    <xf numFmtId="0" fontId="9" fillId="0" borderId="2" applyNumberFormat="0" applyProtection="0">
      <alignment horizontal="right" vertical="center"/>
    </xf>
    <xf numFmtId="0" fontId="10" fillId="0" borderId="3" applyNumberFormat="0" applyProtection="0">
      <alignment horizontal="right" vertical="center"/>
    </xf>
    <xf numFmtId="0" fontId="10" fillId="2" borderId="1" applyNumberFormat="0" applyProtection="0"/>
    <xf numFmtId="0" fontId="11" fillId="3" borderId="3" applyNumberFormat="0" applyProtection="0"/>
    <xf numFmtId="0" fontId="11" fillId="3" borderId="3" applyNumberFormat="0" applyProtection="0"/>
    <xf numFmtId="0" fontId="12" fillId="0" borderId="4" applyNumberFormat="0" applyFill="0" applyBorder="0" applyAlignment="0" applyProtection="0"/>
    <xf numFmtId="0" fontId="12" fillId="3" borderId="3" applyNumberFormat="0" applyProtection="0"/>
    <xf numFmtId="0" fontId="12" fillId="3" borderId="3" applyNumberFormat="0" applyProtection="0"/>
    <xf numFmtId="0" fontId="13" fillId="4" borderId="2" applyNumberFormat="0" applyBorder="0" applyProtection="0">
      <alignment horizontal="right" vertical="center"/>
    </xf>
    <xf numFmtId="0" fontId="14" fillId="4" borderId="3" applyNumberFormat="0" applyBorder="0" applyProtection="0">
      <alignment horizontal="right" vertical="center"/>
    </xf>
    <xf numFmtId="0" fontId="12" fillId="5" borderId="3" applyNumberFormat="0" applyProtection="0"/>
    <xf numFmtId="0" fontId="14" fillId="5" borderId="3" applyNumberFormat="0" applyProtection="0">
      <alignment horizontal="right" vertical="center"/>
    </xf>
    <xf numFmtId="0" fontId="15" fillId="0" borderId="4" applyBorder="0" applyAlignment="0" applyProtection="0"/>
    <xf numFmtId="0" fontId="16" fillId="6" borderId="5" applyNumberFormat="0" applyBorder="0" applyProtection="0"/>
    <xf numFmtId="0" fontId="17" fillId="7" borderId="5" applyNumberFormat="0" applyBorder="0" applyProtection="0"/>
    <xf numFmtId="0" fontId="17" fillId="8" borderId="5" applyNumberFormat="0" applyBorder="0" applyProtection="0"/>
    <xf numFmtId="0" fontId="18" fillId="9" borderId="5" applyNumberFormat="0" applyBorder="0" applyProtection="0"/>
    <xf numFmtId="0" fontId="18" fillId="10" borderId="5" applyNumberFormat="0" applyBorder="0" applyProtection="0"/>
    <xf numFmtId="0" fontId="18" fillId="11" borderId="5" applyNumberFormat="0" applyBorder="0" applyProtection="0"/>
    <xf numFmtId="0" fontId="19" fillId="12" borderId="5" applyNumberFormat="0" applyBorder="0" applyProtection="0"/>
    <xf numFmtId="0" fontId="19" fillId="13" borderId="5" applyNumberFormat="0" applyBorder="0" applyProtection="0"/>
    <xf numFmtId="0" fontId="19" fillId="14" borderId="5" applyNumberFormat="0" applyBorder="0" applyProtection="0"/>
    <xf numFmtId="0" fontId="11" fillId="15" borderId="1" applyNumberFormat="0" applyProtection="0"/>
    <xf numFmtId="0" fontId="11" fillId="16" borderId="1" applyNumberFormat="0" applyProtection="0"/>
    <xf numFmtId="0" fontId="11" fillId="17" borderId="1" applyNumberFormat="0" applyProtection="0"/>
    <xf numFmtId="0" fontId="11" fillId="4" borderId="1" applyNumberFormat="0" applyProtection="0"/>
    <xf numFmtId="0" fontId="11" fillId="5" borderId="3" applyNumberFormat="0" applyProtection="0"/>
    <xf numFmtId="0" fontId="9" fillId="4" borderId="2" applyNumberFormat="0" applyBorder="0" applyProtection="0">
      <alignment horizontal="right" vertical="center"/>
    </xf>
    <xf numFmtId="0" fontId="10" fillId="4" borderId="3" applyNumberFormat="0" applyBorder="0" applyProtection="0">
      <alignment horizontal="right" vertical="center"/>
    </xf>
    <xf numFmtId="0" fontId="9" fillId="18" borderId="1" applyNumberFormat="0" applyProtection="0"/>
    <xf numFmtId="0" fontId="10" fillId="2" borderId="3" applyNumberFormat="0" applyProtection="0"/>
    <xf numFmtId="0" fontId="11" fillId="5" borderId="3" applyNumberFormat="0" applyProtection="0"/>
    <xf numFmtId="0" fontId="10" fillId="5" borderId="3" applyNumberFormat="0" applyProtection="0">
      <alignment horizontal="right" vertical="center"/>
    </xf>
    <xf numFmtId="0" fontId="5" fillId="0" borderId="0"/>
    <xf numFmtId="0" fontId="5" fillId="0" borderId="0"/>
    <xf numFmtId="0" fontId="103" fillId="0" borderId="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4" fontId="5" fillId="0" borderId="0" applyFont="0" applyFill="0" applyBorder="0" applyAlignment="0" applyProtection="0"/>
    <xf numFmtId="0" fontId="103" fillId="0" borderId="0"/>
    <xf numFmtId="0" fontId="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9" fontId="103" fillId="0" borderId="0" applyFont="0" applyFill="0" applyBorder="0" applyAlignment="0" applyProtection="0"/>
    <xf numFmtId="9" fontId="103" fillId="0" borderId="0" applyFont="0" applyFill="0" applyBorder="0" applyAlignment="0" applyProtection="0"/>
    <xf numFmtId="9" fontId="5" fillId="0" borderId="0" applyFont="0" applyFill="0" applyBorder="0" applyAlignment="0" applyProtection="0"/>
    <xf numFmtId="0" fontId="37" fillId="0" borderId="0"/>
    <xf numFmtId="170" fontId="37" fillId="0" borderId="0"/>
    <xf numFmtId="171" fontId="37" fillId="0" borderId="0"/>
    <xf numFmtId="172" fontId="37" fillId="0" borderId="0"/>
    <xf numFmtId="170" fontId="37" fillId="0" borderId="0"/>
    <xf numFmtId="171" fontId="37" fillId="0" borderId="0"/>
    <xf numFmtId="171" fontId="37" fillId="0" borderId="0"/>
    <xf numFmtId="171" fontId="37" fillId="0" borderId="0"/>
    <xf numFmtId="0" fontId="37" fillId="0" borderId="0"/>
    <xf numFmtId="170" fontId="37" fillId="0" borderId="0"/>
    <xf numFmtId="171" fontId="37" fillId="0" borderId="0"/>
    <xf numFmtId="172" fontId="37" fillId="0" borderId="0"/>
    <xf numFmtId="170" fontId="37" fillId="0" borderId="0"/>
    <xf numFmtId="171" fontId="37" fillId="0" borderId="0"/>
    <xf numFmtId="171" fontId="37" fillId="0" borderId="0"/>
    <xf numFmtId="171" fontId="37" fillId="0" borderId="0"/>
    <xf numFmtId="0" fontId="38" fillId="0" borderId="0" applyNumberFormat="0" applyFill="0" applyBorder="0" applyProtection="0"/>
    <xf numFmtId="0" fontId="38" fillId="0" borderId="0" applyNumberFormat="0" applyFill="0" applyBorder="0" applyProtection="0"/>
    <xf numFmtId="0" fontId="39" fillId="0" borderId="0" applyNumberFormat="0" applyFill="0" applyBorder="0" applyProtection="0"/>
    <xf numFmtId="0" fontId="39" fillId="0" borderId="0" applyNumberFormat="0" applyFill="0" applyBorder="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0" fillId="0" borderId="0" applyNumberFormat="0" applyFill="0" applyBorder="0" applyProtection="0"/>
    <xf numFmtId="0" fontId="40" fillId="0" borderId="0" applyNumberFormat="0" applyFill="0" applyBorder="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3" fontId="5" fillId="0" borderId="0" applyFont="0" applyFill="0" applyBorder="0" applyAlignment="0" applyProtection="0"/>
    <xf numFmtId="170" fontId="41" fillId="0" borderId="6" applyBorder="0">
      <alignment horizontal="left"/>
    </xf>
    <xf numFmtId="171" fontId="41" fillId="0" borderId="6" applyBorder="0">
      <alignment horizontal="left"/>
    </xf>
    <xf numFmtId="0" fontId="42" fillId="0" borderId="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0" fontId="43"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43" fillId="19"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43" fillId="22"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43" fillId="22"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43" fillId="25"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43" fillId="25"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43" fillId="28"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43" fillId="28"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43" fillId="31"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43" fillId="31"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43" fillId="3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43" fillId="34"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43"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43" fillId="32"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43"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43" fillId="23"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43" fillId="39"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43" fillId="39"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43" fillId="28"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43" fillId="28"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43"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43" fillId="32"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43" fillId="45"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43" fillId="45"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6" fillId="36"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6" fillId="36" borderId="0" applyNumberFormat="0" applyBorder="0" applyAlignment="0" applyProtection="0"/>
    <xf numFmtId="0" fontId="45" fillId="47"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45" fillId="47"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6"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6" fillId="23" borderId="0" applyNumberFormat="0" applyBorder="0" applyAlignment="0" applyProtection="0"/>
    <xf numFmtId="0" fontId="45"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45" fillId="23"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6" fillId="40"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6" fillId="40" borderId="0" applyNumberFormat="0" applyBorder="0" applyAlignment="0" applyProtection="0"/>
    <xf numFmtId="0" fontId="45" fillId="39"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45" fillId="39"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6" fillId="42"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6" fillId="42" borderId="0" applyNumberFormat="0" applyBorder="0" applyAlignment="0" applyProtection="0"/>
    <xf numFmtId="0" fontId="45" fillId="51"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45" fillId="51"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6" fillId="36"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6" fillId="36" borderId="0" applyNumberFormat="0" applyBorder="0" applyAlignment="0" applyProtection="0"/>
    <xf numFmtId="0" fontId="45" fillId="53"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45" fillId="53"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6" fillId="34"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6" fillId="34" borderId="0" applyNumberFormat="0" applyBorder="0" applyAlignment="0" applyProtection="0"/>
    <xf numFmtId="0" fontId="45" fillId="55"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45"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5" fillId="61" borderId="0" applyNumberFormat="0" applyBorder="0" applyAlignment="0" applyProtection="0"/>
    <xf numFmtId="0" fontId="45" fillId="62"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7"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9"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5" fillId="70" borderId="0" applyNumberFormat="0" applyBorder="0" applyAlignment="0" applyProtection="0"/>
    <xf numFmtId="0" fontId="45" fillId="6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68" borderId="0" applyNumberFormat="0" applyBorder="0" applyAlignment="0" applyProtection="0"/>
    <xf numFmtId="0" fontId="45" fillId="68" borderId="0" applyNumberFormat="0" applyBorder="0" applyAlignment="0" applyProtection="0"/>
    <xf numFmtId="0" fontId="45" fillId="68" borderId="0" applyNumberFormat="0" applyBorder="0" applyAlignment="0" applyProtection="0"/>
    <xf numFmtId="0" fontId="45" fillId="6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5"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76"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5" fillId="60" borderId="0" applyNumberFormat="0" applyBorder="0" applyAlignment="0" applyProtection="0"/>
    <xf numFmtId="0" fontId="45" fillId="77"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77" borderId="0" applyNumberFormat="0" applyBorder="0" applyAlignment="0" applyProtection="0"/>
    <xf numFmtId="0" fontId="45" fillId="77" borderId="0" applyNumberFormat="0" applyBorder="0" applyAlignment="0" applyProtection="0"/>
    <xf numFmtId="0" fontId="45" fillId="77" borderId="0" applyNumberFormat="0" applyBorder="0" applyAlignment="0" applyProtection="0"/>
    <xf numFmtId="0" fontId="45" fillId="77"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8"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7"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7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5" fillId="60" borderId="0" applyNumberFormat="0" applyBorder="0" applyAlignment="0" applyProtection="0"/>
    <xf numFmtId="0" fontId="45" fillId="69"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9" borderId="0" applyNumberFormat="0" applyBorder="0" applyAlignment="0" applyProtection="0"/>
    <xf numFmtId="0" fontId="45" fillId="69" borderId="0" applyNumberFormat="0" applyBorder="0" applyAlignment="0" applyProtection="0"/>
    <xf numFmtId="0" fontId="45" fillId="69" borderId="0" applyNumberFormat="0" applyBorder="0" applyAlignment="0" applyProtection="0"/>
    <xf numFmtId="0" fontId="45" fillId="69"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1"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74"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5" fillId="59" borderId="0" applyNumberFormat="0" applyBorder="0" applyAlignment="0" applyProtection="0"/>
    <xf numFmtId="0" fontId="45" fillId="62"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62"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35" fillId="84"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86"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5" fillId="86" borderId="0" applyNumberFormat="0" applyBorder="0" applyAlignment="0" applyProtection="0"/>
    <xf numFmtId="0" fontId="45" fillId="87"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7" borderId="0" applyNumberFormat="0" applyBorder="0" applyAlignment="0" applyProtection="0"/>
    <xf numFmtId="0" fontId="45" fillId="87" borderId="0" applyNumberFormat="0" applyBorder="0" applyAlignment="0" applyProtection="0"/>
    <xf numFmtId="0" fontId="45" fillId="87" borderId="0" applyNumberFormat="0" applyBorder="0" applyAlignment="0" applyProtection="0"/>
    <xf numFmtId="0" fontId="45" fillId="87"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90"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177" fontId="6" fillId="32" borderId="7">
      <alignment horizontal="center" vertical="center"/>
    </xf>
    <xf numFmtId="178" fontId="37" fillId="32" borderId="7">
      <alignment horizontal="center" vertical="center"/>
    </xf>
    <xf numFmtId="177" fontId="6" fillId="32" borderId="7">
      <alignment horizontal="center" vertical="center"/>
    </xf>
    <xf numFmtId="167" fontId="5" fillId="32" borderId="7">
      <alignment horizontal="center" vertical="center"/>
    </xf>
    <xf numFmtId="167" fontId="5" fillId="32" borderId="7">
      <alignment horizontal="center" vertical="center"/>
    </xf>
    <xf numFmtId="167" fontId="5" fillId="32" borderId="7">
      <alignment horizontal="center" vertical="center"/>
    </xf>
    <xf numFmtId="167" fontId="5" fillId="32" borderId="7">
      <alignment horizontal="center" vertical="center"/>
    </xf>
    <xf numFmtId="0" fontId="22" fillId="0" borderId="0">
      <alignment horizontal="center" wrapText="1"/>
      <protection locked="0"/>
    </xf>
    <xf numFmtId="0" fontId="22" fillId="0" borderId="0">
      <alignment horizontal="center" wrapText="1"/>
      <protection locked="0"/>
    </xf>
    <xf numFmtId="170" fontId="22" fillId="0" borderId="0">
      <alignment horizontal="center" wrapText="1"/>
      <protection locked="0"/>
    </xf>
    <xf numFmtId="171" fontId="22" fillId="0" borderId="0">
      <alignment horizontal="center" wrapText="1"/>
      <protection locked="0"/>
    </xf>
    <xf numFmtId="172" fontId="22" fillId="0" borderId="0">
      <alignment horizontal="center" wrapText="1"/>
      <protection locked="0"/>
    </xf>
    <xf numFmtId="170" fontId="22" fillId="0" borderId="0">
      <alignment horizontal="center" wrapText="1"/>
      <protection locked="0"/>
    </xf>
    <xf numFmtId="171" fontId="22" fillId="0" borderId="0">
      <alignment horizontal="center" wrapText="1"/>
      <protection locked="0"/>
    </xf>
    <xf numFmtId="171" fontId="22" fillId="0" borderId="0">
      <alignment horizontal="center" wrapText="1"/>
      <protection locked="0"/>
    </xf>
    <xf numFmtId="171" fontId="22" fillId="0" borderId="0">
      <alignment horizontal="center" wrapText="1"/>
      <protection locked="0"/>
    </xf>
    <xf numFmtId="172" fontId="22" fillId="0" borderId="0">
      <alignment horizontal="center" wrapText="1"/>
      <protection locked="0"/>
    </xf>
    <xf numFmtId="170" fontId="22" fillId="0" borderId="0">
      <alignment horizontal="center" wrapText="1"/>
      <protection locked="0"/>
    </xf>
    <xf numFmtId="171" fontId="22" fillId="0" borderId="0">
      <alignment horizontal="center" wrapText="1"/>
      <protection locked="0"/>
    </xf>
    <xf numFmtId="171" fontId="22" fillId="0" borderId="0">
      <alignment horizontal="center" wrapText="1"/>
      <protection locked="0"/>
    </xf>
    <xf numFmtId="172" fontId="22" fillId="0" borderId="0">
      <alignment horizontal="center" wrapText="1"/>
      <protection locked="0"/>
    </xf>
    <xf numFmtId="170" fontId="22" fillId="0" borderId="0">
      <alignment horizontal="center" wrapText="1"/>
      <protection locked="0"/>
    </xf>
    <xf numFmtId="171" fontId="22" fillId="0" borderId="0">
      <alignment horizontal="center" wrapText="1"/>
      <protection locked="0"/>
    </xf>
    <xf numFmtId="171" fontId="22" fillId="0" borderId="0">
      <alignment horizontal="center" wrapText="1"/>
      <protection locked="0"/>
    </xf>
    <xf numFmtId="170" fontId="22" fillId="0" borderId="0">
      <alignment horizontal="center" wrapText="1"/>
      <protection locked="0"/>
    </xf>
    <xf numFmtId="171" fontId="22" fillId="0" borderId="0">
      <alignment horizontal="center" wrapText="1"/>
      <protection locked="0"/>
    </xf>
    <xf numFmtId="175" fontId="22" fillId="0" borderId="0">
      <alignment horizontal="center" wrapText="1"/>
      <protection locked="0"/>
    </xf>
    <xf numFmtId="171" fontId="22" fillId="0" borderId="0">
      <alignment horizontal="center" wrapText="1"/>
      <protection locked="0"/>
    </xf>
    <xf numFmtId="171" fontId="22" fillId="0" borderId="0">
      <alignment horizontal="center" wrapText="1"/>
      <protection locked="0"/>
    </xf>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9" fillId="85"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28" fillId="92"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49" fillId="85"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49" fillId="85" borderId="0" applyNumberFormat="0" applyBorder="0" applyAlignment="0" applyProtection="0"/>
    <xf numFmtId="0" fontId="49" fillId="85" borderId="0" applyNumberFormat="0" applyBorder="0" applyAlignment="0" applyProtection="0"/>
    <xf numFmtId="0" fontId="49" fillId="85"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50" fillId="68"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50" fillId="68" borderId="0" applyNumberFormat="0" applyBorder="0" applyAlignment="0" applyProtection="0"/>
    <xf numFmtId="0" fontId="48" fillId="22"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48" fillId="2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48" fillId="22" borderId="0" applyNumberFormat="0" applyBorder="0" applyAlignment="0" applyProtection="0"/>
    <xf numFmtId="0" fontId="50" fillId="68"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68" fontId="52" fillId="0" borderId="8" applyFont="0"/>
    <xf numFmtId="1" fontId="52" fillId="0" borderId="8"/>
    <xf numFmtId="0" fontId="53" fillId="0" borderId="6" applyNumberFormat="0" applyBorder="0">
      <alignment horizontal="right"/>
    </xf>
    <xf numFmtId="167" fontId="5" fillId="0" borderId="0" applyFill="0" applyBorder="0" applyAlignment="0"/>
    <xf numFmtId="167" fontId="5" fillId="0" borderId="0" applyFill="0" applyBorder="0" applyAlignment="0"/>
    <xf numFmtId="167" fontId="5" fillId="0" borderId="0" applyFill="0" applyBorder="0" applyAlignment="0"/>
    <xf numFmtId="167" fontId="5" fillId="0" borderId="0" applyFill="0" applyBorder="0" applyAlignment="0"/>
    <xf numFmtId="0" fontId="31" fillId="93" borderId="9"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5" fillId="94" borderId="11" applyNumberFormat="0" applyAlignment="0" applyProtection="0"/>
    <xf numFmtId="0" fontId="55" fillId="94" borderId="11" applyNumberFormat="0" applyAlignment="0" applyProtection="0"/>
    <xf numFmtId="0" fontId="54" fillId="42" borderId="10" applyNumberFormat="0" applyAlignment="0" applyProtection="0"/>
    <xf numFmtId="0" fontId="55" fillId="94" borderId="11"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5" fillId="94" borderId="11"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6" fillId="95"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4" fillId="42"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54" fillId="42" borderId="10"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31" fillId="93" borderId="9" applyNumberFormat="0" applyAlignment="0" applyProtection="0"/>
    <xf numFmtId="0" fontId="31" fillId="93" borderId="9" applyNumberFormat="0" applyAlignment="0" applyProtection="0"/>
    <xf numFmtId="0" fontId="55" fillId="94" borderId="11" applyNumberFormat="0" applyAlignment="0" applyProtection="0"/>
    <xf numFmtId="0" fontId="55" fillId="94" borderId="11" applyNumberFormat="0" applyAlignment="0" applyProtection="0"/>
    <xf numFmtId="0" fontId="31" fillId="93" borderId="9" applyNumberFormat="0" applyAlignment="0" applyProtection="0"/>
    <xf numFmtId="0" fontId="57" fillId="0" borderId="0" applyNumberFormat="0" applyFont="0" applyFill="0" applyBorder="0" applyProtection="0">
      <alignment horizontal="centerContinuous"/>
    </xf>
    <xf numFmtId="0" fontId="57" fillId="0" borderId="0" applyNumberFormat="0" applyFont="0" applyFill="0" applyBorder="0" applyProtection="0">
      <alignment horizontal="centerContinuous"/>
    </xf>
    <xf numFmtId="0" fontId="57" fillId="0" borderId="0" applyNumberFormat="0" applyFont="0" applyFill="0" applyBorder="0" applyProtection="0">
      <alignment horizontal="centerContinuous"/>
    </xf>
    <xf numFmtId="0" fontId="57" fillId="0" borderId="0" applyNumberFormat="0" applyFont="0" applyFill="0" applyBorder="0" applyProtection="0">
      <alignment horizontal="centerContinuous"/>
    </xf>
    <xf numFmtId="0" fontId="57" fillId="0" borderId="0" applyNumberFormat="0" applyFont="0" applyFill="0" applyBorder="0" applyProtection="0">
      <alignment horizontal="centerContinuous"/>
    </xf>
    <xf numFmtId="0" fontId="57" fillId="0" borderId="0" applyNumberFormat="0" applyFont="0" applyFill="0" applyBorder="0" applyProtection="0">
      <alignment horizontal="centerContinuous"/>
    </xf>
    <xf numFmtId="0" fontId="57" fillId="0" borderId="0" applyNumberFormat="0" applyFont="0" applyFill="0" applyBorder="0" applyProtection="0">
      <alignment horizontal="centerContinuous"/>
    </xf>
    <xf numFmtId="0" fontId="57" fillId="0" borderId="0" applyNumberFormat="0" applyFont="0" applyFill="0" applyBorder="0" applyProtection="0">
      <alignment horizontal="centerContinuous"/>
    </xf>
    <xf numFmtId="0" fontId="57" fillId="0" borderId="0" applyNumberFormat="0" applyFont="0" applyFill="0" applyBorder="0" applyProtection="0">
      <alignment horizontal="centerContinuous" wrapText="1"/>
    </xf>
    <xf numFmtId="179" fontId="5" fillId="0" borderId="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81" borderId="12"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81"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81" borderId="12" applyNumberFormat="0" applyAlignment="0" applyProtection="0"/>
    <xf numFmtId="0" fontId="58" fillId="81" borderId="12" applyNumberFormat="0" applyAlignment="0" applyProtection="0"/>
    <xf numFmtId="0" fontId="58" fillId="81"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70"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70" borderId="12" applyNumberFormat="0" applyAlignment="0" applyProtection="0"/>
    <xf numFmtId="0" fontId="58" fillId="96" borderId="12" applyNumberFormat="0" applyAlignment="0" applyProtection="0"/>
    <xf numFmtId="0" fontId="58" fillId="70" borderId="12" applyNumberFormat="0" applyAlignment="0" applyProtection="0"/>
    <xf numFmtId="0" fontId="58" fillId="70" borderId="12"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58" fillId="96" borderId="12"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41" fontId="5" fillId="0" borderId="0" applyFont="0" applyFill="0" applyBorder="0" applyAlignment="0" applyProtection="0"/>
    <xf numFmtId="41" fontId="5" fillId="0" borderId="0" applyFont="0" applyFill="0" applyBorder="0" applyAlignment="0" applyProtection="0"/>
    <xf numFmtId="41"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5"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4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103" fillId="0" borderId="0" applyFont="0" applyFill="0" applyBorder="0" applyAlignment="0" applyProtection="0"/>
    <xf numFmtId="4"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0" applyFont="0" applyFill="0" applyBorder="0" applyAlignment="0" applyProtection="0"/>
    <xf numFmtId="43" fontId="5"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181" fontId="52" fillId="0" borderId="8"/>
    <xf numFmtId="44" fontId="103" fillId="0" borderId="0" applyFont="0" applyFill="0" applyBorder="0" applyAlignment="0" applyProtection="0"/>
    <xf numFmtId="44" fontId="103" fillId="0" borderId="0" applyFont="0" applyFill="0" applyBorder="0" applyAlignment="0" applyProtection="0"/>
    <xf numFmtId="44" fontId="5"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5"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3" fillId="0" borderId="0" applyFont="0" applyFill="0" applyBorder="0" applyAlignment="0" applyProtection="0"/>
    <xf numFmtId="44"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5" fillId="0" borderId="0" applyFont="0" applyFill="0" applyBorder="0" applyAlignment="0" applyProtection="0"/>
    <xf numFmtId="44" fontId="4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5"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183" fontId="60" fillId="0" borderId="0" applyFont="0" applyFill="0" applyBorder="0" applyAlignment="0" applyProtection="0"/>
    <xf numFmtId="6" fontId="61" fillId="0" borderId="0">
      <protection locked="0"/>
    </xf>
    <xf numFmtId="14" fontId="5" fillId="0" borderId="0" applyFont="0" applyFill="0" applyBorder="0" applyAlignment="0" applyProtection="0"/>
    <xf numFmtId="14" fontId="5" fillId="0" borderId="0" applyFont="0" applyFill="0" applyBorder="0" applyAlignment="0" applyProtection="0"/>
    <xf numFmtId="6" fontId="61" fillId="0" borderId="0">
      <protection locked="0"/>
    </xf>
    <xf numFmtId="4" fontId="62" fillId="0" borderId="0" applyFont="0" applyFill="0" applyBorder="0" applyAlignment="0" applyProtection="0"/>
    <xf numFmtId="0" fontId="63" fillId="98" borderId="0" applyNumberFormat="0" applyBorder="0" applyAlignment="0" applyProtection="0"/>
    <xf numFmtId="0" fontId="63" fillId="99"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9" borderId="0" applyNumberFormat="0" applyBorder="0" applyAlignment="0" applyProtection="0"/>
    <xf numFmtId="0" fontId="63" fillId="99" borderId="0" applyNumberFormat="0" applyBorder="0" applyAlignment="0" applyProtection="0"/>
    <xf numFmtId="0" fontId="63" fillId="99" borderId="0" applyNumberFormat="0" applyBorder="0" applyAlignment="0" applyProtection="0"/>
    <xf numFmtId="0" fontId="63" fillId="99"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100" borderId="0" applyNumberFormat="0" applyBorder="0" applyAlignment="0" applyProtection="0"/>
    <xf numFmtId="0" fontId="63" fillId="101"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1" borderId="0" applyNumberFormat="0" applyBorder="0" applyAlignment="0" applyProtection="0"/>
    <xf numFmtId="0" fontId="63" fillId="101" borderId="0" applyNumberFormat="0" applyBorder="0" applyAlignment="0" applyProtection="0"/>
    <xf numFmtId="0" fontId="63" fillId="101" borderId="0" applyNumberFormat="0" applyBorder="0" applyAlignment="0" applyProtection="0"/>
    <xf numFmtId="0" fontId="63" fillId="101"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172" fontId="5" fillId="0" borderId="0" applyFont="0" applyFill="0" applyBorder="0" applyAlignment="0" applyProtection="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2"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2"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5"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84" fontId="5" fillId="0" borderId="0">
      <protection locked="0"/>
    </xf>
    <xf numFmtId="184" fontId="5" fillId="0" borderId="0">
      <protection locked="0"/>
    </xf>
    <xf numFmtId="184" fontId="5" fillId="0" borderId="0">
      <protection locked="0"/>
    </xf>
    <xf numFmtId="184" fontId="5" fillId="0" borderId="0">
      <protection locked="0"/>
    </xf>
    <xf numFmtId="184" fontId="5" fillId="0" borderId="0">
      <protection locked="0"/>
    </xf>
    <xf numFmtId="184" fontId="5" fillId="0" borderId="0">
      <protection locked="0"/>
    </xf>
    <xf numFmtId="184" fontId="5" fillId="0" borderId="0">
      <protection locked="0"/>
    </xf>
    <xf numFmtId="0" fontId="62" fillId="0" borderId="0" applyFont="0" applyFill="0" applyBorder="0" applyAlignment="0" applyProtection="0"/>
    <xf numFmtId="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2"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2"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9" fontId="36" fillId="0" borderId="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43" fillId="76"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27" fillId="103"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43" fillId="76"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104"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104" borderId="0" applyNumberFormat="0" applyBorder="0" applyAlignment="0" applyProtection="0"/>
    <xf numFmtId="0" fontId="67" fillId="25"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67" fillId="25"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5">
      <alignment horizontal="left" vertical="center"/>
    </xf>
    <xf numFmtId="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5" fontId="69" fillId="0" borderId="15">
      <alignment horizontal="left" vertical="center"/>
    </xf>
    <xf numFmtId="175" fontId="69" fillId="0" borderId="15">
      <alignment horizontal="left" vertical="center"/>
    </xf>
    <xf numFmtId="175" fontId="69" fillId="0" borderId="15">
      <alignment horizontal="left" vertical="center"/>
    </xf>
    <xf numFmtId="175"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1" fillId="0" borderId="17"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1" fillId="0" borderId="17"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1" fillId="0" borderId="17" applyNumberFormat="0" applyFill="0" applyAlignment="0" applyProtection="0"/>
    <xf numFmtId="0" fontId="70" fillId="0" borderId="16"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70" fillId="0" borderId="16"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3" fillId="0" borderId="20"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20"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20" applyNumberFormat="0" applyFill="0" applyAlignment="0" applyProtection="0"/>
    <xf numFmtId="0" fontId="73" fillId="0" borderId="20" applyNumberFormat="0" applyFill="0" applyAlignment="0" applyProtection="0"/>
    <xf numFmtId="0" fontId="73" fillId="0" borderId="20"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3"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3" fillId="0" borderId="19" applyNumberFormat="0" applyFill="0" applyAlignment="0" applyProtection="0"/>
    <xf numFmtId="0" fontId="72"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72" fillId="0" borderId="19"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5" fillId="0" borderId="23"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3"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3" applyNumberFormat="0" applyFill="0" applyAlignment="0" applyProtection="0"/>
    <xf numFmtId="0" fontId="75" fillId="0" borderId="23" applyNumberFormat="0" applyFill="0" applyAlignment="0" applyProtection="0"/>
    <xf numFmtId="0" fontId="75" fillId="0" borderId="23"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5" fillId="0" borderId="25"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5" fillId="0" borderId="25" applyNumberFormat="0" applyFill="0" applyAlignment="0" applyProtection="0"/>
    <xf numFmtId="0" fontId="74" fillId="0" borderId="22"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74" fillId="0" borderId="22"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74"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0" fontId="76" fillId="0" borderId="26">
      <alignment horizontal="center"/>
    </xf>
    <xf numFmtId="0" fontId="76" fillId="0" borderId="26">
      <alignment horizontal="center"/>
    </xf>
    <xf numFmtId="170" fontId="76" fillId="0" borderId="26">
      <alignment horizontal="center"/>
    </xf>
    <xf numFmtId="171" fontId="76" fillId="0" borderId="26">
      <alignment horizontal="center"/>
    </xf>
    <xf numFmtId="172" fontId="76" fillId="0" borderId="26">
      <alignment horizontal="center"/>
    </xf>
    <xf numFmtId="170" fontId="76" fillId="0" borderId="26">
      <alignment horizontal="center"/>
    </xf>
    <xf numFmtId="171" fontId="76" fillId="0" borderId="26">
      <alignment horizontal="center"/>
    </xf>
    <xf numFmtId="171" fontId="76" fillId="0" borderId="26">
      <alignment horizontal="center"/>
    </xf>
    <xf numFmtId="171" fontId="76" fillId="0" borderId="26">
      <alignment horizontal="center"/>
    </xf>
    <xf numFmtId="172" fontId="76" fillId="0" borderId="26">
      <alignment horizontal="center"/>
    </xf>
    <xf numFmtId="170" fontId="76" fillId="0" borderId="26">
      <alignment horizontal="center"/>
    </xf>
    <xf numFmtId="171" fontId="76" fillId="0" borderId="26">
      <alignment horizontal="center"/>
    </xf>
    <xf numFmtId="171" fontId="76" fillId="0" borderId="26">
      <alignment horizontal="center"/>
    </xf>
    <xf numFmtId="172" fontId="76" fillId="0" borderId="26">
      <alignment horizontal="center"/>
    </xf>
    <xf numFmtId="170" fontId="76" fillId="0" borderId="26">
      <alignment horizontal="center"/>
    </xf>
    <xf numFmtId="171" fontId="76" fillId="0" borderId="26">
      <alignment horizontal="center"/>
    </xf>
    <xf numFmtId="171" fontId="76" fillId="0" borderId="26">
      <alignment horizontal="center"/>
    </xf>
    <xf numFmtId="170" fontId="76" fillId="0" borderId="26">
      <alignment horizontal="center"/>
    </xf>
    <xf numFmtId="171" fontId="76" fillId="0" borderId="26">
      <alignment horizontal="center"/>
    </xf>
    <xf numFmtId="175" fontId="76" fillId="0" borderId="26">
      <alignment horizontal="center"/>
    </xf>
    <xf numFmtId="171" fontId="76" fillId="0" borderId="26">
      <alignment horizontal="center"/>
    </xf>
    <xf numFmtId="171" fontId="76" fillId="0" borderId="26">
      <alignment horizontal="center"/>
    </xf>
    <xf numFmtId="0" fontId="76" fillId="0" borderId="0">
      <alignment horizontal="center"/>
    </xf>
    <xf numFmtId="0" fontId="76" fillId="0" borderId="0">
      <alignment horizontal="center"/>
    </xf>
    <xf numFmtId="170" fontId="76" fillId="0" borderId="0">
      <alignment horizontal="center"/>
    </xf>
    <xf numFmtId="171" fontId="76" fillId="0" borderId="0">
      <alignment horizontal="center"/>
    </xf>
    <xf numFmtId="172" fontId="76" fillId="0" borderId="0">
      <alignment horizontal="center"/>
    </xf>
    <xf numFmtId="170" fontId="76" fillId="0" borderId="0">
      <alignment horizontal="center"/>
    </xf>
    <xf numFmtId="171" fontId="76" fillId="0" borderId="0">
      <alignment horizontal="center"/>
    </xf>
    <xf numFmtId="171" fontId="76" fillId="0" borderId="0">
      <alignment horizontal="center"/>
    </xf>
    <xf numFmtId="171" fontId="76" fillId="0" borderId="0">
      <alignment horizontal="center"/>
    </xf>
    <xf numFmtId="172" fontId="76" fillId="0" borderId="0">
      <alignment horizontal="center"/>
    </xf>
    <xf numFmtId="170" fontId="76" fillId="0" borderId="0">
      <alignment horizontal="center"/>
    </xf>
    <xf numFmtId="171" fontId="76" fillId="0" borderId="0">
      <alignment horizontal="center"/>
    </xf>
    <xf numFmtId="171" fontId="76" fillId="0" borderId="0">
      <alignment horizontal="center"/>
    </xf>
    <xf numFmtId="172" fontId="76" fillId="0" borderId="0">
      <alignment horizontal="center"/>
    </xf>
    <xf numFmtId="170" fontId="76" fillId="0" borderId="0">
      <alignment horizontal="center"/>
    </xf>
    <xf numFmtId="171" fontId="76" fillId="0" borderId="0">
      <alignment horizontal="center"/>
    </xf>
    <xf numFmtId="171" fontId="76" fillId="0" borderId="0">
      <alignment horizontal="center"/>
    </xf>
    <xf numFmtId="170" fontId="76" fillId="0" borderId="0">
      <alignment horizontal="center"/>
    </xf>
    <xf numFmtId="171" fontId="76" fillId="0" borderId="0">
      <alignment horizontal="center"/>
    </xf>
    <xf numFmtId="175" fontId="76" fillId="0" borderId="0">
      <alignment horizontal="center"/>
    </xf>
    <xf numFmtId="171" fontId="76" fillId="0" borderId="0">
      <alignment horizontal="center"/>
    </xf>
    <xf numFmtId="171" fontId="76" fillId="0" borderId="0">
      <alignment horizontal="center"/>
    </xf>
    <xf numFmtId="0" fontId="62" fillId="0" borderId="0" applyProtection="0">
      <alignment horizontal="right"/>
    </xf>
    <xf numFmtId="0" fontId="62" fillId="0" borderId="0" applyProtection="0">
      <alignment horizontal="right"/>
    </xf>
    <xf numFmtId="170" fontId="62" fillId="0" borderId="0" applyProtection="0">
      <alignment horizontal="right"/>
    </xf>
    <xf numFmtId="171" fontId="62" fillId="0" borderId="0" applyProtection="0">
      <alignment horizontal="right"/>
    </xf>
    <xf numFmtId="172" fontId="62" fillId="0" borderId="0" applyProtection="0">
      <alignment horizontal="right"/>
    </xf>
    <xf numFmtId="170" fontId="62" fillId="0" borderId="0" applyProtection="0">
      <alignment horizontal="right"/>
    </xf>
    <xf numFmtId="171" fontId="62" fillId="0" borderId="0" applyProtection="0">
      <alignment horizontal="right"/>
    </xf>
    <xf numFmtId="171" fontId="62" fillId="0" borderId="0" applyProtection="0">
      <alignment horizontal="right"/>
    </xf>
    <xf numFmtId="171" fontId="62" fillId="0" borderId="0" applyProtection="0">
      <alignment horizontal="right"/>
    </xf>
    <xf numFmtId="172" fontId="62" fillId="0" borderId="0" applyProtection="0">
      <alignment horizontal="right"/>
    </xf>
    <xf numFmtId="170" fontId="62" fillId="0" borderId="0" applyProtection="0">
      <alignment horizontal="right"/>
    </xf>
    <xf numFmtId="171" fontId="62" fillId="0" borderId="0" applyProtection="0">
      <alignment horizontal="right"/>
    </xf>
    <xf numFmtId="171" fontId="62" fillId="0" borderId="0" applyProtection="0">
      <alignment horizontal="right"/>
    </xf>
    <xf numFmtId="170" fontId="62" fillId="0" borderId="0" applyProtection="0">
      <alignment horizontal="right"/>
    </xf>
    <xf numFmtId="171" fontId="62" fillId="0" borderId="0" applyProtection="0">
      <alignment horizontal="right"/>
    </xf>
    <xf numFmtId="175" fontId="62" fillId="0" borderId="0" applyProtection="0">
      <alignment horizontal="right"/>
    </xf>
    <xf numFmtId="171" fontId="62" fillId="0" borderId="0" applyProtection="0">
      <alignment horizontal="right"/>
    </xf>
    <xf numFmtId="171" fontId="62" fillId="0" borderId="0" applyProtection="0">
      <alignment horizontal="right"/>
    </xf>
    <xf numFmtId="186" fontId="5" fillId="0" borderId="0" applyFont="0" applyFill="0" applyBorder="0" applyAlignment="0" applyProtection="0"/>
    <xf numFmtId="186" fontId="5" fillId="0" borderId="0" applyFont="0" applyFill="0" applyBorder="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39" fontId="78" fillId="0" borderId="0">
      <protection locked="0"/>
    </xf>
    <xf numFmtId="169" fontId="78" fillId="0" borderId="0"/>
    <xf numFmtId="37" fontId="79" fillId="0" borderId="0"/>
    <xf numFmtId="37" fontId="79" fillId="0" borderId="0"/>
    <xf numFmtId="0" fontId="80" fillId="0" borderId="0" applyNumberFormat="0" applyFill="0" applyBorder="0">
      <protection locked="0"/>
    </xf>
    <xf numFmtId="170" fontId="81" fillId="0" borderId="0" applyFill="0" applyBorder="0" applyProtection="0"/>
    <xf numFmtId="171" fontId="81" fillId="0" borderId="0" applyFill="0" applyBorder="0" applyProtection="0"/>
    <xf numFmtId="0" fontId="47" fillId="26" borderId="8" applyNumberFormat="0" applyBorder="0" applyAlignment="0" applyProtection="0"/>
    <xf numFmtId="0" fontId="47" fillId="26" borderId="8" applyNumberFormat="0" applyBorder="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1" applyNumberFormat="0" applyAlignment="0" applyProtection="0"/>
    <xf numFmtId="0" fontId="82" fillId="86" borderId="11" applyNumberFormat="0" applyAlignment="0" applyProtection="0"/>
    <xf numFmtId="0" fontId="83" fillId="34" borderId="10" applyNumberFormat="0" applyAlignment="0" applyProtection="0"/>
    <xf numFmtId="0" fontId="82" fillId="86" borderId="11"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30" fillId="105" borderId="9"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30" fillId="105" borderId="9"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187" fontId="84" fillId="0" borderId="0" applyFont="0" applyFill="0" applyBorder="0" applyProtection="0">
      <alignment horizontal="center"/>
    </xf>
    <xf numFmtId="0" fontId="36" fillId="106" borderId="0" applyNumberFormat="0" applyFont="0" applyBorder="0" applyProtection="0"/>
    <xf numFmtId="0" fontId="36" fillId="106" borderId="0" applyNumberFormat="0" applyFont="0" applyBorder="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67" fillId="0" borderId="29"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67" fillId="0" borderId="29"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67" fillId="0" borderId="29" applyNumberFormat="0" applyFill="0" applyAlignment="0" applyProtection="0"/>
    <xf numFmtId="0" fontId="67" fillId="0" borderId="29" applyNumberFormat="0" applyFill="0" applyAlignment="0" applyProtection="0"/>
    <xf numFmtId="0" fontId="67" fillId="0" borderId="29"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6" fillId="0" borderId="31"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6" fillId="0" borderId="31" applyNumberFormat="0" applyFill="0" applyAlignment="0" applyProtection="0"/>
    <xf numFmtId="0" fontId="85" fillId="0" borderId="28"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85" fillId="0" borderId="28"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170" fontId="87" fillId="107" borderId="0">
      <alignment horizontal="right"/>
    </xf>
    <xf numFmtId="171" fontId="87" fillId="107" borderId="0">
      <alignment horizontal="right"/>
    </xf>
    <xf numFmtId="17" fontId="88" fillId="0" borderId="0" applyFont="0" applyFill="0" applyBorder="0">
      <protection locked="0"/>
    </xf>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67" fillId="86"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29" fillId="109"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67"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29" fillId="109"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29" fillId="109" borderId="0" applyNumberFormat="0" applyBorder="0" applyAlignment="0" applyProtection="0"/>
    <xf numFmtId="0" fontId="89" fillId="108"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89" fillId="108"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37" fontId="90" fillId="0" borderId="0"/>
    <xf numFmtId="188" fontId="91" fillId="0" borderId="0"/>
    <xf numFmtId="189" fontId="5" fillId="0" borderId="0"/>
    <xf numFmtId="189" fontId="5" fillId="0" borderId="0"/>
    <xf numFmtId="190" fontId="5" fillId="0" borderId="0"/>
    <xf numFmtId="190" fontId="5" fillId="0" borderId="0"/>
    <xf numFmtId="190" fontId="5" fillId="0" borderId="0"/>
    <xf numFmtId="190" fontId="5" fillId="0" borderId="0"/>
    <xf numFmtId="0" fontId="103" fillId="0" borderId="0"/>
    <xf numFmtId="170" fontId="103" fillId="0" borderId="0"/>
    <xf numFmtId="171" fontId="103" fillId="0" borderId="0"/>
    <xf numFmtId="172" fontId="103" fillId="0" borderId="0"/>
    <xf numFmtId="170" fontId="103" fillId="0" borderId="0"/>
    <xf numFmtId="171" fontId="103" fillId="0" borderId="0"/>
    <xf numFmtId="171" fontId="103" fillId="0" borderId="0"/>
    <xf numFmtId="171" fontId="103" fillId="0" borderId="0"/>
    <xf numFmtId="172"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170" fontId="103" fillId="0" borderId="0"/>
    <xf numFmtId="171" fontId="103" fillId="0" borderId="0"/>
    <xf numFmtId="172" fontId="103" fillId="0" borderId="0"/>
    <xf numFmtId="170" fontId="103" fillId="0" borderId="0"/>
    <xf numFmtId="171" fontId="103" fillId="0" borderId="0"/>
    <xf numFmtId="171" fontId="103" fillId="0" borderId="0"/>
    <xf numFmtId="0" fontId="5" fillId="0" borderId="0"/>
    <xf numFmtId="170" fontId="5" fillId="0" borderId="0"/>
    <xf numFmtId="171" fontId="5" fillId="0" borderId="0"/>
    <xf numFmtId="171" fontId="5" fillId="0" borderId="0"/>
    <xf numFmtId="175" fontId="103" fillId="0" borderId="0"/>
    <xf numFmtId="0" fontId="103" fillId="0" borderId="0"/>
    <xf numFmtId="171" fontId="103" fillId="0" borderId="0"/>
    <xf numFmtId="171" fontId="103" fillId="0" borderId="0"/>
    <xf numFmtId="171" fontId="103" fillId="0" borderId="0"/>
    <xf numFmtId="176" fontId="103"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103" fillId="0" borderId="0"/>
    <xf numFmtId="171" fontId="103" fillId="0" borderId="0"/>
    <xf numFmtId="172" fontId="103" fillId="0" borderId="0"/>
    <xf numFmtId="170" fontId="103" fillId="0" borderId="0"/>
    <xf numFmtId="171" fontId="103" fillId="0" borderId="0"/>
    <xf numFmtId="171" fontId="103" fillId="0" borderId="0"/>
    <xf numFmtId="171" fontId="103" fillId="0" borderId="0"/>
    <xf numFmtId="0" fontId="103" fillId="0" borderId="0"/>
    <xf numFmtId="172"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170" fontId="103" fillId="0" borderId="0"/>
    <xf numFmtId="171" fontId="103" fillId="0" borderId="0"/>
    <xf numFmtId="172" fontId="103" fillId="0" borderId="0"/>
    <xf numFmtId="170" fontId="103" fillId="0" borderId="0"/>
    <xf numFmtId="171" fontId="103" fillId="0" borderId="0"/>
    <xf numFmtId="171" fontId="103" fillId="0" borderId="0"/>
    <xf numFmtId="0" fontId="47" fillId="110" borderId="0"/>
    <xf numFmtId="170" fontId="47" fillId="110" borderId="0"/>
    <xf numFmtId="171" fontId="47" fillId="110" borderId="0"/>
    <xf numFmtId="171" fontId="47" fillId="110" borderId="0"/>
    <xf numFmtId="175" fontId="47" fillId="110" borderId="0"/>
    <xf numFmtId="171" fontId="47" fillId="110" borderId="0"/>
    <xf numFmtId="171" fontId="103" fillId="0" borderId="0"/>
    <xf numFmtId="0" fontId="103"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103" fillId="0" borderId="0"/>
    <xf numFmtId="170" fontId="103" fillId="0" borderId="0"/>
    <xf numFmtId="171" fontId="103" fillId="0" borderId="0"/>
    <xf numFmtId="172" fontId="103" fillId="0" borderId="0"/>
    <xf numFmtId="170" fontId="103" fillId="0" borderId="0"/>
    <xf numFmtId="171" fontId="103" fillId="0" borderId="0"/>
    <xf numFmtId="171" fontId="103" fillId="0" borderId="0"/>
    <xf numFmtId="171" fontId="103" fillId="0" borderId="0"/>
    <xf numFmtId="172"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170" fontId="103" fillId="0" borderId="0"/>
    <xf numFmtId="171" fontId="103" fillId="0" borderId="0"/>
    <xf numFmtId="172" fontId="103" fillId="0" borderId="0"/>
    <xf numFmtId="170" fontId="103" fillId="0" borderId="0"/>
    <xf numFmtId="171" fontId="103" fillId="0" borderId="0"/>
    <xf numFmtId="171" fontId="103" fillId="0" borderId="0"/>
    <xf numFmtId="0" fontId="47" fillId="110" borderId="0"/>
    <xf numFmtId="170" fontId="47" fillId="110" borderId="0"/>
    <xf numFmtId="171" fontId="47" fillId="110" borderId="0"/>
    <xf numFmtId="171" fontId="47" fillId="110" borderId="0"/>
    <xf numFmtId="175" fontId="103" fillId="0" borderId="0"/>
    <xf numFmtId="171" fontId="103" fillId="0" borderId="0"/>
    <xf numFmtId="171" fontId="103" fillId="0" borderId="0"/>
    <xf numFmtId="0" fontId="103" fillId="0" borderId="0"/>
    <xf numFmtId="0"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103" fillId="0" borderId="0"/>
    <xf numFmtId="170" fontId="103" fillId="0" borderId="0"/>
    <xf numFmtId="171" fontId="103" fillId="0" borderId="0"/>
    <xf numFmtId="172" fontId="103" fillId="0" borderId="0"/>
    <xf numFmtId="170" fontId="103" fillId="0" borderId="0"/>
    <xf numFmtId="171" fontId="103" fillId="0" borderId="0"/>
    <xf numFmtId="171" fontId="103" fillId="0" borderId="0"/>
    <xf numFmtId="171" fontId="103" fillId="0" borderId="0"/>
    <xf numFmtId="172"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170" fontId="103" fillId="0" borderId="0"/>
    <xf numFmtId="171" fontId="103" fillId="0" borderId="0"/>
    <xf numFmtId="172" fontId="103" fillId="0" borderId="0"/>
    <xf numFmtId="170" fontId="103" fillId="0" borderId="0"/>
    <xf numFmtId="171" fontId="103" fillId="0" borderId="0"/>
    <xf numFmtId="171" fontId="103" fillId="0" borderId="0"/>
    <xf numFmtId="0" fontId="47" fillId="110" borderId="0"/>
    <xf numFmtId="170" fontId="47" fillId="110" borderId="0"/>
    <xf numFmtId="171" fontId="47" fillId="110" borderId="0"/>
    <xf numFmtId="171" fontId="47" fillId="110" borderId="0"/>
    <xf numFmtId="175" fontId="47" fillId="110" borderId="0"/>
    <xf numFmtId="171" fontId="47" fillId="110" borderId="0"/>
    <xf numFmtId="171" fontId="103" fillId="0" borderId="0"/>
    <xf numFmtId="0" fontId="103"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0" fontId="47" fillId="110" borderId="0"/>
    <xf numFmtId="170" fontId="47" fillId="110" borderId="0"/>
    <xf numFmtId="170" fontId="47" fillId="110" borderId="0"/>
    <xf numFmtId="171" fontId="47" fillId="110" borderId="0"/>
    <xf numFmtId="0" fontId="103" fillId="0" borderId="0"/>
    <xf numFmtId="170" fontId="103" fillId="0" borderId="0"/>
    <xf numFmtId="171" fontId="103" fillId="0" borderId="0"/>
    <xf numFmtId="171" fontId="103" fillId="0" borderId="0"/>
    <xf numFmtId="171" fontId="47" fillId="110" borderId="0"/>
    <xf numFmtId="0" fontId="47" fillId="110" borderId="0"/>
    <xf numFmtId="170" fontId="47" fillId="110" borderId="0"/>
    <xf numFmtId="171" fontId="47" fillId="110" borderId="0"/>
    <xf numFmtId="171" fontId="47" fillId="110" borderId="0"/>
    <xf numFmtId="0" fontId="103" fillId="0" borderId="0"/>
    <xf numFmtId="170" fontId="103" fillId="0" borderId="0"/>
    <xf numFmtId="171" fontId="103" fillId="0" borderId="0"/>
    <xf numFmtId="171" fontId="103" fillId="0" borderId="0"/>
    <xf numFmtId="171" fontId="47" fillId="110" borderId="0"/>
    <xf numFmtId="175" fontId="103" fillId="0" borderId="0"/>
    <xf numFmtId="171" fontId="103" fillId="0" borderId="0"/>
    <xf numFmtId="171" fontId="103" fillId="0" borderId="0"/>
    <xf numFmtId="0"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7"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0" fontId="47" fillId="110" borderId="0"/>
    <xf numFmtId="170" fontId="47" fillId="110" borderId="0"/>
    <xf numFmtId="170" fontId="47" fillId="110" borderId="0"/>
    <xf numFmtId="171" fontId="47" fillId="110" borderId="0"/>
    <xf numFmtId="0" fontId="103" fillId="0" borderId="0"/>
    <xf numFmtId="170" fontId="103" fillId="0" borderId="0"/>
    <xf numFmtId="171" fontId="103" fillId="0" borderId="0"/>
    <xf numFmtId="171" fontId="103" fillId="0" borderId="0"/>
    <xf numFmtId="171" fontId="47" fillId="110" borderId="0"/>
    <xf numFmtId="0" fontId="47" fillId="110" borderId="0"/>
    <xf numFmtId="170" fontId="47" fillId="110" borderId="0"/>
    <xf numFmtId="171" fontId="47" fillId="110" borderId="0"/>
    <xf numFmtId="171" fontId="47" fillId="110" borderId="0"/>
    <xf numFmtId="0" fontId="103" fillId="0" borderId="0"/>
    <xf numFmtId="170" fontId="103" fillId="0" borderId="0"/>
    <xf numFmtId="171" fontId="103" fillId="0" borderId="0"/>
    <xf numFmtId="171" fontId="103" fillId="0" borderId="0"/>
    <xf numFmtId="171" fontId="47" fillId="110" borderId="0"/>
    <xf numFmtId="171" fontId="103" fillId="0" borderId="0"/>
    <xf numFmtId="0"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47" fillId="110" borderId="0"/>
    <xf numFmtId="171" fontId="47" fillId="110" borderId="0"/>
    <xf numFmtId="171" fontId="5" fillId="0" borderId="0"/>
    <xf numFmtId="176" fontId="47" fillId="110" borderId="0"/>
    <xf numFmtId="191" fontId="103" fillId="0" borderId="0"/>
    <xf numFmtId="0" fontId="103" fillId="0" borderId="0"/>
    <xf numFmtId="19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175" fontId="103" fillId="0" borderId="0"/>
    <xf numFmtId="171" fontId="103" fillId="0" borderId="0"/>
    <xf numFmtId="171" fontId="5" fillId="0" borderId="0"/>
    <xf numFmtId="0" fontId="5" fillId="0" borderId="0"/>
    <xf numFmtId="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5" fontId="5" fillId="0" borderId="0"/>
    <xf numFmtId="171" fontId="5" fillId="0" borderId="0"/>
    <xf numFmtId="171" fontId="5" fillId="0" borderId="0"/>
    <xf numFmtId="0" fontId="5" fillId="0" borderId="0"/>
    <xf numFmtId="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0"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70" fontId="5" fillId="0" borderId="0"/>
    <xf numFmtId="0" fontId="103" fillId="0" borderId="0"/>
    <xf numFmtId="0" fontId="103" fillId="0" borderId="0"/>
    <xf numFmtId="0" fontId="103" fillId="0" borderId="0"/>
    <xf numFmtId="0" fontId="103" fillId="0" borderId="0"/>
    <xf numFmtId="0" fontId="103" fillId="0" borderId="0"/>
    <xf numFmtId="0" fontId="103" fillId="0" borderId="0"/>
    <xf numFmtId="170" fontId="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71" fontId="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71"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70" fontId="103" fillId="0" borderId="0"/>
    <xf numFmtId="0" fontId="103" fillId="0" borderId="0"/>
    <xf numFmtId="0" fontId="103" fillId="0" borderId="0"/>
    <xf numFmtId="0" fontId="103" fillId="0" borderId="0"/>
    <xf numFmtId="0" fontId="103" fillId="0" borderId="0"/>
    <xf numFmtId="0" fontId="103" fillId="0" borderId="0"/>
    <xf numFmtId="171"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71"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70" fontId="103" fillId="0" borderId="0"/>
    <xf numFmtId="0" fontId="103" fillId="0" borderId="0"/>
    <xf numFmtId="0" fontId="103" fillId="0" borderId="0"/>
    <xf numFmtId="0" fontId="103" fillId="0" borderId="0"/>
    <xf numFmtId="0" fontId="103" fillId="0" borderId="0"/>
    <xf numFmtId="0" fontId="103" fillId="0" borderId="0"/>
    <xf numFmtId="171"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71" fontId="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 fillId="0" borderId="0"/>
    <xf numFmtId="170" fontId="5" fillId="0" borderId="0"/>
    <xf numFmtId="171" fontId="5" fillId="0" borderId="0"/>
    <xf numFmtId="171" fontId="5" fillId="0" borderId="0"/>
    <xf numFmtId="175" fontId="103" fillId="0" borderId="0"/>
    <xf numFmtId="0" fontId="5" fillId="0" borderId="0"/>
    <xf numFmtId="171" fontId="5" fillId="0" borderId="0"/>
    <xf numFmtId="171" fontId="103" fillId="0" borderId="0"/>
    <xf numFmtId="0" fontId="5" fillId="0" borderId="0"/>
    <xf numFmtId="171" fontId="5" fillId="0" borderId="0"/>
    <xf numFmtId="0" fontId="5" fillId="0" borderId="0"/>
    <xf numFmtId="0"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1" fontId="5" fillId="0" borderId="0"/>
    <xf numFmtId="176" fontId="5" fillId="0" borderId="0"/>
    <xf numFmtId="191" fontId="103" fillId="0" borderId="0"/>
    <xf numFmtId="0" fontId="5" fillId="0" borderId="0"/>
    <xf numFmtId="0"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103" fillId="0" borderId="0"/>
    <xf numFmtId="170" fontId="92" fillId="0" borderId="0"/>
    <xf numFmtId="170" fontId="92" fillId="0" borderId="0"/>
    <xf numFmtId="171" fontId="92"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92" fillId="0" borderId="0"/>
    <xf numFmtId="172" fontId="92" fillId="0" borderId="0"/>
    <xf numFmtId="170" fontId="92" fillId="0" borderId="0"/>
    <xf numFmtId="170" fontId="92" fillId="0" borderId="0"/>
    <xf numFmtId="171" fontId="92" fillId="0" borderId="0"/>
    <xf numFmtId="0" fontId="103" fillId="0" borderId="0"/>
    <xf numFmtId="170" fontId="103" fillId="0" borderId="0"/>
    <xf numFmtId="171" fontId="103" fillId="0" borderId="0"/>
    <xf numFmtId="171" fontId="103" fillId="0" borderId="0"/>
    <xf numFmtId="171" fontId="92" fillId="0" borderId="0"/>
    <xf numFmtId="172" fontId="92" fillId="0" borderId="0"/>
    <xf numFmtId="170" fontId="92" fillId="0" borderId="0"/>
    <xf numFmtId="171" fontId="92" fillId="0" borderId="0"/>
    <xf numFmtId="171" fontId="92"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92" fillId="0" borderId="0"/>
    <xf numFmtId="0" fontId="92" fillId="0" borderId="0"/>
    <xf numFmtId="170" fontId="92" fillId="0" borderId="0"/>
    <xf numFmtId="171" fontId="92" fillId="0" borderId="0"/>
    <xf numFmtId="171" fontId="92" fillId="0" borderId="0"/>
    <xf numFmtId="171" fontId="92" fillId="0" borderId="0"/>
    <xf numFmtId="0" fontId="92" fillId="0" borderId="0"/>
    <xf numFmtId="0" fontId="5"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 fillId="0" borderId="0"/>
    <xf numFmtId="170" fontId="1" fillId="0" borderId="0"/>
    <xf numFmtId="170" fontId="1" fillId="0" borderId="0"/>
    <xf numFmtId="171" fontId="1" fillId="0" borderId="0"/>
    <xf numFmtId="0" fontId="103" fillId="0" borderId="0"/>
    <xf numFmtId="170" fontId="103" fillId="0" borderId="0"/>
    <xf numFmtId="171" fontId="103" fillId="0" borderId="0"/>
    <xf numFmtId="171" fontId="103" fillId="0" borderId="0"/>
    <xf numFmtId="171" fontId="1" fillId="0" borderId="0"/>
    <xf numFmtId="0" fontId="1" fillId="0" borderId="0"/>
    <xf numFmtId="170" fontId="1" fillId="0" borderId="0"/>
    <xf numFmtId="171" fontId="1" fillId="0" borderId="0"/>
    <xf numFmtId="171" fontId="1" fillId="0" borderId="0"/>
    <xf numFmtId="0" fontId="103" fillId="0" borderId="0"/>
    <xf numFmtId="170" fontId="103" fillId="0" borderId="0"/>
    <xf numFmtId="171" fontId="103" fillId="0" borderId="0"/>
    <xf numFmtId="171" fontId="103" fillId="0" borderId="0"/>
    <xf numFmtId="171" fontId="1" fillId="0" borderId="0"/>
    <xf numFmtId="0" fontId="5" fillId="0" borderId="0"/>
    <xf numFmtId="170" fontId="5" fillId="0" borderId="0"/>
    <xf numFmtId="171" fontId="5" fillId="0" borderId="0"/>
    <xf numFmtId="171" fontId="5" fillId="0" borderId="0"/>
    <xf numFmtId="175" fontId="5"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5" fontId="103" fillId="0" borderId="0"/>
    <xf numFmtId="171" fontId="103" fillId="0" borderId="0"/>
    <xf numFmtId="171" fontId="5" fillId="0" borderId="0"/>
    <xf numFmtId="191"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5" fontId="5" fillId="0" borderId="0"/>
    <xf numFmtId="171" fontId="5"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5" fillId="0" borderId="0"/>
    <xf numFmtId="170" fontId="5" fillId="0" borderId="0"/>
    <xf numFmtId="0" fontId="5" fillId="0" borderId="0"/>
    <xf numFmtId="9" fontId="5" fillId="0" borderId="0" applyFont="0" applyFill="0" applyBorder="0" applyAlignment="0" applyProtection="0"/>
    <xf numFmtId="9" fontId="21" fillId="0" borderId="0" applyFont="0" applyFill="0" applyBorder="0" applyAlignment="0" applyProtection="0"/>
    <xf numFmtId="44" fontId="5" fillId="0" borderId="0" applyFont="0" applyFill="0" applyBorder="0" applyAlignment="0" applyProtection="0"/>
    <xf numFmtId="0" fontId="101" fillId="0" borderId="0" applyNumberFormat="0" applyFill="0" applyBorder="0" applyAlignment="0" applyProtection="0"/>
    <xf numFmtId="0" fontId="5" fillId="0" borderId="0"/>
    <xf numFmtId="0" fontId="47" fillId="0" borderId="0"/>
    <xf numFmtId="9" fontId="1" fillId="0" borderId="0" applyFont="0" applyFill="0" applyBorder="0" applyAlignment="0" applyProtection="0"/>
    <xf numFmtId="0" fontId="105" fillId="0" borderId="0"/>
    <xf numFmtId="9" fontId="105" fillId="0" borderId="0" applyFont="0" applyFill="0" applyBorder="0" applyAlignment="0" applyProtection="0"/>
    <xf numFmtId="43" fontId="103" fillId="0" borderId="0" applyFont="0" applyFill="0" applyBorder="0" applyAlignment="0" applyProtection="0"/>
    <xf numFmtId="0" fontId="1" fillId="0" borderId="0"/>
    <xf numFmtId="0" fontId="10" fillId="18" borderId="1" applyNumberFormat="0" applyProtection="0"/>
    <xf numFmtId="0" fontId="19" fillId="92" borderId="5" applyNumberFormat="0" applyBorder="0" applyProtection="0"/>
    <xf numFmtId="0" fontId="10" fillId="18" borderId="3" applyNumberFormat="0" applyProtection="0"/>
    <xf numFmtId="0" fontId="43" fillId="67"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104"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3" fillId="104"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8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3" fillId="86"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3" fillId="57"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3" fillId="76"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3" fillId="57"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3" fillId="87"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6" fillId="78"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6" fillId="78" borderId="0" applyNumberFormat="0" applyBorder="0" applyAlignment="0" applyProtection="0"/>
    <xf numFmtId="0" fontId="45" fillId="76"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6" fillId="59"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6" fillId="59" borderId="0" applyNumberFormat="0" applyBorder="0" applyAlignment="0" applyProtection="0"/>
    <xf numFmtId="0" fontId="45" fillId="83"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6" fillId="86"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6" fillId="86" borderId="0" applyNumberFormat="0" applyBorder="0" applyAlignment="0" applyProtection="0"/>
    <xf numFmtId="0" fontId="45" fillId="88"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3" fillId="110" borderId="0" applyNumberFormat="0" applyBorder="0" applyAlignment="0" applyProtection="0"/>
    <xf numFmtId="0" fontId="43" fillId="110" borderId="0" applyNumberFormat="0" applyBorder="0" applyAlignment="0" applyProtection="0"/>
    <xf numFmtId="0" fontId="43" fillId="110" borderId="0" applyNumberFormat="0" applyBorder="0" applyAlignment="0" applyProtection="0"/>
    <xf numFmtId="0" fontId="43" fillId="110" borderId="0" applyNumberFormat="0" applyBorder="0" applyAlignment="0" applyProtection="0"/>
    <xf numFmtId="0" fontId="43" fillId="110" borderId="0" applyNumberFormat="0" applyBorder="0" applyAlignment="0" applyProtection="0"/>
    <xf numFmtId="0" fontId="43" fillId="110" borderId="0" applyNumberFormat="0" applyBorder="0" applyAlignment="0" applyProtection="0"/>
    <xf numFmtId="0" fontId="43" fillId="110" borderId="0" applyNumberFormat="0" applyBorder="0" applyAlignment="0" applyProtection="0"/>
    <xf numFmtId="0" fontId="43" fillId="110" borderId="0" applyNumberFormat="0" applyBorder="0" applyAlignment="0" applyProtection="0"/>
    <xf numFmtId="0" fontId="43" fillId="110"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96"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96"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96"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177" fontId="6" fillId="57" borderId="7">
      <alignment horizontal="center" vertical="center"/>
    </xf>
    <xf numFmtId="178" fontId="37" fillId="57" borderId="7">
      <alignment horizontal="center" vertical="center"/>
    </xf>
    <xf numFmtId="177" fontId="6" fillId="57" borderId="7">
      <alignment horizontal="center" vertical="center"/>
    </xf>
    <xf numFmtId="167" fontId="5" fillId="57" borderId="7">
      <alignment horizontal="center" vertical="center"/>
    </xf>
    <xf numFmtId="167" fontId="5" fillId="57" borderId="7">
      <alignment horizontal="center" vertical="center"/>
    </xf>
    <xf numFmtId="167" fontId="5" fillId="57" borderId="7">
      <alignment horizontal="center" vertical="center"/>
    </xf>
    <xf numFmtId="167" fontId="5" fillId="57" borderId="7">
      <alignment horizontal="center" vertical="center"/>
    </xf>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168" fontId="52" fillId="0" borderId="48" applyFont="0"/>
    <xf numFmtId="1" fontId="52" fillId="0" borderId="48"/>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5" fillId="94" borderId="50" applyNumberFormat="0" applyAlignment="0" applyProtection="0"/>
    <xf numFmtId="0" fontId="55" fillId="94" borderId="50" applyNumberFormat="0" applyAlignment="0" applyProtection="0"/>
    <xf numFmtId="0" fontId="54" fillId="60" borderId="49" applyNumberFormat="0" applyAlignment="0" applyProtection="0"/>
    <xf numFmtId="0" fontId="55" fillId="94" borderId="50"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5" fillId="94" borderId="50"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5" fillId="94" borderId="50"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6" fillId="95"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4" fillId="60"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4" fillId="60"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6" fillId="95" borderId="49" applyNumberFormat="0" applyAlignment="0" applyProtection="0"/>
    <xf numFmtId="0" fontId="55" fillId="94" borderId="50" applyNumberFormat="0" applyAlignment="0" applyProtection="0"/>
    <xf numFmtId="0" fontId="55" fillId="94" borderId="50"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181" fontId="52" fillId="0" borderId="48"/>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69" fillId="0" borderId="44">
      <alignment horizontal="left" vertical="center"/>
    </xf>
    <xf numFmtId="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172"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172" fontId="69" fillId="0" borderId="44">
      <alignment horizontal="left" vertical="center"/>
    </xf>
    <xf numFmtId="172" fontId="69" fillId="0" borderId="44">
      <alignment horizontal="left" vertical="center"/>
    </xf>
    <xf numFmtId="172" fontId="69" fillId="0" borderId="44">
      <alignment horizontal="left" vertical="center"/>
    </xf>
    <xf numFmtId="172" fontId="69" fillId="0" borderId="44">
      <alignment horizontal="left" vertical="center"/>
    </xf>
    <xf numFmtId="172"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172" fontId="69" fillId="0" borderId="44">
      <alignment horizontal="left" vertical="center"/>
    </xf>
    <xf numFmtId="172" fontId="69" fillId="0" borderId="44">
      <alignment horizontal="left" vertical="center"/>
    </xf>
    <xf numFmtId="172" fontId="69" fillId="0" borderId="44">
      <alignment horizontal="left" vertical="center"/>
    </xf>
    <xf numFmtId="172" fontId="69" fillId="0" borderId="44">
      <alignment horizontal="left" vertical="center"/>
    </xf>
    <xf numFmtId="171" fontId="69" fillId="0" borderId="44">
      <alignment horizontal="left" vertical="center"/>
    </xf>
    <xf numFmtId="171" fontId="69" fillId="0" borderId="44">
      <alignment horizontal="left" vertical="center"/>
    </xf>
    <xf numFmtId="172" fontId="69" fillId="0" borderId="44">
      <alignment horizontal="left" vertical="center"/>
    </xf>
    <xf numFmtId="172" fontId="69" fillId="0" borderId="44">
      <alignment horizontal="left" vertical="center"/>
    </xf>
    <xf numFmtId="171" fontId="69" fillId="0" borderId="44">
      <alignment horizontal="left" vertical="center"/>
    </xf>
    <xf numFmtId="171" fontId="69" fillId="0" borderId="44">
      <alignment horizontal="left" vertical="center"/>
    </xf>
    <xf numFmtId="172" fontId="69" fillId="0" borderId="44">
      <alignment horizontal="left" vertical="center"/>
    </xf>
    <xf numFmtId="172" fontId="69" fillId="0" borderId="44">
      <alignment horizontal="left" vertical="center"/>
    </xf>
    <xf numFmtId="172" fontId="69" fillId="0" borderId="44">
      <alignment horizontal="left" vertical="center"/>
    </xf>
    <xf numFmtId="171" fontId="69" fillId="0" borderId="44">
      <alignment horizontal="left" vertical="center"/>
    </xf>
    <xf numFmtId="171" fontId="69" fillId="0" borderId="44">
      <alignment horizontal="left" vertical="center"/>
    </xf>
    <xf numFmtId="172" fontId="69" fillId="0" borderId="44">
      <alignment horizontal="left" vertical="center"/>
    </xf>
    <xf numFmtId="172"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0" fontId="69" fillId="0" borderId="44">
      <alignment horizontal="left" vertical="center"/>
    </xf>
    <xf numFmtId="0" fontId="69" fillId="0" borderId="44">
      <alignment horizontal="left" vertical="center"/>
    </xf>
    <xf numFmtId="0" fontId="69" fillId="0" borderId="44">
      <alignment horizontal="left" vertical="center"/>
    </xf>
    <xf numFmtId="0" fontId="69" fillId="0" borderId="44">
      <alignment horizontal="left" vertical="center"/>
    </xf>
    <xf numFmtId="0"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0" fontId="69" fillId="0" borderId="44">
      <alignment horizontal="left" vertical="center"/>
    </xf>
    <xf numFmtId="0" fontId="69" fillId="0" borderId="44">
      <alignment horizontal="left" vertical="center"/>
    </xf>
    <xf numFmtId="0" fontId="69" fillId="0" borderId="44">
      <alignment horizontal="left" vertical="center"/>
    </xf>
    <xf numFmtId="0" fontId="69" fillId="0" borderId="44">
      <alignment horizontal="left" vertical="center"/>
    </xf>
    <xf numFmtId="171" fontId="69" fillId="0" borderId="44">
      <alignment horizontal="left" vertical="center"/>
    </xf>
    <xf numFmtId="171" fontId="69" fillId="0" borderId="44">
      <alignment horizontal="left" vertical="center"/>
    </xf>
    <xf numFmtId="0" fontId="69" fillId="0" borderId="44">
      <alignment horizontal="left" vertical="center"/>
    </xf>
    <xf numFmtId="0" fontId="69" fillId="0" borderId="44">
      <alignment horizontal="left" vertical="center"/>
    </xf>
    <xf numFmtId="171" fontId="69" fillId="0" borderId="44">
      <alignment horizontal="left" vertical="center"/>
    </xf>
    <xf numFmtId="171" fontId="69" fillId="0" borderId="44">
      <alignment horizontal="left" vertical="center"/>
    </xf>
    <xf numFmtId="0" fontId="69" fillId="0" borderId="44">
      <alignment horizontal="left" vertical="center"/>
    </xf>
    <xf numFmtId="0" fontId="69" fillId="0" borderId="44">
      <alignment horizontal="left" vertical="center"/>
    </xf>
    <xf numFmtId="0" fontId="69" fillId="0" borderId="44">
      <alignment horizontal="left" vertical="center"/>
    </xf>
    <xf numFmtId="171" fontId="69" fillId="0" borderId="44">
      <alignment horizontal="left" vertical="center"/>
    </xf>
    <xf numFmtId="171" fontId="69" fillId="0" borderId="44">
      <alignment horizontal="left" vertical="center"/>
    </xf>
    <xf numFmtId="0" fontId="69" fillId="0" borderId="44">
      <alignment horizontal="left" vertical="center"/>
    </xf>
    <xf numFmtId="0"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172"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172" fontId="69" fillId="0" borderId="44">
      <alignment horizontal="left" vertical="center"/>
    </xf>
    <xf numFmtId="172" fontId="69" fillId="0" borderId="44">
      <alignment horizontal="left" vertical="center"/>
    </xf>
    <xf numFmtId="172" fontId="69" fillId="0" borderId="44">
      <alignment horizontal="left" vertical="center"/>
    </xf>
    <xf numFmtId="172" fontId="69" fillId="0" borderId="44">
      <alignment horizontal="left" vertical="center"/>
    </xf>
    <xf numFmtId="172"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172" fontId="69" fillId="0" borderId="44">
      <alignment horizontal="left" vertical="center"/>
    </xf>
    <xf numFmtId="172" fontId="69" fillId="0" borderId="44">
      <alignment horizontal="left" vertical="center"/>
    </xf>
    <xf numFmtId="172" fontId="69" fillId="0" borderId="44">
      <alignment horizontal="left" vertical="center"/>
    </xf>
    <xf numFmtId="172" fontId="69" fillId="0" borderId="44">
      <alignment horizontal="left" vertical="center"/>
    </xf>
    <xf numFmtId="171" fontId="69" fillId="0" borderId="44">
      <alignment horizontal="left" vertical="center"/>
    </xf>
    <xf numFmtId="171" fontId="69" fillId="0" borderId="44">
      <alignment horizontal="left" vertical="center"/>
    </xf>
    <xf numFmtId="172" fontId="69" fillId="0" borderId="44">
      <alignment horizontal="left" vertical="center"/>
    </xf>
    <xf numFmtId="172" fontId="69" fillId="0" borderId="44">
      <alignment horizontal="left" vertical="center"/>
    </xf>
    <xf numFmtId="171" fontId="69" fillId="0" borderId="44">
      <alignment horizontal="left" vertical="center"/>
    </xf>
    <xf numFmtId="171" fontId="69" fillId="0" borderId="44">
      <alignment horizontal="left" vertical="center"/>
    </xf>
    <xf numFmtId="172" fontId="69" fillId="0" borderId="44">
      <alignment horizontal="left" vertical="center"/>
    </xf>
    <xf numFmtId="172" fontId="69" fillId="0" borderId="44">
      <alignment horizontal="left" vertical="center"/>
    </xf>
    <xf numFmtId="172" fontId="69" fillId="0" borderId="44">
      <alignment horizontal="left" vertical="center"/>
    </xf>
    <xf numFmtId="171" fontId="69" fillId="0" borderId="44">
      <alignment horizontal="left" vertical="center"/>
    </xf>
    <xf numFmtId="171" fontId="69" fillId="0" borderId="44">
      <alignment horizontal="left" vertical="center"/>
    </xf>
    <xf numFmtId="172" fontId="69" fillId="0" borderId="44">
      <alignment horizontal="left" vertical="center"/>
    </xf>
    <xf numFmtId="172"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0" fontId="69" fillId="0" borderId="44">
      <alignment horizontal="left" vertical="center"/>
    </xf>
    <xf numFmtId="170"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175" fontId="69" fillId="0" borderId="44">
      <alignment horizontal="left" vertical="center"/>
    </xf>
    <xf numFmtId="175" fontId="69" fillId="0" borderId="44">
      <alignment horizontal="left" vertical="center"/>
    </xf>
    <xf numFmtId="175" fontId="69" fillId="0" borderId="44">
      <alignment horizontal="left" vertical="center"/>
    </xf>
    <xf numFmtId="175"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0" fontId="69" fillId="0" borderId="44">
      <alignment horizontal="left" vertical="center"/>
    </xf>
    <xf numFmtId="0" fontId="69" fillId="0" borderId="44">
      <alignment horizontal="left" vertical="center"/>
    </xf>
    <xf numFmtId="0" fontId="69" fillId="0" borderId="44">
      <alignment horizontal="left" vertical="center"/>
    </xf>
    <xf numFmtId="0" fontId="69" fillId="0" borderId="44">
      <alignment horizontal="left" vertical="center"/>
    </xf>
    <xf numFmtId="0"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0" fontId="69" fillId="0" borderId="44">
      <alignment horizontal="left" vertical="center"/>
    </xf>
    <xf numFmtId="0" fontId="69" fillId="0" borderId="44">
      <alignment horizontal="left" vertical="center"/>
    </xf>
    <xf numFmtId="0" fontId="69" fillId="0" borderId="44">
      <alignment horizontal="left" vertical="center"/>
    </xf>
    <xf numFmtId="0" fontId="69" fillId="0" borderId="44">
      <alignment horizontal="left" vertical="center"/>
    </xf>
    <xf numFmtId="171" fontId="69" fillId="0" borderId="44">
      <alignment horizontal="left" vertical="center"/>
    </xf>
    <xf numFmtId="171" fontId="69" fillId="0" borderId="44">
      <alignment horizontal="left" vertical="center"/>
    </xf>
    <xf numFmtId="0" fontId="69" fillId="0" borderId="44">
      <alignment horizontal="left" vertical="center"/>
    </xf>
    <xf numFmtId="0" fontId="69" fillId="0" borderId="44">
      <alignment horizontal="left" vertical="center"/>
    </xf>
    <xf numFmtId="171" fontId="69" fillId="0" borderId="44">
      <alignment horizontal="left" vertical="center"/>
    </xf>
    <xf numFmtId="171" fontId="69" fillId="0" borderId="44">
      <alignment horizontal="left" vertical="center"/>
    </xf>
    <xf numFmtId="0" fontId="69" fillId="0" borderId="44">
      <alignment horizontal="left" vertical="center"/>
    </xf>
    <xf numFmtId="0" fontId="69" fillId="0" borderId="44">
      <alignment horizontal="left" vertical="center"/>
    </xf>
    <xf numFmtId="0" fontId="69" fillId="0" borderId="44">
      <alignment horizontal="left" vertical="center"/>
    </xf>
    <xf numFmtId="171" fontId="69" fillId="0" borderId="44">
      <alignment horizontal="left" vertical="center"/>
    </xf>
    <xf numFmtId="171" fontId="69" fillId="0" borderId="44">
      <alignment horizontal="left" vertical="center"/>
    </xf>
    <xf numFmtId="0" fontId="69" fillId="0" borderId="44">
      <alignment horizontal="left" vertical="center"/>
    </xf>
    <xf numFmtId="0" fontId="69" fillId="0" borderId="44">
      <alignment horizontal="left" vertical="center"/>
    </xf>
    <xf numFmtId="171" fontId="69" fillId="0" borderId="44">
      <alignment horizontal="left" vertical="center"/>
    </xf>
    <xf numFmtId="171" fontId="69" fillId="0" borderId="44">
      <alignment horizontal="left" vertical="center"/>
    </xf>
    <xf numFmtId="171" fontId="69" fillId="0" borderId="44">
      <alignment horizontal="left" vertical="center"/>
    </xf>
    <xf numFmtId="0" fontId="47" fillId="85" borderId="48" applyNumberFormat="0" applyBorder="0" applyAlignment="0" applyProtection="0"/>
    <xf numFmtId="0" fontId="47" fillId="85" borderId="48" applyNumberFormat="0" applyBorder="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2" fillId="86" borderId="50" applyNumberFormat="0" applyAlignment="0" applyProtection="0"/>
    <xf numFmtId="0" fontId="82" fillId="86" borderId="50" applyNumberFormat="0" applyAlignment="0" applyProtection="0"/>
    <xf numFmtId="0" fontId="83" fillId="86" borderId="49" applyNumberFormat="0" applyAlignment="0" applyProtection="0"/>
    <xf numFmtId="0" fontId="82" fillId="86" borderId="50"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50"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3"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3"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50"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2"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83" fillId="86" borderId="49" applyNumberFormat="0" applyAlignment="0" applyProtection="0"/>
    <xf numFmtId="0" fontId="5" fillId="0" borderId="0"/>
    <xf numFmtId="9" fontId="5" fillId="0" borderId="0" applyFont="0" applyFill="0" applyBorder="0" applyAlignment="0" applyProtection="0"/>
  </cellStyleXfs>
  <cellXfs count="777">
    <xf numFmtId="0" fontId="0" fillId="0" borderId="0" xfId="0"/>
    <xf numFmtId="0" fontId="3" fillId="0" borderId="0" xfId="0" applyFont="1"/>
    <xf numFmtId="0" fontId="2" fillId="0" borderId="0" xfId="0" applyFont="1"/>
    <xf numFmtId="0" fontId="4" fillId="0" borderId="0" xfId="0" applyFont="1" applyAlignment="1">
      <alignment horizontal="center"/>
    </xf>
    <xf numFmtId="0" fontId="2" fillId="0" borderId="0" xfId="0" applyFont="1" applyAlignment="1">
      <alignment horizontal="center"/>
    </xf>
    <xf numFmtId="0" fontId="2" fillId="0" borderId="0" xfId="0" applyFont="1" applyAlignment="1">
      <alignment horizontal="left"/>
    </xf>
    <xf numFmtId="0" fontId="2" fillId="0" borderId="0" xfId="0" applyFont="1" applyAlignment="1">
      <alignment horizontal="right"/>
    </xf>
    <xf numFmtId="0" fontId="4" fillId="0" borderId="0" xfId="0" applyFont="1"/>
    <xf numFmtId="0" fontId="20" fillId="0" borderId="0" xfId="0" applyFont="1"/>
    <xf numFmtId="0" fontId="20" fillId="0" borderId="0" xfId="0" applyFont="1" applyAlignment="1">
      <alignment horizontal="left" indent="1"/>
    </xf>
    <xf numFmtId="167" fontId="0" fillId="0" borderId="0" xfId="1" applyNumberFormat="1" applyFont="1"/>
    <xf numFmtId="164" fontId="0" fillId="0" borderId="0" xfId="0" applyNumberFormat="1"/>
    <xf numFmtId="166" fontId="0" fillId="0" borderId="0" xfId="4" applyNumberFormat="1" applyFont="1"/>
    <xf numFmtId="5" fontId="0" fillId="0" borderId="0" xfId="4" applyNumberFormat="1" applyFont="1"/>
    <xf numFmtId="5" fontId="0" fillId="0" borderId="32" xfId="4" applyNumberFormat="1" applyFont="1" applyBorder="1"/>
    <xf numFmtId="5" fontId="2" fillId="0" borderId="0" xfId="4" applyNumberFormat="1" applyFont="1"/>
    <xf numFmtId="6" fontId="2" fillId="0" borderId="0" xfId="0" applyNumberFormat="1" applyFont="1"/>
    <xf numFmtId="5" fontId="0" fillId="0" borderId="32" xfId="4" applyNumberFormat="1" applyFont="1" applyFill="1" applyBorder="1"/>
    <xf numFmtId="0" fontId="20" fillId="0" borderId="0" xfId="0" applyFont="1" applyAlignment="1">
      <alignment horizontal="center"/>
    </xf>
    <xf numFmtId="10" fontId="0" fillId="0" borderId="0" xfId="1" applyNumberFormat="1" applyFont="1"/>
    <xf numFmtId="10" fontId="0" fillId="0" borderId="0" xfId="1" applyNumberFormat="1" applyFont="1" applyFill="1"/>
    <xf numFmtId="0" fontId="0" fillId="0" borderId="0" xfId="0" applyAlignment="1">
      <alignment horizontal="center"/>
    </xf>
    <xf numFmtId="10" fontId="0" fillId="0" borderId="0" xfId="0" applyNumberFormat="1"/>
    <xf numFmtId="5" fontId="0" fillId="0" borderId="0" xfId="4" applyNumberFormat="1" applyFont="1" applyFill="1"/>
    <xf numFmtId="5" fontId="0" fillId="0" borderId="0" xfId="0" applyNumberFormat="1"/>
    <xf numFmtId="10" fontId="0" fillId="0" borderId="32" xfId="1" applyNumberFormat="1" applyFont="1" applyBorder="1"/>
    <xf numFmtId="0" fontId="0" fillId="0" borderId="0" xfId="0" applyAlignment="1">
      <alignment horizontal="left" indent="1"/>
    </xf>
    <xf numFmtId="44" fontId="0" fillId="0" borderId="0" xfId="0" applyNumberFormat="1"/>
    <xf numFmtId="166" fontId="0" fillId="0" borderId="0" xfId="4" applyNumberFormat="1" applyFont="1" applyFill="1"/>
    <xf numFmtId="7" fontId="0" fillId="0" borderId="0" xfId="0" applyNumberFormat="1"/>
    <xf numFmtId="10" fontId="0" fillId="0" borderId="32" xfId="0" applyNumberFormat="1" applyBorder="1"/>
    <xf numFmtId="167" fontId="0" fillId="0" borderId="32" xfId="1" applyNumberFormat="1" applyFont="1" applyBorder="1"/>
    <xf numFmtId="44" fontId="0" fillId="0" borderId="0" xfId="2" applyFont="1"/>
    <xf numFmtId="0" fontId="0" fillId="0" borderId="0" xfId="0" applyAlignment="1">
      <alignment horizontal="left"/>
    </xf>
    <xf numFmtId="0" fontId="0" fillId="0" borderId="0" xfId="0" applyAlignment="1">
      <alignment wrapText="1"/>
    </xf>
    <xf numFmtId="0" fontId="2" fillId="111" borderId="0" xfId="0" applyFont="1" applyFill="1"/>
    <xf numFmtId="0" fontId="2" fillId="111" borderId="0" xfId="0" applyFont="1" applyFill="1" applyAlignment="1">
      <alignment horizontal="left"/>
    </xf>
    <xf numFmtId="5" fontId="0" fillId="111" borderId="32" xfId="4" applyNumberFormat="1" applyFont="1" applyFill="1" applyBorder="1"/>
    <xf numFmtId="0" fontId="0" fillId="111" borderId="0" xfId="0" applyFill="1"/>
    <xf numFmtId="10" fontId="0" fillId="111" borderId="0" xfId="1" applyNumberFormat="1" applyFont="1" applyFill="1"/>
    <xf numFmtId="5" fontId="0" fillId="111" borderId="0" xfId="4" applyNumberFormat="1" applyFont="1" applyFill="1"/>
    <xf numFmtId="0" fontId="2" fillId="112" borderId="0" xfId="0" applyFont="1" applyFill="1" applyAlignment="1">
      <alignment horizontal="left"/>
    </xf>
    <xf numFmtId="0" fontId="0" fillId="112" borderId="0" xfId="0" applyFill="1" applyAlignment="1">
      <alignment horizontal="left"/>
    </xf>
    <xf numFmtId="0" fontId="0" fillId="112" borderId="0" xfId="0" applyFill="1"/>
    <xf numFmtId="0" fontId="0" fillId="111" borderId="0" xfId="0" applyFill="1" applyAlignment="1">
      <alignment horizontal="center"/>
    </xf>
    <xf numFmtId="0" fontId="2" fillId="112" borderId="0" xfId="0" applyFont="1" applyFill="1"/>
    <xf numFmtId="164" fontId="0" fillId="112" borderId="0" xfId="0" applyNumberFormat="1" applyFill="1"/>
    <xf numFmtId="10" fontId="0" fillId="111" borderId="0" xfId="1" applyNumberFormat="1" applyFont="1" applyFill="1" applyAlignment="1">
      <alignment horizontal="center"/>
    </xf>
    <xf numFmtId="0" fontId="93" fillId="0" borderId="0" xfId="0" applyFont="1"/>
    <xf numFmtId="0" fontId="94" fillId="0" borderId="0" xfId="0" applyFont="1" applyAlignment="1">
      <alignment horizontal="center"/>
    </xf>
    <xf numFmtId="0" fontId="95" fillId="0" borderId="0" xfId="0" applyFont="1" applyAlignment="1">
      <alignment horizontal="center"/>
    </xf>
    <xf numFmtId="5" fontId="2" fillId="0" borderId="0" xfId="4" applyNumberFormat="1" applyFont="1" applyFill="1"/>
    <xf numFmtId="0" fontId="20" fillId="0" borderId="0" xfId="47" applyFont="1"/>
    <xf numFmtId="0" fontId="20" fillId="0" borderId="0" xfId="47" applyFont="1" applyAlignment="1">
      <alignment horizontal="left" indent="1"/>
    </xf>
    <xf numFmtId="0" fontId="97" fillId="0" borderId="0" xfId="47" applyFont="1"/>
    <xf numFmtId="0" fontId="20" fillId="111" borderId="0" xfId="47" applyFont="1" applyFill="1"/>
    <xf numFmtId="0" fontId="98" fillId="0" borderId="0" xfId="47" quotePrefix="1" applyFont="1" applyAlignment="1">
      <alignment horizontal="center"/>
    </xf>
    <xf numFmtId="0" fontId="20" fillId="0" borderId="0" xfId="47" applyFont="1" applyAlignment="1">
      <alignment horizontal="right"/>
    </xf>
    <xf numFmtId="0" fontId="98" fillId="0" borderId="0" xfId="47" applyFont="1" applyAlignment="1">
      <alignment horizontal="center"/>
    </xf>
    <xf numFmtId="0" fontId="98" fillId="0" borderId="0" xfId="47" applyFont="1" applyAlignment="1">
      <alignment horizontal="left"/>
    </xf>
    <xf numFmtId="2" fontId="20" fillId="0" borderId="0" xfId="0" applyNumberFormat="1" applyFont="1"/>
    <xf numFmtId="2" fontId="97" fillId="0" borderId="0" xfId="0" applyNumberFormat="1" applyFont="1"/>
    <xf numFmtId="2" fontId="20" fillId="0" borderId="0" xfId="0" applyNumberFormat="1" applyFont="1" applyAlignment="1">
      <alignment horizontal="center"/>
    </xf>
    <xf numFmtId="2" fontId="20" fillId="0" borderId="0" xfId="0" applyNumberFormat="1" applyFont="1" applyAlignment="1">
      <alignment horizontal="left"/>
    </xf>
    <xf numFmtId="193" fontId="20" fillId="0" borderId="0" xfId="0" applyNumberFormat="1" applyFont="1"/>
    <xf numFmtId="2" fontId="20" fillId="0" borderId="0" xfId="0" applyNumberFormat="1" applyFont="1" applyAlignment="1">
      <alignment horizontal="left" wrapText="1"/>
    </xf>
    <xf numFmtId="1" fontId="97" fillId="0" borderId="0" xfId="0" applyNumberFormat="1" applyFont="1" applyAlignment="1">
      <alignment horizontal="center"/>
    </xf>
    <xf numFmtId="2" fontId="96" fillId="0" borderId="0" xfId="0" applyNumberFormat="1" applyFont="1" applyAlignment="1">
      <alignment horizontal="left"/>
    </xf>
    <xf numFmtId="164" fontId="20" fillId="0" borderId="0" xfId="0" applyNumberFormat="1" applyFont="1" applyAlignment="1">
      <alignment horizontal="right"/>
    </xf>
    <xf numFmtId="2" fontId="23" fillId="0" borderId="0" xfId="0" applyNumberFormat="1" applyFont="1" applyAlignment="1">
      <alignment horizontal="center"/>
    </xf>
    <xf numFmtId="194" fontId="20" fillId="0" borderId="0" xfId="0" applyNumberFormat="1" applyFont="1" applyAlignment="1">
      <alignment horizontal="right"/>
    </xf>
    <xf numFmtId="2" fontId="20" fillId="0" borderId="0" xfId="0" quotePrefix="1" applyNumberFormat="1" applyFont="1" applyAlignment="1">
      <alignment horizontal="center"/>
    </xf>
    <xf numFmtId="165" fontId="20" fillId="0" borderId="0" xfId="2" applyNumberFormat="1" applyFont="1" applyFill="1" applyAlignment="1" applyProtection="1">
      <alignment horizontal="left"/>
    </xf>
    <xf numFmtId="165" fontId="20" fillId="0" borderId="0" xfId="2" applyNumberFormat="1" applyFont="1" applyFill="1"/>
    <xf numFmtId="164" fontId="20" fillId="0" borderId="0" xfId="0" applyNumberFormat="1" applyFont="1" applyAlignment="1">
      <alignment horizontal="center"/>
    </xf>
    <xf numFmtId="2" fontId="97" fillId="0" borderId="0" xfId="0" applyNumberFormat="1" applyFont="1" applyAlignment="1">
      <alignment horizontal="right"/>
    </xf>
    <xf numFmtId="0" fontId="96" fillId="0" borderId="0" xfId="0" applyFont="1"/>
    <xf numFmtId="193" fontId="20" fillId="0" borderId="0" xfId="0" applyNumberFormat="1" applyFont="1" applyAlignment="1">
      <alignment horizontal="center"/>
    </xf>
    <xf numFmtId="0" fontId="97" fillId="111" borderId="0" xfId="0" applyFont="1" applyFill="1"/>
    <xf numFmtId="0" fontId="97" fillId="112" borderId="0" xfId="0" applyFont="1" applyFill="1"/>
    <xf numFmtId="0" fontId="98" fillId="0" borderId="0" xfId="0" applyFont="1" applyAlignment="1">
      <alignment horizontal="center"/>
    </xf>
    <xf numFmtId="0" fontId="0" fillId="0" borderId="0" xfId="0" applyAlignment="1">
      <alignment horizontal="right"/>
    </xf>
    <xf numFmtId="42" fontId="0" fillId="0" borderId="0" xfId="0" applyNumberFormat="1"/>
    <xf numFmtId="0" fontId="98" fillId="0" borderId="0" xfId="0" quotePrefix="1" applyFont="1" applyAlignment="1">
      <alignment horizontal="center"/>
    </xf>
    <xf numFmtId="0" fontId="97" fillId="0" borderId="0" xfId="0" quotePrefix="1" applyFont="1" applyAlignment="1">
      <alignment horizontal="center"/>
    </xf>
    <xf numFmtId="0" fontId="97" fillId="0" borderId="0" xfId="0" quotePrefix="1" applyFont="1"/>
    <xf numFmtId="0" fontId="23" fillId="0" borderId="0" xfId="0" applyFont="1"/>
    <xf numFmtId="0" fontId="20" fillId="111" borderId="0" xfId="0" applyFont="1" applyFill="1" applyAlignment="1">
      <alignment horizontal="center"/>
    </xf>
    <xf numFmtId="195" fontId="20" fillId="111" borderId="0" xfId="1" applyNumberFormat="1" applyFont="1" applyFill="1" applyAlignment="1">
      <alignment horizontal="center"/>
    </xf>
    <xf numFmtId="166" fontId="0" fillId="111" borderId="0" xfId="4" applyNumberFormat="1" applyFont="1" applyFill="1"/>
    <xf numFmtId="0" fontId="97" fillId="0" borderId="0" xfId="0" applyFont="1" applyAlignment="1">
      <alignment horizontal="right"/>
    </xf>
    <xf numFmtId="0" fontId="97" fillId="0" borderId="0" xfId="0" applyFont="1" applyAlignment="1">
      <alignment horizontal="center"/>
    </xf>
    <xf numFmtId="0" fontId="99" fillId="0" borderId="0" xfId="0" applyFont="1" applyAlignment="1">
      <alignment horizontal="left"/>
    </xf>
    <xf numFmtId="10" fontId="20" fillId="111" borderId="0" xfId="1" applyNumberFormat="1" applyFont="1" applyFill="1" applyAlignment="1">
      <alignment horizontal="left" indent="1"/>
    </xf>
    <xf numFmtId="14" fontId="0" fillId="111" borderId="0" xfId="0" applyNumberFormat="1" applyFill="1"/>
    <xf numFmtId="164" fontId="0" fillId="111" borderId="0" xfId="0" applyNumberFormat="1" applyFill="1"/>
    <xf numFmtId="164" fontId="23" fillId="111" borderId="0" xfId="0" applyNumberFormat="1" applyFont="1" applyFill="1"/>
    <xf numFmtId="0" fontId="20" fillId="111" borderId="0" xfId="0" applyFont="1" applyFill="1" applyAlignment="1">
      <alignment horizontal="left" indent="1"/>
    </xf>
    <xf numFmtId="0" fontId="20" fillId="111" borderId="0" xfId="0" quotePrefix="1" applyFont="1" applyFill="1" applyAlignment="1">
      <alignment horizontal="left"/>
    </xf>
    <xf numFmtId="0" fontId="20" fillId="111" borderId="0" xfId="0" quotePrefix="1" applyFont="1" applyFill="1" applyAlignment="1">
      <alignment horizontal="center"/>
    </xf>
    <xf numFmtId="0" fontId="20" fillId="0" borderId="0" xfId="0" quotePrefix="1" applyFont="1" applyAlignment="1">
      <alignment horizontal="center"/>
    </xf>
    <xf numFmtId="0" fontId="2" fillId="0" borderId="0" xfId="0" applyFont="1" applyAlignment="1">
      <alignment vertical="center"/>
    </xf>
    <xf numFmtId="0" fontId="20" fillId="112" borderId="0" xfId="0" applyFont="1" applyFill="1" applyAlignment="1">
      <alignment horizontal="center"/>
    </xf>
    <xf numFmtId="0" fontId="20" fillId="112" borderId="0" xfId="0" applyFont="1" applyFill="1"/>
    <xf numFmtId="0" fontId="20" fillId="0" borderId="0" xfId="0" quotePrefix="1" applyFont="1" applyAlignment="1">
      <alignment horizontal="center" wrapText="1"/>
    </xf>
    <xf numFmtId="0" fontId="97" fillId="0" borderId="0" xfId="0" applyFont="1"/>
    <xf numFmtId="0" fontId="20" fillId="0" borderId="0" xfId="0" applyFont="1" applyAlignment="1">
      <alignment horizontal="left"/>
    </xf>
    <xf numFmtId="0" fontId="20" fillId="0" borderId="0" xfId="6" quotePrefix="1" applyFont="1" applyAlignment="1">
      <alignment horizontal="center"/>
    </xf>
    <xf numFmtId="0" fontId="0" fillId="0" borderId="0" xfId="0" applyAlignment="1">
      <alignment horizontal="center" wrapText="1"/>
    </xf>
    <xf numFmtId="0" fontId="2" fillId="0" borderId="0" xfId="0" applyFont="1" applyAlignment="1">
      <alignment horizontal="center" wrapText="1"/>
    </xf>
    <xf numFmtId="0" fontId="4" fillId="0" borderId="0" xfId="0" applyFont="1" applyAlignment="1">
      <alignment horizontal="center" wrapText="1"/>
    </xf>
    <xf numFmtId="164" fontId="20" fillId="0" borderId="0" xfId="0" applyNumberFormat="1" applyFont="1"/>
    <xf numFmtId="0" fontId="20" fillId="0" borderId="0" xfId="47" applyFont="1" applyAlignment="1">
      <alignment horizontal="center"/>
    </xf>
    <xf numFmtId="164" fontId="20" fillId="0" borderId="0" xfId="47" applyNumberFormat="1" applyFont="1"/>
    <xf numFmtId="0" fontId="20" fillId="0" borderId="0" xfId="6" applyFont="1"/>
    <xf numFmtId="0" fontId="97" fillId="0" borderId="0" xfId="6" applyFont="1"/>
    <xf numFmtId="0" fontId="97" fillId="112" borderId="0" xfId="6" applyFont="1" applyFill="1"/>
    <xf numFmtId="0" fontId="20" fillId="112" borderId="0" xfId="6" applyFont="1" applyFill="1"/>
    <xf numFmtId="0" fontId="98" fillId="0" borderId="0" xfId="6" applyFont="1" applyAlignment="1">
      <alignment horizontal="center"/>
    </xf>
    <xf numFmtId="164" fontId="20" fillId="0" borderId="0" xfId="6" applyNumberFormat="1" applyFont="1"/>
    <xf numFmtId="166" fontId="20" fillId="0" borderId="0" xfId="8" applyNumberFormat="1" applyFont="1" applyFill="1" applyBorder="1" applyAlignment="1">
      <alignment horizontal="center" vertical="center" wrapText="1"/>
    </xf>
    <xf numFmtId="5" fontId="20" fillId="0" borderId="0" xfId="8" applyNumberFormat="1" applyFont="1"/>
    <xf numFmtId="0" fontId="97" fillId="0" borderId="0" xfId="6" applyFont="1" applyAlignment="1">
      <alignment horizontal="center"/>
    </xf>
    <xf numFmtId="0" fontId="98" fillId="0" borderId="0" xfId="0" applyFont="1"/>
    <xf numFmtId="5" fontId="20" fillId="0" borderId="0" xfId="0" quotePrefix="1" applyNumberFormat="1" applyFont="1" applyAlignment="1">
      <alignment horizontal="center"/>
    </xf>
    <xf numFmtId="0" fontId="20" fillId="0" borderId="0" xfId="0" quotePrefix="1" applyFont="1" applyAlignment="1">
      <alignment horizontal="left"/>
    </xf>
    <xf numFmtId="39" fontId="0" fillId="0" borderId="0" xfId="0" applyNumberFormat="1"/>
    <xf numFmtId="10" fontId="2" fillId="0" borderId="0" xfId="1" applyNumberFormat="1" applyFont="1" applyFill="1"/>
    <xf numFmtId="37" fontId="0" fillId="0" borderId="0" xfId="0" applyNumberFormat="1"/>
    <xf numFmtId="0" fontId="2" fillId="0" borderId="32" xfId="0" applyFont="1" applyBorder="1" applyAlignment="1">
      <alignment horizontal="center"/>
    </xf>
    <xf numFmtId="166" fontId="20" fillId="0" borderId="0" xfId="8" applyNumberFormat="1" applyFont="1" applyFill="1" applyBorder="1" applyAlignment="1">
      <alignment horizontal="right"/>
    </xf>
    <xf numFmtId="166" fontId="20" fillId="0" borderId="0" xfId="11" applyNumberFormat="1" applyFont="1" applyAlignment="1">
      <alignment horizontal="right"/>
    </xf>
    <xf numFmtId="0" fontId="20" fillId="0" borderId="0" xfId="0" applyFont="1" applyAlignment="1">
      <alignment horizontal="center" vertical="center" wrapText="1"/>
    </xf>
    <xf numFmtId="0" fontId="0" fillId="0" borderId="0" xfId="0" applyAlignment="1">
      <alignment horizontal="center" vertical="center" wrapText="1"/>
    </xf>
    <xf numFmtId="3" fontId="20" fillId="0" borderId="0" xfId="11" applyNumberFormat="1" applyFont="1" applyAlignment="1">
      <alignment horizontal="center"/>
    </xf>
    <xf numFmtId="0" fontId="97" fillId="0" borderId="0" xfId="11" applyFont="1" applyAlignment="1">
      <alignment horizontal="center"/>
    </xf>
    <xf numFmtId="0" fontId="20" fillId="0" borderId="0" xfId="11" applyFont="1" applyAlignment="1">
      <alignment horizontal="left"/>
    </xf>
    <xf numFmtId="0" fontId="20" fillId="0" borderId="0" xfId="11" applyFont="1"/>
    <xf numFmtId="0" fontId="98" fillId="0" borderId="0" xfId="0" applyFont="1" applyAlignment="1">
      <alignment horizontal="center" wrapText="1"/>
    </xf>
    <xf numFmtId="0" fontId="98" fillId="0" borderId="0" xfId="11" applyFont="1" applyAlignment="1">
      <alignment horizontal="center" wrapText="1"/>
    </xf>
    <xf numFmtId="1" fontId="20" fillId="0" borderId="0" xfId="11" applyNumberFormat="1" applyFont="1" applyAlignment="1">
      <alignment horizontal="center"/>
    </xf>
    <xf numFmtId="0" fontId="20" fillId="0" borderId="32" xfId="11" applyFont="1" applyBorder="1" applyAlignment="1">
      <alignment horizontal="left"/>
    </xf>
    <xf numFmtId="1" fontId="20" fillId="0" borderId="32" xfId="11" applyNumberFormat="1" applyFont="1" applyBorder="1" applyAlignment="1">
      <alignment horizontal="center"/>
    </xf>
    <xf numFmtId="0" fontId="97" fillId="0" borderId="0" xfId="11" applyFont="1" applyAlignment="1">
      <alignment horizontal="left"/>
    </xf>
    <xf numFmtId="0" fontId="0" fillId="0" borderId="0" xfId="0" applyAlignment="1">
      <alignment vertical="center" wrapText="1"/>
    </xf>
    <xf numFmtId="166" fontId="97" fillId="0" borderId="0" xfId="8" applyNumberFormat="1" applyFont="1" applyFill="1" applyBorder="1" applyAlignment="1">
      <alignment horizontal="center" wrapText="1"/>
    </xf>
    <xf numFmtId="166" fontId="98" fillId="0" borderId="0" xfId="0" applyNumberFormat="1" applyFont="1" applyAlignment="1">
      <alignment horizontal="center" wrapText="1"/>
    </xf>
    <xf numFmtId="166" fontId="1" fillId="0" borderId="0" xfId="4" applyNumberFormat="1" applyFont="1" applyFill="1"/>
    <xf numFmtId="166" fontId="5" fillId="0" borderId="0" xfId="4" applyNumberFormat="1" applyFont="1" applyFill="1" applyBorder="1" applyAlignment="1">
      <alignment horizontal="left" indent="1"/>
    </xf>
    <xf numFmtId="166" fontId="1" fillId="0" borderId="0" xfId="4" applyNumberFormat="1" applyFont="1"/>
    <xf numFmtId="166" fontId="20" fillId="0" borderId="0" xfId="4" applyNumberFormat="1" applyFont="1" applyFill="1" applyBorder="1" applyAlignment="1">
      <alignment horizontal="left" indent="1"/>
    </xf>
    <xf numFmtId="164" fontId="20" fillId="0" borderId="0" xfId="8" applyNumberFormat="1" applyFont="1" applyFill="1" applyBorder="1" applyAlignment="1">
      <alignment horizontal="right"/>
    </xf>
    <xf numFmtId="3" fontId="20" fillId="0" borderId="0" xfId="11" applyNumberFormat="1" applyFont="1"/>
    <xf numFmtId="196" fontId="0" fillId="0" borderId="0" xfId="0" applyNumberFormat="1"/>
    <xf numFmtId="0" fontId="20" fillId="111" borderId="0" xfId="6" applyFont="1" applyFill="1"/>
    <xf numFmtId="0" fontId="97" fillId="0" borderId="0" xfId="6" applyFont="1" applyAlignment="1">
      <alignment horizontal="left" indent="1"/>
    </xf>
    <xf numFmtId="37" fontId="20" fillId="0" borderId="0" xfId="0" applyNumberFormat="1" applyFont="1" applyAlignment="1">
      <alignment horizontal="left" indent="1"/>
    </xf>
    <xf numFmtId="167" fontId="0" fillId="0" borderId="0" xfId="0" applyNumberFormat="1"/>
    <xf numFmtId="167" fontId="0" fillId="0" borderId="0" xfId="0" applyNumberFormat="1" applyAlignment="1">
      <alignment horizontal="left" indent="1"/>
    </xf>
    <xf numFmtId="164" fontId="4" fillId="0" borderId="0" xfId="0" applyNumberFormat="1" applyFont="1"/>
    <xf numFmtId="0" fontId="20" fillId="0" borderId="0" xfId="6" applyFont="1" applyAlignment="1">
      <alignment horizontal="right"/>
    </xf>
    <xf numFmtId="0" fontId="102" fillId="0" borderId="0" xfId="6" applyFont="1" applyAlignment="1">
      <alignment horizontal="left"/>
    </xf>
    <xf numFmtId="0" fontId="97" fillId="0" borderId="0" xfId="6" applyFont="1" applyAlignment="1">
      <alignment horizontal="right"/>
    </xf>
    <xf numFmtId="0" fontId="102" fillId="112" borderId="0" xfId="6" applyFont="1" applyFill="1" applyAlignment="1">
      <alignment horizontal="left"/>
    </xf>
    <xf numFmtId="0" fontId="97" fillId="112" borderId="0" xfId="6" applyFont="1" applyFill="1" applyAlignment="1">
      <alignment horizontal="right"/>
    </xf>
    <xf numFmtId="0" fontId="0" fillId="0" borderId="0" xfId="0" quotePrefix="1" applyAlignment="1">
      <alignment horizontal="center"/>
    </xf>
    <xf numFmtId="0" fontId="97" fillId="0" borderId="32" xfId="6" applyFont="1" applyBorder="1" applyAlignment="1">
      <alignment horizontal="center"/>
    </xf>
    <xf numFmtId="193" fontId="20" fillId="111" borderId="0" xfId="6" applyNumberFormat="1" applyFont="1" applyFill="1" applyAlignment="1">
      <alignment horizontal="center"/>
    </xf>
    <xf numFmtId="0" fontId="0" fillId="111" borderId="0" xfId="47" applyFont="1" applyFill="1"/>
    <xf numFmtId="193" fontId="20" fillId="0" borderId="0" xfId="6" quotePrefix="1" applyNumberFormat="1" applyFont="1" applyAlignment="1">
      <alignment horizontal="center"/>
    </xf>
    <xf numFmtId="164" fontId="20" fillId="0" borderId="0" xfId="9" applyNumberFormat="1" applyFont="1" applyFill="1" applyBorder="1"/>
    <xf numFmtId="164" fontId="20" fillId="0" borderId="0" xfId="9" applyNumberFormat="1" applyFont="1" applyBorder="1"/>
    <xf numFmtId="39" fontId="20" fillId="0" borderId="0" xfId="0" applyNumberFormat="1" applyFont="1" applyAlignment="1">
      <alignment horizontal="left" indent="1"/>
    </xf>
    <xf numFmtId="39" fontId="0" fillId="0" borderId="0" xfId="0" applyNumberFormat="1" applyAlignment="1">
      <alignment horizontal="left" indent="1"/>
    </xf>
    <xf numFmtId="0" fontId="20" fillId="0" borderId="0" xfId="6" quotePrefix="1" applyFont="1" applyAlignment="1">
      <alignment horizontal="left" indent="1"/>
    </xf>
    <xf numFmtId="164" fontId="20" fillId="0" borderId="0" xfId="9" applyNumberFormat="1" applyFont="1" applyBorder="1" applyAlignment="1">
      <alignment horizontal="left" indent="1"/>
    </xf>
    <xf numFmtId="39" fontId="20" fillId="0" borderId="0" xfId="9" applyNumberFormat="1" applyFont="1" applyBorder="1"/>
    <xf numFmtId="37" fontId="20" fillId="112" borderId="0" xfId="9" applyNumberFormat="1" applyFont="1" applyFill="1" applyBorder="1" applyAlignment="1">
      <alignment horizontal="center"/>
    </xf>
    <xf numFmtId="39" fontId="20" fillId="112" borderId="0" xfId="9" applyNumberFormat="1" applyFont="1" applyFill="1" applyBorder="1"/>
    <xf numFmtId="193" fontId="20" fillId="111" borderId="0" xfId="47" quotePrefix="1" applyNumberFormat="1" applyFont="1" applyFill="1" applyAlignment="1">
      <alignment horizontal="center"/>
    </xf>
    <xf numFmtId="0" fontId="20" fillId="111" borderId="0" xfId="0" applyFont="1" applyFill="1"/>
    <xf numFmtId="164" fontId="20" fillId="112" borderId="0" xfId="9" applyNumberFormat="1" applyFont="1" applyFill="1" applyBorder="1"/>
    <xf numFmtId="164" fontId="97" fillId="0" borderId="0" xfId="6" applyNumberFormat="1" applyFont="1" applyAlignment="1">
      <alignment horizontal="center"/>
    </xf>
    <xf numFmtId="164" fontId="97" fillId="0" borderId="32" xfId="6" applyNumberFormat="1" applyFont="1" applyBorder="1" applyAlignment="1">
      <alignment horizontal="center"/>
    </xf>
    <xf numFmtId="164" fontId="20" fillId="0" borderId="32" xfId="9" applyNumberFormat="1" applyFont="1" applyBorder="1"/>
    <xf numFmtId="164" fontId="20" fillId="112" borderId="0" xfId="9" applyNumberFormat="1" applyFont="1" applyFill="1" applyBorder="1" applyAlignment="1">
      <alignment horizontal="left" indent="1"/>
    </xf>
    <xf numFmtId="0" fontId="20" fillId="112" borderId="0" xfId="0" applyFont="1" applyFill="1" applyAlignment="1">
      <alignment horizontal="left" indent="1"/>
    </xf>
    <xf numFmtId="164" fontId="97" fillId="0" borderId="0" xfId="9" applyNumberFormat="1" applyFont="1" applyBorder="1" applyAlignment="1">
      <alignment horizontal="center"/>
    </xf>
    <xf numFmtId="0" fontId="97" fillId="0" borderId="0" xfId="0" quotePrefix="1" applyFont="1" applyAlignment="1">
      <alignment horizontal="left" indent="1"/>
    </xf>
    <xf numFmtId="164" fontId="98" fillId="0" borderId="0" xfId="9" applyNumberFormat="1" applyFont="1" applyBorder="1" applyAlignment="1">
      <alignment horizontal="center"/>
    </xf>
    <xf numFmtId="0" fontId="20" fillId="0" borderId="0" xfId="0" applyFont="1" applyAlignment="1">
      <alignment wrapText="1"/>
    </xf>
    <xf numFmtId="10" fontId="20" fillId="0" borderId="0" xfId="9" applyNumberFormat="1" applyFont="1" applyBorder="1"/>
    <xf numFmtId="164" fontId="0" fillId="0" borderId="0" xfId="0" applyNumberFormat="1" applyAlignment="1">
      <alignment horizontal="right"/>
    </xf>
    <xf numFmtId="0" fontId="0" fillId="111" borderId="0" xfId="0" applyFill="1" applyAlignment="1">
      <alignment wrapText="1"/>
    </xf>
    <xf numFmtId="0" fontId="20" fillId="0" borderId="0" xfId="0" applyFont="1" applyAlignment="1">
      <alignment horizontal="right" indent="1"/>
    </xf>
    <xf numFmtId="0" fontId="20" fillId="0" borderId="0" xfId="7" applyFont="1"/>
    <xf numFmtId="0" fontId="97" fillId="0" borderId="0" xfId="7" applyFont="1" applyAlignment="1">
      <alignment horizontal="center"/>
    </xf>
    <xf numFmtId="0" fontId="20" fillId="111" borderId="0" xfId="7" applyFont="1" applyFill="1"/>
    <xf numFmtId="164" fontId="96" fillId="111" borderId="0" xfId="7" applyNumberFormat="1" applyFont="1" applyFill="1"/>
    <xf numFmtId="164" fontId="20" fillId="111" borderId="0" xfId="7" applyNumberFormat="1" applyFont="1" applyFill="1"/>
    <xf numFmtId="0" fontId="20" fillId="111" borderId="0" xfId="7" quotePrefix="1" applyFont="1" applyFill="1"/>
    <xf numFmtId="0" fontId="98" fillId="0" borderId="0" xfId="7" applyFont="1" applyAlignment="1">
      <alignment horizontal="center"/>
    </xf>
    <xf numFmtId="164" fontId="20" fillId="0" borderId="0" xfId="7" applyNumberFormat="1" applyFont="1"/>
    <xf numFmtId="0" fontId="97" fillId="0" borderId="0" xfId="7" applyFont="1" applyAlignment="1">
      <alignment vertical="center"/>
    </xf>
    <xf numFmtId="0" fontId="97" fillId="0" borderId="0" xfId="7" applyFont="1" applyAlignment="1">
      <alignment horizontal="center" vertical="center"/>
    </xf>
    <xf numFmtId="0" fontId="98" fillId="0" borderId="0" xfId="7" applyFont="1"/>
    <xf numFmtId="0" fontId="97" fillId="0" borderId="0" xfId="7" applyFont="1"/>
    <xf numFmtId="0" fontId="97" fillId="0" borderId="0" xfId="7" quotePrefix="1" applyFont="1" applyAlignment="1">
      <alignment horizontal="center"/>
    </xf>
    <xf numFmtId="0" fontId="98" fillId="0" borderId="0" xfId="7" applyFont="1" applyAlignment="1">
      <alignment horizontal="left"/>
    </xf>
    <xf numFmtId="0" fontId="20" fillId="0" borderId="0" xfId="7" applyFont="1" applyAlignment="1">
      <alignment horizontal="left" indent="1"/>
    </xf>
    <xf numFmtId="6" fontId="0" fillId="0" borderId="0" xfId="0" applyNumberFormat="1"/>
    <xf numFmtId="6" fontId="23" fillId="0" borderId="0" xfId="0" applyNumberFormat="1" applyFont="1"/>
    <xf numFmtId="0" fontId="2" fillId="0" borderId="0" xfId="47" applyFont="1" applyAlignment="1">
      <alignment horizontal="center"/>
    </xf>
    <xf numFmtId="0" fontId="20" fillId="0" borderId="35" xfId="47" applyFont="1" applyBorder="1"/>
    <xf numFmtId="0" fontId="20" fillId="0" borderId="6" xfId="47" applyFont="1" applyBorder="1"/>
    <xf numFmtId="0" fontId="97" fillId="0" borderId="6" xfId="47" applyFont="1" applyBorder="1"/>
    <xf numFmtId="0" fontId="20" fillId="0" borderId="6" xfId="47" applyFont="1" applyBorder="1" applyAlignment="1">
      <alignment horizontal="right"/>
    </xf>
    <xf numFmtId="164" fontId="20" fillId="0" borderId="0" xfId="47" applyNumberFormat="1" applyFont="1" applyAlignment="1">
      <alignment horizontal="right"/>
    </xf>
    <xf numFmtId="0" fontId="97" fillId="0" borderId="0" xfId="47" applyFont="1" applyAlignment="1">
      <alignment horizontal="right"/>
    </xf>
    <xf numFmtId="0" fontId="0" fillId="111" borderId="0" xfId="0" quotePrefix="1" applyFill="1" applyAlignment="1">
      <alignment horizontal="center"/>
    </xf>
    <xf numFmtId="5" fontId="0" fillId="111" borderId="0" xfId="0" applyNumberFormat="1" applyFill="1"/>
    <xf numFmtId="5" fontId="2" fillId="0" borderId="0" xfId="0" applyNumberFormat="1" applyFont="1"/>
    <xf numFmtId="0" fontId="4" fillId="112" borderId="0" xfId="0" applyFont="1" applyFill="1" applyAlignment="1">
      <alignment horizontal="center"/>
    </xf>
    <xf numFmtId="164" fontId="20" fillId="0" borderId="0" xfId="9" applyNumberFormat="1" applyFont="1" applyFill="1" applyBorder="1" applyAlignment="1">
      <alignment horizontal="left" indent="1"/>
    </xf>
    <xf numFmtId="10" fontId="2" fillId="0" borderId="0" xfId="1" applyNumberFormat="1" applyFont="1"/>
    <xf numFmtId="10" fontId="2" fillId="112" borderId="0" xfId="1" applyNumberFormat="1" applyFont="1" applyFill="1"/>
    <xf numFmtId="10" fontId="2" fillId="0" borderId="0" xfId="0" applyNumberFormat="1" applyFont="1"/>
    <xf numFmtId="0" fontId="0" fillId="111" borderId="0" xfId="0" quotePrefix="1" applyFill="1"/>
    <xf numFmtId="167" fontId="0" fillId="0" borderId="0" xfId="1" applyNumberFormat="1" applyFont="1" applyFill="1"/>
    <xf numFmtId="167" fontId="0" fillId="111" borderId="0" xfId="1" applyNumberFormat="1" applyFont="1" applyFill="1"/>
    <xf numFmtId="0" fontId="20" fillId="0" borderId="0" xfId="0" applyFont="1" applyAlignment="1">
      <alignment horizontal="right"/>
    </xf>
    <xf numFmtId="10" fontId="20" fillId="0" borderId="0" xfId="1" applyNumberFormat="1" applyFont="1"/>
    <xf numFmtId="0" fontId="97" fillId="111" borderId="0" xfId="47" applyFont="1" applyFill="1"/>
    <xf numFmtId="10" fontId="0" fillId="0" borderId="32" xfId="1" applyNumberFormat="1" applyFont="1" applyFill="1" applyBorder="1"/>
    <xf numFmtId="17" fontId="0" fillId="0" borderId="0" xfId="0" applyNumberFormat="1"/>
    <xf numFmtId="37" fontId="97" fillId="0" borderId="0" xfId="0" applyNumberFormat="1" applyFont="1"/>
    <xf numFmtId="0" fontId="4" fillId="0" borderId="0" xfId="0" applyFont="1" applyAlignment="1">
      <alignment horizontal="left"/>
    </xf>
    <xf numFmtId="0" fontId="0" fillId="0" borderId="0" xfId="0" applyAlignment="1">
      <alignment horizontal="left" wrapText="1"/>
    </xf>
    <xf numFmtId="0" fontId="2" fillId="0" borderId="37" xfId="0" applyFont="1" applyBorder="1" applyAlignment="1">
      <alignment horizontal="center"/>
    </xf>
    <xf numFmtId="0" fontId="0" fillId="0" borderId="38" xfId="0" applyBorder="1"/>
    <xf numFmtId="0" fontId="0" fillId="0" borderId="39" xfId="0" applyBorder="1"/>
    <xf numFmtId="0" fontId="0" fillId="0" borderId="37" xfId="0" applyBorder="1"/>
    <xf numFmtId="5" fontId="20" fillId="0" borderId="0" xfId="0" applyNumberFormat="1" applyFont="1"/>
    <xf numFmtId="5" fontId="20" fillId="111" borderId="0" xfId="6" applyNumberFormat="1" applyFont="1" applyFill="1"/>
    <xf numFmtId="5" fontId="0" fillId="111" borderId="0" xfId="47" applyNumberFormat="1" applyFont="1" applyFill="1"/>
    <xf numFmtId="5" fontId="20" fillId="0" borderId="0" xfId="9" applyNumberFormat="1" applyFont="1" applyFill="1" applyBorder="1"/>
    <xf numFmtId="5" fontId="20" fillId="0" borderId="0" xfId="9" applyNumberFormat="1" applyFont="1" applyBorder="1"/>
    <xf numFmtId="5" fontId="20" fillId="111" borderId="0" xfId="9" applyNumberFormat="1" applyFont="1" applyFill="1" applyBorder="1"/>
    <xf numFmtId="5" fontId="0" fillId="111" borderId="0" xfId="9" applyNumberFormat="1" applyFont="1" applyFill="1" applyBorder="1"/>
    <xf numFmtId="7" fontId="20" fillId="0" borderId="0" xfId="1" applyNumberFormat="1" applyFont="1" applyBorder="1"/>
    <xf numFmtId="5" fontId="20" fillId="0" borderId="0" xfId="9" applyNumberFormat="1" applyFont="1" applyBorder="1" applyAlignment="1">
      <alignment horizontal="left" indent="1"/>
    </xf>
    <xf numFmtId="5" fontId="20" fillId="0" borderId="0" xfId="0" quotePrefix="1" applyNumberFormat="1" applyFont="1" applyAlignment="1">
      <alignment horizontal="right"/>
    </xf>
    <xf numFmtId="37" fontId="20" fillId="0" borderId="0" xfId="0" applyNumberFormat="1" applyFont="1"/>
    <xf numFmtId="37" fontId="3" fillId="0" borderId="0" xfId="0" applyNumberFormat="1" applyFont="1"/>
    <xf numFmtId="37" fontId="20" fillId="0" borderId="0" xfId="0" quotePrefix="1" applyNumberFormat="1" applyFont="1" applyAlignment="1">
      <alignment horizontal="center"/>
    </xf>
    <xf numFmtId="5" fontId="20" fillId="0" borderId="0" xfId="6" applyNumberFormat="1" applyFont="1" applyAlignment="1">
      <alignment horizontal="right"/>
    </xf>
    <xf numFmtId="5" fontId="20" fillId="111" borderId="0" xfId="0" applyNumberFormat="1" applyFont="1" applyFill="1"/>
    <xf numFmtId="43" fontId="20" fillId="0" borderId="0" xfId="47" applyNumberFormat="1" applyFont="1"/>
    <xf numFmtId="5" fontId="20" fillId="0" borderId="0" xfId="47" applyNumberFormat="1" applyFont="1"/>
    <xf numFmtId="5" fontId="97" fillId="0" borderId="0" xfId="47" applyNumberFormat="1" applyFont="1"/>
    <xf numFmtId="5" fontId="20" fillId="0" borderId="32" xfId="47" applyNumberFormat="1" applyFont="1" applyBorder="1"/>
    <xf numFmtId="5" fontId="97" fillId="0" borderId="0" xfId="47" applyNumberFormat="1" applyFont="1" applyAlignment="1">
      <alignment horizontal="right"/>
    </xf>
    <xf numFmtId="5" fontId="20" fillId="111" borderId="0" xfId="47" applyNumberFormat="1" applyFont="1" applyFill="1"/>
    <xf numFmtId="5" fontId="20" fillId="111" borderId="32" xfId="47" applyNumberFormat="1" applyFont="1" applyFill="1" applyBorder="1"/>
    <xf numFmtId="5" fontId="20" fillId="0" borderId="0" xfId="4" applyNumberFormat="1" applyFont="1" applyFill="1"/>
    <xf numFmtId="5" fontId="20" fillId="0" borderId="0" xfId="4" applyNumberFormat="1" applyFont="1"/>
    <xf numFmtId="5" fontId="20" fillId="111" borderId="0" xfId="8160" applyNumberFormat="1" applyFont="1" applyFill="1" applyBorder="1" applyProtection="1">
      <protection locked="0"/>
    </xf>
    <xf numFmtId="5" fontId="20" fillId="111" borderId="32" xfId="8160" applyNumberFormat="1" applyFont="1" applyFill="1" applyBorder="1" applyProtection="1">
      <protection locked="0"/>
    </xf>
    <xf numFmtId="5" fontId="20" fillId="111" borderId="0" xfId="0" applyNumberFormat="1" applyFont="1" applyFill="1" applyProtection="1">
      <protection locked="0"/>
    </xf>
    <xf numFmtId="5" fontId="20" fillId="111" borderId="0" xfId="0" applyNumberFormat="1" applyFont="1" applyFill="1" applyAlignment="1">
      <alignment horizontal="center"/>
    </xf>
    <xf numFmtId="5" fontId="97" fillId="0" borderId="0" xfId="0" applyNumberFormat="1" applyFont="1"/>
    <xf numFmtId="5" fontId="20" fillId="111" borderId="0" xfId="8" applyNumberFormat="1" applyFont="1" applyFill="1"/>
    <xf numFmtId="5" fontId="0" fillId="111" borderId="0" xfId="8" applyNumberFormat="1" applyFont="1" applyFill="1"/>
    <xf numFmtId="5" fontId="0" fillId="111" borderId="32" xfId="8" applyNumberFormat="1" applyFont="1" applyFill="1" applyBorder="1"/>
    <xf numFmtId="5" fontId="0" fillId="0" borderId="0" xfId="4" applyNumberFormat="1" applyFont="1" applyFill="1" applyBorder="1"/>
    <xf numFmtId="5" fontId="0" fillId="0" borderId="0" xfId="8" applyNumberFormat="1" applyFont="1"/>
    <xf numFmtId="5" fontId="20" fillId="111" borderId="0" xfId="9" applyNumberFormat="1" applyFont="1" applyFill="1" applyBorder="1" applyAlignment="1">
      <alignment horizontal="right"/>
    </xf>
    <xf numFmtId="5" fontId="20" fillId="111" borderId="32" xfId="9" applyNumberFormat="1" applyFont="1" applyFill="1" applyBorder="1" applyAlignment="1">
      <alignment horizontal="right"/>
    </xf>
    <xf numFmtId="5" fontId="20" fillId="0" borderId="0" xfId="8" applyNumberFormat="1" applyFont="1" applyFill="1" applyBorder="1" applyAlignment="1">
      <alignment horizontal="right"/>
    </xf>
    <xf numFmtId="5" fontId="97" fillId="0" borderId="0" xfId="8" applyNumberFormat="1" applyFont="1" applyFill="1" applyBorder="1" applyAlignment="1">
      <alignment horizontal="right"/>
    </xf>
    <xf numFmtId="5" fontId="2" fillId="111" borderId="0" xfId="0" applyNumberFormat="1" applyFont="1" applyFill="1"/>
    <xf numFmtId="0" fontId="98" fillId="0" borderId="0" xfId="47" quotePrefix="1" applyFont="1" applyAlignment="1">
      <alignment horizontal="center" wrapText="1"/>
    </xf>
    <xf numFmtId="5" fontId="20" fillId="0" borderId="0" xfId="6" applyNumberFormat="1" applyFont="1"/>
    <xf numFmtId="5" fontId="0" fillId="0" borderId="0" xfId="9" applyNumberFormat="1" applyFont="1" applyFill="1" applyBorder="1"/>
    <xf numFmtId="0" fontId="97" fillId="0" borderId="0" xfId="0" applyFont="1" applyAlignment="1">
      <alignment horizontal="center" vertical="top"/>
    </xf>
    <xf numFmtId="166" fontId="20" fillId="0" borderId="0" xfId="0" applyNumberFormat="1" applyFont="1"/>
    <xf numFmtId="197" fontId="20" fillId="0" borderId="0" xfId="0" applyNumberFormat="1" applyFont="1"/>
    <xf numFmtId="166" fontId="20" fillId="0" borderId="0" xfId="0" applyNumberFormat="1" applyFont="1" applyAlignment="1">
      <alignment horizontal="right"/>
    </xf>
    <xf numFmtId="10" fontId="0" fillId="0" borderId="0" xfId="1" applyNumberFormat="1" applyFont="1" applyFill="1" applyAlignment="1">
      <alignment horizontal="right" indent="1"/>
    </xf>
    <xf numFmtId="10" fontId="0" fillId="0" borderId="0" xfId="1" applyNumberFormat="1" applyFont="1" applyFill="1" applyAlignment="1">
      <alignment horizontal="right"/>
    </xf>
    <xf numFmtId="0" fontId="2" fillId="0" borderId="32" xfId="0" applyFont="1" applyBorder="1" applyAlignment="1">
      <alignment horizontal="center" wrapText="1"/>
    </xf>
    <xf numFmtId="10" fontId="0" fillId="0" borderId="0" xfId="4" applyNumberFormat="1" applyFont="1" applyFill="1" applyAlignment="1">
      <alignment horizontal="right"/>
    </xf>
    <xf numFmtId="0" fontId="2" fillId="0" borderId="0" xfId="0" applyFont="1" applyAlignment="1">
      <alignment horizontal="left" vertical="center"/>
    </xf>
    <xf numFmtId="0" fontId="97" fillId="0" borderId="0" xfId="47" applyFont="1" applyAlignment="1">
      <alignment horizontal="center"/>
    </xf>
    <xf numFmtId="0" fontId="0" fillId="111" borderId="37" xfId="0" applyFill="1" applyBorder="1"/>
    <xf numFmtId="0" fontId="0" fillId="0" borderId="32" xfId="0" applyBorder="1"/>
    <xf numFmtId="2" fontId="97" fillId="0" borderId="0" xfId="0" applyNumberFormat="1" applyFont="1" applyAlignment="1">
      <alignment horizontal="left"/>
    </xf>
    <xf numFmtId="2" fontId="98" fillId="0" borderId="0" xfId="0" applyNumberFormat="1" applyFont="1" applyAlignment="1">
      <alignment horizontal="left"/>
    </xf>
    <xf numFmtId="5" fontId="97" fillId="0" borderId="0" xfId="9" applyNumberFormat="1" applyFont="1" applyBorder="1"/>
    <xf numFmtId="164" fontId="97" fillId="0" borderId="0" xfId="9" applyNumberFormat="1" applyFont="1" applyFill="1" applyBorder="1"/>
    <xf numFmtId="5" fontId="97" fillId="0" borderId="0" xfId="9" applyNumberFormat="1" applyFont="1" applyFill="1" applyBorder="1"/>
    <xf numFmtId="37" fontId="97" fillId="0" borderId="0" xfId="0" quotePrefix="1" applyNumberFormat="1" applyFont="1" applyAlignment="1">
      <alignment horizontal="right"/>
    </xf>
    <xf numFmtId="5" fontId="20" fillId="111" borderId="0" xfId="4" applyNumberFormat="1" applyFont="1" applyFill="1" applyBorder="1" applyAlignment="1">
      <alignment horizontal="right" indent="1"/>
    </xf>
    <xf numFmtId="0" fontId="97" fillId="0" borderId="32" xfId="31683" applyFont="1" applyBorder="1" applyAlignment="1">
      <alignment horizontal="center"/>
    </xf>
    <xf numFmtId="0" fontId="97" fillId="0" borderId="0" xfId="31683" applyFont="1" applyAlignment="1">
      <alignment horizontal="center"/>
    </xf>
    <xf numFmtId="37" fontId="97" fillId="0" borderId="0" xfId="31683" applyNumberFormat="1" applyFont="1"/>
    <xf numFmtId="37" fontId="97" fillId="0" borderId="0" xfId="31683" applyNumberFormat="1" applyFont="1" applyAlignment="1">
      <alignment horizontal="center"/>
    </xf>
    <xf numFmtId="37" fontId="97" fillId="0" borderId="0" xfId="31683" quotePrefix="1" applyNumberFormat="1" applyFont="1" applyAlignment="1">
      <alignment horizontal="center"/>
    </xf>
    <xf numFmtId="39" fontId="97" fillId="0" borderId="0" xfId="31683" quotePrefix="1" applyNumberFormat="1" applyFont="1" applyAlignment="1">
      <alignment horizontal="center"/>
    </xf>
    <xf numFmtId="37" fontId="97" fillId="0" borderId="26" xfId="31683" applyNumberFormat="1" applyFont="1" applyBorder="1" applyAlignment="1">
      <alignment horizontal="center"/>
    </xf>
    <xf numFmtId="199" fontId="97" fillId="0" borderId="26" xfId="31683" applyNumberFormat="1" applyFont="1" applyBorder="1" applyAlignment="1">
      <alignment horizontal="center"/>
    </xf>
    <xf numFmtId="39" fontId="97" fillId="0" borderId="26" xfId="31683" applyNumberFormat="1" applyFont="1" applyBorder="1" applyAlignment="1">
      <alignment horizontal="center"/>
    </xf>
    <xf numFmtId="0" fontId="97" fillId="0" borderId="26" xfId="31683" applyFont="1" applyBorder="1" applyAlignment="1">
      <alignment horizontal="center"/>
    </xf>
    <xf numFmtId="199" fontId="97" fillId="0" borderId="0" xfId="31683" applyNumberFormat="1" applyFont="1" applyAlignment="1">
      <alignment horizontal="center"/>
    </xf>
    <xf numFmtId="39" fontId="97" fillId="0" borderId="0" xfId="31683" applyNumberFormat="1" applyFont="1" applyAlignment="1">
      <alignment horizontal="center"/>
    </xf>
    <xf numFmtId="37" fontId="20" fillId="0" borderId="0" xfId="31683" applyNumberFormat="1" applyFont="1" applyAlignment="1">
      <alignment horizontal="right"/>
    </xf>
    <xf numFmtId="37" fontId="20" fillId="0" borderId="0" xfId="31683" applyNumberFormat="1" applyFont="1" applyAlignment="1">
      <alignment horizontal="center"/>
    </xf>
    <xf numFmtId="37" fontId="20" fillId="0" borderId="32" xfId="31683" applyNumberFormat="1" applyFont="1" applyBorder="1" applyAlignment="1">
      <alignment horizontal="right"/>
    </xf>
    <xf numFmtId="0" fontId="20" fillId="0" borderId="0" xfId="47" applyFont="1" applyAlignment="1">
      <alignment horizontal="fill"/>
    </xf>
    <xf numFmtId="0" fontId="20" fillId="0" borderId="32" xfId="16013" applyFont="1" applyBorder="1"/>
    <xf numFmtId="0" fontId="97" fillId="111" borderId="0" xfId="0" applyFont="1" applyFill="1" applyAlignment="1">
      <alignment horizontal="left"/>
    </xf>
    <xf numFmtId="37" fontId="0" fillId="0" borderId="32" xfId="0" applyNumberFormat="1" applyBorder="1"/>
    <xf numFmtId="5" fontId="20" fillId="111" borderId="0" xfId="7" applyNumberFormat="1" applyFont="1" applyFill="1"/>
    <xf numFmtId="5" fontId="96" fillId="111" borderId="0" xfId="7" applyNumberFormat="1" applyFont="1" applyFill="1"/>
    <xf numFmtId="5" fontId="20" fillId="0" borderId="0" xfId="7" applyNumberFormat="1" applyFont="1"/>
    <xf numFmtId="37" fontId="20" fillId="0" borderId="0" xfId="6" applyNumberFormat="1" applyFont="1"/>
    <xf numFmtId="0" fontId="20" fillId="0" borderId="0" xfId="6" applyFont="1" applyAlignment="1">
      <alignment horizontal="left"/>
    </xf>
    <xf numFmtId="0" fontId="20" fillId="0" borderId="0" xfId="0" applyFont="1" applyAlignment="1">
      <alignment horizontal="right" wrapText="1"/>
    </xf>
    <xf numFmtId="0" fontId="20" fillId="0" borderId="0" xfId="6" applyFont="1" applyAlignment="1">
      <alignment horizontal="left" wrapText="1"/>
    </xf>
    <xf numFmtId="6" fontId="100" fillId="0" borderId="0" xfId="0" applyNumberFormat="1" applyFont="1"/>
    <xf numFmtId="37" fontId="44" fillId="0" borderId="0" xfId="0" applyNumberFormat="1" applyFont="1" applyAlignment="1" applyProtection="1">
      <alignment horizontal="left"/>
      <protection locked="0"/>
    </xf>
    <xf numFmtId="0" fontId="0" fillId="113" borderId="32" xfId="0" applyFill="1" applyBorder="1"/>
    <xf numFmtId="0" fontId="20" fillId="0" borderId="0" xfId="24673" applyFont="1"/>
    <xf numFmtId="0" fontId="97" fillId="0" borderId="0" xfId="24673" applyFont="1" applyAlignment="1">
      <alignment horizontal="center"/>
    </xf>
    <xf numFmtId="0" fontId="98" fillId="0" borderId="0" xfId="24673" applyFont="1" applyAlignment="1">
      <alignment horizontal="centerContinuous"/>
    </xf>
    <xf numFmtId="0" fontId="98" fillId="0" borderId="0" xfId="24673" applyFont="1"/>
    <xf numFmtId="0" fontId="97" fillId="0" borderId="0" xfId="24673" applyFont="1"/>
    <xf numFmtId="0" fontId="98" fillId="0" borderId="0" xfId="24673" applyFont="1" applyAlignment="1">
      <alignment horizontal="center"/>
    </xf>
    <xf numFmtId="198" fontId="20" fillId="0" borderId="0" xfId="24673" applyNumberFormat="1" applyFont="1" applyAlignment="1">
      <alignment horizontal="center"/>
    </xf>
    <xf numFmtId="198" fontId="20" fillId="0" borderId="0" xfId="24673" applyNumberFormat="1" applyFont="1"/>
    <xf numFmtId="198" fontId="103" fillId="111" borderId="0" xfId="10" applyNumberFormat="1" applyFont="1" applyFill="1" applyAlignment="1">
      <alignment horizontal="center"/>
    </xf>
    <xf numFmtId="37" fontId="0" fillId="113" borderId="0" xfId="0" applyNumberFormat="1" applyFill="1"/>
    <xf numFmtId="37" fontId="0" fillId="0" borderId="0" xfId="4" applyNumberFormat="1" applyFont="1" applyFill="1" applyBorder="1"/>
    <xf numFmtId="37" fontId="0" fillId="113" borderId="32" xfId="0" applyNumberFormat="1" applyFill="1" applyBorder="1"/>
    <xf numFmtId="37" fontId="0" fillId="0" borderId="32" xfId="4" applyNumberFormat="1" applyFont="1" applyFill="1" applyBorder="1"/>
    <xf numFmtId="37" fontId="0" fillId="0" borderId="37" xfId="0" applyNumberFormat="1" applyBorder="1"/>
    <xf numFmtId="37" fontId="0" fillId="0" borderId="38" xfId="0" applyNumberFormat="1" applyBorder="1"/>
    <xf numFmtId="37" fontId="0" fillId="0" borderId="39" xfId="0" applyNumberFormat="1" applyBorder="1"/>
    <xf numFmtId="37" fontId="0" fillId="0" borderId="37" xfId="4" applyNumberFormat="1" applyFont="1" applyBorder="1"/>
    <xf numFmtId="37" fontId="0" fillId="0" borderId="38" xfId="4" applyNumberFormat="1" applyFont="1" applyBorder="1"/>
    <xf numFmtId="37" fontId="0" fillId="0" borderId="39" xfId="4" applyNumberFormat="1" applyFont="1" applyBorder="1"/>
    <xf numFmtId="37" fontId="0" fillId="0" borderId="37" xfId="4" applyNumberFormat="1" applyFont="1" applyFill="1" applyBorder="1"/>
    <xf numFmtId="37" fontId="0" fillId="0" borderId="38" xfId="4" applyNumberFormat="1" applyFont="1" applyFill="1" applyBorder="1"/>
    <xf numFmtId="37" fontId="0" fillId="0" borderId="39" xfId="4" applyNumberFormat="1" applyFont="1" applyFill="1" applyBorder="1"/>
    <xf numFmtId="166" fontId="0" fillId="0" borderId="0" xfId="0" applyNumberFormat="1"/>
    <xf numFmtId="37" fontId="0" fillId="0" borderId="36" xfId="0" applyNumberFormat="1" applyBorder="1"/>
    <xf numFmtId="37" fontId="0" fillId="0" borderId="34" xfId="0" applyNumberFormat="1" applyBorder="1"/>
    <xf numFmtId="0" fontId="0" fillId="0" borderId="0" xfId="0" applyAlignment="1">
      <alignment horizontal="right" wrapText="1"/>
    </xf>
    <xf numFmtId="0" fontId="0" fillId="113" borderId="0" xfId="0" applyFill="1"/>
    <xf numFmtId="0" fontId="2" fillId="0" borderId="0" xfId="0" applyFont="1" applyAlignment="1">
      <alignment horizontal="right" wrapText="1"/>
    </xf>
    <xf numFmtId="7" fontId="0" fillId="113" borderId="32" xfId="0" applyNumberFormat="1" applyFill="1" applyBorder="1"/>
    <xf numFmtId="0" fontId="0" fillId="0" borderId="32" xfId="0" applyBorder="1" applyAlignment="1">
      <alignment horizontal="right" wrapText="1"/>
    </xf>
    <xf numFmtId="0" fontId="2" fillId="0" borderId="32" xfId="0" applyFont="1" applyBorder="1"/>
    <xf numFmtId="200" fontId="0" fillId="0" borderId="0" xfId="0" applyNumberFormat="1"/>
    <xf numFmtId="10" fontId="0" fillId="0" borderId="0" xfId="1" applyNumberFormat="1" applyFont="1" applyFill="1" applyBorder="1"/>
    <xf numFmtId="199" fontId="0" fillId="113" borderId="0" xfId="0" applyNumberFormat="1" applyFill="1"/>
    <xf numFmtId="199" fontId="0" fillId="0" borderId="0" xfId="0" applyNumberFormat="1"/>
    <xf numFmtId="37" fontId="0" fillId="113" borderId="38" xfId="0" applyNumberFormat="1" applyFill="1" applyBorder="1" applyAlignment="1">
      <alignment horizontal="center"/>
    </xf>
    <xf numFmtId="37" fontId="0" fillId="113" borderId="37" xfId="0" applyNumberFormat="1" applyFill="1" applyBorder="1" applyAlignment="1">
      <alignment horizontal="center"/>
    </xf>
    <xf numFmtId="37" fontId="0" fillId="113" borderId="0" xfId="0" applyNumberFormat="1" applyFill="1" applyAlignment="1">
      <alignment horizontal="center"/>
    </xf>
    <xf numFmtId="0" fontId="0" fillId="113" borderId="37" xfId="0" applyFill="1" applyBorder="1" applyAlignment="1">
      <alignment horizontal="center"/>
    </xf>
    <xf numFmtId="0" fontId="0" fillId="113" borderId="38" xfId="0" applyFill="1" applyBorder="1" applyAlignment="1">
      <alignment horizontal="center"/>
    </xf>
    <xf numFmtId="37" fontId="0" fillId="113" borderId="39" xfId="0" applyNumberFormat="1" applyFill="1" applyBorder="1" applyAlignment="1">
      <alignment horizontal="center"/>
    </xf>
    <xf numFmtId="0" fontId="0" fillId="113" borderId="39" xfId="0" applyFill="1" applyBorder="1" applyAlignment="1">
      <alignment horizontal="center"/>
    </xf>
    <xf numFmtId="7" fontId="0" fillId="113" borderId="38" xfId="0" applyNumberFormat="1" applyFill="1" applyBorder="1" applyAlignment="1">
      <alignment horizontal="center"/>
    </xf>
    <xf numFmtId="7" fontId="0" fillId="113" borderId="39" xfId="0" applyNumberFormat="1" applyFill="1" applyBorder="1" applyAlignment="1">
      <alignment horizontal="center"/>
    </xf>
    <xf numFmtId="201" fontId="0" fillId="0" borderId="0" xfId="0" applyNumberFormat="1"/>
    <xf numFmtId="166" fontId="20" fillId="0" borderId="0" xfId="8" applyNumberFormat="1" applyFont="1" applyAlignment="1">
      <alignment horizontal="center"/>
    </xf>
    <xf numFmtId="17" fontId="20" fillId="0" borderId="0" xfId="6" quotePrefix="1" applyNumberFormat="1" applyFont="1" applyAlignment="1">
      <alignment horizontal="left"/>
    </xf>
    <xf numFmtId="0" fontId="2" fillId="0" borderId="0" xfId="0" quotePrefix="1" applyFont="1" applyAlignment="1">
      <alignment horizontal="center"/>
    </xf>
    <xf numFmtId="0" fontId="20" fillId="0" borderId="0" xfId="47" applyFont="1" applyAlignment="1">
      <alignment horizontal="center" wrapText="1"/>
    </xf>
    <xf numFmtId="0" fontId="20" fillId="0" borderId="0" xfId="6" quotePrefix="1" applyFont="1" applyAlignment="1">
      <alignment horizontal="left"/>
    </xf>
    <xf numFmtId="0" fontId="98" fillId="0" borderId="0" xfId="0" quotePrefix="1" applyFont="1" applyAlignment="1">
      <alignment horizontal="center" wrapText="1"/>
    </xf>
    <xf numFmtId="17" fontId="20" fillId="0" borderId="32" xfId="6" quotePrefix="1" applyNumberFormat="1" applyFont="1" applyBorder="1" applyAlignment="1">
      <alignment horizontal="left"/>
    </xf>
    <xf numFmtId="164" fontId="3" fillId="0" borderId="0" xfId="0" applyNumberFormat="1" applyFont="1"/>
    <xf numFmtId="0" fontId="97" fillId="0" borderId="0" xfId="6" quotePrefix="1" applyFont="1" applyAlignment="1">
      <alignment horizontal="left"/>
    </xf>
    <xf numFmtId="5" fontId="2" fillId="0" borderId="0" xfId="8" applyNumberFormat="1" applyFont="1"/>
    <xf numFmtId="0" fontId="20" fillId="0" borderId="0" xfId="0" quotePrefix="1" applyFont="1" applyAlignment="1">
      <alignment horizontal="center" vertical="center"/>
    </xf>
    <xf numFmtId="5" fontId="20" fillId="0" borderId="32" xfId="8" applyNumberFormat="1" applyFont="1" applyBorder="1"/>
    <xf numFmtId="0" fontId="0" fillId="112" borderId="0" xfId="0" applyFill="1" applyAlignment="1">
      <alignment horizontal="center"/>
    </xf>
    <xf numFmtId="5" fontId="20" fillId="0" borderId="0" xfId="0" applyNumberFormat="1" applyFont="1" applyAlignment="1">
      <alignment horizontal="right"/>
    </xf>
    <xf numFmtId="0" fontId="0" fillId="0" borderId="0" xfId="0" applyAlignment="1">
      <alignment horizontal="center" vertical="center"/>
    </xf>
    <xf numFmtId="0" fontId="0" fillId="0" borderId="0" xfId="0" applyAlignment="1">
      <alignment vertical="center"/>
    </xf>
    <xf numFmtId="0" fontId="20" fillId="0" borderId="0" xfId="0" applyFont="1" applyAlignment="1">
      <alignment vertical="center"/>
    </xf>
    <xf numFmtId="0" fontId="101" fillId="0" borderId="0" xfId="0" applyFont="1" applyAlignment="1">
      <alignment horizontal="center" wrapText="1"/>
    </xf>
    <xf numFmtId="37" fontId="0" fillId="0" borderId="0" xfId="49" applyNumberFormat="1" applyFont="1" applyAlignment="1">
      <alignment horizontal="right"/>
    </xf>
    <xf numFmtId="5" fontId="0" fillId="0" borderId="0" xfId="4" applyNumberFormat="1" applyFont="1" applyAlignment="1">
      <alignment horizontal="right"/>
    </xf>
    <xf numFmtId="7" fontId="2" fillId="0" borderId="32" xfId="0" applyNumberFormat="1" applyFont="1" applyBorder="1" applyAlignment="1">
      <alignment horizontal="center" wrapText="1"/>
    </xf>
    <xf numFmtId="0" fontId="2" fillId="113" borderId="32" xfId="0" applyFont="1" applyFill="1" applyBorder="1" applyAlignment="1">
      <alignment horizontal="center" wrapText="1"/>
    </xf>
    <xf numFmtId="0" fontId="2" fillId="113" borderId="32" xfId="0" applyFont="1" applyFill="1" applyBorder="1" applyAlignment="1">
      <alignment horizontal="center"/>
    </xf>
    <xf numFmtId="3" fontId="0" fillId="0" borderId="0" xfId="0" applyNumberFormat="1"/>
    <xf numFmtId="9" fontId="20" fillId="111" borderId="0" xfId="1" applyFont="1" applyFill="1"/>
    <xf numFmtId="202" fontId="0" fillId="0" borderId="0" xfId="0" applyNumberFormat="1"/>
    <xf numFmtId="198" fontId="0" fillId="0" borderId="0" xfId="0" applyNumberFormat="1"/>
    <xf numFmtId="9" fontId="20" fillId="0" borderId="0" xfId="1" applyFont="1"/>
    <xf numFmtId="0" fontId="97" fillId="111" borderId="0" xfId="0" applyFont="1" applyFill="1" applyAlignment="1">
      <alignment horizontal="right"/>
    </xf>
    <xf numFmtId="5" fontId="0" fillId="0" borderId="0" xfId="4" applyNumberFormat="1" applyFont="1" applyAlignment="1"/>
    <xf numFmtId="10" fontId="0" fillId="0" borderId="0" xfId="1" applyNumberFormat="1" applyFont="1" applyFill="1" applyAlignment="1">
      <alignment horizontal="center"/>
    </xf>
    <xf numFmtId="0" fontId="2" fillId="0" borderId="32" xfId="0" applyFont="1" applyBorder="1" applyAlignment="1">
      <alignment horizontal="right" wrapText="1"/>
    </xf>
    <xf numFmtId="0" fontId="2" fillId="0" borderId="41" xfId="0" applyFont="1" applyBorder="1"/>
    <xf numFmtId="0" fontId="2" fillId="0" borderId="6" xfId="0" applyFont="1" applyBorder="1" applyAlignment="1">
      <alignment horizontal="right"/>
    </xf>
    <xf numFmtId="0" fontId="0" fillId="0" borderId="36" xfId="0" applyBorder="1"/>
    <xf numFmtId="0" fontId="2" fillId="0" borderId="35" xfId="0" applyFont="1" applyBorder="1" applyAlignment="1">
      <alignment horizontal="right"/>
    </xf>
    <xf numFmtId="0" fontId="0" fillId="0" borderId="32" xfId="0" applyBorder="1" applyAlignment="1">
      <alignment horizontal="right"/>
    </xf>
    <xf numFmtId="0" fontId="0" fillId="0" borderId="34" xfId="0" applyBorder="1"/>
    <xf numFmtId="0" fontId="2" fillId="0" borderId="44" xfId="0" applyFont="1" applyBorder="1" applyAlignment="1">
      <alignment horizontal="center" wrapText="1"/>
    </xf>
    <xf numFmtId="0" fontId="2" fillId="0" borderId="45" xfId="0" applyFont="1" applyBorder="1" applyAlignment="1">
      <alignment horizontal="center" wrapText="1"/>
    </xf>
    <xf numFmtId="0" fontId="4" fillId="0" borderId="41" xfId="0" applyFont="1" applyBorder="1" applyAlignment="1">
      <alignment horizontal="center"/>
    </xf>
    <xf numFmtId="0" fontId="4" fillId="0" borderId="42" xfId="0" applyFont="1" applyBorder="1" applyAlignment="1">
      <alignment horizontal="center"/>
    </xf>
    <xf numFmtId="0" fontId="4" fillId="0" borderId="43" xfId="0" applyFont="1" applyBorder="1" applyAlignment="1">
      <alignment horizontal="center"/>
    </xf>
    <xf numFmtId="0" fontId="2" fillId="0" borderId="6" xfId="0" applyFont="1" applyBorder="1" applyAlignment="1">
      <alignment horizontal="center"/>
    </xf>
    <xf numFmtId="0" fontId="0" fillId="0" borderId="36" xfId="0" applyBorder="1" applyAlignment="1">
      <alignment horizontal="center"/>
    </xf>
    <xf numFmtId="0" fontId="0" fillId="0" borderId="6" xfId="0" applyBorder="1"/>
    <xf numFmtId="0" fontId="2" fillId="0" borderId="36" xfId="0" applyFont="1" applyBorder="1" applyAlignment="1">
      <alignment horizontal="center"/>
    </xf>
    <xf numFmtId="0" fontId="4" fillId="0" borderId="35" xfId="0" applyFont="1" applyBorder="1" applyAlignment="1">
      <alignment horizontal="center"/>
    </xf>
    <xf numFmtId="0" fontId="4" fillId="0" borderId="32" xfId="0" applyFont="1" applyBorder="1" applyAlignment="1">
      <alignment horizontal="center"/>
    </xf>
    <xf numFmtId="0" fontId="4" fillId="0" borderId="34"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0" fontId="0" fillId="0" borderId="0" xfId="1" applyNumberFormat="1" applyFont="1" applyAlignment="1">
      <alignment horizontal="right"/>
    </xf>
    <xf numFmtId="166" fontId="20" fillId="0" borderId="0" xfId="11" applyNumberFormat="1" applyFont="1" applyAlignment="1">
      <alignment horizontal="center" vertical="center" wrapText="1"/>
    </xf>
    <xf numFmtId="5" fontId="20" fillId="111" borderId="0" xfId="9" applyNumberFormat="1" applyFont="1" applyFill="1" applyAlignment="1">
      <alignment horizontal="right"/>
    </xf>
    <xf numFmtId="10" fontId="0" fillId="0" borderId="0" xfId="0" applyNumberFormat="1" applyAlignment="1">
      <alignment horizontal="center"/>
    </xf>
    <xf numFmtId="0" fontId="2" fillId="112" borderId="0" xfId="0" applyFont="1" applyFill="1" applyAlignment="1">
      <alignment horizontal="center"/>
    </xf>
    <xf numFmtId="0" fontId="0" fillId="0" borderId="0" xfId="0" quotePrefix="1"/>
    <xf numFmtId="0" fontId="2" fillId="0" borderId="46" xfId="0" applyFont="1" applyBorder="1" applyAlignment="1">
      <alignment horizontal="center"/>
    </xf>
    <xf numFmtId="5" fontId="2" fillId="0" borderId="40" xfId="0" applyNumberFormat="1" applyFont="1" applyBorder="1"/>
    <xf numFmtId="5" fontId="0" fillId="111" borderId="0" xfId="0" applyNumberFormat="1" applyFill="1" applyAlignment="1">
      <alignment horizontal="right"/>
    </xf>
    <xf numFmtId="5" fontId="0" fillId="0" borderId="0" xfId="0" applyNumberFormat="1" applyAlignment="1">
      <alignment horizontal="right"/>
    </xf>
    <xf numFmtId="5" fontId="0" fillId="0" borderId="0" xfId="0" applyNumberFormat="1" applyAlignment="1">
      <alignment horizontal="left" wrapText="1"/>
    </xf>
    <xf numFmtId="10" fontId="2" fillId="0" borderId="0" xfId="0" applyNumberFormat="1" applyFont="1" applyAlignment="1">
      <alignment horizontal="center"/>
    </xf>
    <xf numFmtId="5" fontId="0" fillId="111" borderId="32" xfId="0" applyNumberFormat="1" applyFill="1" applyBorder="1"/>
    <xf numFmtId="10" fontId="103" fillId="0" borderId="0" xfId="1" applyNumberFormat="1" applyFont="1"/>
    <xf numFmtId="5" fontId="2" fillId="0" borderId="0" xfId="4" applyNumberFormat="1" applyFont="1" applyFill="1" applyBorder="1"/>
    <xf numFmtId="5" fontId="2" fillId="0" borderId="42" xfId="4" applyNumberFormat="1" applyFont="1" applyBorder="1"/>
    <xf numFmtId="10" fontId="0" fillId="0" borderId="0" xfId="4" applyNumberFormat="1" applyFont="1"/>
    <xf numFmtId="192" fontId="0" fillId="0" borderId="0" xfId="0" applyNumberFormat="1"/>
    <xf numFmtId="0" fontId="2" fillId="0" borderId="46" xfId="0" applyFont="1" applyBorder="1" applyAlignment="1">
      <alignment vertical="top"/>
    </xf>
    <xf numFmtId="0" fontId="2" fillId="0" borderId="0" xfId="0" applyFont="1" applyAlignment="1">
      <alignment vertical="top"/>
    </xf>
    <xf numFmtId="7" fontId="0" fillId="111" borderId="0" xfId="1" applyNumberFormat="1" applyFont="1" applyFill="1"/>
    <xf numFmtId="7" fontId="2" fillId="0" borderId="45" xfId="2" applyNumberFormat="1" applyFont="1" applyFill="1" applyBorder="1" applyAlignment="1">
      <alignment vertical="top"/>
    </xf>
    <xf numFmtId="7" fontId="2" fillId="0" borderId="45" xfId="0" applyNumberFormat="1" applyFont="1" applyBorder="1" applyAlignment="1">
      <alignment vertical="top"/>
    </xf>
    <xf numFmtId="7" fontId="0" fillId="0" borderId="0" xfId="0" applyNumberFormat="1" applyAlignment="1">
      <alignment vertical="top"/>
    </xf>
    <xf numFmtId="0" fontId="4" fillId="0" borderId="0" xfId="0" applyFont="1" applyAlignment="1">
      <alignment horizontal="center" vertical="top"/>
    </xf>
    <xf numFmtId="0" fontId="2" fillId="0" borderId="0" xfId="0" applyFont="1" applyAlignment="1">
      <alignment horizontal="center" vertical="top"/>
    </xf>
    <xf numFmtId="0" fontId="0" fillId="0" borderId="0" xfId="0" applyAlignment="1">
      <alignment vertical="top"/>
    </xf>
    <xf numFmtId="0" fontId="0" fillId="0" borderId="0" xfId="0" applyAlignment="1">
      <alignment vertical="top" wrapText="1"/>
    </xf>
    <xf numFmtId="0" fontId="0" fillId="0" borderId="0" xfId="0" applyAlignment="1">
      <alignment horizontal="center" vertical="top"/>
    </xf>
    <xf numFmtId="0" fontId="4" fillId="0" borderId="0" xfId="0" applyFont="1" applyAlignment="1">
      <alignment horizontal="center" vertical="top" wrapText="1"/>
    </xf>
    <xf numFmtId="7" fontId="0" fillId="0" borderId="0" xfId="1" applyNumberFormat="1" applyFont="1" applyFill="1"/>
    <xf numFmtId="0" fontId="0" fillId="113" borderId="0" xfId="0" applyFill="1" applyAlignment="1">
      <alignment vertical="top"/>
    </xf>
    <xf numFmtId="5" fontId="97" fillId="0" borderId="0" xfId="9" applyNumberFormat="1" applyFont="1" applyFill="1" applyBorder="1" applyAlignment="1">
      <alignment horizontal="right"/>
    </xf>
    <xf numFmtId="5" fontId="20" fillId="0" borderId="0" xfId="9" applyNumberFormat="1" applyFont="1" applyFill="1" applyBorder="1" applyAlignment="1">
      <alignment horizontal="right"/>
    </xf>
    <xf numFmtId="10" fontId="20" fillId="0" borderId="0" xfId="1" applyNumberFormat="1" applyFont="1" applyFill="1" applyBorder="1" applyAlignment="1">
      <alignment horizontal="center"/>
    </xf>
    <xf numFmtId="10" fontId="0" fillId="0" borderId="0" xfId="0" applyNumberFormat="1" applyAlignment="1">
      <alignment wrapText="1"/>
    </xf>
    <xf numFmtId="5" fontId="103" fillId="0" borderId="0" xfId="4" applyNumberFormat="1" applyFont="1"/>
    <xf numFmtId="9" fontId="20" fillId="0" borderId="0" xfId="8" applyNumberFormat="1" applyFont="1"/>
    <xf numFmtId="166" fontId="20" fillId="0" borderId="0" xfId="8" applyNumberFormat="1" applyFont="1" applyFill="1" applyAlignment="1">
      <alignment horizontal="center"/>
    </xf>
    <xf numFmtId="203" fontId="2" fillId="0" borderId="0" xfId="0" applyNumberFormat="1" applyFont="1"/>
    <xf numFmtId="37" fontId="2" fillId="0" borderId="0" xfId="0" applyNumberFormat="1" applyFont="1"/>
    <xf numFmtId="0" fontId="2" fillId="113" borderId="0" xfId="0" applyFont="1" applyFill="1" applyAlignment="1">
      <alignment horizontal="center"/>
    </xf>
    <xf numFmtId="0" fontId="2" fillId="113" borderId="45" xfId="0" applyFont="1" applyFill="1" applyBorder="1" applyAlignment="1">
      <alignment horizontal="center" wrapText="1"/>
    </xf>
    <xf numFmtId="0" fontId="2" fillId="113" borderId="0" xfId="0" applyFont="1" applyFill="1" applyAlignment="1">
      <alignment vertical="top"/>
    </xf>
    <xf numFmtId="5" fontId="97" fillId="0" borderId="42" xfId="0" applyNumberFormat="1" applyFont="1" applyBorder="1"/>
    <xf numFmtId="43" fontId="0" fillId="0" borderId="0" xfId="4" applyFont="1"/>
    <xf numFmtId="5" fontId="0" fillId="0" borderId="36" xfId="0" applyNumberFormat="1" applyBorder="1"/>
    <xf numFmtId="0" fontId="0" fillId="0" borderId="34" xfId="0" applyBorder="1" applyAlignment="1">
      <alignment horizontal="right"/>
    </xf>
    <xf numFmtId="5" fontId="0" fillId="0" borderId="0" xfId="0" applyNumberFormat="1" applyAlignment="1">
      <alignment horizontal="center"/>
    </xf>
    <xf numFmtId="0" fontId="0" fillId="0" borderId="32" xfId="0" applyBorder="1" applyAlignment="1">
      <alignment horizontal="left"/>
    </xf>
    <xf numFmtId="37" fontId="0" fillId="0" borderId="0" xfId="0" applyNumberFormat="1" applyAlignment="1">
      <alignment horizontal="center"/>
    </xf>
    <xf numFmtId="203" fontId="0" fillId="0" borderId="0" xfId="0" applyNumberFormat="1"/>
    <xf numFmtId="0" fontId="0" fillId="0" borderId="37" xfId="0" applyBorder="1" applyAlignment="1">
      <alignment horizontal="left"/>
    </xf>
    <xf numFmtId="0" fontId="0" fillId="0" borderId="38" xfId="0" applyBorder="1" applyAlignment="1">
      <alignment horizontal="left"/>
    </xf>
    <xf numFmtId="0" fontId="0" fillId="0" borderId="39" xfId="0" applyBorder="1" applyAlignment="1">
      <alignment horizontal="left"/>
    </xf>
    <xf numFmtId="37" fontId="44" fillId="0" borderId="0" xfId="0" applyNumberFormat="1" applyFont="1" applyAlignment="1" applyProtection="1">
      <alignment wrapText="1"/>
      <protection locked="0"/>
    </xf>
    <xf numFmtId="5" fontId="0" fillId="113" borderId="0" xfId="0" applyNumberFormat="1" applyFill="1" applyAlignment="1">
      <alignment horizontal="right"/>
    </xf>
    <xf numFmtId="10" fontId="97" fillId="0" borderId="0" xfId="1" applyNumberFormat="1" applyFont="1" applyFill="1" applyBorder="1" applyProtection="1">
      <protection locked="0"/>
    </xf>
    <xf numFmtId="5" fontId="0" fillId="111" borderId="0" xfId="8" applyNumberFormat="1" applyFont="1" applyFill="1" applyBorder="1"/>
    <xf numFmtId="0" fontId="97" fillId="0" borderId="42" xfId="6" quotePrefix="1" applyFont="1" applyBorder="1" applyAlignment="1">
      <alignment horizontal="left"/>
    </xf>
    <xf numFmtId="5" fontId="2" fillId="0" borderId="42" xfId="8" applyNumberFormat="1" applyFont="1" applyBorder="1"/>
    <xf numFmtId="0" fontId="2" fillId="0" borderId="42" xfId="0" applyFont="1" applyBorder="1"/>
    <xf numFmtId="1" fontId="20" fillId="0" borderId="42" xfId="11" applyNumberFormat="1" applyFont="1" applyBorder="1" applyAlignment="1">
      <alignment horizontal="center"/>
    </xf>
    <xf numFmtId="5" fontId="20" fillId="111" borderId="0" xfId="9" applyNumberFormat="1" applyFont="1" applyFill="1"/>
    <xf numFmtId="5" fontId="20" fillId="0" borderId="40" xfId="9" applyNumberFormat="1" applyFont="1" applyFill="1" applyBorder="1"/>
    <xf numFmtId="0" fontId="97" fillId="0" borderId="41" xfId="47" applyFont="1" applyBorder="1"/>
    <xf numFmtId="0" fontId="20" fillId="0" borderId="42" xfId="47" applyFont="1" applyBorder="1"/>
    <xf numFmtId="0" fontId="98" fillId="0" borderId="42" xfId="47" applyFont="1" applyBorder="1" applyAlignment="1">
      <alignment horizontal="center"/>
    </xf>
    <xf numFmtId="0" fontId="98" fillId="0" borderId="43" xfId="47" applyFont="1" applyBorder="1" applyAlignment="1">
      <alignment horizontal="center"/>
    </xf>
    <xf numFmtId="164" fontId="20" fillId="0" borderId="36" xfId="47" applyNumberFormat="1" applyFont="1" applyBorder="1"/>
    <xf numFmtId="164" fontId="96" fillId="0" borderId="36" xfId="47" applyNumberFormat="1" applyFont="1" applyBorder="1"/>
    <xf numFmtId="5" fontId="97" fillId="0" borderId="42" xfId="47" applyNumberFormat="1" applyFont="1" applyBorder="1"/>
    <xf numFmtId="10" fontId="20" fillId="113" borderId="0" xfId="47" applyNumberFormat="1" applyFont="1" applyFill="1"/>
    <xf numFmtId="0" fontId="0" fillId="0" borderId="0" xfId="47" applyFont="1" applyAlignment="1">
      <alignment horizontal="left" indent="1"/>
    </xf>
    <xf numFmtId="10" fontId="20" fillId="0" borderId="0" xfId="47" applyNumberFormat="1" applyFont="1"/>
    <xf numFmtId="0" fontId="20" fillId="0" borderId="32" xfId="47" applyFont="1" applyBorder="1" applyAlignment="1">
      <alignment horizontal="right"/>
    </xf>
    <xf numFmtId="5" fontId="97" fillId="0" borderId="32" xfId="47" applyNumberFormat="1" applyFont="1" applyBorder="1"/>
    <xf numFmtId="0" fontId="20" fillId="0" borderId="32" xfId="47" applyFont="1" applyBorder="1" applyAlignment="1">
      <alignment horizontal="left" indent="1"/>
    </xf>
    <xf numFmtId="164" fontId="20" fillId="0" borderId="34" xfId="47" applyNumberFormat="1" applyFont="1" applyBorder="1"/>
    <xf numFmtId="0" fontId="20" fillId="0" borderId="42" xfId="47" applyFont="1" applyBorder="1" applyAlignment="1">
      <alignment horizontal="right"/>
    </xf>
    <xf numFmtId="164" fontId="20" fillId="0" borderId="42" xfId="47" applyNumberFormat="1" applyFont="1" applyBorder="1"/>
    <xf numFmtId="0" fontId="20" fillId="0" borderId="42" xfId="47" applyFont="1" applyBorder="1" applyAlignment="1">
      <alignment horizontal="left" indent="1"/>
    </xf>
    <xf numFmtId="164" fontId="20" fillId="0" borderId="43" xfId="47" applyNumberFormat="1" applyFont="1" applyBorder="1"/>
    <xf numFmtId="167" fontId="20" fillId="0" borderId="36" xfId="47" applyNumberFormat="1" applyFont="1" applyBorder="1"/>
    <xf numFmtId="5" fontId="97" fillId="0" borderId="44" xfId="47" applyNumberFormat="1" applyFont="1" applyBorder="1"/>
    <xf numFmtId="164" fontId="96" fillId="0" borderId="34" xfId="47" applyNumberFormat="1" applyFont="1" applyBorder="1"/>
    <xf numFmtId="164" fontId="97" fillId="0" borderId="0" xfId="47" applyNumberFormat="1" applyFont="1"/>
    <xf numFmtId="0" fontId="20" fillId="0" borderId="41" xfId="47" applyFont="1" applyBorder="1"/>
    <xf numFmtId="164" fontId="96" fillId="0" borderId="43" xfId="47" applyNumberFormat="1" applyFont="1" applyBorder="1"/>
    <xf numFmtId="0" fontId="2" fillId="0" borderId="0" xfId="16306" applyFont="1" applyAlignment="1">
      <alignment horizontal="center"/>
    </xf>
    <xf numFmtId="0" fontId="103" fillId="0" borderId="0" xfId="16306"/>
    <xf numFmtId="0" fontId="2" fillId="0" borderId="0" xfId="16306" applyFont="1" applyAlignment="1">
      <alignment horizontal="right"/>
    </xf>
    <xf numFmtId="37" fontId="103" fillId="0" borderId="0" xfId="16306" applyNumberFormat="1" applyAlignment="1">
      <alignment horizontal="center"/>
    </xf>
    <xf numFmtId="0" fontId="20" fillId="0" borderId="0" xfId="0" applyFont="1" applyAlignment="1">
      <alignment horizontal="left" vertical="center" wrapText="1"/>
    </xf>
    <xf numFmtId="0" fontId="20" fillId="0" borderId="0" xfId="31683" applyFont="1" applyAlignment="1">
      <alignment horizontal="center"/>
    </xf>
    <xf numFmtId="0" fontId="97" fillId="0" borderId="44" xfId="31683" applyFont="1" applyBorder="1" applyAlignment="1">
      <alignment horizontal="center"/>
    </xf>
    <xf numFmtId="37" fontId="97" fillId="0" borderId="0" xfId="31683" quotePrefix="1" applyNumberFormat="1" applyFont="1" applyAlignment="1">
      <alignment horizontal="center" wrapText="1"/>
    </xf>
    <xf numFmtId="0" fontId="20" fillId="113" borderId="0" xfId="11" applyFont="1" applyFill="1" applyAlignment="1">
      <alignment horizontal="left" vertical="center"/>
    </xf>
    <xf numFmtId="0" fontId="99" fillId="0" borderId="0" xfId="0" applyFont="1" applyAlignment="1">
      <alignment horizontal="center"/>
    </xf>
    <xf numFmtId="10" fontId="99" fillId="112" borderId="0" xfId="1" applyNumberFormat="1" applyFont="1" applyFill="1"/>
    <xf numFmtId="0" fontId="23" fillId="112" borderId="0" xfId="0" applyFont="1" applyFill="1"/>
    <xf numFmtId="0" fontId="108" fillId="0" borderId="0" xfId="0" applyFont="1" applyAlignment="1">
      <alignment horizontal="center"/>
    </xf>
    <xf numFmtId="0" fontId="97" fillId="113" borderId="32" xfId="0" applyFont="1" applyFill="1" applyBorder="1" applyAlignment="1">
      <alignment horizontal="center" wrapText="1"/>
    </xf>
    <xf numFmtId="10" fontId="99" fillId="0" borderId="0" xfId="1" applyNumberFormat="1" applyFont="1" applyFill="1"/>
    <xf numFmtId="9" fontId="0" fillId="0" borderId="0" xfId="1" applyFont="1"/>
    <xf numFmtId="0" fontId="97" fillId="0" borderId="32" xfId="0" applyFont="1" applyBorder="1" applyAlignment="1">
      <alignment horizontal="right"/>
    </xf>
    <xf numFmtId="37" fontId="20" fillId="0" borderId="32" xfId="0" applyNumberFormat="1" applyFont="1" applyBorder="1"/>
    <xf numFmtId="0" fontId="20" fillId="0" borderId="32" xfId="0" applyFont="1" applyBorder="1"/>
    <xf numFmtId="5" fontId="20" fillId="0" borderId="0" xfId="8" applyNumberFormat="1" applyFont="1" applyFill="1"/>
    <xf numFmtId="9" fontId="20" fillId="0" borderId="0" xfId="1" applyFont="1" applyFill="1"/>
    <xf numFmtId="0" fontId="99" fillId="0" borderId="0" xfId="16306" applyFont="1" applyAlignment="1">
      <alignment horizontal="center"/>
    </xf>
    <xf numFmtId="0" fontId="23" fillId="0" borderId="0" xfId="16306" applyFont="1"/>
    <xf numFmtId="37" fontId="23" fillId="0" borderId="0" xfId="16306" applyNumberFormat="1" applyFont="1"/>
    <xf numFmtId="0" fontId="2" fillId="113" borderId="34" xfId="0" applyFont="1" applyFill="1" applyBorder="1" applyAlignment="1">
      <alignment horizontal="center" vertical="top" wrapText="1"/>
    </xf>
    <xf numFmtId="203" fontId="0" fillId="0" borderId="0" xfId="4" applyNumberFormat="1" applyFont="1" applyFill="1"/>
    <xf numFmtId="0" fontId="99" fillId="0" borderId="0" xfId="0" applyFont="1" applyAlignment="1">
      <alignment wrapText="1"/>
    </xf>
    <xf numFmtId="5" fontId="0" fillId="0" borderId="0" xfId="8" applyNumberFormat="1" applyFont="1" applyFill="1"/>
    <xf numFmtId="5" fontId="97" fillId="0" borderId="0" xfId="0" applyNumberFormat="1" applyFont="1" applyProtection="1">
      <protection locked="0"/>
    </xf>
    <xf numFmtId="14" fontId="20" fillId="0" borderId="0" xfId="0" quotePrefix="1" applyNumberFormat="1" applyFont="1" applyAlignment="1">
      <alignment horizontal="right" vertical="center"/>
    </xf>
    <xf numFmtId="14" fontId="20" fillId="0" borderId="0" xfId="0" applyNumberFormat="1" applyFont="1" applyAlignment="1">
      <alignment horizontal="right" vertical="center"/>
    </xf>
    <xf numFmtId="194" fontId="20" fillId="0" borderId="0" xfId="1" applyNumberFormat="1" applyFont="1" applyFill="1" applyAlignment="1">
      <alignment horizontal="center"/>
    </xf>
    <xf numFmtId="164" fontId="99" fillId="0" borderId="32" xfId="6" applyNumberFormat="1" applyFont="1" applyBorder="1" applyAlignment="1">
      <alignment horizontal="center"/>
    </xf>
    <xf numFmtId="0" fontId="0" fillId="0" borderId="0" xfId="48" applyFont="1"/>
    <xf numFmtId="37" fontId="103" fillId="0" borderId="38" xfId="4" applyNumberFormat="1" applyFont="1" applyFill="1" applyBorder="1"/>
    <xf numFmtId="0" fontId="5" fillId="0" borderId="0" xfId="31688" applyFont="1" applyAlignment="1">
      <alignment horizontal="right" vertical="top"/>
    </xf>
    <xf numFmtId="0" fontId="5" fillId="0" borderId="0" xfId="31688" applyFont="1"/>
    <xf numFmtId="0" fontId="97" fillId="112" borderId="0" xfId="6" applyFont="1" applyFill="1" applyAlignment="1">
      <alignment horizontal="left"/>
    </xf>
    <xf numFmtId="166" fontId="97" fillId="0" borderId="0" xfId="4" applyNumberFormat="1" applyFont="1"/>
    <xf numFmtId="10" fontId="20" fillId="0" borderId="0" xfId="0" applyNumberFormat="1" applyFont="1"/>
    <xf numFmtId="10" fontId="20" fillId="0" borderId="32" xfId="1" applyNumberFormat="1" applyFont="1" applyBorder="1"/>
    <xf numFmtId="10" fontId="97" fillId="0" borderId="0" xfId="0" applyNumberFormat="1" applyFont="1"/>
    <xf numFmtId="5" fontId="97" fillId="0" borderId="0" xfId="4" applyNumberFormat="1" applyFont="1"/>
    <xf numFmtId="5" fontId="20" fillId="113" borderId="0" xfId="0" applyNumberFormat="1" applyFont="1" applyFill="1" applyAlignment="1">
      <alignment horizontal="center"/>
    </xf>
    <xf numFmtId="7" fontId="20" fillId="0" borderId="0" xfId="0" applyNumberFormat="1" applyFont="1"/>
    <xf numFmtId="0" fontId="20" fillId="0" borderId="32" xfId="0" applyFont="1" applyBorder="1" applyAlignment="1">
      <alignment horizontal="right"/>
    </xf>
    <xf numFmtId="0" fontId="97" fillId="0" borderId="0" xfId="0" applyFont="1" applyAlignment="1">
      <alignment horizontal="left"/>
    </xf>
    <xf numFmtId="37" fontId="5" fillId="0" borderId="6" xfId="0" applyNumberFormat="1" applyFont="1" applyBorder="1" applyAlignment="1" applyProtection="1">
      <alignment horizontal="left"/>
      <protection locked="0"/>
    </xf>
    <xf numFmtId="37" fontId="5" fillId="0" borderId="35" xfId="0" applyNumberFormat="1" applyFont="1" applyBorder="1" applyAlignment="1" applyProtection="1">
      <alignment horizontal="left"/>
      <protection locked="0"/>
    </xf>
    <xf numFmtId="37" fontId="5" fillId="0" borderId="0" xfId="0" applyNumberFormat="1" applyFont="1" applyAlignment="1" applyProtection="1">
      <alignment horizontal="left"/>
      <protection locked="0"/>
    </xf>
    <xf numFmtId="0" fontId="97" fillId="0" borderId="0" xfId="16306" applyFont="1"/>
    <xf numFmtId="0" fontId="98" fillId="0" borderId="0" xfId="16306" applyFont="1" applyAlignment="1">
      <alignment horizontal="center"/>
    </xf>
    <xf numFmtId="0" fontId="97" fillId="0" borderId="0" xfId="16306" applyFont="1" applyAlignment="1">
      <alignment horizontal="center"/>
    </xf>
    <xf numFmtId="0" fontId="20" fillId="0" borderId="37" xfId="16306" applyFont="1" applyBorder="1"/>
    <xf numFmtId="37" fontId="20" fillId="113" borderId="38" xfId="16306" applyNumberFormat="1" applyFont="1" applyFill="1" applyBorder="1" applyAlignment="1">
      <alignment horizontal="center"/>
    </xf>
    <xf numFmtId="37" fontId="20" fillId="113" borderId="37" xfId="16306" applyNumberFormat="1" applyFont="1" applyFill="1" applyBorder="1" applyAlignment="1">
      <alignment horizontal="center"/>
    </xf>
    <xf numFmtId="37" fontId="20" fillId="113" borderId="0" xfId="16306" applyNumberFormat="1" applyFont="1" applyFill="1" applyAlignment="1">
      <alignment horizontal="center"/>
    </xf>
    <xf numFmtId="0" fontId="20" fillId="113" borderId="37" xfId="16306" applyFont="1" applyFill="1" applyBorder="1" applyAlignment="1">
      <alignment horizontal="center"/>
    </xf>
    <xf numFmtId="0" fontId="20" fillId="0" borderId="38" xfId="16306" applyFont="1" applyBorder="1"/>
    <xf numFmtId="0" fontId="20" fillId="113" borderId="38" xfId="16306" applyFont="1" applyFill="1" applyBorder="1" applyAlignment="1">
      <alignment horizontal="center"/>
    </xf>
    <xf numFmtId="37" fontId="20" fillId="113" borderId="39" xfId="16306" applyNumberFormat="1" applyFont="1" applyFill="1" applyBorder="1" applyAlignment="1">
      <alignment horizontal="center"/>
    </xf>
    <xf numFmtId="0" fontId="20" fillId="113" borderId="39" xfId="16306" applyFont="1" applyFill="1" applyBorder="1" applyAlignment="1">
      <alignment horizontal="center"/>
    </xf>
    <xf numFmtId="0" fontId="97" fillId="112" borderId="0" xfId="0" applyFont="1" applyFill="1" applyAlignment="1">
      <alignment horizontal="left"/>
    </xf>
    <xf numFmtId="3" fontId="20" fillId="0" borderId="0" xfId="6" applyNumberFormat="1" applyFont="1" applyAlignment="1">
      <alignment horizontal="left" indent="1"/>
    </xf>
    <xf numFmtId="10" fontId="20" fillId="0" borderId="0" xfId="9" applyNumberFormat="1" applyFont="1" applyFill="1" applyBorder="1"/>
    <xf numFmtId="5" fontId="97" fillId="0" borderId="0" xfId="4" applyNumberFormat="1" applyFont="1" applyFill="1"/>
    <xf numFmtId="7" fontId="97" fillId="0" borderId="0" xfId="0" applyNumberFormat="1" applyFont="1" applyAlignment="1">
      <alignment horizontal="right"/>
    </xf>
    <xf numFmtId="5" fontId="20" fillId="113" borderId="0" xfId="4" applyNumberFormat="1" applyFont="1" applyFill="1"/>
    <xf numFmtId="5" fontId="20" fillId="0" borderId="32" xfId="4" applyNumberFormat="1" applyFont="1" applyFill="1" applyBorder="1"/>
    <xf numFmtId="5" fontId="20" fillId="0" borderId="0" xfId="0" applyNumberFormat="1" applyFont="1" applyAlignment="1">
      <alignment horizontal="left"/>
    </xf>
    <xf numFmtId="10" fontId="20" fillId="0" borderId="32" xfId="0" applyNumberFormat="1" applyFont="1" applyBorder="1"/>
    <xf numFmtId="5" fontId="97" fillId="0" borderId="42" xfId="4" applyNumberFormat="1" applyFont="1" applyFill="1" applyBorder="1"/>
    <xf numFmtId="0" fontId="97" fillId="113" borderId="0" xfId="0" applyFont="1" applyFill="1"/>
    <xf numFmtId="0" fontId="97" fillId="113" borderId="0" xfId="0" applyFont="1" applyFill="1" applyAlignment="1">
      <alignment horizontal="center"/>
    </xf>
    <xf numFmtId="0" fontId="20" fillId="113" borderId="0" xfId="0" applyFont="1" applyFill="1"/>
    <xf numFmtId="0" fontId="98" fillId="113" borderId="0" xfId="0" applyFont="1" applyFill="1" applyAlignment="1">
      <alignment horizontal="center"/>
    </xf>
    <xf numFmtId="5" fontId="20" fillId="113" borderId="0" xfId="0" applyNumberFormat="1" applyFont="1" applyFill="1" applyAlignment="1">
      <alignment horizontal="left"/>
    </xf>
    <xf numFmtId="10" fontId="20" fillId="113" borderId="32" xfId="1" applyNumberFormat="1" applyFont="1" applyFill="1" applyBorder="1"/>
    <xf numFmtId="10" fontId="20" fillId="113" borderId="32" xfId="0" applyNumberFormat="1" applyFont="1" applyFill="1" applyBorder="1"/>
    <xf numFmtId="0" fontId="20" fillId="113" borderId="0" xfId="0" applyFont="1" applyFill="1" applyAlignment="1">
      <alignment horizontal="left"/>
    </xf>
    <xf numFmtId="10" fontId="20" fillId="113" borderId="0" xfId="1" applyNumberFormat="1" applyFont="1" applyFill="1" applyBorder="1"/>
    <xf numFmtId="10" fontId="20" fillId="113" borderId="0" xfId="0" applyNumberFormat="1" applyFont="1" applyFill="1"/>
    <xf numFmtId="7" fontId="20" fillId="113" borderId="0" xfId="0" applyNumberFormat="1" applyFont="1" applyFill="1"/>
    <xf numFmtId="5" fontId="97" fillId="113" borderId="0" xfId="4" applyNumberFormat="1" applyFont="1" applyFill="1" applyBorder="1"/>
    <xf numFmtId="5" fontId="97" fillId="0" borderId="33" xfId="7" applyNumberFormat="1" applyFont="1" applyBorder="1" applyAlignment="1">
      <alignment vertical="center"/>
    </xf>
    <xf numFmtId="164" fontId="97" fillId="0" borderId="33" xfId="7" applyNumberFormat="1" applyFont="1" applyBorder="1" applyAlignment="1">
      <alignment vertical="center"/>
    </xf>
    <xf numFmtId="0" fontId="5" fillId="0" borderId="0" xfId="24911" applyFont="1"/>
    <xf numFmtId="0" fontId="5" fillId="0" borderId="0" xfId="24911" applyFont="1" applyAlignment="1">
      <alignment horizontal="center"/>
    </xf>
    <xf numFmtId="0" fontId="5" fillId="0" borderId="32" xfId="24911" applyFont="1" applyBorder="1" applyAlignment="1">
      <alignment horizontal="center"/>
    </xf>
    <xf numFmtId="0" fontId="5" fillId="0" borderId="32" xfId="24911" applyFont="1" applyBorder="1"/>
    <xf numFmtId="0" fontId="6" fillId="0" borderId="0" xfId="31688" applyFont="1" applyAlignment="1">
      <alignment horizontal="center"/>
    </xf>
    <xf numFmtId="0" fontId="20" fillId="0" borderId="0" xfId="31683" applyFont="1"/>
    <xf numFmtId="0" fontId="20" fillId="0" borderId="0" xfId="31683" quotePrefix="1" applyFont="1" applyAlignment="1">
      <alignment horizontal="center"/>
    </xf>
    <xf numFmtId="0" fontId="6" fillId="0" borderId="0" xfId="31688" applyFont="1" applyAlignment="1">
      <alignment horizontal="center" wrapText="1"/>
    </xf>
    <xf numFmtId="0" fontId="20" fillId="0" borderId="26" xfId="31683" applyFont="1" applyBorder="1"/>
    <xf numFmtId="14" fontId="20" fillId="0" borderId="26" xfId="31683" applyNumberFormat="1" applyFont="1" applyBorder="1" applyAlignment="1">
      <alignment horizontal="center"/>
    </xf>
    <xf numFmtId="198" fontId="20" fillId="0" borderId="26" xfId="31683" applyNumberFormat="1" applyFont="1" applyBorder="1" applyAlignment="1">
      <alignment horizontal="center"/>
    </xf>
    <xf numFmtId="0" fontId="98" fillId="0" borderId="0" xfId="24911" applyFont="1" applyAlignment="1">
      <alignment horizontal="center"/>
    </xf>
    <xf numFmtId="37" fontId="20" fillId="0" borderId="0" xfId="31683" applyNumberFormat="1" applyFont="1"/>
    <xf numFmtId="0" fontId="20" fillId="0" borderId="0" xfId="24911" applyFont="1"/>
    <xf numFmtId="0" fontId="20" fillId="0" borderId="32" xfId="31683" applyFont="1" applyBorder="1"/>
    <xf numFmtId="37" fontId="20" fillId="0" borderId="32" xfId="31683" applyNumberFormat="1" applyFont="1" applyBorder="1"/>
    <xf numFmtId="0" fontId="20" fillId="113" borderId="0" xfId="31683" applyFont="1" applyFill="1" applyAlignment="1">
      <alignment horizontal="left"/>
    </xf>
    <xf numFmtId="37" fontId="20" fillId="113" borderId="0" xfId="31683" applyNumberFormat="1" applyFont="1" applyFill="1"/>
    <xf numFmtId="0" fontId="20" fillId="113" borderId="0" xfId="31683" applyFont="1" applyFill="1" applyAlignment="1">
      <alignment horizontal="center"/>
    </xf>
    <xf numFmtId="0" fontId="20" fillId="0" borderId="0" xfId="31683" applyFont="1" applyAlignment="1">
      <alignment horizontal="right"/>
    </xf>
    <xf numFmtId="0" fontId="20" fillId="0" borderId="0" xfId="31688" applyFont="1" applyAlignment="1">
      <alignment horizontal="center"/>
    </xf>
    <xf numFmtId="0" fontId="20" fillId="0" borderId="0" xfId="24911" applyFont="1" applyAlignment="1">
      <alignment horizontal="center"/>
    </xf>
    <xf numFmtId="37" fontId="20" fillId="0" borderId="0" xfId="24911" applyNumberFormat="1" applyFont="1" applyAlignment="1">
      <alignment horizontal="center"/>
    </xf>
    <xf numFmtId="166" fontId="20" fillId="0" borderId="0" xfId="4" applyNumberFormat="1" applyFont="1" applyAlignment="1">
      <alignment horizontal="center"/>
    </xf>
    <xf numFmtId="0" fontId="5" fillId="0" borderId="0" xfId="31688" applyFont="1" applyAlignment="1">
      <alignment horizontal="center" vertical="top"/>
    </xf>
    <xf numFmtId="5" fontId="20" fillId="0" borderId="0" xfId="1" applyNumberFormat="1" applyFont="1" applyFill="1"/>
    <xf numFmtId="10" fontId="97" fillId="0" borderId="0" xfId="1" applyNumberFormat="1" applyFont="1" applyFill="1"/>
    <xf numFmtId="6" fontId="20" fillId="113" borderId="0" xfId="0" applyNumberFormat="1" applyFont="1" applyFill="1"/>
    <xf numFmtId="167" fontId="96" fillId="0" borderId="36" xfId="47" applyNumberFormat="1" applyFont="1" applyBorder="1"/>
    <xf numFmtId="0" fontId="2" fillId="113" borderId="48" xfId="0" applyFont="1" applyFill="1" applyBorder="1" applyAlignment="1">
      <alignment horizontal="center" wrapText="1"/>
    </xf>
    <xf numFmtId="0" fontId="97" fillId="113" borderId="48" xfId="0" applyFont="1" applyFill="1" applyBorder="1" applyAlignment="1">
      <alignment horizontal="center" vertical="top" wrapText="1"/>
    </xf>
    <xf numFmtId="6" fontId="100" fillId="114" borderId="0" xfId="0" applyNumberFormat="1" applyFont="1" applyFill="1"/>
    <xf numFmtId="6" fontId="100" fillId="115" borderId="0" xfId="0" applyNumberFormat="1" applyFont="1" applyFill="1"/>
    <xf numFmtId="6" fontId="100" fillId="115" borderId="32" xfId="0" applyNumberFormat="1" applyFont="1" applyFill="1" applyBorder="1"/>
    <xf numFmtId="0" fontId="100" fillId="0" borderId="0" xfId="0" applyFont="1"/>
    <xf numFmtId="5" fontId="98" fillId="0" borderId="0" xfId="0" applyNumberFormat="1" applyFont="1" applyAlignment="1">
      <alignment horizontal="center"/>
    </xf>
    <xf numFmtId="49" fontId="0" fillId="0" borderId="0" xfId="0" applyNumberFormat="1" applyAlignment="1">
      <alignment horizontal="center" vertical="center"/>
    </xf>
    <xf numFmtId="0" fontId="99" fillId="0" borderId="0" xfId="47" applyFont="1" applyAlignment="1">
      <alignment horizontal="center"/>
    </xf>
    <xf numFmtId="5" fontId="0" fillId="113" borderId="0" xfId="0" applyNumberFormat="1" applyFill="1"/>
    <xf numFmtId="5" fontId="20" fillId="113" borderId="33" xfId="0" applyNumberFormat="1" applyFont="1" applyFill="1" applyBorder="1"/>
    <xf numFmtId="37" fontId="99" fillId="0" borderId="0" xfId="0" applyNumberFormat="1" applyFont="1"/>
    <xf numFmtId="166" fontId="23" fillId="0" borderId="0" xfId="4" applyNumberFormat="1" applyFont="1"/>
    <xf numFmtId="0" fontId="97" fillId="113" borderId="0" xfId="0" applyFont="1" applyFill="1" applyAlignment="1">
      <alignment horizontal="left" vertical="center"/>
    </xf>
    <xf numFmtId="43" fontId="23" fillId="0" borderId="0" xfId="4" applyFont="1"/>
    <xf numFmtId="204" fontId="20" fillId="0" borderId="0" xfId="47" applyNumberFormat="1" applyFont="1"/>
    <xf numFmtId="5" fontId="20" fillId="116" borderId="0" xfId="8" applyNumberFormat="1" applyFont="1" applyFill="1"/>
    <xf numFmtId="5" fontId="0" fillId="116" borderId="0" xfId="8" applyNumberFormat="1" applyFont="1" applyFill="1"/>
    <xf numFmtId="5" fontId="0" fillId="117" borderId="0" xfId="0" applyNumberFormat="1" applyFill="1"/>
    <xf numFmtId="5" fontId="0" fillId="0" borderId="0" xfId="4" applyNumberFormat="1" applyFont="1" applyFill="1" applyAlignment="1"/>
    <xf numFmtId="0" fontId="0" fillId="0" borderId="42" xfId="0" applyBorder="1"/>
    <xf numFmtId="5" fontId="2" fillId="0" borderId="42" xfId="4" applyNumberFormat="1" applyFont="1" applyFill="1" applyBorder="1"/>
    <xf numFmtId="0" fontId="97" fillId="0" borderId="48" xfId="0" applyFont="1" applyBorder="1" applyAlignment="1">
      <alignment horizontal="center" vertical="center" wrapText="1"/>
    </xf>
    <xf numFmtId="0" fontId="97" fillId="0" borderId="48" xfId="0" applyFont="1" applyBorder="1" applyAlignment="1">
      <alignment horizontal="center" vertical="center"/>
    </xf>
    <xf numFmtId="164" fontId="97" fillId="0" borderId="48" xfId="0" applyNumberFormat="1" applyFont="1" applyBorder="1" applyAlignment="1">
      <alignment horizontal="center" vertical="center" wrapText="1"/>
    </xf>
    <xf numFmtId="169" fontId="97" fillId="0" borderId="48" xfId="0" applyNumberFormat="1" applyFont="1" applyBorder="1" applyAlignment="1">
      <alignment horizontal="center" vertical="center" wrapText="1"/>
    </xf>
    <xf numFmtId="0" fontId="20" fillId="0" borderId="42" xfId="0" applyFont="1" applyBorder="1"/>
    <xf numFmtId="0" fontId="97" fillId="0" borderId="42" xfId="0" applyFont="1" applyBorder="1" applyAlignment="1">
      <alignment horizontal="center" vertical="center" wrapText="1"/>
    </xf>
    <xf numFmtId="5" fontId="97" fillId="0" borderId="42" xfId="8" applyNumberFormat="1" applyFont="1" applyBorder="1"/>
    <xf numFmtId="0" fontId="97" fillId="0" borderId="42" xfId="0" applyFont="1" applyBorder="1"/>
    <xf numFmtId="9" fontId="97" fillId="0" borderId="42" xfId="1" applyFont="1" applyBorder="1"/>
    <xf numFmtId="0" fontId="97" fillId="0" borderId="42" xfId="6" applyFont="1" applyBorder="1" applyAlignment="1">
      <alignment horizontal="left"/>
    </xf>
    <xf numFmtId="0" fontId="2" fillId="113" borderId="48" xfId="0" applyFont="1" applyFill="1" applyBorder="1" applyAlignment="1">
      <alignment horizontal="center"/>
    </xf>
    <xf numFmtId="0" fontId="2" fillId="0" borderId="48" xfId="0" applyFont="1" applyBorder="1" applyAlignment="1">
      <alignment horizontal="center" wrapText="1"/>
    </xf>
    <xf numFmtId="37" fontId="5" fillId="0" borderId="41" xfId="0" applyNumberFormat="1" applyFont="1" applyBorder="1" applyAlignment="1" applyProtection="1">
      <alignment horizontal="left"/>
      <protection locked="0"/>
    </xf>
    <xf numFmtId="37" fontId="0" fillId="113" borderId="42" xfId="0" applyNumberFormat="1" applyFill="1" applyBorder="1"/>
    <xf numFmtId="37" fontId="0" fillId="0" borderId="42" xfId="4" applyNumberFormat="1" applyFont="1" applyFill="1" applyBorder="1"/>
    <xf numFmtId="0" fontId="2" fillId="0" borderId="48" xfId="0" applyFont="1" applyBorder="1" applyAlignment="1">
      <alignment horizontal="right"/>
    </xf>
    <xf numFmtId="37" fontId="0" fillId="0" borderId="48" xfId="0" applyNumberFormat="1" applyBorder="1" applyAlignment="1">
      <alignment horizontal="center"/>
    </xf>
    <xf numFmtId="0" fontId="97" fillId="0" borderId="48" xfId="16306" applyFont="1" applyBorder="1" applyAlignment="1">
      <alignment horizontal="center" wrapText="1"/>
    </xf>
    <xf numFmtId="0" fontId="97" fillId="0" borderId="48" xfId="16306" applyFont="1" applyBorder="1" applyAlignment="1">
      <alignment horizontal="right"/>
    </xf>
    <xf numFmtId="37" fontId="20" fillId="0" borderId="48" xfId="16306" applyNumberFormat="1" applyFont="1" applyBorder="1" applyAlignment="1">
      <alignment horizontal="center"/>
    </xf>
    <xf numFmtId="0" fontId="2" fillId="0" borderId="48" xfId="0" applyFont="1" applyBorder="1" applyAlignment="1">
      <alignment horizontal="center"/>
    </xf>
    <xf numFmtId="7" fontId="0" fillId="0" borderId="48" xfId="0" applyNumberFormat="1" applyBorder="1" applyAlignment="1">
      <alignment horizontal="center"/>
    </xf>
    <xf numFmtId="0" fontId="97" fillId="0" borderId="48" xfId="16306" applyFont="1" applyBorder="1" applyAlignment="1">
      <alignment horizontal="center"/>
    </xf>
    <xf numFmtId="5" fontId="0" fillId="0" borderId="42" xfId="8" applyNumberFormat="1" applyFont="1" applyBorder="1"/>
    <xf numFmtId="5" fontId="20" fillId="0" borderId="42" xfId="0" applyNumberFormat="1" applyFont="1" applyBorder="1" applyAlignment="1">
      <alignment horizontal="right"/>
    </xf>
    <xf numFmtId="5" fontId="97" fillId="0" borderId="42" xfId="9" applyNumberFormat="1" applyFont="1" applyBorder="1" applyAlignment="1">
      <alignment horizontal="right"/>
    </xf>
    <xf numFmtId="5" fontId="20" fillId="0" borderId="42" xfId="0" applyNumberFormat="1" applyFont="1" applyBorder="1"/>
    <xf numFmtId="5" fontId="20" fillId="0" borderId="42" xfId="9" applyNumberFormat="1" applyFont="1" applyBorder="1"/>
    <xf numFmtId="164" fontId="20" fillId="0" borderId="42" xfId="9" applyNumberFormat="1" applyFont="1" applyBorder="1"/>
    <xf numFmtId="164" fontId="20" fillId="0" borderId="42" xfId="9" applyNumberFormat="1" applyFont="1" applyFill="1" applyBorder="1"/>
    <xf numFmtId="5" fontId="20" fillId="0" borderId="42" xfId="9" applyNumberFormat="1" applyFont="1" applyFill="1" applyBorder="1"/>
    <xf numFmtId="0" fontId="97" fillId="0" borderId="48" xfId="0" applyFont="1" applyBorder="1" applyAlignment="1">
      <alignment horizontal="center" wrapText="1"/>
    </xf>
    <xf numFmtId="10" fontId="2" fillId="0" borderId="42" xfId="0" applyNumberFormat="1" applyFont="1" applyBorder="1"/>
    <xf numFmtId="5" fontId="99" fillId="0" borderId="0" xfId="4" applyNumberFormat="1" applyFont="1" applyFill="1"/>
    <xf numFmtId="0" fontId="99" fillId="113" borderId="0" xfId="0" applyFont="1" applyFill="1" applyAlignment="1">
      <alignment horizontal="left" vertical="center"/>
    </xf>
    <xf numFmtId="0" fontId="99" fillId="113" borderId="0" xfId="0" applyFont="1" applyFill="1"/>
    <xf numFmtId="0" fontId="23" fillId="113" borderId="0" xfId="0" applyFont="1" applyFill="1"/>
    <xf numFmtId="5" fontId="23" fillId="113" borderId="0" xfId="4" applyNumberFormat="1" applyFont="1" applyFill="1"/>
    <xf numFmtId="0" fontId="108" fillId="113" borderId="0" xfId="0" applyFont="1" applyFill="1" applyAlignment="1">
      <alignment horizontal="center"/>
    </xf>
    <xf numFmtId="5" fontId="23" fillId="113" borderId="0" xfId="0" applyNumberFormat="1" applyFont="1" applyFill="1" applyAlignment="1">
      <alignment horizontal="center"/>
    </xf>
    <xf numFmtId="0" fontId="23" fillId="113" borderId="0" xfId="0" applyFont="1" applyFill="1" applyAlignment="1">
      <alignment horizontal="center"/>
    </xf>
    <xf numFmtId="5" fontId="23" fillId="113" borderId="0" xfId="0" applyNumberFormat="1" applyFont="1" applyFill="1" applyAlignment="1">
      <alignment horizontal="left"/>
    </xf>
    <xf numFmtId="10" fontId="23" fillId="113" borderId="32" xfId="1" applyNumberFormat="1" applyFont="1" applyFill="1" applyBorder="1"/>
    <xf numFmtId="10" fontId="23" fillId="113" borderId="32" xfId="0" applyNumberFormat="1" applyFont="1" applyFill="1" applyBorder="1"/>
    <xf numFmtId="0" fontId="23" fillId="113" borderId="0" xfId="0" applyFont="1" applyFill="1" applyAlignment="1">
      <alignment horizontal="left"/>
    </xf>
    <xf numFmtId="7" fontId="23" fillId="113" borderId="0" xfId="0" applyNumberFormat="1" applyFont="1" applyFill="1"/>
    <xf numFmtId="0" fontId="4" fillId="0" borderId="0" xfId="0" applyFont="1" applyAlignment="1">
      <alignment horizontal="left" wrapText="1"/>
    </xf>
    <xf numFmtId="5" fontId="23" fillId="111" borderId="0" xfId="8" applyNumberFormat="1" applyFont="1" applyFill="1"/>
    <xf numFmtId="5" fontId="23" fillId="113" borderId="33" xfId="0" applyNumberFormat="1" applyFont="1" applyFill="1" applyBorder="1"/>
    <xf numFmtId="5" fontId="23" fillId="111" borderId="0" xfId="6" applyNumberFormat="1" applyFont="1" applyFill="1"/>
    <xf numFmtId="5" fontId="23" fillId="113" borderId="0" xfId="0" applyNumberFormat="1" applyFont="1" applyFill="1"/>
    <xf numFmtId="37" fontId="23" fillId="113" borderId="0" xfId="31683" applyNumberFormat="1" applyFont="1" applyFill="1"/>
    <xf numFmtId="5" fontId="23" fillId="111" borderId="0" xfId="0" applyNumberFormat="1" applyFont="1" applyFill="1"/>
    <xf numFmtId="7" fontId="0" fillId="0" borderId="0" xfId="0" applyNumberFormat="1" applyAlignment="1">
      <alignment horizontal="left"/>
    </xf>
    <xf numFmtId="10" fontId="23" fillId="0" borderId="0" xfId="1" applyNumberFormat="1" applyFont="1" applyFill="1" applyAlignment="1">
      <alignment horizontal="right" indent="1"/>
    </xf>
    <xf numFmtId="10" fontId="23" fillId="0" borderId="0" xfId="4" applyNumberFormat="1" applyFont="1" applyFill="1" applyAlignment="1">
      <alignment horizontal="right"/>
    </xf>
    <xf numFmtId="10" fontId="23" fillId="0" borderId="0" xfId="1" applyNumberFormat="1" applyFont="1" applyFill="1" applyAlignment="1">
      <alignment horizontal="right"/>
    </xf>
    <xf numFmtId="37" fontId="23" fillId="0" borderId="37" xfId="0" applyNumberFormat="1" applyFont="1" applyBorder="1"/>
    <xf numFmtId="37" fontId="23" fillId="0" borderId="38" xfId="0" applyNumberFormat="1" applyFont="1" applyBorder="1"/>
    <xf numFmtId="37" fontId="23" fillId="0" borderId="39" xfId="0" applyNumberFormat="1" applyFont="1" applyBorder="1"/>
    <xf numFmtId="37" fontId="23" fillId="0" borderId="36" xfId="0" applyNumberFormat="1" applyFont="1" applyBorder="1"/>
    <xf numFmtId="37" fontId="23" fillId="0" borderId="34" xfId="0" applyNumberFormat="1" applyFont="1" applyBorder="1"/>
    <xf numFmtId="37" fontId="23" fillId="0" borderId="38" xfId="4" applyNumberFormat="1" applyFont="1" applyBorder="1"/>
    <xf numFmtId="37" fontId="23" fillId="0" borderId="39" xfId="4" applyNumberFormat="1" applyFont="1" applyBorder="1"/>
    <xf numFmtId="37" fontId="23" fillId="0" borderId="0" xfId="4" applyNumberFormat="1" applyFont="1" applyFill="1" applyBorder="1"/>
    <xf numFmtId="37" fontId="23" fillId="0" borderId="32" xfId="4" applyNumberFormat="1" applyFont="1" applyFill="1" applyBorder="1"/>
    <xf numFmtId="37" fontId="23" fillId="0" borderId="38" xfId="4" applyNumberFormat="1" applyFont="1" applyFill="1" applyBorder="1"/>
    <xf numFmtId="37" fontId="23" fillId="0" borderId="39" xfId="4" applyNumberFormat="1" applyFont="1" applyFill="1" applyBorder="1"/>
    <xf numFmtId="37" fontId="0" fillId="116" borderId="38" xfId="0" applyNumberFormat="1" applyFill="1" applyBorder="1" applyAlignment="1">
      <alignment horizontal="center"/>
    </xf>
    <xf numFmtId="37" fontId="0" fillId="116" borderId="39" xfId="0" applyNumberFormat="1" applyFill="1" applyBorder="1" applyAlignment="1">
      <alignment horizontal="center"/>
    </xf>
    <xf numFmtId="37" fontId="0" fillId="116" borderId="48" xfId="0" applyNumberFormat="1" applyFill="1" applyBorder="1" applyAlignment="1">
      <alignment horizontal="center"/>
    </xf>
    <xf numFmtId="37" fontId="20" fillId="116" borderId="38" xfId="16306" applyNumberFormat="1" applyFont="1" applyFill="1" applyBorder="1" applyAlignment="1">
      <alignment horizontal="center"/>
    </xf>
    <xf numFmtId="37" fontId="20" fillId="116" borderId="39" xfId="16306" applyNumberFormat="1" applyFont="1" applyFill="1" applyBorder="1" applyAlignment="1">
      <alignment horizontal="center"/>
    </xf>
    <xf numFmtId="37" fontId="20" fillId="116" borderId="48" xfId="16306" applyNumberFormat="1" applyFont="1" applyFill="1" applyBorder="1" applyAlignment="1">
      <alignment horizontal="center"/>
    </xf>
    <xf numFmtId="10" fontId="20" fillId="116" borderId="0" xfId="47" applyNumberFormat="1" applyFont="1" applyFill="1"/>
    <xf numFmtId="0" fontId="94" fillId="0" borderId="0" xfId="0" applyFont="1" applyAlignment="1">
      <alignment horizontal="center"/>
    </xf>
    <xf numFmtId="0" fontId="95" fillId="0" borderId="0" xfId="0" applyFont="1" applyAlignment="1">
      <alignment horizontal="center"/>
    </xf>
    <xf numFmtId="0" fontId="2" fillId="0" borderId="0" xfId="0" applyFont="1" applyAlignment="1">
      <alignment horizontal="center"/>
    </xf>
    <xf numFmtId="0" fontId="0" fillId="0" borderId="43" xfId="0" applyBorder="1" applyAlignment="1">
      <alignment horizontal="left" wrapText="1"/>
    </xf>
    <xf numFmtId="0" fontId="0" fillId="0" borderId="34" xfId="0" applyBorder="1" applyAlignment="1">
      <alignment horizontal="left" wrapText="1"/>
    </xf>
    <xf numFmtId="0" fontId="0" fillId="0" borderId="0" xfId="0" applyAlignment="1">
      <alignment horizontal="left" wrapText="1"/>
    </xf>
    <xf numFmtId="37" fontId="44" fillId="0" borderId="0" xfId="0" applyNumberFormat="1" applyFont="1" applyAlignment="1" applyProtection="1">
      <alignment horizontal="left" wrapText="1"/>
      <protection locked="0"/>
    </xf>
    <xf numFmtId="0" fontId="2" fillId="0" borderId="0" xfId="0" applyFont="1" applyAlignment="1">
      <alignment horizontal="left" wrapText="1"/>
    </xf>
    <xf numFmtId="0" fontId="2" fillId="0" borderId="32" xfId="0" applyFont="1" applyBorder="1" applyAlignment="1">
      <alignment horizontal="center"/>
    </xf>
    <xf numFmtId="0" fontId="20" fillId="0" borderId="0" xfId="0" applyFont="1" applyAlignment="1">
      <alignment horizontal="left" wrapText="1"/>
    </xf>
    <xf numFmtId="37" fontId="6" fillId="0" borderId="0" xfId="0" applyNumberFormat="1" applyFont="1" applyAlignment="1" applyProtection="1">
      <alignment horizontal="left"/>
      <protection locked="0"/>
    </xf>
    <xf numFmtId="17" fontId="20" fillId="0" borderId="0" xfId="6" quotePrefix="1" applyNumberFormat="1" applyFont="1" applyAlignment="1">
      <alignment horizontal="left" wrapText="1"/>
    </xf>
    <xf numFmtId="0" fontId="97" fillId="0" borderId="0" xfId="0" applyFont="1" applyAlignment="1">
      <alignment horizontal="left" wrapText="1"/>
    </xf>
    <xf numFmtId="37" fontId="109" fillId="0" borderId="0" xfId="0" applyNumberFormat="1" applyFont="1" applyAlignment="1" applyProtection="1">
      <alignment horizontal="left" wrapText="1"/>
      <protection locked="0"/>
    </xf>
    <xf numFmtId="0" fontId="2" fillId="113" borderId="46" xfId="0" applyFont="1" applyFill="1" applyBorder="1" applyAlignment="1">
      <alignment horizontal="center" wrapText="1"/>
    </xf>
    <xf numFmtId="0" fontId="2" fillId="113" borderId="45" xfId="0" applyFont="1" applyFill="1" applyBorder="1" applyAlignment="1">
      <alignment horizontal="center" wrapText="1"/>
    </xf>
    <xf numFmtId="37" fontId="5" fillId="0" borderId="0" xfId="0" applyNumberFormat="1" applyFont="1" applyAlignment="1" applyProtection="1">
      <alignment horizontal="left" wrapText="1"/>
      <protection locked="0"/>
    </xf>
    <xf numFmtId="0" fontId="20" fillId="0" borderId="0" xfId="0" applyFont="1" applyAlignment="1">
      <alignment horizontal="left"/>
    </xf>
    <xf numFmtId="0" fontId="0" fillId="0" borderId="0" xfId="0" applyAlignment="1">
      <alignment horizontal="left" vertical="center" wrapText="1"/>
    </xf>
    <xf numFmtId="0" fontId="2" fillId="0" borderId="0" xfId="0" applyFont="1" applyAlignment="1">
      <alignment horizontal="center" vertical="center" wrapText="1"/>
    </xf>
    <xf numFmtId="0" fontId="2" fillId="0" borderId="32" xfId="0" applyFont="1" applyBorder="1" applyAlignment="1">
      <alignment horizontal="center" vertical="center" wrapText="1"/>
    </xf>
    <xf numFmtId="198" fontId="103" fillId="0" borderId="0" xfId="10" applyNumberFormat="1" applyFont="1" applyFill="1" applyAlignment="1">
      <alignment horizontal="left" wrapText="1"/>
    </xf>
    <xf numFmtId="0" fontId="97" fillId="0" borderId="0" xfId="24673" applyFont="1" applyAlignment="1">
      <alignment horizontal="center"/>
    </xf>
    <xf numFmtId="0" fontId="97" fillId="0" borderId="32" xfId="24673" applyFont="1" applyBorder="1" applyAlignment="1">
      <alignment horizontal="center"/>
    </xf>
    <xf numFmtId="0" fontId="20" fillId="0" borderId="0" xfId="0" applyFont="1" applyAlignment="1">
      <alignment wrapText="1"/>
    </xf>
    <xf numFmtId="0" fontId="20" fillId="0" borderId="0" xfId="0" applyFont="1" applyAlignment="1">
      <alignment horizontal="left" vertical="center" wrapText="1"/>
    </xf>
    <xf numFmtId="0" fontId="100" fillId="0" borderId="0" xfId="0" applyFont="1" applyAlignment="1">
      <alignment wrapText="1"/>
    </xf>
    <xf numFmtId="0" fontId="0" fillId="0" borderId="0" xfId="0" applyAlignment="1">
      <alignment wrapText="1"/>
    </xf>
    <xf numFmtId="0" fontId="0" fillId="0" borderId="0" xfId="0" applyAlignment="1">
      <alignment horizontal="left"/>
    </xf>
    <xf numFmtId="0" fontId="5" fillId="0" borderId="0" xfId="31688" applyFont="1" applyAlignment="1">
      <alignment horizontal="left" wrapText="1"/>
    </xf>
    <xf numFmtId="37" fontId="97" fillId="0" borderId="44" xfId="31683" applyNumberFormat="1" applyFont="1" applyBorder="1" applyAlignment="1">
      <alignment horizontal="center"/>
    </xf>
    <xf numFmtId="0" fontId="5" fillId="0" borderId="32" xfId="24911" applyFont="1" applyBorder="1" applyAlignment="1">
      <alignment horizontal="center"/>
    </xf>
    <xf numFmtId="0" fontId="110" fillId="0" borderId="44" xfId="0" applyFont="1" applyBorder="1" applyAlignment="1">
      <alignment horizontal="center" vertical="center" wrapText="1"/>
    </xf>
    <xf numFmtId="0" fontId="2" fillId="0" borderId="46"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48" xfId="0" applyFont="1" applyBorder="1" applyAlignment="1">
      <alignment horizontal="center"/>
    </xf>
    <xf numFmtId="0" fontId="2" fillId="0" borderId="47" xfId="0" applyFont="1" applyBorder="1" applyAlignment="1">
      <alignment horizontal="center"/>
    </xf>
    <xf numFmtId="0" fontId="2" fillId="0" borderId="40" xfId="0" applyFont="1" applyBorder="1" applyAlignment="1">
      <alignment horizontal="right"/>
    </xf>
    <xf numFmtId="0" fontId="2" fillId="0" borderId="37" xfId="0" applyFont="1" applyBorder="1" applyAlignment="1">
      <alignment horizontal="center" wrapText="1"/>
    </xf>
    <xf numFmtId="0" fontId="2" fillId="0" borderId="39" xfId="0" applyFont="1" applyBorder="1" applyAlignment="1">
      <alignment horizontal="center" wrapText="1"/>
    </xf>
    <xf numFmtId="0" fontId="2" fillId="0" borderId="46" xfId="0" applyFont="1" applyBorder="1" applyAlignment="1">
      <alignment horizontal="center" wrapText="1"/>
    </xf>
    <xf numFmtId="0" fontId="2" fillId="0" borderId="44" xfId="0" applyFont="1" applyBorder="1" applyAlignment="1">
      <alignment horizontal="center" wrapText="1"/>
    </xf>
    <xf numFmtId="0" fontId="2" fillId="0" borderId="45" xfId="0" applyFont="1" applyBorder="1" applyAlignment="1">
      <alignment horizontal="center" wrapText="1"/>
    </xf>
    <xf numFmtId="0" fontId="0" fillId="0" borderId="0" xfId="0" applyAlignment="1">
      <alignment horizontal="left" vertical="top" wrapText="1"/>
    </xf>
    <xf numFmtId="0" fontId="2" fillId="0" borderId="0" xfId="0" applyFont="1" applyAlignment="1">
      <alignment horizontal="center" vertical="top"/>
    </xf>
    <xf numFmtId="0" fontId="0" fillId="113" borderId="0" xfId="0" applyFill="1" applyAlignment="1">
      <alignment horizontal="left" vertical="top" wrapText="1"/>
    </xf>
  </cellXfs>
  <cellStyles count="36495">
    <cellStyle name="_x000a__x000a_JournalTemplate=C:\COMFO\CTALK\JOURSTD.TPL_x000a__x000a_LbStateAddress=3 3 0 251 1 89 2 311_x000a__x000a_LbStateJou" xfId="79" xr:uid="{00000000-0005-0000-0000-00004F000000}"/>
    <cellStyle name="_x000a__x000a_JournalTemplate=C:\COMFO\CTALK\JOURSTD.TPL_x000a__x000a_LbStateAddress=3 3 0 251 1 89 2 311_x000a__x000a_LbStateJou 2" xfId="80" xr:uid="{00000000-0005-0000-0000-000050000000}"/>
    <cellStyle name="_x000a__x000a_JournalTemplate=C:\COMFO\CTALK\JOURSTD.TPL_x000a__x000a_LbStateAddress=3 3 0 251 1 89 2 311_x000a__x000a_LbStateJou 2 2" xfId="81" xr:uid="{00000000-0005-0000-0000-000051000000}"/>
    <cellStyle name="_x000a__x000a_JournalTemplate=C:\COMFO\CTALK\JOURSTD.TPL_x000a__x000a_LbStateAddress=3 3 0 251 1 89 2 311_x000a__x000a_LbStateJou 3" xfId="82" xr:uid="{00000000-0005-0000-0000-000052000000}"/>
    <cellStyle name="_x000a__x000a_JournalTemplate=C:\COMFO\CTALK\JOURSTD.TPL_x000a__x000a_LbStateAddress=3 3 0 251 1 89 2 311_x000a__x000a_LbStateJou 3 2" xfId="83" xr:uid="{00000000-0005-0000-0000-000053000000}"/>
    <cellStyle name="_x000a__x000a_JournalTemplate=C:\COMFO\CTALK\JOURSTD.TPL_x000a__x000a_LbStateAddress=3 3 0 251 1 89 2 311_x000a__x000a_LbStateJou 3 2 2" xfId="84" xr:uid="{00000000-0005-0000-0000-000054000000}"/>
    <cellStyle name="_x000a__x000a_JournalTemplate=C:\COMFO\CTALK\JOURSTD.TPL_x000a__x000a_LbStateAddress=3 3 0 251 1 89 2 311_x000a__x000a_LbStateJou 3 3" xfId="85" xr:uid="{00000000-0005-0000-0000-000055000000}"/>
    <cellStyle name="_x000a__x000a_JournalTemplate=C:\COMFO\CTALK\JOURSTD.TPL_x000a__x000a_LbStateAddress=3 3 0 251 1 89 2 311_x000a__x000a_LbStateJou 4" xfId="86" xr:uid="{00000000-0005-0000-0000-000056000000}"/>
    <cellStyle name="_x000d__x000a_JournalTemplate=C:\COMFO\CTALK\JOURSTD.TPL_x000d__x000a_LbStateAddress=3 3 0 251 1 89 2 311_x000d__x000a_LbStateJou" xfId="87" xr:uid="{00000000-0005-0000-0000-000057000000}"/>
    <cellStyle name="_x000d__x000a_JournalTemplate=C:\COMFO\CTALK\JOURSTD.TPL_x000d__x000a_LbStateAddress=3 3 0 251 1 89 2 311_x000d__x000a_LbStateJou 2" xfId="88" xr:uid="{00000000-0005-0000-0000-000058000000}"/>
    <cellStyle name="_x000d__x000a_JournalTemplate=C:\COMFO\CTALK\JOURSTD.TPL_x000d__x000a_LbStateAddress=3 3 0 251 1 89 2 311_x000d__x000a_LbStateJou 2 2" xfId="89" xr:uid="{00000000-0005-0000-0000-000059000000}"/>
    <cellStyle name="_x000d__x000a_JournalTemplate=C:\COMFO\CTALK\JOURSTD.TPL_x000d__x000a_LbStateAddress=3 3 0 251 1 89 2 311_x000d__x000a_LbStateJou 3" xfId="90" xr:uid="{00000000-0005-0000-0000-00005A000000}"/>
    <cellStyle name="_x000d__x000a_JournalTemplate=C:\COMFO\CTALK\JOURSTD.TPL_x000d__x000a_LbStateAddress=3 3 0 251 1 89 2 311_x000d__x000a_LbStateJou 3 2" xfId="91" xr:uid="{00000000-0005-0000-0000-00005B000000}"/>
    <cellStyle name="_x000d__x000a_JournalTemplate=C:\COMFO\CTALK\JOURSTD.TPL_x000d__x000a_LbStateAddress=3 3 0 251 1 89 2 311_x000d__x000a_LbStateJou 3 2 2" xfId="92" xr:uid="{00000000-0005-0000-0000-00005C000000}"/>
    <cellStyle name="_x000d__x000a_JournalTemplate=C:\COMFO\CTALK\JOURSTD.TPL_x000d__x000a_LbStateAddress=3 3 0 251 1 89 2 311_x000d__x000a_LbStateJou 3 3" xfId="93" xr:uid="{00000000-0005-0000-0000-00005D000000}"/>
    <cellStyle name="_x000d__x000a_JournalTemplate=C:\COMFO\CTALK\JOURSTD.TPL_x000d__x000a_LbStateAddress=3 3 0 251 1 89 2 311_x000d__x000a_LbStateJou 4" xfId="94" xr:uid="{00000000-0005-0000-0000-00005E000000}"/>
    <cellStyle name="*MB Hardwired" xfId="95" xr:uid="{00000000-0005-0000-0000-00005F000000}"/>
    <cellStyle name="*MB Hardwired 2" xfId="96" xr:uid="{00000000-0005-0000-0000-000060000000}"/>
    <cellStyle name="*MB Input Table Calc" xfId="97" xr:uid="{00000000-0005-0000-0000-000061000000}"/>
    <cellStyle name="*MB Input Table Calc 2" xfId="98" xr:uid="{00000000-0005-0000-0000-000062000000}"/>
    <cellStyle name="*MB Normal" xfId="99" xr:uid="{00000000-0005-0000-0000-000063000000}"/>
    <cellStyle name="*MB Normal 2" xfId="100" xr:uid="{00000000-0005-0000-0000-000064000000}"/>
    <cellStyle name="*MB Normal 2 2" xfId="101" xr:uid="{00000000-0005-0000-0000-000065000000}"/>
    <cellStyle name="*MB Normal 3" xfId="102" xr:uid="{00000000-0005-0000-0000-000066000000}"/>
    <cellStyle name="*MB Placeholder" xfId="103" xr:uid="{00000000-0005-0000-0000-000067000000}"/>
    <cellStyle name="*MB Placeholder 2" xfId="104" xr:uid="{00000000-0005-0000-0000-000068000000}"/>
    <cellStyle name=":¨áy¡’?(" xfId="105" xr:uid="{00000000-0005-0000-0000-000069000000}"/>
    <cellStyle name=":¨áy¡’?( 2" xfId="106" xr:uid="{00000000-0005-0000-0000-00006A000000}"/>
    <cellStyle name=":¨áy¡’?( 3" xfId="107" xr:uid="{00000000-0005-0000-0000-00006B000000}"/>
    <cellStyle name=":¨áy¡’?( 3 2" xfId="108" xr:uid="{00000000-0005-0000-0000-00006C000000}"/>
    <cellStyle name=":¨áy¡’?( 4" xfId="109" xr:uid="{00000000-0005-0000-0000-00006D000000}"/>
    <cellStyle name=":¨áy¡’?( 5" xfId="110" xr:uid="{00000000-0005-0000-0000-00006E000000}"/>
    <cellStyle name="?? [0]_??" xfId="111" xr:uid="{00000000-0005-0000-0000-00006F000000}"/>
    <cellStyle name="???" xfId="112" xr:uid="{00000000-0005-0000-0000-000070000000}"/>
    <cellStyle name="??? 2" xfId="113" xr:uid="{00000000-0005-0000-0000-000071000000}"/>
    <cellStyle name="??_?.????" xfId="114" xr:uid="{00000000-0005-0000-0000-000072000000}"/>
    <cellStyle name="_Base Case (Rev 3)" xfId="115" xr:uid="{00000000-0005-0000-0000-000073000000}"/>
    <cellStyle name="_Base Case (Rev 3) 2" xfId="116" xr:uid="{00000000-0005-0000-0000-000074000000}"/>
    <cellStyle name="_Base Case (Rev 3) 2 2" xfId="117" xr:uid="{00000000-0005-0000-0000-000075000000}"/>
    <cellStyle name="_Base Case (Rev 3) 2 2 2" xfId="118" xr:uid="{00000000-0005-0000-0000-000076000000}"/>
    <cellStyle name="_Base Case (Rev 3) 2 3" xfId="119" xr:uid="{00000000-0005-0000-0000-000077000000}"/>
    <cellStyle name="_Base Case (Rev 3) 3" xfId="120" xr:uid="{00000000-0005-0000-0000-000078000000}"/>
    <cellStyle name="_Base Case (Rev 3) 3 2" xfId="121" xr:uid="{00000000-0005-0000-0000-000079000000}"/>
    <cellStyle name="_Base Case (Rev 3) 4" xfId="122" xr:uid="{00000000-0005-0000-0000-00007A000000}"/>
    <cellStyle name="20% - Accent1 2" xfId="123" xr:uid="{00000000-0005-0000-0000-00007B000000}"/>
    <cellStyle name="20% - Accent1 2 10" xfId="124" xr:uid="{00000000-0005-0000-0000-00007C000000}"/>
    <cellStyle name="20% - Accent1 2 10 2" xfId="125" xr:uid="{00000000-0005-0000-0000-00007D000000}"/>
    <cellStyle name="20% - Accent1 2 10 2 2" xfId="31694" xr:uid="{168C472B-56DC-4806-9278-241DBD8020E2}"/>
    <cellStyle name="20% - Accent1 2 10 3" xfId="31693" xr:uid="{2E01AF1B-4EBD-4360-A428-96C0CDDA3591}"/>
    <cellStyle name="20% - Accent1 2 11" xfId="126" xr:uid="{00000000-0005-0000-0000-00007E000000}"/>
    <cellStyle name="20% - Accent1 2 11 2" xfId="31695" xr:uid="{A1612255-6C07-4F2D-A63F-E4ADC2E2AB01}"/>
    <cellStyle name="20% - Accent1 2 12" xfId="31692" xr:uid="{5526179C-2CA8-4AB7-80DB-048A9300C460}"/>
    <cellStyle name="20% - Accent1 2 2" xfId="127" xr:uid="{00000000-0005-0000-0000-00007F000000}"/>
    <cellStyle name="20% - Accent1 2 2 2" xfId="128" xr:uid="{00000000-0005-0000-0000-000080000000}"/>
    <cellStyle name="20% - Accent1 2 2 2 2" xfId="129" xr:uid="{00000000-0005-0000-0000-000081000000}"/>
    <cellStyle name="20% - Accent1 2 2 2 2 2" xfId="130" xr:uid="{00000000-0005-0000-0000-000082000000}"/>
    <cellStyle name="20% - Accent1 2 2 2 3" xfId="131" xr:uid="{00000000-0005-0000-0000-000083000000}"/>
    <cellStyle name="20% - Accent1 2 2 2 3 2" xfId="132" xr:uid="{00000000-0005-0000-0000-000084000000}"/>
    <cellStyle name="20% - Accent1 2 2 2 3 2 2" xfId="133" xr:uid="{00000000-0005-0000-0000-000085000000}"/>
    <cellStyle name="20% - Accent1 2 2 2 3 3" xfId="134" xr:uid="{00000000-0005-0000-0000-000086000000}"/>
    <cellStyle name="20% - Accent1 2 2 2 4" xfId="135" xr:uid="{00000000-0005-0000-0000-000087000000}"/>
    <cellStyle name="20% - Accent1 2 2 3" xfId="136" xr:uid="{00000000-0005-0000-0000-000088000000}"/>
    <cellStyle name="20% - Accent1 2 2 3 2" xfId="137" xr:uid="{00000000-0005-0000-0000-000089000000}"/>
    <cellStyle name="20% - Accent1 2 2 3 2 2" xfId="138" xr:uid="{00000000-0005-0000-0000-00008A000000}"/>
    <cellStyle name="20% - Accent1 2 2 3 2 2 2" xfId="31699" xr:uid="{050D05E5-0537-4553-81DE-AF5D0F3CDC87}"/>
    <cellStyle name="20% - Accent1 2 2 3 2 3" xfId="31698" xr:uid="{1DD14545-E974-4820-982F-9F44FBF1299D}"/>
    <cellStyle name="20% - Accent1 2 2 3 3" xfId="139" xr:uid="{00000000-0005-0000-0000-00008B000000}"/>
    <cellStyle name="20% - Accent1 2 2 3 3 2" xfId="31700" xr:uid="{785ADB4C-E2FC-44A1-8A2C-FB016EC9B30E}"/>
    <cellStyle name="20% - Accent1 2 2 3 4" xfId="31697" xr:uid="{84BD7B49-A347-4429-B3E2-96C9DD799B7E}"/>
    <cellStyle name="20% - Accent1 2 2 4" xfId="140" xr:uid="{00000000-0005-0000-0000-00008C000000}"/>
    <cellStyle name="20% - Accent1 2 2 4 2" xfId="141" xr:uid="{00000000-0005-0000-0000-00008D000000}"/>
    <cellStyle name="20% - Accent1 2 2 4 2 2" xfId="142" xr:uid="{00000000-0005-0000-0000-00008E000000}"/>
    <cellStyle name="20% - Accent1 2 2 4 2 2 2" xfId="143" xr:uid="{00000000-0005-0000-0000-00008F000000}"/>
    <cellStyle name="20% - Accent1 2 2 4 2 2 2 2" xfId="31704" xr:uid="{41EB01DD-9CBC-4D96-9284-7EC2C890F601}"/>
    <cellStyle name="20% - Accent1 2 2 4 2 2 3" xfId="31703" xr:uid="{C6E01811-3E28-4343-B6FA-8A0002A54554}"/>
    <cellStyle name="20% - Accent1 2 2 4 2 3" xfId="144" xr:uid="{00000000-0005-0000-0000-000090000000}"/>
    <cellStyle name="20% - Accent1 2 2 4 2 3 2" xfId="31705" xr:uid="{317DC1CD-5268-43B7-8988-2930BF53EF31}"/>
    <cellStyle name="20% - Accent1 2 2 4 2 4" xfId="31702" xr:uid="{C4750A50-2B49-4EB3-A5F2-2DE9E789A78B}"/>
    <cellStyle name="20% - Accent1 2 2 4 3" xfId="145" xr:uid="{00000000-0005-0000-0000-000091000000}"/>
    <cellStyle name="20% - Accent1 2 2 4 3 2" xfId="146" xr:uid="{00000000-0005-0000-0000-000092000000}"/>
    <cellStyle name="20% - Accent1 2 2 4 3 2 2" xfId="31707" xr:uid="{0EA51E51-900F-4EF1-8DA5-051258EA5612}"/>
    <cellStyle name="20% - Accent1 2 2 4 3 3" xfId="31706" xr:uid="{6724FC7C-984E-4B5C-AF7E-9BFA4A33D960}"/>
    <cellStyle name="20% - Accent1 2 2 4 4" xfId="147" xr:uid="{00000000-0005-0000-0000-000093000000}"/>
    <cellStyle name="20% - Accent1 2 2 4 4 2" xfId="31708" xr:uid="{79991AB3-A499-4780-93D2-84393173A98B}"/>
    <cellStyle name="20% - Accent1 2 2 4 5" xfId="31701" xr:uid="{B7FF669A-998A-40AB-B318-1AC164B91A12}"/>
    <cellStyle name="20% - Accent1 2 2 5" xfId="148" xr:uid="{00000000-0005-0000-0000-000094000000}"/>
    <cellStyle name="20% - Accent1 2 2 5 2" xfId="149" xr:uid="{00000000-0005-0000-0000-000095000000}"/>
    <cellStyle name="20% - Accent1 2 2 5 2 2" xfId="31710" xr:uid="{48BEAC80-BF21-47E6-BB75-1CBC7BC9ACB7}"/>
    <cellStyle name="20% - Accent1 2 2 5 3" xfId="31709" xr:uid="{38A3155D-3044-4CE9-A20C-AB649898DC95}"/>
    <cellStyle name="20% - Accent1 2 2 6" xfId="150" xr:uid="{00000000-0005-0000-0000-000096000000}"/>
    <cellStyle name="20% - Accent1 2 2 6 2" xfId="31711" xr:uid="{EE498CC3-0DA0-4FE7-840E-58F2890BEF70}"/>
    <cellStyle name="20% - Accent1 2 2 7" xfId="31696" xr:uid="{04C3B042-D06D-40D2-BA89-7B51EA2B0962}"/>
    <cellStyle name="20% - Accent1 2 3" xfId="151" xr:uid="{00000000-0005-0000-0000-000097000000}"/>
    <cellStyle name="20% - Accent1 2 3 2" xfId="152" xr:uid="{00000000-0005-0000-0000-000098000000}"/>
    <cellStyle name="20% - Accent1 2 3 2 2" xfId="153" xr:uid="{00000000-0005-0000-0000-000099000000}"/>
    <cellStyle name="20% - Accent1 2 3 2 2 2" xfId="154" xr:uid="{00000000-0005-0000-0000-00009A000000}"/>
    <cellStyle name="20% - Accent1 2 3 2 2 2 2" xfId="31715" xr:uid="{578522BB-20CA-4489-8198-8CEBD10637E6}"/>
    <cellStyle name="20% - Accent1 2 3 2 2 3" xfId="31714" xr:uid="{65D901C6-C532-43C0-9195-ED3375285293}"/>
    <cellStyle name="20% - Accent1 2 3 2 3" xfId="155" xr:uid="{00000000-0005-0000-0000-00009B000000}"/>
    <cellStyle name="20% - Accent1 2 3 2 3 2" xfId="31716" xr:uid="{53394179-1E2C-479F-A1C7-88D02A379C1C}"/>
    <cellStyle name="20% - Accent1 2 3 2 4" xfId="31713" xr:uid="{F60338AC-E558-4C71-83F4-84A487230939}"/>
    <cellStyle name="20% - Accent1 2 3 3" xfId="156" xr:uid="{00000000-0005-0000-0000-00009C000000}"/>
    <cellStyle name="20% - Accent1 2 3 3 2" xfId="157" xr:uid="{00000000-0005-0000-0000-00009D000000}"/>
    <cellStyle name="20% - Accent1 2 3 3 2 2" xfId="158" xr:uid="{00000000-0005-0000-0000-00009E000000}"/>
    <cellStyle name="20% - Accent1 2 3 3 2 2 2" xfId="159" xr:uid="{00000000-0005-0000-0000-00009F000000}"/>
    <cellStyle name="20% - Accent1 2 3 3 2 2 2 2" xfId="31720" xr:uid="{A27F98C6-522D-432D-8D14-3EF99C3395F6}"/>
    <cellStyle name="20% - Accent1 2 3 3 2 2 3" xfId="31719" xr:uid="{D80A255E-3C8B-467E-8087-B6A7402D0645}"/>
    <cellStyle name="20% - Accent1 2 3 3 2 3" xfId="160" xr:uid="{00000000-0005-0000-0000-0000A0000000}"/>
    <cellStyle name="20% - Accent1 2 3 3 2 3 2" xfId="31721" xr:uid="{086C485E-334F-435C-BA42-83BFA5E1BBF2}"/>
    <cellStyle name="20% - Accent1 2 3 3 2 4" xfId="31718" xr:uid="{5AFD16D1-B646-419E-88BE-FAC11CB78700}"/>
    <cellStyle name="20% - Accent1 2 3 3 3" xfId="161" xr:uid="{00000000-0005-0000-0000-0000A1000000}"/>
    <cellStyle name="20% - Accent1 2 3 3 3 2" xfId="162" xr:uid="{00000000-0005-0000-0000-0000A2000000}"/>
    <cellStyle name="20% - Accent1 2 3 3 3 2 2" xfId="31723" xr:uid="{32A41F95-1FC2-4A5B-8C81-B7A9554ECF7D}"/>
    <cellStyle name="20% - Accent1 2 3 3 3 3" xfId="31722" xr:uid="{C8A9AA6C-786B-42E6-9B5D-330292D8FE71}"/>
    <cellStyle name="20% - Accent1 2 3 3 4" xfId="163" xr:uid="{00000000-0005-0000-0000-0000A3000000}"/>
    <cellStyle name="20% - Accent1 2 3 3 4 2" xfId="31724" xr:uid="{B7410AC5-2FD5-4767-B999-90D573DCC707}"/>
    <cellStyle name="20% - Accent1 2 3 3 5" xfId="31717" xr:uid="{D44AAC71-B060-4F7D-8E07-0961AEC6F52F}"/>
    <cellStyle name="20% - Accent1 2 3 4" xfId="164" xr:uid="{00000000-0005-0000-0000-0000A4000000}"/>
    <cellStyle name="20% - Accent1 2 3 4 2" xfId="165" xr:uid="{00000000-0005-0000-0000-0000A5000000}"/>
    <cellStyle name="20% - Accent1 2 3 4 2 2" xfId="31726" xr:uid="{02FF71D7-65E3-4396-A4FF-481BAFDBA99C}"/>
    <cellStyle name="20% - Accent1 2 3 4 3" xfId="31725" xr:uid="{A67B8B30-7676-456E-84D7-EE8B8AA0B569}"/>
    <cellStyle name="20% - Accent1 2 3 5" xfId="166" xr:uid="{00000000-0005-0000-0000-0000A6000000}"/>
    <cellStyle name="20% - Accent1 2 3 5 2" xfId="31727" xr:uid="{24379A63-F4B4-4C0E-A0E2-B0302B82FF79}"/>
    <cellStyle name="20% - Accent1 2 3 6" xfId="31712" xr:uid="{222E11D2-0EF6-4364-91AA-61AF732A14E6}"/>
    <cellStyle name="20% - Accent1 2 4" xfId="167" xr:uid="{00000000-0005-0000-0000-0000A7000000}"/>
    <cellStyle name="20% - Accent1 2 4 2" xfId="168" xr:uid="{00000000-0005-0000-0000-0000A8000000}"/>
    <cellStyle name="20% - Accent1 2 4 2 2" xfId="169" xr:uid="{00000000-0005-0000-0000-0000A9000000}"/>
    <cellStyle name="20% - Accent1 2 4 2 2 2" xfId="170" xr:uid="{00000000-0005-0000-0000-0000AA000000}"/>
    <cellStyle name="20% - Accent1 2 4 2 2 2 2" xfId="31731" xr:uid="{D11F1AD7-FC8B-4F7D-A625-447835496AF1}"/>
    <cellStyle name="20% - Accent1 2 4 2 2 3" xfId="31730" xr:uid="{A01E9967-A0A4-4A81-AECA-4165754889ED}"/>
    <cellStyle name="20% - Accent1 2 4 2 3" xfId="171" xr:uid="{00000000-0005-0000-0000-0000AB000000}"/>
    <cellStyle name="20% - Accent1 2 4 2 3 2" xfId="31732" xr:uid="{3C803FDA-42AE-42D3-90B6-34DB3C27FABA}"/>
    <cellStyle name="20% - Accent1 2 4 2 4" xfId="31729" xr:uid="{F5C6BCFE-8C0E-4DBB-8AEA-D5057421FA3F}"/>
    <cellStyle name="20% - Accent1 2 4 3" xfId="172" xr:uid="{00000000-0005-0000-0000-0000AC000000}"/>
    <cellStyle name="20% - Accent1 2 4 3 2" xfId="173" xr:uid="{00000000-0005-0000-0000-0000AD000000}"/>
    <cellStyle name="20% - Accent1 2 4 3 2 2" xfId="31734" xr:uid="{5FCAF269-B965-4389-A2FA-15D1BD0E3E5F}"/>
    <cellStyle name="20% - Accent1 2 4 3 3" xfId="31733" xr:uid="{03E16B5E-EAE8-4F5B-84D0-B30A320CA8E5}"/>
    <cellStyle name="20% - Accent1 2 4 4" xfId="174" xr:uid="{00000000-0005-0000-0000-0000AE000000}"/>
    <cellStyle name="20% - Accent1 2 4 4 2" xfId="31735" xr:uid="{FD719492-273F-41D2-B531-15CDF81C67F6}"/>
    <cellStyle name="20% - Accent1 2 4 5" xfId="31728" xr:uid="{AB26E208-FDA0-42F6-B981-6A39DB3C106C}"/>
    <cellStyle name="20% - Accent1 2 5" xfId="175" xr:uid="{00000000-0005-0000-0000-0000AF000000}"/>
    <cellStyle name="20% - Accent1 2 5 2" xfId="176" xr:uid="{00000000-0005-0000-0000-0000B0000000}"/>
    <cellStyle name="20% - Accent1 2 5 2 2" xfId="177" xr:uid="{00000000-0005-0000-0000-0000B1000000}"/>
    <cellStyle name="20% - Accent1 2 5 2 2 2" xfId="178" xr:uid="{00000000-0005-0000-0000-0000B2000000}"/>
    <cellStyle name="20% - Accent1 2 5 2 2 2 2" xfId="31739" xr:uid="{92670FF1-7EFF-4878-8C1D-3348C371544E}"/>
    <cellStyle name="20% - Accent1 2 5 2 2 3" xfId="31738" xr:uid="{4D5D0891-1D7A-4696-AD79-3FDA00AE3F14}"/>
    <cellStyle name="20% - Accent1 2 5 2 3" xfId="179" xr:uid="{00000000-0005-0000-0000-0000B3000000}"/>
    <cellStyle name="20% - Accent1 2 5 2 3 2" xfId="31740" xr:uid="{B560EF9B-462D-42C6-BC88-6EEED10FB645}"/>
    <cellStyle name="20% - Accent1 2 5 2 4" xfId="31737" xr:uid="{AE7398A3-A8BD-4EC2-866B-C0C6586B3044}"/>
    <cellStyle name="20% - Accent1 2 5 3" xfId="180" xr:uid="{00000000-0005-0000-0000-0000B4000000}"/>
    <cellStyle name="20% - Accent1 2 5 3 2" xfId="181" xr:uid="{00000000-0005-0000-0000-0000B5000000}"/>
    <cellStyle name="20% - Accent1 2 5 3 2 2" xfId="182" xr:uid="{00000000-0005-0000-0000-0000B6000000}"/>
    <cellStyle name="20% - Accent1 2 5 3 2 2 2" xfId="183" xr:uid="{00000000-0005-0000-0000-0000B7000000}"/>
    <cellStyle name="20% - Accent1 2 5 3 2 2 2 2" xfId="31744" xr:uid="{1E18CA58-AB50-4AB1-983D-1EEA671C4B8C}"/>
    <cellStyle name="20% - Accent1 2 5 3 2 2 3" xfId="31743" xr:uid="{1DE49D9D-9C69-4F10-9C6F-686C531AE4F3}"/>
    <cellStyle name="20% - Accent1 2 5 3 2 3" xfId="184" xr:uid="{00000000-0005-0000-0000-0000B8000000}"/>
    <cellStyle name="20% - Accent1 2 5 3 2 3 2" xfId="31745" xr:uid="{7BDF393D-611D-4F15-81C1-73921CE3EADE}"/>
    <cellStyle name="20% - Accent1 2 5 3 2 4" xfId="31742" xr:uid="{01E328A0-10A1-42A8-8DE4-967AF79E1057}"/>
    <cellStyle name="20% - Accent1 2 5 3 3" xfId="185" xr:uid="{00000000-0005-0000-0000-0000B9000000}"/>
    <cellStyle name="20% - Accent1 2 5 3 3 2" xfId="186" xr:uid="{00000000-0005-0000-0000-0000BA000000}"/>
    <cellStyle name="20% - Accent1 2 5 3 3 2 2" xfId="31747" xr:uid="{075C21AB-967C-4C5F-BCF1-5996F1549F92}"/>
    <cellStyle name="20% - Accent1 2 5 3 3 3" xfId="31746" xr:uid="{BDAE63C3-878E-4BDF-BF85-6DEDC5B0D567}"/>
    <cellStyle name="20% - Accent1 2 5 3 4" xfId="187" xr:uid="{00000000-0005-0000-0000-0000BB000000}"/>
    <cellStyle name="20% - Accent1 2 5 3 4 2" xfId="31748" xr:uid="{4A80FFB2-B378-42E9-ADC0-FAB2A4D91FB6}"/>
    <cellStyle name="20% - Accent1 2 5 3 5" xfId="31741" xr:uid="{2899E823-6D1E-494F-AFCE-063F5597E82E}"/>
    <cellStyle name="20% - Accent1 2 5 4" xfId="188" xr:uid="{00000000-0005-0000-0000-0000BC000000}"/>
    <cellStyle name="20% - Accent1 2 5 4 2" xfId="189" xr:uid="{00000000-0005-0000-0000-0000BD000000}"/>
    <cellStyle name="20% - Accent1 2 5 4 2 2" xfId="31750" xr:uid="{C6A92905-F6F1-4150-82BA-84B74CF5E6FA}"/>
    <cellStyle name="20% - Accent1 2 5 4 3" xfId="31749" xr:uid="{97C7DBDA-5A48-4A67-A179-CB579A9BEF79}"/>
    <cellStyle name="20% - Accent1 2 5 5" xfId="190" xr:uid="{00000000-0005-0000-0000-0000BE000000}"/>
    <cellStyle name="20% - Accent1 2 5 5 2" xfId="31751" xr:uid="{C4BBFD7E-BB7B-4830-94F2-94594F0361CF}"/>
    <cellStyle name="20% - Accent1 2 5 6" xfId="31736" xr:uid="{833E6999-5541-438A-BAD9-841D7C8D79DF}"/>
    <cellStyle name="20% - Accent1 2 6" xfId="191" xr:uid="{00000000-0005-0000-0000-0000BF000000}"/>
    <cellStyle name="20% - Accent1 2 6 2" xfId="192" xr:uid="{00000000-0005-0000-0000-0000C0000000}"/>
    <cellStyle name="20% - Accent1 2 6 2 2" xfId="193" xr:uid="{00000000-0005-0000-0000-0000C1000000}"/>
    <cellStyle name="20% - Accent1 2 6 2 2 2" xfId="31754" xr:uid="{765978D7-E09B-4F4E-82FA-04774DB8CFBE}"/>
    <cellStyle name="20% - Accent1 2 6 2 3" xfId="31753" xr:uid="{32758AA2-D0C9-4492-9798-6A7BA71397F1}"/>
    <cellStyle name="20% - Accent1 2 6 3" xfId="194" xr:uid="{00000000-0005-0000-0000-0000C2000000}"/>
    <cellStyle name="20% - Accent1 2 6 3 2" xfId="31755" xr:uid="{D548A4C2-A7E3-4695-9C58-89EE092553B9}"/>
    <cellStyle name="20% - Accent1 2 6 4" xfId="31752" xr:uid="{9B85E3E0-3434-4CA6-8444-00573910C23A}"/>
    <cellStyle name="20% - Accent1 2 7" xfId="195" xr:uid="{00000000-0005-0000-0000-0000C3000000}"/>
    <cellStyle name="20% - Accent1 2 7 2" xfId="196" xr:uid="{00000000-0005-0000-0000-0000C4000000}"/>
    <cellStyle name="20% - Accent1 2 7 2 2" xfId="197" xr:uid="{00000000-0005-0000-0000-0000C5000000}"/>
    <cellStyle name="20% - Accent1 2 7 2 2 2" xfId="31758" xr:uid="{37D4B72C-17AD-4F4E-9DB2-61083212E061}"/>
    <cellStyle name="20% - Accent1 2 7 2 3" xfId="31757" xr:uid="{9D6CDF4C-0BB3-4D23-B69A-ED2873C83AE8}"/>
    <cellStyle name="20% - Accent1 2 7 3" xfId="198" xr:uid="{00000000-0005-0000-0000-0000C6000000}"/>
    <cellStyle name="20% - Accent1 2 7 3 2" xfId="31759" xr:uid="{73136FF4-00DC-44DA-A2FA-E5B1F2E49370}"/>
    <cellStyle name="20% - Accent1 2 7 4" xfId="31756" xr:uid="{5793FB2E-B7AA-4694-B962-73524C6009C6}"/>
    <cellStyle name="20% - Accent1 2 8" xfId="199" xr:uid="{00000000-0005-0000-0000-0000C7000000}"/>
    <cellStyle name="20% - Accent1 2 8 2" xfId="200" xr:uid="{00000000-0005-0000-0000-0000C8000000}"/>
    <cellStyle name="20% - Accent1 2 8 2 2" xfId="201" xr:uid="{00000000-0005-0000-0000-0000C9000000}"/>
    <cellStyle name="20% - Accent1 2 8 2 2 2" xfId="202" xr:uid="{00000000-0005-0000-0000-0000CA000000}"/>
    <cellStyle name="20% - Accent1 2 8 2 2 2 2" xfId="31763" xr:uid="{607443DB-7F29-4DDC-AC34-3C47307D21F6}"/>
    <cellStyle name="20% - Accent1 2 8 2 2 3" xfId="31762" xr:uid="{DBB0C556-C1A9-4C5E-BF31-EB3EED1EB07A}"/>
    <cellStyle name="20% - Accent1 2 8 2 3" xfId="203" xr:uid="{00000000-0005-0000-0000-0000CB000000}"/>
    <cellStyle name="20% - Accent1 2 8 2 3 2" xfId="31764" xr:uid="{100F1B29-5A0D-4F6A-A242-EF8B59BE4FE7}"/>
    <cellStyle name="20% - Accent1 2 8 2 4" xfId="31761" xr:uid="{F23D6911-0E49-4C5B-B951-4CDE64C1A593}"/>
    <cellStyle name="20% - Accent1 2 8 3" xfId="204" xr:uid="{00000000-0005-0000-0000-0000CC000000}"/>
    <cellStyle name="20% - Accent1 2 8 3 2" xfId="205" xr:uid="{00000000-0005-0000-0000-0000CD000000}"/>
    <cellStyle name="20% - Accent1 2 8 3 2 2" xfId="31766" xr:uid="{9A6212E0-A5E4-4A67-9968-46326F7B032D}"/>
    <cellStyle name="20% - Accent1 2 8 3 3" xfId="31765" xr:uid="{1DD8807F-4A7A-4416-B24B-D9941573C031}"/>
    <cellStyle name="20% - Accent1 2 8 4" xfId="206" xr:uid="{00000000-0005-0000-0000-0000CE000000}"/>
    <cellStyle name="20% - Accent1 2 8 4 2" xfId="31767" xr:uid="{59C3A394-E9F7-491A-BE4F-E3CA1BD81D4D}"/>
    <cellStyle name="20% - Accent1 2 8 5" xfId="31760" xr:uid="{5E049AF4-FAC5-48C4-B8B9-5DFF9E4CE596}"/>
    <cellStyle name="20% - Accent1 2 9" xfId="207" xr:uid="{00000000-0005-0000-0000-0000CF000000}"/>
    <cellStyle name="20% - Accent1 2 9 2" xfId="208" xr:uid="{00000000-0005-0000-0000-0000D0000000}"/>
    <cellStyle name="20% - Accent1 2 9 2 2" xfId="31769" xr:uid="{6A95AED5-B105-451E-9F2B-345314AAD452}"/>
    <cellStyle name="20% - Accent1 2 9 3" xfId="31768" xr:uid="{81B72DB6-6BD2-400A-8E93-A1BA96F02305}"/>
    <cellStyle name="20% - Accent1 3" xfId="209" xr:uid="{00000000-0005-0000-0000-0000D1000000}"/>
    <cellStyle name="20% - Accent1 3 2" xfId="210" xr:uid="{00000000-0005-0000-0000-0000D2000000}"/>
    <cellStyle name="20% - Accent1 3 2 2" xfId="211" xr:uid="{00000000-0005-0000-0000-0000D3000000}"/>
    <cellStyle name="20% - Accent1 3 2 2 2" xfId="212" xr:uid="{00000000-0005-0000-0000-0000D4000000}"/>
    <cellStyle name="20% - Accent1 3 2 2 2 2" xfId="31773" xr:uid="{525492BA-2CFC-4CC9-B0F0-77E1AD026D4A}"/>
    <cellStyle name="20% - Accent1 3 2 2 3" xfId="31772" xr:uid="{D904C04A-AD4B-4842-903F-85B6241E89DB}"/>
    <cellStyle name="20% - Accent1 3 2 3" xfId="213" xr:uid="{00000000-0005-0000-0000-0000D5000000}"/>
    <cellStyle name="20% - Accent1 3 2 3 2" xfId="31774" xr:uid="{60A97883-6BB8-476D-8560-2333F539EC5D}"/>
    <cellStyle name="20% - Accent1 3 2 4" xfId="31771" xr:uid="{B5540C9A-8984-4F5C-8D58-2B2FB107277A}"/>
    <cellStyle name="20% - Accent1 3 3" xfId="214" xr:uid="{00000000-0005-0000-0000-0000D6000000}"/>
    <cellStyle name="20% - Accent1 3 3 2" xfId="215" xr:uid="{00000000-0005-0000-0000-0000D7000000}"/>
    <cellStyle name="20% - Accent1 3 4" xfId="216" xr:uid="{00000000-0005-0000-0000-0000D8000000}"/>
    <cellStyle name="20% - Accent1 3 4 2" xfId="217" xr:uid="{00000000-0005-0000-0000-0000D9000000}"/>
    <cellStyle name="20% - Accent1 3 4 2 2" xfId="218" xr:uid="{00000000-0005-0000-0000-0000DA000000}"/>
    <cellStyle name="20% - Accent1 3 4 3" xfId="219" xr:uid="{00000000-0005-0000-0000-0000DB000000}"/>
    <cellStyle name="20% - Accent1 3 5" xfId="220" xr:uid="{00000000-0005-0000-0000-0000DC000000}"/>
    <cellStyle name="20% - Accent1 3 6" xfId="31770" xr:uid="{BC55EFF5-0A5F-4446-9EBC-445B8D6404EC}"/>
    <cellStyle name="20% - Accent1 4" xfId="221" xr:uid="{00000000-0005-0000-0000-0000DD000000}"/>
    <cellStyle name="20% - Accent1 4 2" xfId="222" xr:uid="{00000000-0005-0000-0000-0000DE000000}"/>
    <cellStyle name="20% - Accent1 4 2 2" xfId="223" xr:uid="{00000000-0005-0000-0000-0000DF000000}"/>
    <cellStyle name="20% - Accent1 4 3" xfId="224" xr:uid="{00000000-0005-0000-0000-0000E0000000}"/>
    <cellStyle name="20% - Accent1 4 3 2" xfId="225" xr:uid="{00000000-0005-0000-0000-0000E1000000}"/>
    <cellStyle name="20% - Accent1 4 3 2 2" xfId="226" xr:uid="{00000000-0005-0000-0000-0000E2000000}"/>
    <cellStyle name="20% - Accent1 4 3 3" xfId="227" xr:uid="{00000000-0005-0000-0000-0000E3000000}"/>
    <cellStyle name="20% - Accent1 4 4" xfId="228" xr:uid="{00000000-0005-0000-0000-0000E4000000}"/>
    <cellStyle name="20% - Accent1 4 5" xfId="31775" xr:uid="{6E17189B-A4A6-4A26-AB1F-2D0996B65220}"/>
    <cellStyle name="20% - Accent1 5" xfId="229" xr:uid="{00000000-0005-0000-0000-0000E5000000}"/>
    <cellStyle name="20% - Accent1 5 2" xfId="230" xr:uid="{00000000-0005-0000-0000-0000E6000000}"/>
    <cellStyle name="20% - Accent1 5 2 2" xfId="231" xr:uid="{00000000-0005-0000-0000-0000E7000000}"/>
    <cellStyle name="20% - Accent1 5 2 2 2" xfId="232" xr:uid="{00000000-0005-0000-0000-0000E8000000}"/>
    <cellStyle name="20% - Accent1 5 2 2 2 2" xfId="31779" xr:uid="{9BDC633A-4476-410A-9821-6DC627CF25C0}"/>
    <cellStyle name="20% - Accent1 5 2 2 3" xfId="31778" xr:uid="{99EF942A-0EE9-4263-A3D0-AA4FD4AFDC18}"/>
    <cellStyle name="20% - Accent1 5 2 3" xfId="233" xr:uid="{00000000-0005-0000-0000-0000E9000000}"/>
    <cellStyle name="20% - Accent1 5 2 3 2" xfId="31780" xr:uid="{30298C5E-EC33-41E8-9427-CE139FC54D3B}"/>
    <cellStyle name="20% - Accent1 5 2 4" xfId="31777" xr:uid="{C228332C-6905-4DB1-BCF9-9B37DF4804BC}"/>
    <cellStyle name="20% - Accent1 5 3" xfId="234" xr:uid="{00000000-0005-0000-0000-0000EA000000}"/>
    <cellStyle name="20% - Accent1 5 3 2" xfId="235" xr:uid="{00000000-0005-0000-0000-0000EB000000}"/>
    <cellStyle name="20% - Accent1 5 3 2 2" xfId="236" xr:uid="{00000000-0005-0000-0000-0000EC000000}"/>
    <cellStyle name="20% - Accent1 5 3 2 2 2" xfId="237" xr:uid="{00000000-0005-0000-0000-0000ED000000}"/>
    <cellStyle name="20% - Accent1 5 3 2 2 2 2" xfId="31784" xr:uid="{1A7C38A3-B9CF-4141-AD73-3CAFD1D82096}"/>
    <cellStyle name="20% - Accent1 5 3 2 2 3" xfId="31783" xr:uid="{04C7F15F-19E6-47DB-9E70-D5927351AF2F}"/>
    <cellStyle name="20% - Accent1 5 3 2 3" xfId="238" xr:uid="{00000000-0005-0000-0000-0000EE000000}"/>
    <cellStyle name="20% - Accent1 5 3 2 3 2" xfId="31785" xr:uid="{2758D8CE-C9E6-4EFF-BD9E-7F5B64E96D14}"/>
    <cellStyle name="20% - Accent1 5 3 2 4" xfId="31782" xr:uid="{70357F62-DF25-45CE-AC09-7E2A5C4103ED}"/>
    <cellStyle name="20% - Accent1 5 3 3" xfId="239" xr:uid="{00000000-0005-0000-0000-0000EF000000}"/>
    <cellStyle name="20% - Accent1 5 3 3 2" xfId="240" xr:uid="{00000000-0005-0000-0000-0000F0000000}"/>
    <cellStyle name="20% - Accent1 5 3 3 2 2" xfId="31787" xr:uid="{7088666E-40DB-4046-B474-C00ED7E547AA}"/>
    <cellStyle name="20% - Accent1 5 3 3 3" xfId="31786" xr:uid="{69EA7DF5-0DAD-4A9A-9373-DA18488543D1}"/>
    <cellStyle name="20% - Accent1 5 3 4" xfId="241" xr:uid="{00000000-0005-0000-0000-0000F1000000}"/>
    <cellStyle name="20% - Accent1 5 3 4 2" xfId="31788" xr:uid="{97DBC83D-2AD2-424A-B0C5-3907286E7440}"/>
    <cellStyle name="20% - Accent1 5 3 5" xfId="31781" xr:uid="{A956D63D-FC24-4838-B36E-420A2A2B2453}"/>
    <cellStyle name="20% - Accent1 5 4" xfId="242" xr:uid="{00000000-0005-0000-0000-0000F2000000}"/>
    <cellStyle name="20% - Accent1 5 4 2" xfId="243" xr:uid="{00000000-0005-0000-0000-0000F3000000}"/>
    <cellStyle name="20% - Accent1 5 4 2 2" xfId="31790" xr:uid="{DD5F8DD2-77C3-414D-9378-64B6AB981CAE}"/>
    <cellStyle name="20% - Accent1 5 4 3" xfId="31789" xr:uid="{F71D7D8E-ADA3-40E6-96C9-8A5CC0FD0477}"/>
    <cellStyle name="20% - Accent1 5 5" xfId="244" xr:uid="{00000000-0005-0000-0000-0000F4000000}"/>
    <cellStyle name="20% - Accent1 5 5 2" xfId="31791" xr:uid="{4CBE6B09-F53D-4BE9-8260-B12118F6C494}"/>
    <cellStyle name="20% - Accent1 5 6" xfId="31776" xr:uid="{F01AB672-78A0-4146-939C-A6DE33D595BC}"/>
    <cellStyle name="20% - Accent1 6" xfId="245" xr:uid="{00000000-0005-0000-0000-0000F5000000}"/>
    <cellStyle name="20% - Accent1 6 2" xfId="246" xr:uid="{00000000-0005-0000-0000-0000F6000000}"/>
    <cellStyle name="20% - Accent1 6 2 2" xfId="247" xr:uid="{00000000-0005-0000-0000-0000F7000000}"/>
    <cellStyle name="20% - Accent1 6 2 2 2" xfId="248" xr:uid="{00000000-0005-0000-0000-0000F8000000}"/>
    <cellStyle name="20% - Accent1 6 2 2 2 2" xfId="31795" xr:uid="{4C5A4341-4866-4B84-8E8C-BFB935EFE1E2}"/>
    <cellStyle name="20% - Accent1 6 2 2 3" xfId="31794" xr:uid="{EAB7B292-5DB6-4862-9CAC-EB9B8C790F32}"/>
    <cellStyle name="20% - Accent1 6 2 3" xfId="249" xr:uid="{00000000-0005-0000-0000-0000F9000000}"/>
    <cellStyle name="20% - Accent1 6 2 3 2" xfId="31796" xr:uid="{AF0CCC61-26A4-459D-9124-5B9BD7FC7BF8}"/>
    <cellStyle name="20% - Accent1 6 2 4" xfId="31793" xr:uid="{2ADA27A8-2F9C-4F6B-8C7E-047E12EA3E76}"/>
    <cellStyle name="20% - Accent1 6 3" xfId="250" xr:uid="{00000000-0005-0000-0000-0000FA000000}"/>
    <cellStyle name="20% - Accent1 6 3 2" xfId="251" xr:uid="{00000000-0005-0000-0000-0000FB000000}"/>
    <cellStyle name="20% - Accent1 6 3 2 2" xfId="31798" xr:uid="{F3AA96F9-7309-426C-9385-2BBC56ADA585}"/>
    <cellStyle name="20% - Accent1 6 3 3" xfId="31797" xr:uid="{0C2D8AFC-6AAF-430D-B886-A032F13285F1}"/>
    <cellStyle name="20% - Accent1 6 4" xfId="252" xr:uid="{00000000-0005-0000-0000-0000FC000000}"/>
    <cellStyle name="20% - Accent1 6 4 2" xfId="31799" xr:uid="{7F345A4C-722F-4701-92C9-5A54BDE6CF79}"/>
    <cellStyle name="20% - Accent1 6 5" xfId="31792" xr:uid="{A15E6A7D-9E69-4B82-8F13-750A2077CAD5}"/>
    <cellStyle name="20% - Accent1 7" xfId="253" xr:uid="{00000000-0005-0000-0000-0000FD000000}"/>
    <cellStyle name="20% - Accent1 8" xfId="254" xr:uid="{00000000-0005-0000-0000-0000FE000000}"/>
    <cellStyle name="20% - Accent2 2" xfId="255" xr:uid="{00000000-0005-0000-0000-0000FF000000}"/>
    <cellStyle name="20% - Accent2 2 10" xfId="256" xr:uid="{00000000-0005-0000-0000-000000010000}"/>
    <cellStyle name="20% - Accent2 2 10 2" xfId="257" xr:uid="{00000000-0005-0000-0000-000001010000}"/>
    <cellStyle name="20% - Accent2 2 11" xfId="258" xr:uid="{00000000-0005-0000-0000-000002010000}"/>
    <cellStyle name="20% - Accent2 2 11 2" xfId="31801" xr:uid="{153C11A6-4417-4230-AFF9-452B5BEA3D34}"/>
    <cellStyle name="20% - Accent2 2 12" xfId="31800" xr:uid="{E02F4D54-DA4A-4EDE-97E4-ED1CAEAA3802}"/>
    <cellStyle name="20% - Accent2 2 2" xfId="259" xr:uid="{00000000-0005-0000-0000-000003010000}"/>
    <cellStyle name="20% - Accent2 2 2 2" xfId="260" xr:uid="{00000000-0005-0000-0000-000004010000}"/>
    <cellStyle name="20% - Accent2 2 2 2 2" xfId="261" xr:uid="{00000000-0005-0000-0000-000005010000}"/>
    <cellStyle name="20% - Accent2 2 2 2 2 2" xfId="262" xr:uid="{00000000-0005-0000-0000-000006010000}"/>
    <cellStyle name="20% - Accent2 2 2 2 3" xfId="263" xr:uid="{00000000-0005-0000-0000-000007010000}"/>
    <cellStyle name="20% - Accent2 2 2 2 3 2" xfId="264" xr:uid="{00000000-0005-0000-0000-000008010000}"/>
    <cellStyle name="20% - Accent2 2 2 2 3 2 2" xfId="265" xr:uid="{00000000-0005-0000-0000-000009010000}"/>
    <cellStyle name="20% - Accent2 2 2 2 3 3" xfId="266" xr:uid="{00000000-0005-0000-0000-00000A010000}"/>
    <cellStyle name="20% - Accent2 2 2 2 4" xfId="267" xr:uid="{00000000-0005-0000-0000-00000B010000}"/>
    <cellStyle name="20% - Accent2 2 2 3" xfId="268" xr:uid="{00000000-0005-0000-0000-00000C010000}"/>
    <cellStyle name="20% - Accent2 2 2 3 2" xfId="269" xr:uid="{00000000-0005-0000-0000-00000D010000}"/>
    <cellStyle name="20% - Accent2 2 2 3 2 2" xfId="270" xr:uid="{00000000-0005-0000-0000-00000E010000}"/>
    <cellStyle name="20% - Accent2 2 2 3 2 2 2" xfId="31805" xr:uid="{9C4998C3-6813-4EF5-A9DC-1D73DE99B1A2}"/>
    <cellStyle name="20% - Accent2 2 2 3 2 3" xfId="31804" xr:uid="{987B7632-745D-488E-9183-5DBBDBD3BA45}"/>
    <cellStyle name="20% - Accent2 2 2 3 3" xfId="271" xr:uid="{00000000-0005-0000-0000-00000F010000}"/>
    <cellStyle name="20% - Accent2 2 2 3 3 2" xfId="31806" xr:uid="{99A31B0C-770C-47B2-8600-DCEB05D89FB0}"/>
    <cellStyle name="20% - Accent2 2 2 3 4" xfId="31803" xr:uid="{3672939C-97AC-44B9-B531-2E0D0A6939C0}"/>
    <cellStyle name="20% - Accent2 2 2 4" xfId="272" xr:uid="{00000000-0005-0000-0000-000010010000}"/>
    <cellStyle name="20% - Accent2 2 2 4 2" xfId="273" xr:uid="{00000000-0005-0000-0000-000011010000}"/>
    <cellStyle name="20% - Accent2 2 2 4 2 2" xfId="274" xr:uid="{00000000-0005-0000-0000-000012010000}"/>
    <cellStyle name="20% - Accent2 2 2 4 2 2 2" xfId="275" xr:uid="{00000000-0005-0000-0000-000013010000}"/>
    <cellStyle name="20% - Accent2 2 2 4 2 2 2 2" xfId="31810" xr:uid="{F8ED0032-8612-4489-96FF-59D5FFC568DD}"/>
    <cellStyle name="20% - Accent2 2 2 4 2 2 3" xfId="31809" xr:uid="{2BD1A1D6-BD88-4D37-BCAA-8EED47F5D6D2}"/>
    <cellStyle name="20% - Accent2 2 2 4 2 3" xfId="276" xr:uid="{00000000-0005-0000-0000-000014010000}"/>
    <cellStyle name="20% - Accent2 2 2 4 2 3 2" xfId="31811" xr:uid="{2C66EF65-659A-4D61-8035-F0C7F359F069}"/>
    <cellStyle name="20% - Accent2 2 2 4 2 4" xfId="31808" xr:uid="{625BF90F-B594-43A9-961B-9C9B0B63271A}"/>
    <cellStyle name="20% - Accent2 2 2 4 3" xfId="277" xr:uid="{00000000-0005-0000-0000-000015010000}"/>
    <cellStyle name="20% - Accent2 2 2 4 3 2" xfId="278" xr:uid="{00000000-0005-0000-0000-000016010000}"/>
    <cellStyle name="20% - Accent2 2 2 4 3 2 2" xfId="31813" xr:uid="{CB18F74C-15F6-4C9E-B9F1-A7B0AE793D0D}"/>
    <cellStyle name="20% - Accent2 2 2 4 3 3" xfId="31812" xr:uid="{7DF3236E-B566-4DEA-BE62-06259234DEE0}"/>
    <cellStyle name="20% - Accent2 2 2 4 4" xfId="279" xr:uid="{00000000-0005-0000-0000-000017010000}"/>
    <cellStyle name="20% - Accent2 2 2 4 4 2" xfId="31814" xr:uid="{BE53FB17-85C3-47E7-8712-4ABACDD07E57}"/>
    <cellStyle name="20% - Accent2 2 2 4 5" xfId="31807" xr:uid="{04193045-93DB-4B53-B864-52AE33D9F132}"/>
    <cellStyle name="20% - Accent2 2 2 5" xfId="280" xr:uid="{00000000-0005-0000-0000-000018010000}"/>
    <cellStyle name="20% - Accent2 2 2 5 2" xfId="281" xr:uid="{00000000-0005-0000-0000-000019010000}"/>
    <cellStyle name="20% - Accent2 2 2 5 2 2" xfId="31816" xr:uid="{449866CE-18F1-4886-AC38-CFDBAC547D66}"/>
    <cellStyle name="20% - Accent2 2 2 5 3" xfId="31815" xr:uid="{710CFC36-C7AE-438E-97D4-AC8F46816CE4}"/>
    <cellStyle name="20% - Accent2 2 2 6" xfId="282" xr:uid="{00000000-0005-0000-0000-00001A010000}"/>
    <cellStyle name="20% - Accent2 2 2 6 2" xfId="31817" xr:uid="{72EF9275-DD4D-4C46-AAA1-91A02CFC1706}"/>
    <cellStyle name="20% - Accent2 2 2 7" xfId="31802" xr:uid="{8F47EB4F-15DE-45D8-92B6-09F529881349}"/>
    <cellStyle name="20% - Accent2 2 3" xfId="283" xr:uid="{00000000-0005-0000-0000-00001B010000}"/>
    <cellStyle name="20% - Accent2 2 3 2" xfId="284" xr:uid="{00000000-0005-0000-0000-00001C010000}"/>
    <cellStyle name="20% - Accent2 2 3 2 2" xfId="285" xr:uid="{00000000-0005-0000-0000-00001D010000}"/>
    <cellStyle name="20% - Accent2 2 3 2 2 2" xfId="286" xr:uid="{00000000-0005-0000-0000-00001E010000}"/>
    <cellStyle name="20% - Accent2 2 3 2 3" xfId="287" xr:uid="{00000000-0005-0000-0000-00001F010000}"/>
    <cellStyle name="20% - Accent2 2 3 3" xfId="288" xr:uid="{00000000-0005-0000-0000-000020010000}"/>
    <cellStyle name="20% - Accent2 2 3 3 2" xfId="289" xr:uid="{00000000-0005-0000-0000-000021010000}"/>
    <cellStyle name="20% - Accent2 2 3 3 2 2" xfId="290" xr:uid="{00000000-0005-0000-0000-000022010000}"/>
    <cellStyle name="20% - Accent2 2 3 3 2 2 2" xfId="291" xr:uid="{00000000-0005-0000-0000-000023010000}"/>
    <cellStyle name="20% - Accent2 2 3 3 2 3" xfId="292" xr:uid="{00000000-0005-0000-0000-000024010000}"/>
    <cellStyle name="20% - Accent2 2 3 3 3" xfId="293" xr:uid="{00000000-0005-0000-0000-000025010000}"/>
    <cellStyle name="20% - Accent2 2 3 3 3 2" xfId="294" xr:uid="{00000000-0005-0000-0000-000026010000}"/>
    <cellStyle name="20% - Accent2 2 3 3 4" xfId="295" xr:uid="{00000000-0005-0000-0000-000027010000}"/>
    <cellStyle name="20% - Accent2 2 3 4" xfId="296" xr:uid="{00000000-0005-0000-0000-000028010000}"/>
    <cellStyle name="20% - Accent2 2 3 4 2" xfId="297" xr:uid="{00000000-0005-0000-0000-000029010000}"/>
    <cellStyle name="20% - Accent2 2 3 5" xfId="298" xr:uid="{00000000-0005-0000-0000-00002A010000}"/>
    <cellStyle name="20% - Accent2 2 4" xfId="299" xr:uid="{00000000-0005-0000-0000-00002B010000}"/>
    <cellStyle name="20% - Accent2 2 4 2" xfId="300" xr:uid="{00000000-0005-0000-0000-00002C010000}"/>
    <cellStyle name="20% - Accent2 2 4 2 2" xfId="301" xr:uid="{00000000-0005-0000-0000-00002D010000}"/>
    <cellStyle name="20% - Accent2 2 4 2 2 2" xfId="302" xr:uid="{00000000-0005-0000-0000-00002E010000}"/>
    <cellStyle name="20% - Accent2 2 4 2 3" xfId="303" xr:uid="{00000000-0005-0000-0000-00002F010000}"/>
    <cellStyle name="20% - Accent2 2 4 3" xfId="304" xr:uid="{00000000-0005-0000-0000-000030010000}"/>
    <cellStyle name="20% - Accent2 2 4 3 2" xfId="305" xr:uid="{00000000-0005-0000-0000-000031010000}"/>
    <cellStyle name="20% - Accent2 2 4 4" xfId="306" xr:uid="{00000000-0005-0000-0000-000032010000}"/>
    <cellStyle name="20% - Accent2 2 5" xfId="307" xr:uid="{00000000-0005-0000-0000-000033010000}"/>
    <cellStyle name="20% - Accent2 2 5 2" xfId="308" xr:uid="{00000000-0005-0000-0000-000034010000}"/>
    <cellStyle name="20% - Accent2 2 5 2 2" xfId="309" xr:uid="{00000000-0005-0000-0000-000035010000}"/>
    <cellStyle name="20% - Accent2 2 5 2 2 2" xfId="310" xr:uid="{00000000-0005-0000-0000-000036010000}"/>
    <cellStyle name="20% - Accent2 2 5 2 3" xfId="311" xr:uid="{00000000-0005-0000-0000-000037010000}"/>
    <cellStyle name="20% - Accent2 2 5 3" xfId="312" xr:uid="{00000000-0005-0000-0000-000038010000}"/>
    <cellStyle name="20% - Accent2 2 5 3 2" xfId="313" xr:uid="{00000000-0005-0000-0000-000039010000}"/>
    <cellStyle name="20% - Accent2 2 5 3 2 2" xfId="314" xr:uid="{00000000-0005-0000-0000-00003A010000}"/>
    <cellStyle name="20% - Accent2 2 5 3 2 2 2" xfId="315" xr:uid="{00000000-0005-0000-0000-00003B010000}"/>
    <cellStyle name="20% - Accent2 2 5 3 2 3" xfId="316" xr:uid="{00000000-0005-0000-0000-00003C010000}"/>
    <cellStyle name="20% - Accent2 2 5 3 3" xfId="317" xr:uid="{00000000-0005-0000-0000-00003D010000}"/>
    <cellStyle name="20% - Accent2 2 5 3 3 2" xfId="318" xr:uid="{00000000-0005-0000-0000-00003E010000}"/>
    <cellStyle name="20% - Accent2 2 5 3 4" xfId="319" xr:uid="{00000000-0005-0000-0000-00003F010000}"/>
    <cellStyle name="20% - Accent2 2 5 4" xfId="320" xr:uid="{00000000-0005-0000-0000-000040010000}"/>
    <cellStyle name="20% - Accent2 2 5 4 2" xfId="321" xr:uid="{00000000-0005-0000-0000-000041010000}"/>
    <cellStyle name="20% - Accent2 2 5 5" xfId="322" xr:uid="{00000000-0005-0000-0000-000042010000}"/>
    <cellStyle name="20% - Accent2 2 6" xfId="323" xr:uid="{00000000-0005-0000-0000-000043010000}"/>
    <cellStyle name="20% - Accent2 2 6 2" xfId="324" xr:uid="{00000000-0005-0000-0000-000044010000}"/>
    <cellStyle name="20% - Accent2 2 6 2 2" xfId="325" xr:uid="{00000000-0005-0000-0000-000045010000}"/>
    <cellStyle name="20% - Accent2 2 6 3" xfId="326" xr:uid="{00000000-0005-0000-0000-000046010000}"/>
    <cellStyle name="20% - Accent2 2 7" xfId="327" xr:uid="{00000000-0005-0000-0000-000047010000}"/>
    <cellStyle name="20% - Accent2 2 7 2" xfId="328" xr:uid="{00000000-0005-0000-0000-000048010000}"/>
    <cellStyle name="20% - Accent2 2 7 2 2" xfId="329" xr:uid="{00000000-0005-0000-0000-000049010000}"/>
    <cellStyle name="20% - Accent2 2 7 2 2 2" xfId="31820" xr:uid="{EC2CD808-80B7-4CCB-AF92-3B04DC98BBDA}"/>
    <cellStyle name="20% - Accent2 2 7 2 3" xfId="31819" xr:uid="{F681F325-61EA-4057-B1B8-D06BC90E831F}"/>
    <cellStyle name="20% - Accent2 2 7 3" xfId="330" xr:uid="{00000000-0005-0000-0000-00004A010000}"/>
    <cellStyle name="20% - Accent2 2 7 3 2" xfId="31821" xr:uid="{836712E3-D561-4141-8DE5-72715B376F78}"/>
    <cellStyle name="20% - Accent2 2 7 4" xfId="31818" xr:uid="{3C303A9C-C3E0-4CA5-BC7D-F642DCE87940}"/>
    <cellStyle name="20% - Accent2 2 8" xfId="331" xr:uid="{00000000-0005-0000-0000-00004B010000}"/>
    <cellStyle name="20% - Accent2 2 8 2" xfId="332" xr:uid="{00000000-0005-0000-0000-00004C010000}"/>
    <cellStyle name="20% - Accent2 2 8 2 2" xfId="333" xr:uid="{00000000-0005-0000-0000-00004D010000}"/>
    <cellStyle name="20% - Accent2 2 8 2 2 2" xfId="334" xr:uid="{00000000-0005-0000-0000-00004E010000}"/>
    <cellStyle name="20% - Accent2 2 8 2 2 2 2" xfId="31825" xr:uid="{563B787B-323B-4B28-9DA3-FF601CB44B02}"/>
    <cellStyle name="20% - Accent2 2 8 2 2 3" xfId="31824" xr:uid="{5911234F-359A-4854-8E1C-C5FDFF9F4196}"/>
    <cellStyle name="20% - Accent2 2 8 2 3" xfId="335" xr:uid="{00000000-0005-0000-0000-00004F010000}"/>
    <cellStyle name="20% - Accent2 2 8 2 3 2" xfId="31826" xr:uid="{E8F38D3D-016A-4DB7-B465-50D184E2C76F}"/>
    <cellStyle name="20% - Accent2 2 8 2 4" xfId="31823" xr:uid="{F3DD28A4-32B4-407F-ABC3-405D4EA0195E}"/>
    <cellStyle name="20% - Accent2 2 8 3" xfId="336" xr:uid="{00000000-0005-0000-0000-000050010000}"/>
    <cellStyle name="20% - Accent2 2 8 3 2" xfId="337" xr:uid="{00000000-0005-0000-0000-000051010000}"/>
    <cellStyle name="20% - Accent2 2 8 3 2 2" xfId="31828" xr:uid="{BF2862BB-ECCE-457C-A20D-F399095D1C32}"/>
    <cellStyle name="20% - Accent2 2 8 3 3" xfId="31827" xr:uid="{CC1ACC9F-AE57-416E-A10D-B2260C35A9CA}"/>
    <cellStyle name="20% - Accent2 2 8 4" xfId="338" xr:uid="{00000000-0005-0000-0000-000052010000}"/>
    <cellStyle name="20% - Accent2 2 8 4 2" xfId="31829" xr:uid="{452397AB-9688-469C-B56C-5D1CDB96D898}"/>
    <cellStyle name="20% - Accent2 2 8 5" xfId="31822" xr:uid="{2BE8FD22-B783-45AC-8071-A0BFA3CA4550}"/>
    <cellStyle name="20% - Accent2 2 9" xfId="339" xr:uid="{00000000-0005-0000-0000-000053010000}"/>
    <cellStyle name="20% - Accent2 2 9 2" xfId="340" xr:uid="{00000000-0005-0000-0000-000054010000}"/>
    <cellStyle name="20% - Accent2 2 9 2 2" xfId="31831" xr:uid="{C09F227B-A28E-4DB5-98E7-7B44512DA974}"/>
    <cellStyle name="20% - Accent2 2 9 3" xfId="31830" xr:uid="{FCF30086-A912-44D2-81F3-A1369C651419}"/>
    <cellStyle name="20% - Accent2 3" xfId="341" xr:uid="{00000000-0005-0000-0000-000055010000}"/>
    <cellStyle name="20% - Accent2 3 2" xfId="342" xr:uid="{00000000-0005-0000-0000-000056010000}"/>
    <cellStyle name="20% - Accent2 3 2 2" xfId="343" xr:uid="{00000000-0005-0000-0000-000057010000}"/>
    <cellStyle name="20% - Accent2 3 2 2 2" xfId="344" xr:uid="{00000000-0005-0000-0000-000058010000}"/>
    <cellStyle name="20% - Accent2 3 2 3" xfId="345" xr:uid="{00000000-0005-0000-0000-000059010000}"/>
    <cellStyle name="20% - Accent2 3 3" xfId="346" xr:uid="{00000000-0005-0000-0000-00005A010000}"/>
    <cellStyle name="20% - Accent2 3 3 2" xfId="347" xr:uid="{00000000-0005-0000-0000-00005B010000}"/>
    <cellStyle name="20% - Accent2 3 4" xfId="348" xr:uid="{00000000-0005-0000-0000-00005C010000}"/>
    <cellStyle name="20% - Accent2 3 4 2" xfId="349" xr:uid="{00000000-0005-0000-0000-00005D010000}"/>
    <cellStyle name="20% - Accent2 3 4 2 2" xfId="350" xr:uid="{00000000-0005-0000-0000-00005E010000}"/>
    <cellStyle name="20% - Accent2 3 4 3" xfId="351" xr:uid="{00000000-0005-0000-0000-00005F010000}"/>
    <cellStyle name="20% - Accent2 3 5" xfId="352" xr:uid="{00000000-0005-0000-0000-000060010000}"/>
    <cellStyle name="20% - Accent2 3 6" xfId="31832" xr:uid="{DB3FC040-17E9-44CC-9327-A4BCB76C8D9B}"/>
    <cellStyle name="20% - Accent2 4" xfId="353" xr:uid="{00000000-0005-0000-0000-000061010000}"/>
    <cellStyle name="20% - Accent2 4 2" xfId="354" xr:uid="{00000000-0005-0000-0000-000062010000}"/>
    <cellStyle name="20% - Accent2 4 2 2" xfId="355" xr:uid="{00000000-0005-0000-0000-000063010000}"/>
    <cellStyle name="20% - Accent2 4 3" xfId="356" xr:uid="{00000000-0005-0000-0000-000064010000}"/>
    <cellStyle name="20% - Accent2 4 3 2" xfId="357" xr:uid="{00000000-0005-0000-0000-000065010000}"/>
    <cellStyle name="20% - Accent2 4 3 2 2" xfId="358" xr:uid="{00000000-0005-0000-0000-000066010000}"/>
    <cellStyle name="20% - Accent2 4 3 3" xfId="359" xr:uid="{00000000-0005-0000-0000-000067010000}"/>
    <cellStyle name="20% - Accent2 4 4" xfId="360" xr:uid="{00000000-0005-0000-0000-000068010000}"/>
    <cellStyle name="20% - Accent2 4 5" xfId="31833" xr:uid="{878BF950-727E-4E60-AC88-701272CD448A}"/>
    <cellStyle name="20% - Accent2 5" xfId="361" xr:uid="{00000000-0005-0000-0000-000069010000}"/>
    <cellStyle name="20% - Accent2 5 2" xfId="362" xr:uid="{00000000-0005-0000-0000-00006A010000}"/>
    <cellStyle name="20% - Accent2 5 2 2" xfId="363" xr:uid="{00000000-0005-0000-0000-00006B010000}"/>
    <cellStyle name="20% - Accent2 5 2 2 2" xfId="364" xr:uid="{00000000-0005-0000-0000-00006C010000}"/>
    <cellStyle name="20% - Accent2 5 2 2 2 2" xfId="31837" xr:uid="{35AEC36A-9D30-4C76-BA7C-2CBCF65A0D09}"/>
    <cellStyle name="20% - Accent2 5 2 2 3" xfId="31836" xr:uid="{D1293982-3AB5-4206-B713-F69ADCA9478B}"/>
    <cellStyle name="20% - Accent2 5 2 3" xfId="365" xr:uid="{00000000-0005-0000-0000-00006D010000}"/>
    <cellStyle name="20% - Accent2 5 2 3 2" xfId="31838" xr:uid="{FF5C4F5D-879D-4B98-BA8D-FFE2C41C4F83}"/>
    <cellStyle name="20% - Accent2 5 2 4" xfId="31835" xr:uid="{D583917E-80D8-4B2C-902B-22B9F1372E39}"/>
    <cellStyle name="20% - Accent2 5 3" xfId="366" xr:uid="{00000000-0005-0000-0000-00006E010000}"/>
    <cellStyle name="20% - Accent2 5 3 2" xfId="367" xr:uid="{00000000-0005-0000-0000-00006F010000}"/>
    <cellStyle name="20% - Accent2 5 3 2 2" xfId="368" xr:uid="{00000000-0005-0000-0000-000070010000}"/>
    <cellStyle name="20% - Accent2 5 3 2 2 2" xfId="369" xr:uid="{00000000-0005-0000-0000-000071010000}"/>
    <cellStyle name="20% - Accent2 5 3 2 2 2 2" xfId="31842" xr:uid="{58B58274-687D-4035-92EE-85D218BF790C}"/>
    <cellStyle name="20% - Accent2 5 3 2 2 3" xfId="31841" xr:uid="{F3EC959C-E588-4B02-9C3F-8FAC96F1E72B}"/>
    <cellStyle name="20% - Accent2 5 3 2 3" xfId="370" xr:uid="{00000000-0005-0000-0000-000072010000}"/>
    <cellStyle name="20% - Accent2 5 3 2 3 2" xfId="31843" xr:uid="{CC0031CC-4031-4C55-BAB2-D83C9FF12A23}"/>
    <cellStyle name="20% - Accent2 5 3 2 4" xfId="31840" xr:uid="{45738D4F-A6E9-4EF0-BFB0-BA2F7656F56E}"/>
    <cellStyle name="20% - Accent2 5 3 3" xfId="371" xr:uid="{00000000-0005-0000-0000-000073010000}"/>
    <cellStyle name="20% - Accent2 5 3 3 2" xfId="372" xr:uid="{00000000-0005-0000-0000-000074010000}"/>
    <cellStyle name="20% - Accent2 5 3 3 2 2" xfId="31845" xr:uid="{C0EE9A87-33F1-4DB4-8BBC-A25E87F0EFCF}"/>
    <cellStyle name="20% - Accent2 5 3 3 3" xfId="31844" xr:uid="{4F24D5DF-39B5-4673-A60B-1DC5BB3394C9}"/>
    <cellStyle name="20% - Accent2 5 3 4" xfId="373" xr:uid="{00000000-0005-0000-0000-000075010000}"/>
    <cellStyle name="20% - Accent2 5 3 4 2" xfId="31846" xr:uid="{EFA7719E-07C1-4B1F-BDAE-6A2DD5042F12}"/>
    <cellStyle name="20% - Accent2 5 3 5" xfId="31839" xr:uid="{773FD1B2-271B-4DE7-BC45-751E6BC33273}"/>
    <cellStyle name="20% - Accent2 5 4" xfId="374" xr:uid="{00000000-0005-0000-0000-000076010000}"/>
    <cellStyle name="20% - Accent2 5 4 2" xfId="375" xr:uid="{00000000-0005-0000-0000-000077010000}"/>
    <cellStyle name="20% - Accent2 5 4 2 2" xfId="31848" xr:uid="{15854071-DD44-41F8-9DD1-F6EB7B090B14}"/>
    <cellStyle name="20% - Accent2 5 4 3" xfId="31847" xr:uid="{054913C6-F064-40C9-A655-DF8F6B688A45}"/>
    <cellStyle name="20% - Accent2 5 5" xfId="376" xr:uid="{00000000-0005-0000-0000-000078010000}"/>
    <cellStyle name="20% - Accent2 5 5 2" xfId="31849" xr:uid="{CC3D30BA-A9BE-4E8D-B660-BFA30071FC62}"/>
    <cellStyle name="20% - Accent2 5 6" xfId="31834" xr:uid="{52F50BD6-AD00-4087-A99C-88C2C94DB4F3}"/>
    <cellStyle name="20% - Accent2 6" xfId="377" xr:uid="{00000000-0005-0000-0000-000079010000}"/>
    <cellStyle name="20% - Accent2 6 2" xfId="378" xr:uid="{00000000-0005-0000-0000-00007A010000}"/>
    <cellStyle name="20% - Accent2 6 2 2" xfId="379" xr:uid="{00000000-0005-0000-0000-00007B010000}"/>
    <cellStyle name="20% - Accent2 6 2 2 2" xfId="380" xr:uid="{00000000-0005-0000-0000-00007C010000}"/>
    <cellStyle name="20% - Accent2 6 2 3" xfId="381" xr:uid="{00000000-0005-0000-0000-00007D010000}"/>
    <cellStyle name="20% - Accent2 6 3" xfId="382" xr:uid="{00000000-0005-0000-0000-00007E010000}"/>
    <cellStyle name="20% - Accent2 6 3 2" xfId="383" xr:uid="{00000000-0005-0000-0000-00007F010000}"/>
    <cellStyle name="20% - Accent2 6 4" xfId="384" xr:uid="{00000000-0005-0000-0000-000080010000}"/>
    <cellStyle name="20% - Accent2 7" xfId="385" xr:uid="{00000000-0005-0000-0000-000081010000}"/>
    <cellStyle name="20% - Accent2 8" xfId="386" xr:uid="{00000000-0005-0000-0000-000082010000}"/>
    <cellStyle name="20% - Accent3 2" xfId="387" xr:uid="{00000000-0005-0000-0000-000083010000}"/>
    <cellStyle name="20% - Accent3 2 10" xfId="388" xr:uid="{00000000-0005-0000-0000-000084010000}"/>
    <cellStyle name="20% - Accent3 2 10 2" xfId="389" xr:uid="{00000000-0005-0000-0000-000085010000}"/>
    <cellStyle name="20% - Accent3 2 10 2 2" xfId="31852" xr:uid="{720366A1-137E-49A1-BF83-195EEFE46FC2}"/>
    <cellStyle name="20% - Accent3 2 10 3" xfId="31851" xr:uid="{DCC3CDF7-3D65-4377-BE6B-83DEA926C6DB}"/>
    <cellStyle name="20% - Accent3 2 11" xfId="390" xr:uid="{00000000-0005-0000-0000-000086010000}"/>
    <cellStyle name="20% - Accent3 2 11 2" xfId="31853" xr:uid="{6FE18846-6AF3-490F-BAD2-4D888DC7F12B}"/>
    <cellStyle name="20% - Accent3 2 12" xfId="31850" xr:uid="{E4541EF3-A5E9-4EC7-8F29-ABC672567B7F}"/>
    <cellStyle name="20% - Accent3 2 2" xfId="391" xr:uid="{00000000-0005-0000-0000-000087010000}"/>
    <cellStyle name="20% - Accent3 2 2 2" xfId="392" xr:uid="{00000000-0005-0000-0000-000088010000}"/>
    <cellStyle name="20% - Accent3 2 2 2 2" xfId="393" xr:uid="{00000000-0005-0000-0000-000089010000}"/>
    <cellStyle name="20% - Accent3 2 2 2 2 2" xfId="394" xr:uid="{00000000-0005-0000-0000-00008A010000}"/>
    <cellStyle name="20% - Accent3 2 2 2 3" xfId="395" xr:uid="{00000000-0005-0000-0000-00008B010000}"/>
    <cellStyle name="20% - Accent3 2 2 2 3 2" xfId="396" xr:uid="{00000000-0005-0000-0000-00008C010000}"/>
    <cellStyle name="20% - Accent3 2 2 2 3 2 2" xfId="397" xr:uid="{00000000-0005-0000-0000-00008D010000}"/>
    <cellStyle name="20% - Accent3 2 2 2 3 3" xfId="398" xr:uid="{00000000-0005-0000-0000-00008E010000}"/>
    <cellStyle name="20% - Accent3 2 2 2 4" xfId="399" xr:uid="{00000000-0005-0000-0000-00008F010000}"/>
    <cellStyle name="20% - Accent3 2 2 3" xfId="400" xr:uid="{00000000-0005-0000-0000-000090010000}"/>
    <cellStyle name="20% - Accent3 2 2 3 2" xfId="401" xr:uid="{00000000-0005-0000-0000-000091010000}"/>
    <cellStyle name="20% - Accent3 2 2 3 2 2" xfId="402" xr:uid="{00000000-0005-0000-0000-000092010000}"/>
    <cellStyle name="20% - Accent3 2 2 3 2 2 2" xfId="31857" xr:uid="{446A1ACB-A7FC-4F3A-A3DF-FEF38A82E857}"/>
    <cellStyle name="20% - Accent3 2 2 3 2 3" xfId="31856" xr:uid="{C6AB4606-C5DC-4D5A-A62A-401E8264F0FE}"/>
    <cellStyle name="20% - Accent3 2 2 3 3" xfId="403" xr:uid="{00000000-0005-0000-0000-000093010000}"/>
    <cellStyle name="20% - Accent3 2 2 3 3 2" xfId="31858" xr:uid="{B81FF01A-669C-4454-A5BA-252C802C643F}"/>
    <cellStyle name="20% - Accent3 2 2 3 4" xfId="31855" xr:uid="{29AC901C-AC5C-4933-BA43-302ABFC2F49C}"/>
    <cellStyle name="20% - Accent3 2 2 4" xfId="404" xr:uid="{00000000-0005-0000-0000-000094010000}"/>
    <cellStyle name="20% - Accent3 2 2 4 2" xfId="405" xr:uid="{00000000-0005-0000-0000-000095010000}"/>
    <cellStyle name="20% - Accent3 2 2 4 2 2" xfId="406" xr:uid="{00000000-0005-0000-0000-000096010000}"/>
    <cellStyle name="20% - Accent3 2 2 4 2 2 2" xfId="407" xr:uid="{00000000-0005-0000-0000-000097010000}"/>
    <cellStyle name="20% - Accent3 2 2 4 2 2 2 2" xfId="31862" xr:uid="{8AA859FE-4631-48F7-BE3A-7411D79478BF}"/>
    <cellStyle name="20% - Accent3 2 2 4 2 2 3" xfId="31861" xr:uid="{0550F941-3893-4066-A064-A9511F04D5DA}"/>
    <cellStyle name="20% - Accent3 2 2 4 2 3" xfId="408" xr:uid="{00000000-0005-0000-0000-000098010000}"/>
    <cellStyle name="20% - Accent3 2 2 4 2 3 2" xfId="31863" xr:uid="{A3041596-6EF5-4039-9F18-C3A32A3D516C}"/>
    <cellStyle name="20% - Accent3 2 2 4 2 4" xfId="31860" xr:uid="{6A05E0E2-0FB4-4072-9448-91749102D519}"/>
    <cellStyle name="20% - Accent3 2 2 4 3" xfId="409" xr:uid="{00000000-0005-0000-0000-000099010000}"/>
    <cellStyle name="20% - Accent3 2 2 4 3 2" xfId="410" xr:uid="{00000000-0005-0000-0000-00009A010000}"/>
    <cellStyle name="20% - Accent3 2 2 4 3 2 2" xfId="31865" xr:uid="{41D3EF04-9B9A-49C2-A3B9-555BF7E5666E}"/>
    <cellStyle name="20% - Accent3 2 2 4 3 3" xfId="31864" xr:uid="{294994AA-B459-4EE4-88FC-DA8BED3B9DC5}"/>
    <cellStyle name="20% - Accent3 2 2 4 4" xfId="411" xr:uid="{00000000-0005-0000-0000-00009B010000}"/>
    <cellStyle name="20% - Accent3 2 2 4 4 2" xfId="31866" xr:uid="{2C2B0477-2F3D-4CDF-9B8C-6136F8D9BD36}"/>
    <cellStyle name="20% - Accent3 2 2 4 5" xfId="31859" xr:uid="{E31EAD8E-39C2-4002-8500-6EC118DF0094}"/>
    <cellStyle name="20% - Accent3 2 2 5" xfId="412" xr:uid="{00000000-0005-0000-0000-00009C010000}"/>
    <cellStyle name="20% - Accent3 2 2 5 2" xfId="413" xr:uid="{00000000-0005-0000-0000-00009D010000}"/>
    <cellStyle name="20% - Accent3 2 2 5 2 2" xfId="31868" xr:uid="{A3010F34-EF54-46DC-A724-1E650711B846}"/>
    <cellStyle name="20% - Accent3 2 2 5 3" xfId="31867" xr:uid="{DA7A1E73-F6B9-4BA7-85A8-CDF4DBBB017A}"/>
    <cellStyle name="20% - Accent3 2 2 6" xfId="414" xr:uid="{00000000-0005-0000-0000-00009E010000}"/>
    <cellStyle name="20% - Accent3 2 2 6 2" xfId="31869" xr:uid="{F987A5FC-0935-401F-9AAA-34FECEC96664}"/>
    <cellStyle name="20% - Accent3 2 2 7" xfId="31854" xr:uid="{E38728D5-2B4B-43F0-A93D-3E8A33640725}"/>
    <cellStyle name="20% - Accent3 2 3" xfId="415" xr:uid="{00000000-0005-0000-0000-00009F010000}"/>
    <cellStyle name="20% - Accent3 2 3 2" xfId="416" xr:uid="{00000000-0005-0000-0000-0000A0010000}"/>
    <cellStyle name="20% - Accent3 2 3 2 2" xfId="417" xr:uid="{00000000-0005-0000-0000-0000A1010000}"/>
    <cellStyle name="20% - Accent3 2 3 2 2 2" xfId="418" xr:uid="{00000000-0005-0000-0000-0000A2010000}"/>
    <cellStyle name="20% - Accent3 2 3 2 2 2 2" xfId="31873" xr:uid="{804E4574-99CE-44A5-8D7B-44AE9F3AB0A4}"/>
    <cellStyle name="20% - Accent3 2 3 2 2 3" xfId="31872" xr:uid="{0DD74CC1-6455-4798-A5F1-F0AC270BCEC5}"/>
    <cellStyle name="20% - Accent3 2 3 2 3" xfId="419" xr:uid="{00000000-0005-0000-0000-0000A3010000}"/>
    <cellStyle name="20% - Accent3 2 3 2 3 2" xfId="31874" xr:uid="{79094FA2-7027-48F6-BE73-8E375A2464B3}"/>
    <cellStyle name="20% - Accent3 2 3 2 4" xfId="31871" xr:uid="{D4522181-925F-4B05-B459-4D82D3572A09}"/>
    <cellStyle name="20% - Accent3 2 3 3" xfId="420" xr:uid="{00000000-0005-0000-0000-0000A4010000}"/>
    <cellStyle name="20% - Accent3 2 3 3 2" xfId="421" xr:uid="{00000000-0005-0000-0000-0000A5010000}"/>
    <cellStyle name="20% - Accent3 2 3 3 2 2" xfId="422" xr:uid="{00000000-0005-0000-0000-0000A6010000}"/>
    <cellStyle name="20% - Accent3 2 3 3 2 2 2" xfId="423" xr:uid="{00000000-0005-0000-0000-0000A7010000}"/>
    <cellStyle name="20% - Accent3 2 3 3 2 2 2 2" xfId="31878" xr:uid="{8D034E11-9ED7-4CAC-B2F5-3AC15D696CCD}"/>
    <cellStyle name="20% - Accent3 2 3 3 2 2 3" xfId="31877" xr:uid="{CAA56696-A80B-4360-9668-DAE852B39C8E}"/>
    <cellStyle name="20% - Accent3 2 3 3 2 3" xfId="424" xr:uid="{00000000-0005-0000-0000-0000A8010000}"/>
    <cellStyle name="20% - Accent3 2 3 3 2 3 2" xfId="31879" xr:uid="{18E4275B-5011-4E5C-B331-9D1C276CFAE5}"/>
    <cellStyle name="20% - Accent3 2 3 3 2 4" xfId="31876" xr:uid="{026BE89C-EA20-4405-8192-D010F2CFCE84}"/>
    <cellStyle name="20% - Accent3 2 3 3 3" xfId="425" xr:uid="{00000000-0005-0000-0000-0000A9010000}"/>
    <cellStyle name="20% - Accent3 2 3 3 3 2" xfId="426" xr:uid="{00000000-0005-0000-0000-0000AA010000}"/>
    <cellStyle name="20% - Accent3 2 3 3 3 2 2" xfId="31881" xr:uid="{22C9EB83-1649-4593-AB65-95576B7CDB17}"/>
    <cellStyle name="20% - Accent3 2 3 3 3 3" xfId="31880" xr:uid="{889D1336-FF66-44ED-9BB8-BA799B2628C4}"/>
    <cellStyle name="20% - Accent3 2 3 3 4" xfId="427" xr:uid="{00000000-0005-0000-0000-0000AB010000}"/>
    <cellStyle name="20% - Accent3 2 3 3 4 2" xfId="31882" xr:uid="{F9803CD9-AEF0-4CAC-B51A-CF411132C00C}"/>
    <cellStyle name="20% - Accent3 2 3 3 5" xfId="31875" xr:uid="{BA3CD443-0E21-483C-AAE7-B5265CB16012}"/>
    <cellStyle name="20% - Accent3 2 3 4" xfId="428" xr:uid="{00000000-0005-0000-0000-0000AC010000}"/>
    <cellStyle name="20% - Accent3 2 3 4 2" xfId="429" xr:uid="{00000000-0005-0000-0000-0000AD010000}"/>
    <cellStyle name="20% - Accent3 2 3 4 2 2" xfId="31884" xr:uid="{E82FE0A2-6DE4-483D-93FD-678A51F4C3BB}"/>
    <cellStyle name="20% - Accent3 2 3 4 3" xfId="31883" xr:uid="{B0F96AD3-2387-4808-A466-6F46CC57E365}"/>
    <cellStyle name="20% - Accent3 2 3 5" xfId="430" xr:uid="{00000000-0005-0000-0000-0000AE010000}"/>
    <cellStyle name="20% - Accent3 2 3 5 2" xfId="31885" xr:uid="{13D3B67D-E9BF-423F-939F-1D59FFF4D8A7}"/>
    <cellStyle name="20% - Accent3 2 3 6" xfId="31870" xr:uid="{D43C62BA-CBF6-4D3B-828E-CEA82C25E252}"/>
    <cellStyle name="20% - Accent3 2 4" xfId="431" xr:uid="{00000000-0005-0000-0000-0000AF010000}"/>
    <cellStyle name="20% - Accent3 2 4 2" xfId="432" xr:uid="{00000000-0005-0000-0000-0000B0010000}"/>
    <cellStyle name="20% - Accent3 2 4 2 2" xfId="433" xr:uid="{00000000-0005-0000-0000-0000B1010000}"/>
    <cellStyle name="20% - Accent3 2 4 2 2 2" xfId="434" xr:uid="{00000000-0005-0000-0000-0000B2010000}"/>
    <cellStyle name="20% - Accent3 2 4 2 2 2 2" xfId="31889" xr:uid="{5EB5AE2D-E652-413C-B9A7-97AF35420056}"/>
    <cellStyle name="20% - Accent3 2 4 2 2 3" xfId="31888" xr:uid="{D9AFD56E-EE51-4CB5-BFF9-E0A994AA89A8}"/>
    <cellStyle name="20% - Accent3 2 4 2 3" xfId="435" xr:uid="{00000000-0005-0000-0000-0000B3010000}"/>
    <cellStyle name="20% - Accent3 2 4 2 3 2" xfId="31890" xr:uid="{2E90EC0B-07CB-485B-82AD-286CA679FECA}"/>
    <cellStyle name="20% - Accent3 2 4 2 4" xfId="31887" xr:uid="{7FE57B23-C8B4-4211-AD17-5E349124EA19}"/>
    <cellStyle name="20% - Accent3 2 4 3" xfId="436" xr:uid="{00000000-0005-0000-0000-0000B4010000}"/>
    <cellStyle name="20% - Accent3 2 4 3 2" xfId="437" xr:uid="{00000000-0005-0000-0000-0000B5010000}"/>
    <cellStyle name="20% - Accent3 2 4 3 2 2" xfId="31892" xr:uid="{89ABDB02-5ACF-49CF-9EFA-217B245E1342}"/>
    <cellStyle name="20% - Accent3 2 4 3 3" xfId="31891" xr:uid="{B3FB5C48-F872-49F2-81EE-95226F3B1237}"/>
    <cellStyle name="20% - Accent3 2 4 4" xfId="438" xr:uid="{00000000-0005-0000-0000-0000B6010000}"/>
    <cellStyle name="20% - Accent3 2 4 4 2" xfId="31893" xr:uid="{0C2AFB00-2E38-4993-8BA5-FB74C34A926C}"/>
    <cellStyle name="20% - Accent3 2 4 5" xfId="31886" xr:uid="{C96C2507-8143-453D-B3F5-229EDA41CB03}"/>
    <cellStyle name="20% - Accent3 2 5" xfId="439" xr:uid="{00000000-0005-0000-0000-0000B7010000}"/>
    <cellStyle name="20% - Accent3 2 5 2" xfId="440" xr:uid="{00000000-0005-0000-0000-0000B8010000}"/>
    <cellStyle name="20% - Accent3 2 5 2 2" xfId="441" xr:uid="{00000000-0005-0000-0000-0000B9010000}"/>
    <cellStyle name="20% - Accent3 2 5 2 2 2" xfId="442" xr:uid="{00000000-0005-0000-0000-0000BA010000}"/>
    <cellStyle name="20% - Accent3 2 5 2 2 2 2" xfId="31897" xr:uid="{2230B350-8768-436F-BD88-509F7CDFB04D}"/>
    <cellStyle name="20% - Accent3 2 5 2 2 3" xfId="31896" xr:uid="{A2A92126-7A26-4617-A9B9-C4B19BD66643}"/>
    <cellStyle name="20% - Accent3 2 5 2 3" xfId="443" xr:uid="{00000000-0005-0000-0000-0000BB010000}"/>
    <cellStyle name="20% - Accent3 2 5 2 3 2" xfId="31898" xr:uid="{AA12D07C-1022-45C5-A077-5ADD1BF33FEA}"/>
    <cellStyle name="20% - Accent3 2 5 2 4" xfId="31895" xr:uid="{1BA8827B-E8B2-443D-A985-8FC6BB9556B1}"/>
    <cellStyle name="20% - Accent3 2 5 3" xfId="444" xr:uid="{00000000-0005-0000-0000-0000BC010000}"/>
    <cellStyle name="20% - Accent3 2 5 3 2" xfId="445" xr:uid="{00000000-0005-0000-0000-0000BD010000}"/>
    <cellStyle name="20% - Accent3 2 5 3 2 2" xfId="446" xr:uid="{00000000-0005-0000-0000-0000BE010000}"/>
    <cellStyle name="20% - Accent3 2 5 3 2 2 2" xfId="447" xr:uid="{00000000-0005-0000-0000-0000BF010000}"/>
    <cellStyle name="20% - Accent3 2 5 3 2 2 2 2" xfId="31902" xr:uid="{9F4CFB24-64E9-43FB-A70B-FC7AEAD876CC}"/>
    <cellStyle name="20% - Accent3 2 5 3 2 2 3" xfId="31901" xr:uid="{235D616A-5E78-49F9-A213-D3D83472250D}"/>
    <cellStyle name="20% - Accent3 2 5 3 2 3" xfId="448" xr:uid="{00000000-0005-0000-0000-0000C0010000}"/>
    <cellStyle name="20% - Accent3 2 5 3 2 3 2" xfId="31903" xr:uid="{18EAA761-C138-4068-B67F-AEADD85BAC72}"/>
    <cellStyle name="20% - Accent3 2 5 3 2 4" xfId="31900" xr:uid="{921102E9-AA84-420D-B55C-BE13EB99C933}"/>
    <cellStyle name="20% - Accent3 2 5 3 3" xfId="449" xr:uid="{00000000-0005-0000-0000-0000C1010000}"/>
    <cellStyle name="20% - Accent3 2 5 3 3 2" xfId="450" xr:uid="{00000000-0005-0000-0000-0000C2010000}"/>
    <cellStyle name="20% - Accent3 2 5 3 3 2 2" xfId="31905" xr:uid="{724F7095-7FA7-4DE1-821F-DA7ECB807555}"/>
    <cellStyle name="20% - Accent3 2 5 3 3 3" xfId="31904" xr:uid="{CCDBF8B3-C745-4254-8FC3-A716C40B7D8C}"/>
    <cellStyle name="20% - Accent3 2 5 3 4" xfId="451" xr:uid="{00000000-0005-0000-0000-0000C3010000}"/>
    <cellStyle name="20% - Accent3 2 5 3 4 2" xfId="31906" xr:uid="{BEA96BCD-14D2-49DA-A987-FF4CEF672ABB}"/>
    <cellStyle name="20% - Accent3 2 5 3 5" xfId="31899" xr:uid="{E60CFE53-B776-44EF-804E-F8875BE59426}"/>
    <cellStyle name="20% - Accent3 2 5 4" xfId="452" xr:uid="{00000000-0005-0000-0000-0000C4010000}"/>
    <cellStyle name="20% - Accent3 2 5 4 2" xfId="453" xr:uid="{00000000-0005-0000-0000-0000C5010000}"/>
    <cellStyle name="20% - Accent3 2 5 4 2 2" xfId="31908" xr:uid="{8A9F67B4-A19C-4D63-BEED-F60CA6472237}"/>
    <cellStyle name="20% - Accent3 2 5 4 3" xfId="31907" xr:uid="{3351FB11-2811-4D46-AA77-9E4CAD2680DD}"/>
    <cellStyle name="20% - Accent3 2 5 5" xfId="454" xr:uid="{00000000-0005-0000-0000-0000C6010000}"/>
    <cellStyle name="20% - Accent3 2 5 5 2" xfId="31909" xr:uid="{7E5F5C5F-B2E4-4523-B2C0-C4DD06996553}"/>
    <cellStyle name="20% - Accent3 2 5 6" xfId="31894" xr:uid="{86445C05-A24F-425E-AC60-0FA89D95743C}"/>
    <cellStyle name="20% - Accent3 2 6" xfId="455" xr:uid="{00000000-0005-0000-0000-0000C7010000}"/>
    <cellStyle name="20% - Accent3 2 6 2" xfId="456" xr:uid="{00000000-0005-0000-0000-0000C8010000}"/>
    <cellStyle name="20% - Accent3 2 6 2 2" xfId="457" xr:uid="{00000000-0005-0000-0000-0000C9010000}"/>
    <cellStyle name="20% - Accent3 2 6 2 2 2" xfId="31912" xr:uid="{1B1006EF-D1ED-4313-9A81-E76F2CE64297}"/>
    <cellStyle name="20% - Accent3 2 6 2 3" xfId="31911" xr:uid="{0D25945D-68AA-43F3-A2DB-1B9B98C38FEC}"/>
    <cellStyle name="20% - Accent3 2 6 3" xfId="458" xr:uid="{00000000-0005-0000-0000-0000CA010000}"/>
    <cellStyle name="20% - Accent3 2 6 3 2" xfId="31913" xr:uid="{94962072-6D81-4CF3-B90D-F95B62CA194F}"/>
    <cellStyle name="20% - Accent3 2 6 4" xfId="31910" xr:uid="{628185C9-AAE3-41D0-887C-3B80A1184943}"/>
    <cellStyle name="20% - Accent3 2 7" xfId="459" xr:uid="{00000000-0005-0000-0000-0000CB010000}"/>
    <cellStyle name="20% - Accent3 2 7 2" xfId="460" xr:uid="{00000000-0005-0000-0000-0000CC010000}"/>
    <cellStyle name="20% - Accent3 2 7 2 2" xfId="461" xr:uid="{00000000-0005-0000-0000-0000CD010000}"/>
    <cellStyle name="20% - Accent3 2 7 2 2 2" xfId="31916" xr:uid="{C77F978B-0957-4796-AFD9-C491E6010243}"/>
    <cellStyle name="20% - Accent3 2 7 2 3" xfId="31915" xr:uid="{FC3370FD-C486-4075-9358-A1F2FB5F22F3}"/>
    <cellStyle name="20% - Accent3 2 7 3" xfId="462" xr:uid="{00000000-0005-0000-0000-0000CE010000}"/>
    <cellStyle name="20% - Accent3 2 7 3 2" xfId="31917" xr:uid="{3F567B1D-A79D-4D35-85BB-8D59FC0F6392}"/>
    <cellStyle name="20% - Accent3 2 7 4" xfId="31914" xr:uid="{76E2FC91-E664-4AAA-A066-C394EC4C64DF}"/>
    <cellStyle name="20% - Accent3 2 8" xfId="463" xr:uid="{00000000-0005-0000-0000-0000CF010000}"/>
    <cellStyle name="20% - Accent3 2 8 2" xfId="464" xr:uid="{00000000-0005-0000-0000-0000D0010000}"/>
    <cellStyle name="20% - Accent3 2 8 2 2" xfId="465" xr:uid="{00000000-0005-0000-0000-0000D1010000}"/>
    <cellStyle name="20% - Accent3 2 8 2 2 2" xfId="466" xr:uid="{00000000-0005-0000-0000-0000D2010000}"/>
    <cellStyle name="20% - Accent3 2 8 2 2 2 2" xfId="31921" xr:uid="{E81C9ACF-2558-49A2-90BE-21651C5B0311}"/>
    <cellStyle name="20% - Accent3 2 8 2 2 3" xfId="31920" xr:uid="{279B4545-17BB-432B-B93C-765D91B87242}"/>
    <cellStyle name="20% - Accent3 2 8 2 3" xfId="467" xr:uid="{00000000-0005-0000-0000-0000D3010000}"/>
    <cellStyle name="20% - Accent3 2 8 2 3 2" xfId="31922" xr:uid="{DE4DCD07-215D-4544-9F82-B5E594136E06}"/>
    <cellStyle name="20% - Accent3 2 8 2 4" xfId="31919" xr:uid="{86C559BF-2BF2-4CDE-AECE-7FDBDC81A567}"/>
    <cellStyle name="20% - Accent3 2 8 3" xfId="468" xr:uid="{00000000-0005-0000-0000-0000D4010000}"/>
    <cellStyle name="20% - Accent3 2 8 3 2" xfId="469" xr:uid="{00000000-0005-0000-0000-0000D5010000}"/>
    <cellStyle name="20% - Accent3 2 8 3 2 2" xfId="31924" xr:uid="{12886DD2-5332-4C3F-8945-483B271E02F7}"/>
    <cellStyle name="20% - Accent3 2 8 3 3" xfId="31923" xr:uid="{2F4820DF-4BAE-4371-9847-AA657EECF095}"/>
    <cellStyle name="20% - Accent3 2 8 4" xfId="470" xr:uid="{00000000-0005-0000-0000-0000D6010000}"/>
    <cellStyle name="20% - Accent3 2 8 4 2" xfId="31925" xr:uid="{D4C43AB8-F664-457C-BF1F-351DA7B421C7}"/>
    <cellStyle name="20% - Accent3 2 8 5" xfId="31918" xr:uid="{0DF5405E-8CAA-4D91-B65D-FB9395DAEF35}"/>
    <cellStyle name="20% - Accent3 2 9" xfId="471" xr:uid="{00000000-0005-0000-0000-0000D7010000}"/>
    <cellStyle name="20% - Accent3 2 9 2" xfId="472" xr:uid="{00000000-0005-0000-0000-0000D8010000}"/>
    <cellStyle name="20% - Accent3 2 9 2 2" xfId="31927" xr:uid="{4332EAEE-8A82-4A6E-9DF0-F07E9DCF6DBA}"/>
    <cellStyle name="20% - Accent3 2 9 3" xfId="31926" xr:uid="{7AED7374-EF6B-466A-9E45-A8A55EC26701}"/>
    <cellStyle name="20% - Accent3 3" xfId="473" xr:uid="{00000000-0005-0000-0000-0000D9010000}"/>
    <cellStyle name="20% - Accent3 3 2" xfId="474" xr:uid="{00000000-0005-0000-0000-0000DA010000}"/>
    <cellStyle name="20% - Accent3 3 2 2" xfId="475" xr:uid="{00000000-0005-0000-0000-0000DB010000}"/>
    <cellStyle name="20% - Accent3 3 2 2 2" xfId="476" xr:uid="{00000000-0005-0000-0000-0000DC010000}"/>
    <cellStyle name="20% - Accent3 3 2 2 2 2" xfId="31931" xr:uid="{D2CD7079-B031-4B43-B42B-BF13C8C702FA}"/>
    <cellStyle name="20% - Accent3 3 2 2 3" xfId="31930" xr:uid="{933E2824-A805-418A-B857-76804D6768A4}"/>
    <cellStyle name="20% - Accent3 3 2 3" xfId="477" xr:uid="{00000000-0005-0000-0000-0000DD010000}"/>
    <cellStyle name="20% - Accent3 3 2 3 2" xfId="31932" xr:uid="{79A81D09-D341-42A3-9173-0B8D95A97D41}"/>
    <cellStyle name="20% - Accent3 3 2 4" xfId="31929" xr:uid="{65D1AB04-D775-4419-BF1C-45C7F7A85466}"/>
    <cellStyle name="20% - Accent3 3 3" xfId="478" xr:uid="{00000000-0005-0000-0000-0000DE010000}"/>
    <cellStyle name="20% - Accent3 3 3 2" xfId="479" xr:uid="{00000000-0005-0000-0000-0000DF010000}"/>
    <cellStyle name="20% - Accent3 3 4" xfId="480" xr:uid="{00000000-0005-0000-0000-0000E0010000}"/>
    <cellStyle name="20% - Accent3 3 4 2" xfId="481" xr:uid="{00000000-0005-0000-0000-0000E1010000}"/>
    <cellStyle name="20% - Accent3 3 4 2 2" xfId="482" xr:uid="{00000000-0005-0000-0000-0000E2010000}"/>
    <cellStyle name="20% - Accent3 3 4 3" xfId="483" xr:uid="{00000000-0005-0000-0000-0000E3010000}"/>
    <cellStyle name="20% - Accent3 3 5" xfId="484" xr:uid="{00000000-0005-0000-0000-0000E4010000}"/>
    <cellStyle name="20% - Accent3 3 6" xfId="31928" xr:uid="{31AF787C-74DA-472D-BCE6-AC0EB1A6EB45}"/>
    <cellStyle name="20% - Accent3 4" xfId="485" xr:uid="{00000000-0005-0000-0000-0000E5010000}"/>
    <cellStyle name="20% - Accent3 4 2" xfId="486" xr:uid="{00000000-0005-0000-0000-0000E6010000}"/>
    <cellStyle name="20% - Accent3 4 2 2" xfId="487" xr:uid="{00000000-0005-0000-0000-0000E7010000}"/>
    <cellStyle name="20% - Accent3 4 3" xfId="488" xr:uid="{00000000-0005-0000-0000-0000E8010000}"/>
    <cellStyle name="20% - Accent3 4 3 2" xfId="489" xr:uid="{00000000-0005-0000-0000-0000E9010000}"/>
    <cellStyle name="20% - Accent3 4 3 2 2" xfId="490" xr:uid="{00000000-0005-0000-0000-0000EA010000}"/>
    <cellStyle name="20% - Accent3 4 3 3" xfId="491" xr:uid="{00000000-0005-0000-0000-0000EB010000}"/>
    <cellStyle name="20% - Accent3 4 4" xfId="492" xr:uid="{00000000-0005-0000-0000-0000EC010000}"/>
    <cellStyle name="20% - Accent3 4 5" xfId="31933" xr:uid="{02CDE6C1-ECCA-4AA5-94DE-8850B83132AB}"/>
    <cellStyle name="20% - Accent3 5" xfId="493" xr:uid="{00000000-0005-0000-0000-0000ED010000}"/>
    <cellStyle name="20% - Accent3 5 2" xfId="494" xr:uid="{00000000-0005-0000-0000-0000EE010000}"/>
    <cellStyle name="20% - Accent3 5 2 2" xfId="495" xr:uid="{00000000-0005-0000-0000-0000EF010000}"/>
    <cellStyle name="20% - Accent3 5 2 2 2" xfId="496" xr:uid="{00000000-0005-0000-0000-0000F0010000}"/>
    <cellStyle name="20% - Accent3 5 2 2 2 2" xfId="31937" xr:uid="{DDE33906-54E0-4F16-9467-A0B5E4C80BC7}"/>
    <cellStyle name="20% - Accent3 5 2 2 3" xfId="31936" xr:uid="{A4B7D1B0-F5AC-462D-8FC5-01E51294ADB0}"/>
    <cellStyle name="20% - Accent3 5 2 3" xfId="497" xr:uid="{00000000-0005-0000-0000-0000F1010000}"/>
    <cellStyle name="20% - Accent3 5 2 3 2" xfId="31938" xr:uid="{7468B951-BD49-42DA-8764-0D45621798B1}"/>
    <cellStyle name="20% - Accent3 5 2 4" xfId="31935" xr:uid="{B040930C-0530-409F-AEBD-C1AFA50833E2}"/>
    <cellStyle name="20% - Accent3 5 3" xfId="498" xr:uid="{00000000-0005-0000-0000-0000F2010000}"/>
    <cellStyle name="20% - Accent3 5 3 2" xfId="499" xr:uid="{00000000-0005-0000-0000-0000F3010000}"/>
    <cellStyle name="20% - Accent3 5 3 2 2" xfId="500" xr:uid="{00000000-0005-0000-0000-0000F4010000}"/>
    <cellStyle name="20% - Accent3 5 3 2 2 2" xfId="501" xr:uid="{00000000-0005-0000-0000-0000F5010000}"/>
    <cellStyle name="20% - Accent3 5 3 2 2 2 2" xfId="31942" xr:uid="{DF4869B8-CFC9-48DD-A550-FD94D109BAEB}"/>
    <cellStyle name="20% - Accent3 5 3 2 2 3" xfId="31941" xr:uid="{098FC80C-C822-4600-B6A7-813A30797FFC}"/>
    <cellStyle name="20% - Accent3 5 3 2 3" xfId="502" xr:uid="{00000000-0005-0000-0000-0000F6010000}"/>
    <cellStyle name="20% - Accent3 5 3 2 3 2" xfId="31943" xr:uid="{EF31DADE-962A-4CE2-B88F-C628E7662044}"/>
    <cellStyle name="20% - Accent3 5 3 2 4" xfId="31940" xr:uid="{AA06501E-A829-4CF4-8838-54B612C35B47}"/>
    <cellStyle name="20% - Accent3 5 3 3" xfId="503" xr:uid="{00000000-0005-0000-0000-0000F7010000}"/>
    <cellStyle name="20% - Accent3 5 3 3 2" xfId="504" xr:uid="{00000000-0005-0000-0000-0000F8010000}"/>
    <cellStyle name="20% - Accent3 5 3 3 2 2" xfId="31945" xr:uid="{FDF369B6-7AC6-410F-B4F2-84D836C27888}"/>
    <cellStyle name="20% - Accent3 5 3 3 3" xfId="31944" xr:uid="{5B0F6B64-9AE3-4F09-9C81-6B1E6FA58E05}"/>
    <cellStyle name="20% - Accent3 5 3 4" xfId="505" xr:uid="{00000000-0005-0000-0000-0000F9010000}"/>
    <cellStyle name="20% - Accent3 5 3 4 2" xfId="31946" xr:uid="{02A4E6A0-BBE2-41EE-911D-EA15BC6F764F}"/>
    <cellStyle name="20% - Accent3 5 3 5" xfId="31939" xr:uid="{967FC775-E8C0-48A0-81AA-A301B58827A7}"/>
    <cellStyle name="20% - Accent3 5 4" xfId="506" xr:uid="{00000000-0005-0000-0000-0000FA010000}"/>
    <cellStyle name="20% - Accent3 5 4 2" xfId="507" xr:uid="{00000000-0005-0000-0000-0000FB010000}"/>
    <cellStyle name="20% - Accent3 5 4 2 2" xfId="31948" xr:uid="{ED78B168-7B8F-4E91-8963-58CCD3A92E0E}"/>
    <cellStyle name="20% - Accent3 5 4 3" xfId="31947" xr:uid="{76A143EE-EB36-42F1-B0BA-BCE0903BA0A2}"/>
    <cellStyle name="20% - Accent3 5 5" xfId="508" xr:uid="{00000000-0005-0000-0000-0000FC010000}"/>
    <cellStyle name="20% - Accent3 5 5 2" xfId="31949" xr:uid="{FE9EF3D9-746A-47B3-A8BD-C6C94B28E92A}"/>
    <cellStyle name="20% - Accent3 5 6" xfId="31934" xr:uid="{54693B7D-D48C-456D-9F2A-760FDBA4EE3E}"/>
    <cellStyle name="20% - Accent3 6" xfId="509" xr:uid="{00000000-0005-0000-0000-0000FD010000}"/>
    <cellStyle name="20% - Accent3 6 2" xfId="510" xr:uid="{00000000-0005-0000-0000-0000FE010000}"/>
    <cellStyle name="20% - Accent3 6 2 2" xfId="511" xr:uid="{00000000-0005-0000-0000-0000FF010000}"/>
    <cellStyle name="20% - Accent3 6 2 2 2" xfId="512" xr:uid="{00000000-0005-0000-0000-000000020000}"/>
    <cellStyle name="20% - Accent3 6 2 2 2 2" xfId="31953" xr:uid="{56969640-723D-4541-8097-1FA7F12420BC}"/>
    <cellStyle name="20% - Accent3 6 2 2 3" xfId="31952" xr:uid="{DB9FB5ED-F4E4-4EB0-B40F-5F6BA3C2D148}"/>
    <cellStyle name="20% - Accent3 6 2 3" xfId="513" xr:uid="{00000000-0005-0000-0000-000001020000}"/>
    <cellStyle name="20% - Accent3 6 2 3 2" xfId="31954" xr:uid="{77B13DDE-1455-410F-9211-7769099C6DF5}"/>
    <cellStyle name="20% - Accent3 6 2 4" xfId="31951" xr:uid="{5802B068-2DEC-4C85-98C9-80C7A728D0FB}"/>
    <cellStyle name="20% - Accent3 6 3" xfId="514" xr:uid="{00000000-0005-0000-0000-000002020000}"/>
    <cellStyle name="20% - Accent3 6 3 2" xfId="515" xr:uid="{00000000-0005-0000-0000-000003020000}"/>
    <cellStyle name="20% - Accent3 6 3 2 2" xfId="31956" xr:uid="{C119ACCE-9E01-451F-80A9-FEAB15D61862}"/>
    <cellStyle name="20% - Accent3 6 3 3" xfId="31955" xr:uid="{801511F4-657A-42F9-9E37-649C71F66855}"/>
    <cellStyle name="20% - Accent3 6 4" xfId="516" xr:uid="{00000000-0005-0000-0000-000004020000}"/>
    <cellStyle name="20% - Accent3 6 4 2" xfId="31957" xr:uid="{D62227AC-96BD-43A0-A628-AC5A07911EF8}"/>
    <cellStyle name="20% - Accent3 6 5" xfId="31950" xr:uid="{B55594FC-5260-42E5-AAB5-A437C2E7B7DC}"/>
    <cellStyle name="20% - Accent3 7" xfId="517" xr:uid="{00000000-0005-0000-0000-000005020000}"/>
    <cellStyle name="20% - Accent3 8" xfId="518" xr:uid="{00000000-0005-0000-0000-000006020000}"/>
    <cellStyle name="20% - Accent4 2" xfId="519" xr:uid="{00000000-0005-0000-0000-000007020000}"/>
    <cellStyle name="20% - Accent4 2 10" xfId="520" xr:uid="{00000000-0005-0000-0000-000008020000}"/>
    <cellStyle name="20% - Accent4 2 10 2" xfId="521" xr:uid="{00000000-0005-0000-0000-000009020000}"/>
    <cellStyle name="20% - Accent4 2 10 2 2" xfId="31959" xr:uid="{094F8DE7-18C6-41A2-A0DD-AD2ECDFBD6A4}"/>
    <cellStyle name="20% - Accent4 2 10 3" xfId="31958" xr:uid="{A54D580E-02DB-4491-8652-12977051C1B9}"/>
    <cellStyle name="20% - Accent4 2 11" xfId="522" xr:uid="{00000000-0005-0000-0000-00000A020000}"/>
    <cellStyle name="20% - Accent4 2 2" xfId="523" xr:uid="{00000000-0005-0000-0000-00000B020000}"/>
    <cellStyle name="20% - Accent4 2 2 2" xfId="524" xr:uid="{00000000-0005-0000-0000-00000C020000}"/>
    <cellStyle name="20% - Accent4 2 2 2 2" xfId="525" xr:uid="{00000000-0005-0000-0000-00000D020000}"/>
    <cellStyle name="20% - Accent4 2 2 2 2 2" xfId="526" xr:uid="{00000000-0005-0000-0000-00000E020000}"/>
    <cellStyle name="20% - Accent4 2 2 2 3" xfId="527" xr:uid="{00000000-0005-0000-0000-00000F020000}"/>
    <cellStyle name="20% - Accent4 2 2 2 3 2" xfId="528" xr:uid="{00000000-0005-0000-0000-000010020000}"/>
    <cellStyle name="20% - Accent4 2 2 2 3 2 2" xfId="529" xr:uid="{00000000-0005-0000-0000-000011020000}"/>
    <cellStyle name="20% - Accent4 2 2 2 3 3" xfId="530" xr:uid="{00000000-0005-0000-0000-000012020000}"/>
    <cellStyle name="20% - Accent4 2 2 2 4" xfId="531" xr:uid="{00000000-0005-0000-0000-000013020000}"/>
    <cellStyle name="20% - Accent4 2 2 3" xfId="532" xr:uid="{00000000-0005-0000-0000-000014020000}"/>
    <cellStyle name="20% - Accent4 2 2 3 2" xfId="533" xr:uid="{00000000-0005-0000-0000-000015020000}"/>
    <cellStyle name="20% - Accent4 2 2 3 2 2" xfId="534" xr:uid="{00000000-0005-0000-0000-000016020000}"/>
    <cellStyle name="20% - Accent4 2 2 3 3" xfId="535" xr:uid="{00000000-0005-0000-0000-000017020000}"/>
    <cellStyle name="20% - Accent4 2 2 4" xfId="536" xr:uid="{00000000-0005-0000-0000-000018020000}"/>
    <cellStyle name="20% - Accent4 2 2 4 2" xfId="537" xr:uid="{00000000-0005-0000-0000-000019020000}"/>
    <cellStyle name="20% - Accent4 2 2 4 2 2" xfId="538" xr:uid="{00000000-0005-0000-0000-00001A020000}"/>
    <cellStyle name="20% - Accent4 2 2 4 2 2 2" xfId="539" xr:uid="{00000000-0005-0000-0000-00001B020000}"/>
    <cellStyle name="20% - Accent4 2 2 4 2 3" xfId="540" xr:uid="{00000000-0005-0000-0000-00001C020000}"/>
    <cellStyle name="20% - Accent4 2 2 4 3" xfId="541" xr:uid="{00000000-0005-0000-0000-00001D020000}"/>
    <cellStyle name="20% - Accent4 2 2 4 3 2" xfId="542" xr:uid="{00000000-0005-0000-0000-00001E020000}"/>
    <cellStyle name="20% - Accent4 2 2 4 4" xfId="543" xr:uid="{00000000-0005-0000-0000-00001F020000}"/>
    <cellStyle name="20% - Accent4 2 2 5" xfId="544" xr:uid="{00000000-0005-0000-0000-000020020000}"/>
    <cellStyle name="20% - Accent4 2 2 5 2" xfId="545" xr:uid="{00000000-0005-0000-0000-000021020000}"/>
    <cellStyle name="20% - Accent4 2 2 6" xfId="546" xr:uid="{00000000-0005-0000-0000-000022020000}"/>
    <cellStyle name="20% - Accent4 2 3" xfId="547" xr:uid="{00000000-0005-0000-0000-000023020000}"/>
    <cellStyle name="20% - Accent4 2 3 2" xfId="548" xr:uid="{00000000-0005-0000-0000-000024020000}"/>
    <cellStyle name="20% - Accent4 2 3 2 2" xfId="549" xr:uid="{00000000-0005-0000-0000-000025020000}"/>
    <cellStyle name="20% - Accent4 2 3 2 2 2" xfId="550" xr:uid="{00000000-0005-0000-0000-000026020000}"/>
    <cellStyle name="20% - Accent4 2 3 2 2 2 2" xfId="31963" xr:uid="{9286D714-34AB-4A77-B907-4254A3D541CA}"/>
    <cellStyle name="20% - Accent4 2 3 2 2 3" xfId="31962" xr:uid="{3BAD3C75-BC27-4B17-B3B0-3CC5323A79E2}"/>
    <cellStyle name="20% - Accent4 2 3 2 3" xfId="551" xr:uid="{00000000-0005-0000-0000-000027020000}"/>
    <cellStyle name="20% - Accent4 2 3 2 3 2" xfId="31964" xr:uid="{0DE6C563-1DE0-4B48-A92B-92C59E20EC35}"/>
    <cellStyle name="20% - Accent4 2 3 2 4" xfId="31961" xr:uid="{624DE952-BD30-40DD-9237-CB275145A1F9}"/>
    <cellStyle name="20% - Accent4 2 3 3" xfId="552" xr:uid="{00000000-0005-0000-0000-000028020000}"/>
    <cellStyle name="20% - Accent4 2 3 3 2" xfId="553" xr:uid="{00000000-0005-0000-0000-000029020000}"/>
    <cellStyle name="20% - Accent4 2 3 3 2 2" xfId="554" xr:uid="{00000000-0005-0000-0000-00002A020000}"/>
    <cellStyle name="20% - Accent4 2 3 3 2 2 2" xfId="555" xr:uid="{00000000-0005-0000-0000-00002B020000}"/>
    <cellStyle name="20% - Accent4 2 3 3 2 2 2 2" xfId="31968" xr:uid="{C450E471-2D4B-44A6-AD53-89169E6F6199}"/>
    <cellStyle name="20% - Accent4 2 3 3 2 2 3" xfId="31967" xr:uid="{52A9EA4D-68F9-4406-95F6-1A7A3299F756}"/>
    <cellStyle name="20% - Accent4 2 3 3 2 3" xfId="556" xr:uid="{00000000-0005-0000-0000-00002C020000}"/>
    <cellStyle name="20% - Accent4 2 3 3 2 3 2" xfId="31969" xr:uid="{7C728194-4228-4AA7-AFDB-19C90F547623}"/>
    <cellStyle name="20% - Accent4 2 3 3 2 4" xfId="31966" xr:uid="{875A1563-12EF-48A0-9120-F3D894957295}"/>
    <cellStyle name="20% - Accent4 2 3 3 3" xfId="557" xr:uid="{00000000-0005-0000-0000-00002D020000}"/>
    <cellStyle name="20% - Accent4 2 3 3 3 2" xfId="558" xr:uid="{00000000-0005-0000-0000-00002E020000}"/>
    <cellStyle name="20% - Accent4 2 3 3 3 2 2" xfId="31971" xr:uid="{D3058759-BF35-49D4-861A-DDA9D5E8EB12}"/>
    <cellStyle name="20% - Accent4 2 3 3 3 3" xfId="31970" xr:uid="{0673B29A-4BDF-450F-A3C1-4947B6B5E2E7}"/>
    <cellStyle name="20% - Accent4 2 3 3 4" xfId="559" xr:uid="{00000000-0005-0000-0000-00002F020000}"/>
    <cellStyle name="20% - Accent4 2 3 3 4 2" xfId="31972" xr:uid="{F888AD1A-4868-4B06-8A4F-35E2E5CD8629}"/>
    <cellStyle name="20% - Accent4 2 3 3 5" xfId="31965" xr:uid="{F8A0F2D8-601A-425C-9551-5956A8047D0D}"/>
    <cellStyle name="20% - Accent4 2 3 4" xfId="560" xr:uid="{00000000-0005-0000-0000-000030020000}"/>
    <cellStyle name="20% - Accent4 2 3 4 2" xfId="561" xr:uid="{00000000-0005-0000-0000-000031020000}"/>
    <cellStyle name="20% - Accent4 2 3 4 2 2" xfId="31974" xr:uid="{F4F68098-5ED4-4C46-A8BD-6F26851EBE1D}"/>
    <cellStyle name="20% - Accent4 2 3 4 3" xfId="31973" xr:uid="{51A508E8-5C72-46D3-A609-B9849DF3844E}"/>
    <cellStyle name="20% - Accent4 2 3 5" xfId="562" xr:uid="{00000000-0005-0000-0000-000032020000}"/>
    <cellStyle name="20% - Accent4 2 3 5 2" xfId="31975" xr:uid="{CDA42A84-141C-4CC7-BA52-E405D8613079}"/>
    <cellStyle name="20% - Accent4 2 3 6" xfId="31960" xr:uid="{0F6DAC92-B42A-438A-8CA7-AFED30B128A5}"/>
    <cellStyle name="20% - Accent4 2 4" xfId="563" xr:uid="{00000000-0005-0000-0000-000033020000}"/>
    <cellStyle name="20% - Accent4 2 4 2" xfId="564" xr:uid="{00000000-0005-0000-0000-000034020000}"/>
    <cellStyle name="20% - Accent4 2 4 2 2" xfId="565" xr:uid="{00000000-0005-0000-0000-000035020000}"/>
    <cellStyle name="20% - Accent4 2 4 2 2 2" xfId="566" xr:uid="{00000000-0005-0000-0000-000036020000}"/>
    <cellStyle name="20% - Accent4 2 4 2 2 2 2" xfId="31979" xr:uid="{287D8A27-2BE1-47A3-A946-EAB6341A33D0}"/>
    <cellStyle name="20% - Accent4 2 4 2 2 3" xfId="31978" xr:uid="{C77443ED-A17D-48E2-B82C-670C693734E5}"/>
    <cellStyle name="20% - Accent4 2 4 2 3" xfId="567" xr:uid="{00000000-0005-0000-0000-000037020000}"/>
    <cellStyle name="20% - Accent4 2 4 2 3 2" xfId="31980" xr:uid="{30D2E930-253E-4534-BE48-4D4149C62552}"/>
    <cellStyle name="20% - Accent4 2 4 2 4" xfId="31977" xr:uid="{FA6EEF63-7A90-4C21-879F-BB34BDD6AA3D}"/>
    <cellStyle name="20% - Accent4 2 4 3" xfId="568" xr:uid="{00000000-0005-0000-0000-000038020000}"/>
    <cellStyle name="20% - Accent4 2 4 3 2" xfId="569" xr:uid="{00000000-0005-0000-0000-000039020000}"/>
    <cellStyle name="20% - Accent4 2 4 3 2 2" xfId="31982" xr:uid="{54A5BC62-9DB2-4F36-B66A-59D189F9E0F1}"/>
    <cellStyle name="20% - Accent4 2 4 3 3" xfId="31981" xr:uid="{F9897596-B45E-4D9F-835D-3D1E2ECDF2CE}"/>
    <cellStyle name="20% - Accent4 2 4 4" xfId="570" xr:uid="{00000000-0005-0000-0000-00003A020000}"/>
    <cellStyle name="20% - Accent4 2 4 4 2" xfId="31983" xr:uid="{1E4A6EC2-84EE-4005-9EF1-D2A628EBB398}"/>
    <cellStyle name="20% - Accent4 2 4 5" xfId="31976" xr:uid="{9718600A-55AA-4B2E-AA06-14D4CD3EB225}"/>
    <cellStyle name="20% - Accent4 2 5" xfId="571" xr:uid="{00000000-0005-0000-0000-00003B020000}"/>
    <cellStyle name="20% - Accent4 2 5 2" xfId="572" xr:uid="{00000000-0005-0000-0000-00003C020000}"/>
    <cellStyle name="20% - Accent4 2 5 2 2" xfId="573" xr:uid="{00000000-0005-0000-0000-00003D020000}"/>
    <cellStyle name="20% - Accent4 2 5 2 2 2" xfId="574" xr:uid="{00000000-0005-0000-0000-00003E020000}"/>
    <cellStyle name="20% - Accent4 2 5 2 2 2 2" xfId="31987" xr:uid="{2F191CDA-1691-47AB-812A-B4656602A580}"/>
    <cellStyle name="20% - Accent4 2 5 2 2 3" xfId="31986" xr:uid="{0BCFC59B-4DFE-495E-AA40-2ABEA6792209}"/>
    <cellStyle name="20% - Accent4 2 5 2 3" xfId="575" xr:uid="{00000000-0005-0000-0000-00003F020000}"/>
    <cellStyle name="20% - Accent4 2 5 2 3 2" xfId="31988" xr:uid="{E74CE90B-97F7-4AA3-9AFD-820C666D075F}"/>
    <cellStyle name="20% - Accent4 2 5 2 4" xfId="31985" xr:uid="{DC438973-9B66-4E51-AFE5-2D8D05322F2F}"/>
    <cellStyle name="20% - Accent4 2 5 3" xfId="576" xr:uid="{00000000-0005-0000-0000-000040020000}"/>
    <cellStyle name="20% - Accent4 2 5 3 2" xfId="577" xr:uid="{00000000-0005-0000-0000-000041020000}"/>
    <cellStyle name="20% - Accent4 2 5 3 2 2" xfId="578" xr:uid="{00000000-0005-0000-0000-000042020000}"/>
    <cellStyle name="20% - Accent4 2 5 3 2 2 2" xfId="579" xr:uid="{00000000-0005-0000-0000-000043020000}"/>
    <cellStyle name="20% - Accent4 2 5 3 2 2 2 2" xfId="31992" xr:uid="{EE34A6F9-9659-4398-B9B9-AEEA22A573B0}"/>
    <cellStyle name="20% - Accent4 2 5 3 2 2 3" xfId="31991" xr:uid="{C9501494-6054-4814-96E0-41C3D2D1855B}"/>
    <cellStyle name="20% - Accent4 2 5 3 2 3" xfId="580" xr:uid="{00000000-0005-0000-0000-000044020000}"/>
    <cellStyle name="20% - Accent4 2 5 3 2 3 2" xfId="31993" xr:uid="{D156E4CC-51DF-41D0-A5EC-079CE215A087}"/>
    <cellStyle name="20% - Accent4 2 5 3 2 4" xfId="31990" xr:uid="{AE10B2CF-49EE-4624-8063-EA4BB98CACB9}"/>
    <cellStyle name="20% - Accent4 2 5 3 3" xfId="581" xr:uid="{00000000-0005-0000-0000-000045020000}"/>
    <cellStyle name="20% - Accent4 2 5 3 3 2" xfId="582" xr:uid="{00000000-0005-0000-0000-000046020000}"/>
    <cellStyle name="20% - Accent4 2 5 3 3 2 2" xfId="31995" xr:uid="{C7E7C26C-D903-4C0F-B6DC-33028DEA3B43}"/>
    <cellStyle name="20% - Accent4 2 5 3 3 3" xfId="31994" xr:uid="{425B7FCE-343D-4A79-AC35-DE54C61FE345}"/>
    <cellStyle name="20% - Accent4 2 5 3 4" xfId="583" xr:uid="{00000000-0005-0000-0000-000047020000}"/>
    <cellStyle name="20% - Accent4 2 5 3 4 2" xfId="31996" xr:uid="{6CCEDDCB-E4B5-4148-AFD0-755C75016384}"/>
    <cellStyle name="20% - Accent4 2 5 3 5" xfId="31989" xr:uid="{AEDA1A67-5F66-4025-9E71-0AAC7790EE80}"/>
    <cellStyle name="20% - Accent4 2 5 4" xfId="584" xr:uid="{00000000-0005-0000-0000-000048020000}"/>
    <cellStyle name="20% - Accent4 2 5 4 2" xfId="585" xr:uid="{00000000-0005-0000-0000-000049020000}"/>
    <cellStyle name="20% - Accent4 2 5 4 2 2" xfId="31998" xr:uid="{22A3A9C1-CE18-48D1-8419-6249BBB2C9F3}"/>
    <cellStyle name="20% - Accent4 2 5 4 3" xfId="31997" xr:uid="{DF524851-E3CF-4B3A-8458-26DE898CC9B8}"/>
    <cellStyle name="20% - Accent4 2 5 5" xfId="586" xr:uid="{00000000-0005-0000-0000-00004A020000}"/>
    <cellStyle name="20% - Accent4 2 5 5 2" xfId="31999" xr:uid="{5048C949-212B-40E8-B11C-0F20FD8BA0C0}"/>
    <cellStyle name="20% - Accent4 2 5 6" xfId="31984" xr:uid="{6DCBBF44-F2A6-4B2B-A0B8-25E3612597A9}"/>
    <cellStyle name="20% - Accent4 2 6" xfId="587" xr:uid="{00000000-0005-0000-0000-00004B020000}"/>
    <cellStyle name="20% - Accent4 2 6 2" xfId="588" xr:uid="{00000000-0005-0000-0000-00004C020000}"/>
    <cellStyle name="20% - Accent4 2 6 2 2" xfId="589" xr:uid="{00000000-0005-0000-0000-00004D020000}"/>
    <cellStyle name="20% - Accent4 2 6 2 2 2" xfId="32002" xr:uid="{24DFD02D-3F2D-41DC-B816-569AB3AD3DE7}"/>
    <cellStyle name="20% - Accent4 2 6 2 3" xfId="32001" xr:uid="{687013D8-77F6-423C-B6A6-D59B709F0581}"/>
    <cellStyle name="20% - Accent4 2 6 3" xfId="590" xr:uid="{00000000-0005-0000-0000-00004E020000}"/>
    <cellStyle name="20% - Accent4 2 6 3 2" xfId="32003" xr:uid="{47B4E8FA-1D12-42DC-97FC-0640A76056D3}"/>
    <cellStyle name="20% - Accent4 2 6 4" xfId="32000" xr:uid="{E4D4E332-7C85-478A-B3E1-EBCDA3FFDCC1}"/>
    <cellStyle name="20% - Accent4 2 7" xfId="591" xr:uid="{00000000-0005-0000-0000-00004F020000}"/>
    <cellStyle name="20% - Accent4 2 7 2" xfId="592" xr:uid="{00000000-0005-0000-0000-000050020000}"/>
    <cellStyle name="20% - Accent4 2 7 2 2" xfId="593" xr:uid="{00000000-0005-0000-0000-000051020000}"/>
    <cellStyle name="20% - Accent4 2 7 3" xfId="594" xr:uid="{00000000-0005-0000-0000-000052020000}"/>
    <cellStyle name="20% - Accent4 2 8" xfId="595" xr:uid="{00000000-0005-0000-0000-000053020000}"/>
    <cellStyle name="20% - Accent4 2 8 2" xfId="596" xr:uid="{00000000-0005-0000-0000-000054020000}"/>
    <cellStyle name="20% - Accent4 2 8 2 2" xfId="597" xr:uid="{00000000-0005-0000-0000-000055020000}"/>
    <cellStyle name="20% - Accent4 2 8 2 2 2" xfId="598" xr:uid="{00000000-0005-0000-0000-000056020000}"/>
    <cellStyle name="20% - Accent4 2 8 2 3" xfId="599" xr:uid="{00000000-0005-0000-0000-000057020000}"/>
    <cellStyle name="20% - Accent4 2 8 3" xfId="600" xr:uid="{00000000-0005-0000-0000-000058020000}"/>
    <cellStyle name="20% - Accent4 2 8 3 2" xfId="601" xr:uid="{00000000-0005-0000-0000-000059020000}"/>
    <cellStyle name="20% - Accent4 2 8 4" xfId="602" xr:uid="{00000000-0005-0000-0000-00005A020000}"/>
    <cellStyle name="20% - Accent4 2 9" xfId="603" xr:uid="{00000000-0005-0000-0000-00005B020000}"/>
    <cellStyle name="20% - Accent4 2 9 2" xfId="604" xr:uid="{00000000-0005-0000-0000-00005C020000}"/>
    <cellStyle name="20% - Accent4 3" xfId="605" xr:uid="{00000000-0005-0000-0000-00005D020000}"/>
    <cellStyle name="20% - Accent4 3 2" xfId="606" xr:uid="{00000000-0005-0000-0000-00005E020000}"/>
    <cellStyle name="20% - Accent4 3 2 2" xfId="607" xr:uid="{00000000-0005-0000-0000-00005F020000}"/>
    <cellStyle name="20% - Accent4 3 2 2 2" xfId="608" xr:uid="{00000000-0005-0000-0000-000060020000}"/>
    <cellStyle name="20% - Accent4 3 2 2 2 2" xfId="32006" xr:uid="{8F32061C-665F-4F28-A003-05CC0F9B26C6}"/>
    <cellStyle name="20% - Accent4 3 2 2 3" xfId="32005" xr:uid="{A568C042-F348-4F39-88A3-3A0FB8ADC926}"/>
    <cellStyle name="20% - Accent4 3 2 3" xfId="609" xr:uid="{00000000-0005-0000-0000-000061020000}"/>
    <cellStyle name="20% - Accent4 3 2 3 2" xfId="32007" xr:uid="{28871D0E-8F3D-4974-8E7C-B6B9C6400C7F}"/>
    <cellStyle name="20% - Accent4 3 2 4" xfId="32004" xr:uid="{2615AD78-6774-4316-BFDF-69237962E8F6}"/>
    <cellStyle name="20% - Accent4 3 3" xfId="610" xr:uid="{00000000-0005-0000-0000-000062020000}"/>
    <cellStyle name="20% - Accent4 3 3 2" xfId="611" xr:uid="{00000000-0005-0000-0000-000063020000}"/>
    <cellStyle name="20% - Accent4 3 4" xfId="612" xr:uid="{00000000-0005-0000-0000-000064020000}"/>
    <cellStyle name="20% - Accent4 3 4 2" xfId="613" xr:uid="{00000000-0005-0000-0000-000065020000}"/>
    <cellStyle name="20% - Accent4 3 4 2 2" xfId="614" xr:uid="{00000000-0005-0000-0000-000066020000}"/>
    <cellStyle name="20% - Accent4 3 4 3" xfId="615" xr:uid="{00000000-0005-0000-0000-000067020000}"/>
    <cellStyle name="20% - Accent4 3 5" xfId="616" xr:uid="{00000000-0005-0000-0000-000068020000}"/>
    <cellStyle name="20% - Accent4 4" xfId="617" xr:uid="{00000000-0005-0000-0000-000069020000}"/>
    <cellStyle name="20% - Accent4 4 2" xfId="618" xr:uid="{00000000-0005-0000-0000-00006A020000}"/>
    <cellStyle name="20% - Accent4 4 2 2" xfId="619" xr:uid="{00000000-0005-0000-0000-00006B020000}"/>
    <cellStyle name="20% - Accent4 4 3" xfId="620" xr:uid="{00000000-0005-0000-0000-00006C020000}"/>
    <cellStyle name="20% - Accent4 4 3 2" xfId="621" xr:uid="{00000000-0005-0000-0000-00006D020000}"/>
    <cellStyle name="20% - Accent4 4 3 2 2" xfId="622" xr:uid="{00000000-0005-0000-0000-00006E020000}"/>
    <cellStyle name="20% - Accent4 4 3 3" xfId="623" xr:uid="{00000000-0005-0000-0000-00006F020000}"/>
    <cellStyle name="20% - Accent4 4 4" xfId="624" xr:uid="{00000000-0005-0000-0000-000070020000}"/>
    <cellStyle name="20% - Accent4 5" xfId="625" xr:uid="{00000000-0005-0000-0000-000071020000}"/>
    <cellStyle name="20% - Accent4 5 2" xfId="626" xr:uid="{00000000-0005-0000-0000-000072020000}"/>
    <cellStyle name="20% - Accent4 5 2 2" xfId="627" xr:uid="{00000000-0005-0000-0000-000073020000}"/>
    <cellStyle name="20% - Accent4 5 2 2 2" xfId="628" xr:uid="{00000000-0005-0000-0000-000074020000}"/>
    <cellStyle name="20% - Accent4 5 2 3" xfId="629" xr:uid="{00000000-0005-0000-0000-000075020000}"/>
    <cellStyle name="20% - Accent4 5 3" xfId="630" xr:uid="{00000000-0005-0000-0000-000076020000}"/>
    <cellStyle name="20% - Accent4 5 3 2" xfId="631" xr:uid="{00000000-0005-0000-0000-000077020000}"/>
    <cellStyle name="20% - Accent4 5 3 2 2" xfId="632" xr:uid="{00000000-0005-0000-0000-000078020000}"/>
    <cellStyle name="20% - Accent4 5 3 2 2 2" xfId="633" xr:uid="{00000000-0005-0000-0000-000079020000}"/>
    <cellStyle name="20% - Accent4 5 3 2 3" xfId="634" xr:uid="{00000000-0005-0000-0000-00007A020000}"/>
    <cellStyle name="20% - Accent4 5 3 3" xfId="635" xr:uid="{00000000-0005-0000-0000-00007B020000}"/>
    <cellStyle name="20% - Accent4 5 3 3 2" xfId="636" xr:uid="{00000000-0005-0000-0000-00007C020000}"/>
    <cellStyle name="20% - Accent4 5 3 4" xfId="637" xr:uid="{00000000-0005-0000-0000-00007D020000}"/>
    <cellStyle name="20% - Accent4 5 4" xfId="638" xr:uid="{00000000-0005-0000-0000-00007E020000}"/>
    <cellStyle name="20% - Accent4 5 4 2" xfId="639" xr:uid="{00000000-0005-0000-0000-00007F020000}"/>
    <cellStyle name="20% - Accent4 5 5" xfId="640" xr:uid="{00000000-0005-0000-0000-000080020000}"/>
    <cellStyle name="20% - Accent4 6" xfId="641" xr:uid="{00000000-0005-0000-0000-000081020000}"/>
    <cellStyle name="20% - Accent4 6 2" xfId="642" xr:uid="{00000000-0005-0000-0000-000082020000}"/>
    <cellStyle name="20% - Accent4 6 2 2" xfId="643" xr:uid="{00000000-0005-0000-0000-000083020000}"/>
    <cellStyle name="20% - Accent4 6 2 2 2" xfId="644" xr:uid="{00000000-0005-0000-0000-000084020000}"/>
    <cellStyle name="20% - Accent4 6 2 2 2 2" xfId="32011" xr:uid="{D7CC1B95-830A-4C81-9CAA-4C02CDEE443D}"/>
    <cellStyle name="20% - Accent4 6 2 2 3" xfId="32010" xr:uid="{1A834482-30B5-48B9-8FA7-67C386D28328}"/>
    <cellStyle name="20% - Accent4 6 2 3" xfId="645" xr:uid="{00000000-0005-0000-0000-000085020000}"/>
    <cellStyle name="20% - Accent4 6 2 3 2" xfId="32012" xr:uid="{7B65FEA7-280E-4443-92B6-0610C28B66A3}"/>
    <cellStyle name="20% - Accent4 6 2 4" xfId="32009" xr:uid="{D9B7AA1F-F14B-4383-9B42-725B28B3F614}"/>
    <cellStyle name="20% - Accent4 6 3" xfId="646" xr:uid="{00000000-0005-0000-0000-000086020000}"/>
    <cellStyle name="20% - Accent4 6 3 2" xfId="647" xr:uid="{00000000-0005-0000-0000-000087020000}"/>
    <cellStyle name="20% - Accent4 6 3 2 2" xfId="32014" xr:uid="{8A7B26FA-64B7-42B2-9472-0F110CF4DF34}"/>
    <cellStyle name="20% - Accent4 6 3 3" xfId="32013" xr:uid="{1E27D4F6-2227-4F13-960C-18F961FC7A2D}"/>
    <cellStyle name="20% - Accent4 6 4" xfId="648" xr:uid="{00000000-0005-0000-0000-000088020000}"/>
    <cellStyle name="20% - Accent4 6 4 2" xfId="32015" xr:uid="{F6B584D7-D06A-439C-AA08-EB0D37FA58B3}"/>
    <cellStyle name="20% - Accent4 6 5" xfId="32008" xr:uid="{AA5ED958-8CF4-4E79-9946-6031DB04E450}"/>
    <cellStyle name="20% - Accent4 7" xfId="649" xr:uid="{00000000-0005-0000-0000-000089020000}"/>
    <cellStyle name="20% - Accent4 8" xfId="650" xr:uid="{00000000-0005-0000-0000-00008A020000}"/>
    <cellStyle name="20% - Accent5 2" xfId="651" xr:uid="{00000000-0005-0000-0000-00008B020000}"/>
    <cellStyle name="20% - Accent5 2 10" xfId="652" xr:uid="{00000000-0005-0000-0000-00008C020000}"/>
    <cellStyle name="20% - Accent5 2 10 2" xfId="653" xr:uid="{00000000-0005-0000-0000-00008D020000}"/>
    <cellStyle name="20% - Accent5 2 10 2 2" xfId="32017" xr:uid="{D7BB0B9C-BB22-41E9-A355-06A774831CBF}"/>
    <cellStyle name="20% - Accent5 2 10 3" xfId="32016" xr:uid="{C6F9FE03-D963-40B3-A906-18B0A6EBA578}"/>
    <cellStyle name="20% - Accent5 2 11" xfId="654" xr:uid="{00000000-0005-0000-0000-00008E020000}"/>
    <cellStyle name="20% - Accent5 2 2" xfId="655" xr:uid="{00000000-0005-0000-0000-00008F020000}"/>
    <cellStyle name="20% - Accent5 2 2 2" xfId="656" xr:uid="{00000000-0005-0000-0000-000090020000}"/>
    <cellStyle name="20% - Accent5 2 2 2 2" xfId="657" xr:uid="{00000000-0005-0000-0000-000091020000}"/>
    <cellStyle name="20% - Accent5 2 2 2 2 2" xfId="658" xr:uid="{00000000-0005-0000-0000-000092020000}"/>
    <cellStyle name="20% - Accent5 2 2 2 3" xfId="659" xr:uid="{00000000-0005-0000-0000-000093020000}"/>
    <cellStyle name="20% - Accent5 2 2 2 3 2" xfId="660" xr:uid="{00000000-0005-0000-0000-000094020000}"/>
    <cellStyle name="20% - Accent5 2 2 2 3 2 2" xfId="661" xr:uid="{00000000-0005-0000-0000-000095020000}"/>
    <cellStyle name="20% - Accent5 2 2 2 3 3" xfId="662" xr:uid="{00000000-0005-0000-0000-000096020000}"/>
    <cellStyle name="20% - Accent5 2 2 2 4" xfId="663" xr:uid="{00000000-0005-0000-0000-000097020000}"/>
    <cellStyle name="20% - Accent5 2 2 3" xfId="664" xr:uid="{00000000-0005-0000-0000-000098020000}"/>
    <cellStyle name="20% - Accent5 2 2 3 2" xfId="665" xr:uid="{00000000-0005-0000-0000-000099020000}"/>
    <cellStyle name="20% - Accent5 2 2 3 2 2" xfId="666" xr:uid="{00000000-0005-0000-0000-00009A020000}"/>
    <cellStyle name="20% - Accent5 2 2 3 3" xfId="667" xr:uid="{00000000-0005-0000-0000-00009B020000}"/>
    <cellStyle name="20% - Accent5 2 2 4" xfId="668" xr:uid="{00000000-0005-0000-0000-00009C020000}"/>
    <cellStyle name="20% - Accent5 2 2 4 2" xfId="669" xr:uid="{00000000-0005-0000-0000-00009D020000}"/>
    <cellStyle name="20% - Accent5 2 2 4 2 2" xfId="670" xr:uid="{00000000-0005-0000-0000-00009E020000}"/>
    <cellStyle name="20% - Accent5 2 2 4 2 2 2" xfId="671" xr:uid="{00000000-0005-0000-0000-00009F020000}"/>
    <cellStyle name="20% - Accent5 2 2 4 2 3" xfId="672" xr:uid="{00000000-0005-0000-0000-0000A0020000}"/>
    <cellStyle name="20% - Accent5 2 2 4 3" xfId="673" xr:uid="{00000000-0005-0000-0000-0000A1020000}"/>
    <cellStyle name="20% - Accent5 2 2 4 3 2" xfId="674" xr:uid="{00000000-0005-0000-0000-0000A2020000}"/>
    <cellStyle name="20% - Accent5 2 2 4 4" xfId="675" xr:uid="{00000000-0005-0000-0000-0000A3020000}"/>
    <cellStyle name="20% - Accent5 2 2 5" xfId="676" xr:uid="{00000000-0005-0000-0000-0000A4020000}"/>
    <cellStyle name="20% - Accent5 2 2 5 2" xfId="677" xr:uid="{00000000-0005-0000-0000-0000A5020000}"/>
    <cellStyle name="20% - Accent5 2 2 6" xfId="678" xr:uid="{00000000-0005-0000-0000-0000A6020000}"/>
    <cellStyle name="20% - Accent5 2 3" xfId="679" xr:uid="{00000000-0005-0000-0000-0000A7020000}"/>
    <cellStyle name="20% - Accent5 2 3 2" xfId="680" xr:uid="{00000000-0005-0000-0000-0000A8020000}"/>
    <cellStyle name="20% - Accent5 2 3 2 2" xfId="681" xr:uid="{00000000-0005-0000-0000-0000A9020000}"/>
    <cellStyle name="20% - Accent5 2 3 2 2 2" xfId="682" xr:uid="{00000000-0005-0000-0000-0000AA020000}"/>
    <cellStyle name="20% - Accent5 2 3 2 2 2 2" xfId="32021" xr:uid="{FA935436-68BB-4F47-AE11-6FB4FBFFAC52}"/>
    <cellStyle name="20% - Accent5 2 3 2 2 3" xfId="32020" xr:uid="{18582481-489F-4E84-AD15-4AEBB3809548}"/>
    <cellStyle name="20% - Accent5 2 3 2 3" xfId="683" xr:uid="{00000000-0005-0000-0000-0000AB020000}"/>
    <cellStyle name="20% - Accent5 2 3 2 3 2" xfId="32022" xr:uid="{0234C3EC-AD95-4B6C-84A5-42D96709847E}"/>
    <cellStyle name="20% - Accent5 2 3 2 4" xfId="32019" xr:uid="{553FCBDD-EA49-40B7-BF4A-219FEF26EC34}"/>
    <cellStyle name="20% - Accent5 2 3 3" xfId="684" xr:uid="{00000000-0005-0000-0000-0000AC020000}"/>
    <cellStyle name="20% - Accent5 2 3 3 2" xfId="685" xr:uid="{00000000-0005-0000-0000-0000AD020000}"/>
    <cellStyle name="20% - Accent5 2 3 3 2 2" xfId="686" xr:uid="{00000000-0005-0000-0000-0000AE020000}"/>
    <cellStyle name="20% - Accent5 2 3 3 2 2 2" xfId="687" xr:uid="{00000000-0005-0000-0000-0000AF020000}"/>
    <cellStyle name="20% - Accent5 2 3 3 2 2 2 2" xfId="32026" xr:uid="{8184E8BB-07A8-401E-9429-0852DAAB611C}"/>
    <cellStyle name="20% - Accent5 2 3 3 2 2 3" xfId="32025" xr:uid="{150008FA-6CEC-4F78-8B54-3633BD124EF0}"/>
    <cellStyle name="20% - Accent5 2 3 3 2 3" xfId="688" xr:uid="{00000000-0005-0000-0000-0000B0020000}"/>
    <cellStyle name="20% - Accent5 2 3 3 2 3 2" xfId="32027" xr:uid="{CA6710C7-E23B-4E32-A5FD-2BBE5CFB4488}"/>
    <cellStyle name="20% - Accent5 2 3 3 2 4" xfId="32024" xr:uid="{9A8E6859-CB04-49B4-87CE-BEDB7F088042}"/>
    <cellStyle name="20% - Accent5 2 3 3 3" xfId="689" xr:uid="{00000000-0005-0000-0000-0000B1020000}"/>
    <cellStyle name="20% - Accent5 2 3 3 3 2" xfId="690" xr:uid="{00000000-0005-0000-0000-0000B2020000}"/>
    <cellStyle name="20% - Accent5 2 3 3 3 2 2" xfId="32029" xr:uid="{EC05B0DA-25BE-4AB0-8D12-017C880AB8A4}"/>
    <cellStyle name="20% - Accent5 2 3 3 3 3" xfId="32028" xr:uid="{E9D7F0F2-271A-4BC1-A673-B3BC591DA561}"/>
    <cellStyle name="20% - Accent5 2 3 3 4" xfId="691" xr:uid="{00000000-0005-0000-0000-0000B3020000}"/>
    <cellStyle name="20% - Accent5 2 3 3 4 2" xfId="32030" xr:uid="{1E23A100-3D82-4EDD-94DC-BC7D11BFA398}"/>
    <cellStyle name="20% - Accent5 2 3 3 5" xfId="32023" xr:uid="{BF65021C-7299-4861-B5E5-FCC650CABE8F}"/>
    <cellStyle name="20% - Accent5 2 3 4" xfId="692" xr:uid="{00000000-0005-0000-0000-0000B4020000}"/>
    <cellStyle name="20% - Accent5 2 3 4 2" xfId="693" xr:uid="{00000000-0005-0000-0000-0000B5020000}"/>
    <cellStyle name="20% - Accent5 2 3 4 2 2" xfId="32032" xr:uid="{BF10681A-2C39-4662-BFFF-AD08308D1F54}"/>
    <cellStyle name="20% - Accent5 2 3 4 3" xfId="32031" xr:uid="{98CA55DC-46B9-453F-8114-0303E857472D}"/>
    <cellStyle name="20% - Accent5 2 3 5" xfId="694" xr:uid="{00000000-0005-0000-0000-0000B6020000}"/>
    <cellStyle name="20% - Accent5 2 3 5 2" xfId="32033" xr:uid="{7DCF7FD5-FA01-4BB8-8443-72C8C8840FC2}"/>
    <cellStyle name="20% - Accent5 2 3 6" xfId="32018" xr:uid="{9F60EDC3-9F52-4F2F-9350-BE004BC746AE}"/>
    <cellStyle name="20% - Accent5 2 4" xfId="695" xr:uid="{00000000-0005-0000-0000-0000B7020000}"/>
    <cellStyle name="20% - Accent5 2 4 2" xfId="696" xr:uid="{00000000-0005-0000-0000-0000B8020000}"/>
    <cellStyle name="20% - Accent5 2 4 2 2" xfId="697" xr:uid="{00000000-0005-0000-0000-0000B9020000}"/>
    <cellStyle name="20% - Accent5 2 4 2 2 2" xfId="698" xr:uid="{00000000-0005-0000-0000-0000BA020000}"/>
    <cellStyle name="20% - Accent5 2 4 2 2 2 2" xfId="32037" xr:uid="{94A647A4-6C25-45D2-B7A9-10521646A988}"/>
    <cellStyle name="20% - Accent5 2 4 2 2 3" xfId="32036" xr:uid="{4A17D594-1B90-4E38-87F2-4681F85FD1EF}"/>
    <cellStyle name="20% - Accent5 2 4 2 3" xfId="699" xr:uid="{00000000-0005-0000-0000-0000BB020000}"/>
    <cellStyle name="20% - Accent5 2 4 2 3 2" xfId="32038" xr:uid="{7A53F857-EAC1-45EC-A00D-92369A870A5A}"/>
    <cellStyle name="20% - Accent5 2 4 2 4" xfId="32035" xr:uid="{FF5AFA37-FB0E-4FBE-B66D-534208432143}"/>
    <cellStyle name="20% - Accent5 2 4 3" xfId="700" xr:uid="{00000000-0005-0000-0000-0000BC020000}"/>
    <cellStyle name="20% - Accent5 2 4 3 2" xfId="701" xr:uid="{00000000-0005-0000-0000-0000BD020000}"/>
    <cellStyle name="20% - Accent5 2 4 3 2 2" xfId="32040" xr:uid="{CA21E3FA-5E2E-4AF1-8E13-693D1C63D2F1}"/>
    <cellStyle name="20% - Accent5 2 4 3 3" xfId="32039" xr:uid="{D92A657B-0955-409D-B899-9871E2073645}"/>
    <cellStyle name="20% - Accent5 2 4 4" xfId="702" xr:uid="{00000000-0005-0000-0000-0000BE020000}"/>
    <cellStyle name="20% - Accent5 2 4 4 2" xfId="32041" xr:uid="{896C4A17-64B3-4CF4-B507-472F3CE07F16}"/>
    <cellStyle name="20% - Accent5 2 4 5" xfId="32034" xr:uid="{4FD5C19D-EA5E-4F22-9399-6A8C48663CA6}"/>
    <cellStyle name="20% - Accent5 2 5" xfId="703" xr:uid="{00000000-0005-0000-0000-0000BF020000}"/>
    <cellStyle name="20% - Accent5 2 5 2" xfId="704" xr:uid="{00000000-0005-0000-0000-0000C0020000}"/>
    <cellStyle name="20% - Accent5 2 5 2 2" xfId="705" xr:uid="{00000000-0005-0000-0000-0000C1020000}"/>
    <cellStyle name="20% - Accent5 2 5 2 2 2" xfId="706" xr:uid="{00000000-0005-0000-0000-0000C2020000}"/>
    <cellStyle name="20% - Accent5 2 5 2 2 2 2" xfId="32045" xr:uid="{6A5B9F03-71F9-4901-83D2-A7FC87ED1D0F}"/>
    <cellStyle name="20% - Accent5 2 5 2 2 3" xfId="32044" xr:uid="{0370E842-5A88-45F3-824A-BA9C01D1BE59}"/>
    <cellStyle name="20% - Accent5 2 5 2 3" xfId="707" xr:uid="{00000000-0005-0000-0000-0000C3020000}"/>
    <cellStyle name="20% - Accent5 2 5 2 3 2" xfId="32046" xr:uid="{6CA440DA-FC43-4D9A-BA5C-46E25D27B753}"/>
    <cellStyle name="20% - Accent5 2 5 2 4" xfId="32043" xr:uid="{C830E2FC-D49E-4B5C-B57C-78D452C3D1A3}"/>
    <cellStyle name="20% - Accent5 2 5 3" xfId="708" xr:uid="{00000000-0005-0000-0000-0000C4020000}"/>
    <cellStyle name="20% - Accent5 2 5 3 2" xfId="709" xr:uid="{00000000-0005-0000-0000-0000C5020000}"/>
    <cellStyle name="20% - Accent5 2 5 3 2 2" xfId="710" xr:uid="{00000000-0005-0000-0000-0000C6020000}"/>
    <cellStyle name="20% - Accent5 2 5 3 2 2 2" xfId="711" xr:uid="{00000000-0005-0000-0000-0000C7020000}"/>
    <cellStyle name="20% - Accent5 2 5 3 2 2 2 2" xfId="32050" xr:uid="{FAEA393A-A311-4111-8BF6-F2E8E8AC5A29}"/>
    <cellStyle name="20% - Accent5 2 5 3 2 2 3" xfId="32049" xr:uid="{FC4B6E80-9791-4181-B9C3-2BA39B096877}"/>
    <cellStyle name="20% - Accent5 2 5 3 2 3" xfId="712" xr:uid="{00000000-0005-0000-0000-0000C8020000}"/>
    <cellStyle name="20% - Accent5 2 5 3 2 3 2" xfId="32051" xr:uid="{494BCF9E-8865-49DE-B7BF-A0E4608050D7}"/>
    <cellStyle name="20% - Accent5 2 5 3 2 4" xfId="32048" xr:uid="{52E3719D-3F39-457A-88DF-D735F0077B56}"/>
    <cellStyle name="20% - Accent5 2 5 3 3" xfId="713" xr:uid="{00000000-0005-0000-0000-0000C9020000}"/>
    <cellStyle name="20% - Accent5 2 5 3 3 2" xfId="714" xr:uid="{00000000-0005-0000-0000-0000CA020000}"/>
    <cellStyle name="20% - Accent5 2 5 3 3 2 2" xfId="32053" xr:uid="{FF898D56-6B9C-4196-AEF5-8DD6CC7F483C}"/>
    <cellStyle name="20% - Accent5 2 5 3 3 3" xfId="32052" xr:uid="{4A04B521-475D-49DC-8A14-3357D325DCA8}"/>
    <cellStyle name="20% - Accent5 2 5 3 4" xfId="715" xr:uid="{00000000-0005-0000-0000-0000CB020000}"/>
    <cellStyle name="20% - Accent5 2 5 3 4 2" xfId="32054" xr:uid="{0AC05C9D-B5F8-4FD0-AB8E-6613CE3FEFF5}"/>
    <cellStyle name="20% - Accent5 2 5 3 5" xfId="32047" xr:uid="{F093C9FB-9F26-40F8-A476-0E25B341F375}"/>
    <cellStyle name="20% - Accent5 2 5 4" xfId="716" xr:uid="{00000000-0005-0000-0000-0000CC020000}"/>
    <cellStyle name="20% - Accent5 2 5 4 2" xfId="717" xr:uid="{00000000-0005-0000-0000-0000CD020000}"/>
    <cellStyle name="20% - Accent5 2 5 4 2 2" xfId="32056" xr:uid="{084BA5C2-9FD5-4769-A52E-6C74397E93A1}"/>
    <cellStyle name="20% - Accent5 2 5 4 3" xfId="32055" xr:uid="{A880F056-BD6A-40AF-9286-2EFDB17A36E5}"/>
    <cellStyle name="20% - Accent5 2 5 5" xfId="718" xr:uid="{00000000-0005-0000-0000-0000CE020000}"/>
    <cellStyle name="20% - Accent5 2 5 5 2" xfId="32057" xr:uid="{DFD5B768-5A4F-4A00-AF3C-D8C7C397B610}"/>
    <cellStyle name="20% - Accent5 2 5 6" xfId="32042" xr:uid="{AA0F0B78-2B1B-4DC0-A91C-6AE16440590A}"/>
    <cellStyle name="20% - Accent5 2 6" xfId="719" xr:uid="{00000000-0005-0000-0000-0000CF020000}"/>
    <cellStyle name="20% - Accent5 2 6 2" xfId="720" xr:uid="{00000000-0005-0000-0000-0000D0020000}"/>
    <cellStyle name="20% - Accent5 2 6 2 2" xfId="721" xr:uid="{00000000-0005-0000-0000-0000D1020000}"/>
    <cellStyle name="20% - Accent5 2 6 2 2 2" xfId="32060" xr:uid="{210D6075-F7DC-4332-A3C9-BC42FA789AF0}"/>
    <cellStyle name="20% - Accent5 2 6 2 3" xfId="32059" xr:uid="{89DD3C07-D9B5-4C0B-8806-A5078B9DECBC}"/>
    <cellStyle name="20% - Accent5 2 6 3" xfId="722" xr:uid="{00000000-0005-0000-0000-0000D2020000}"/>
    <cellStyle name="20% - Accent5 2 6 3 2" xfId="32061" xr:uid="{14975CE8-064D-4FA4-85E2-F63E8C2C5A0B}"/>
    <cellStyle name="20% - Accent5 2 6 4" xfId="32058" xr:uid="{F5C2162C-EB36-4ADA-8490-D913A50B5C42}"/>
    <cellStyle name="20% - Accent5 2 7" xfId="723" xr:uid="{00000000-0005-0000-0000-0000D3020000}"/>
    <cellStyle name="20% - Accent5 2 7 2" xfId="724" xr:uid="{00000000-0005-0000-0000-0000D4020000}"/>
    <cellStyle name="20% - Accent5 2 7 2 2" xfId="725" xr:uid="{00000000-0005-0000-0000-0000D5020000}"/>
    <cellStyle name="20% - Accent5 2 7 3" xfId="726" xr:uid="{00000000-0005-0000-0000-0000D6020000}"/>
    <cellStyle name="20% - Accent5 2 8" xfId="727" xr:uid="{00000000-0005-0000-0000-0000D7020000}"/>
    <cellStyle name="20% - Accent5 2 8 2" xfId="728" xr:uid="{00000000-0005-0000-0000-0000D8020000}"/>
    <cellStyle name="20% - Accent5 2 8 2 2" xfId="729" xr:uid="{00000000-0005-0000-0000-0000D9020000}"/>
    <cellStyle name="20% - Accent5 2 8 2 2 2" xfId="730" xr:uid="{00000000-0005-0000-0000-0000DA020000}"/>
    <cellStyle name="20% - Accent5 2 8 2 3" xfId="731" xr:uid="{00000000-0005-0000-0000-0000DB020000}"/>
    <cellStyle name="20% - Accent5 2 8 3" xfId="732" xr:uid="{00000000-0005-0000-0000-0000DC020000}"/>
    <cellStyle name="20% - Accent5 2 8 3 2" xfId="733" xr:uid="{00000000-0005-0000-0000-0000DD020000}"/>
    <cellStyle name="20% - Accent5 2 8 4" xfId="734" xr:uid="{00000000-0005-0000-0000-0000DE020000}"/>
    <cellStyle name="20% - Accent5 2 9" xfId="735" xr:uid="{00000000-0005-0000-0000-0000DF020000}"/>
    <cellStyle name="20% - Accent5 2 9 2" xfId="736" xr:uid="{00000000-0005-0000-0000-0000E0020000}"/>
    <cellStyle name="20% - Accent5 3" xfId="737" xr:uid="{00000000-0005-0000-0000-0000E1020000}"/>
    <cellStyle name="20% - Accent5 3 2" xfId="738" xr:uid="{00000000-0005-0000-0000-0000E2020000}"/>
    <cellStyle name="20% - Accent5 3 2 2" xfId="739" xr:uid="{00000000-0005-0000-0000-0000E3020000}"/>
    <cellStyle name="20% - Accent5 3 2 2 2" xfId="740" xr:uid="{00000000-0005-0000-0000-0000E4020000}"/>
    <cellStyle name="20% - Accent5 3 2 2 2 2" xfId="32064" xr:uid="{55ACAEC1-E008-4FCB-85FB-B65AA9EED904}"/>
    <cellStyle name="20% - Accent5 3 2 2 3" xfId="32063" xr:uid="{13B5E6DD-25E6-4D05-9A20-C8A5B2B67B27}"/>
    <cellStyle name="20% - Accent5 3 2 3" xfId="741" xr:uid="{00000000-0005-0000-0000-0000E5020000}"/>
    <cellStyle name="20% - Accent5 3 2 3 2" xfId="32065" xr:uid="{75475EAE-A132-490C-9B4F-499B756253D1}"/>
    <cellStyle name="20% - Accent5 3 2 4" xfId="32062" xr:uid="{1F5981F5-36F3-4AB1-A16F-A4404A09438E}"/>
    <cellStyle name="20% - Accent5 3 3" xfId="742" xr:uid="{00000000-0005-0000-0000-0000E6020000}"/>
    <cellStyle name="20% - Accent5 3 3 2" xfId="743" xr:uid="{00000000-0005-0000-0000-0000E7020000}"/>
    <cellStyle name="20% - Accent5 3 4" xfId="744" xr:uid="{00000000-0005-0000-0000-0000E8020000}"/>
    <cellStyle name="20% - Accent5 3 4 2" xfId="745" xr:uid="{00000000-0005-0000-0000-0000E9020000}"/>
    <cellStyle name="20% - Accent5 3 4 2 2" xfId="746" xr:uid="{00000000-0005-0000-0000-0000EA020000}"/>
    <cellStyle name="20% - Accent5 3 4 3" xfId="747" xr:uid="{00000000-0005-0000-0000-0000EB020000}"/>
    <cellStyle name="20% - Accent5 3 5" xfId="748" xr:uid="{00000000-0005-0000-0000-0000EC020000}"/>
    <cellStyle name="20% - Accent5 4" xfId="749" xr:uid="{00000000-0005-0000-0000-0000ED020000}"/>
    <cellStyle name="20% - Accent5 4 2" xfId="750" xr:uid="{00000000-0005-0000-0000-0000EE020000}"/>
    <cellStyle name="20% - Accent5 4 2 2" xfId="751" xr:uid="{00000000-0005-0000-0000-0000EF020000}"/>
    <cellStyle name="20% - Accent5 4 3" xfId="752" xr:uid="{00000000-0005-0000-0000-0000F0020000}"/>
    <cellStyle name="20% - Accent5 4 3 2" xfId="753" xr:uid="{00000000-0005-0000-0000-0000F1020000}"/>
    <cellStyle name="20% - Accent5 4 3 2 2" xfId="754" xr:uid="{00000000-0005-0000-0000-0000F2020000}"/>
    <cellStyle name="20% - Accent5 4 3 3" xfId="755" xr:uid="{00000000-0005-0000-0000-0000F3020000}"/>
    <cellStyle name="20% - Accent5 4 4" xfId="756" xr:uid="{00000000-0005-0000-0000-0000F4020000}"/>
    <cellStyle name="20% - Accent5 5" xfId="757" xr:uid="{00000000-0005-0000-0000-0000F5020000}"/>
    <cellStyle name="20% - Accent5 5 2" xfId="758" xr:uid="{00000000-0005-0000-0000-0000F6020000}"/>
    <cellStyle name="20% - Accent5 5 2 2" xfId="759" xr:uid="{00000000-0005-0000-0000-0000F7020000}"/>
    <cellStyle name="20% - Accent5 5 2 2 2" xfId="760" xr:uid="{00000000-0005-0000-0000-0000F8020000}"/>
    <cellStyle name="20% - Accent5 5 2 3" xfId="761" xr:uid="{00000000-0005-0000-0000-0000F9020000}"/>
    <cellStyle name="20% - Accent5 5 3" xfId="762" xr:uid="{00000000-0005-0000-0000-0000FA020000}"/>
    <cellStyle name="20% - Accent5 5 3 2" xfId="763" xr:uid="{00000000-0005-0000-0000-0000FB020000}"/>
    <cellStyle name="20% - Accent5 5 3 2 2" xfId="764" xr:uid="{00000000-0005-0000-0000-0000FC020000}"/>
    <cellStyle name="20% - Accent5 5 3 2 2 2" xfId="765" xr:uid="{00000000-0005-0000-0000-0000FD020000}"/>
    <cellStyle name="20% - Accent5 5 3 2 3" xfId="766" xr:uid="{00000000-0005-0000-0000-0000FE020000}"/>
    <cellStyle name="20% - Accent5 5 3 3" xfId="767" xr:uid="{00000000-0005-0000-0000-0000FF020000}"/>
    <cellStyle name="20% - Accent5 5 3 3 2" xfId="768" xr:uid="{00000000-0005-0000-0000-000000030000}"/>
    <cellStyle name="20% - Accent5 5 3 4" xfId="769" xr:uid="{00000000-0005-0000-0000-000001030000}"/>
    <cellStyle name="20% - Accent5 5 4" xfId="770" xr:uid="{00000000-0005-0000-0000-000002030000}"/>
    <cellStyle name="20% - Accent5 5 4 2" xfId="771" xr:uid="{00000000-0005-0000-0000-000003030000}"/>
    <cellStyle name="20% - Accent5 5 5" xfId="772" xr:uid="{00000000-0005-0000-0000-000004030000}"/>
    <cellStyle name="20% - Accent5 6" xfId="773" xr:uid="{00000000-0005-0000-0000-000005030000}"/>
    <cellStyle name="20% - Accent5 6 2" xfId="774" xr:uid="{00000000-0005-0000-0000-000006030000}"/>
    <cellStyle name="20% - Accent5 6 2 2" xfId="775" xr:uid="{00000000-0005-0000-0000-000007030000}"/>
    <cellStyle name="20% - Accent5 6 2 2 2" xfId="776" xr:uid="{00000000-0005-0000-0000-000008030000}"/>
    <cellStyle name="20% - Accent5 6 2 2 2 2" xfId="32069" xr:uid="{B572F511-8E42-4FF7-8311-FA125C30BD12}"/>
    <cellStyle name="20% - Accent5 6 2 2 3" xfId="32068" xr:uid="{EB23FA93-05DC-4C35-8AAE-DDA3B7D46076}"/>
    <cellStyle name="20% - Accent5 6 2 3" xfId="777" xr:uid="{00000000-0005-0000-0000-000009030000}"/>
    <cellStyle name="20% - Accent5 6 2 3 2" xfId="32070" xr:uid="{82A297F8-B9B8-4EEC-9324-6EB1C5190962}"/>
    <cellStyle name="20% - Accent5 6 2 4" xfId="32067" xr:uid="{C3F89158-FB16-41DA-874E-2E1FA1488FFD}"/>
    <cellStyle name="20% - Accent5 6 3" xfId="778" xr:uid="{00000000-0005-0000-0000-00000A030000}"/>
    <cellStyle name="20% - Accent5 6 3 2" xfId="779" xr:uid="{00000000-0005-0000-0000-00000B030000}"/>
    <cellStyle name="20% - Accent5 6 3 2 2" xfId="32072" xr:uid="{9697F68E-DBB1-4794-A31F-FD3D8388A25C}"/>
    <cellStyle name="20% - Accent5 6 3 3" xfId="32071" xr:uid="{9CCE0F7B-A0C4-4A28-9D95-3AACCE37F7C1}"/>
    <cellStyle name="20% - Accent5 6 4" xfId="780" xr:uid="{00000000-0005-0000-0000-00000C030000}"/>
    <cellStyle name="20% - Accent5 6 4 2" xfId="32073" xr:uid="{87AC70CA-3633-4DF5-BB48-43F3175FE9F5}"/>
    <cellStyle name="20% - Accent5 6 5" xfId="32066" xr:uid="{9E0521B9-7DAD-4F07-98AA-011C46F9F3F8}"/>
    <cellStyle name="20% - Accent5 7" xfId="781" xr:uid="{00000000-0005-0000-0000-00000D030000}"/>
    <cellStyle name="20% - Accent5 8" xfId="782" xr:uid="{00000000-0005-0000-0000-00000E030000}"/>
    <cellStyle name="20% - Accent6 2" xfId="783" xr:uid="{00000000-0005-0000-0000-00000F030000}"/>
    <cellStyle name="20% - Accent6 2 10" xfId="784" xr:uid="{00000000-0005-0000-0000-000010030000}"/>
    <cellStyle name="20% - Accent6 2 10 2" xfId="785" xr:uid="{00000000-0005-0000-0000-000011030000}"/>
    <cellStyle name="20% - Accent6 2 10 2 2" xfId="32076" xr:uid="{BE9F2DF9-9136-4BEA-B61E-220683192BFD}"/>
    <cellStyle name="20% - Accent6 2 10 3" xfId="32075" xr:uid="{C8D7B72C-F5BF-406C-A5E4-376C877354FC}"/>
    <cellStyle name="20% - Accent6 2 11" xfId="786" xr:uid="{00000000-0005-0000-0000-000012030000}"/>
    <cellStyle name="20% - Accent6 2 11 2" xfId="32077" xr:uid="{836FB60D-681A-49E6-874B-BC3A5DCB96AD}"/>
    <cellStyle name="20% - Accent6 2 12" xfId="32074" xr:uid="{556FCEE1-906A-43E0-9F4B-D711A8B82D61}"/>
    <cellStyle name="20% - Accent6 2 2" xfId="787" xr:uid="{00000000-0005-0000-0000-000013030000}"/>
    <cellStyle name="20% - Accent6 2 2 2" xfId="788" xr:uid="{00000000-0005-0000-0000-000014030000}"/>
    <cellStyle name="20% - Accent6 2 2 2 2" xfId="789" xr:uid="{00000000-0005-0000-0000-000015030000}"/>
    <cellStyle name="20% - Accent6 2 2 2 2 2" xfId="790" xr:uid="{00000000-0005-0000-0000-000016030000}"/>
    <cellStyle name="20% - Accent6 2 2 2 3" xfId="791" xr:uid="{00000000-0005-0000-0000-000017030000}"/>
    <cellStyle name="20% - Accent6 2 2 2 3 2" xfId="792" xr:uid="{00000000-0005-0000-0000-000018030000}"/>
    <cellStyle name="20% - Accent6 2 2 2 3 2 2" xfId="793" xr:uid="{00000000-0005-0000-0000-000019030000}"/>
    <cellStyle name="20% - Accent6 2 2 2 3 3" xfId="794" xr:uid="{00000000-0005-0000-0000-00001A030000}"/>
    <cellStyle name="20% - Accent6 2 2 2 4" xfId="795" xr:uid="{00000000-0005-0000-0000-00001B030000}"/>
    <cellStyle name="20% - Accent6 2 2 3" xfId="796" xr:uid="{00000000-0005-0000-0000-00001C030000}"/>
    <cellStyle name="20% - Accent6 2 2 3 2" xfId="797" xr:uid="{00000000-0005-0000-0000-00001D030000}"/>
    <cellStyle name="20% - Accent6 2 2 3 2 2" xfId="798" xr:uid="{00000000-0005-0000-0000-00001E030000}"/>
    <cellStyle name="20% - Accent6 2 2 3 2 2 2" xfId="32081" xr:uid="{B3206EC3-4425-4385-92AF-38E00D8E5968}"/>
    <cellStyle name="20% - Accent6 2 2 3 2 3" xfId="32080" xr:uid="{76B2CDE2-8802-49A8-B3E9-577999FD4295}"/>
    <cellStyle name="20% - Accent6 2 2 3 3" xfId="799" xr:uid="{00000000-0005-0000-0000-00001F030000}"/>
    <cellStyle name="20% - Accent6 2 2 3 3 2" xfId="32082" xr:uid="{81CA9E0C-B452-4DE2-8CA8-3D6E7C522BA6}"/>
    <cellStyle name="20% - Accent6 2 2 3 4" xfId="32079" xr:uid="{4870A2A8-D15D-485B-9B7F-C709475AFD03}"/>
    <cellStyle name="20% - Accent6 2 2 4" xfId="800" xr:uid="{00000000-0005-0000-0000-000020030000}"/>
    <cellStyle name="20% - Accent6 2 2 4 2" xfId="801" xr:uid="{00000000-0005-0000-0000-000021030000}"/>
    <cellStyle name="20% - Accent6 2 2 4 2 2" xfId="802" xr:uid="{00000000-0005-0000-0000-000022030000}"/>
    <cellStyle name="20% - Accent6 2 2 4 2 2 2" xfId="803" xr:uid="{00000000-0005-0000-0000-000023030000}"/>
    <cellStyle name="20% - Accent6 2 2 4 2 2 2 2" xfId="32086" xr:uid="{BF903561-86A7-4B6F-BF04-659F3C3E93F6}"/>
    <cellStyle name="20% - Accent6 2 2 4 2 2 3" xfId="32085" xr:uid="{80E17580-22DE-4E72-8C63-FB9C67740416}"/>
    <cellStyle name="20% - Accent6 2 2 4 2 3" xfId="804" xr:uid="{00000000-0005-0000-0000-000024030000}"/>
    <cellStyle name="20% - Accent6 2 2 4 2 3 2" xfId="32087" xr:uid="{E364D040-6C8C-4FFD-A09C-B3A8DDA7A816}"/>
    <cellStyle name="20% - Accent6 2 2 4 2 4" xfId="32084" xr:uid="{91AA229B-1726-4E88-B7D8-B5BA73889FF9}"/>
    <cellStyle name="20% - Accent6 2 2 4 3" xfId="805" xr:uid="{00000000-0005-0000-0000-000025030000}"/>
    <cellStyle name="20% - Accent6 2 2 4 3 2" xfId="806" xr:uid="{00000000-0005-0000-0000-000026030000}"/>
    <cellStyle name="20% - Accent6 2 2 4 3 2 2" xfId="32089" xr:uid="{E63E47E1-C205-46D0-A2AE-C9B07C05C712}"/>
    <cellStyle name="20% - Accent6 2 2 4 3 3" xfId="32088" xr:uid="{2B20D142-0DEB-4B35-B3DC-B41CFCC8D0D5}"/>
    <cellStyle name="20% - Accent6 2 2 4 4" xfId="807" xr:uid="{00000000-0005-0000-0000-000027030000}"/>
    <cellStyle name="20% - Accent6 2 2 4 4 2" xfId="32090" xr:uid="{B21B7AA9-7865-4F26-8DB2-EE01A8FCF690}"/>
    <cellStyle name="20% - Accent6 2 2 4 5" xfId="32083" xr:uid="{C77116AE-60C9-4110-81D5-56DFF85908B1}"/>
    <cellStyle name="20% - Accent6 2 2 5" xfId="808" xr:uid="{00000000-0005-0000-0000-000028030000}"/>
    <cellStyle name="20% - Accent6 2 2 5 2" xfId="809" xr:uid="{00000000-0005-0000-0000-000029030000}"/>
    <cellStyle name="20% - Accent6 2 2 5 2 2" xfId="32092" xr:uid="{C897BEB1-997E-44EB-810F-F3223E851127}"/>
    <cellStyle name="20% - Accent6 2 2 5 3" xfId="32091" xr:uid="{759B1721-C460-46B9-9836-B0FD9EBD6D4E}"/>
    <cellStyle name="20% - Accent6 2 2 6" xfId="810" xr:uid="{00000000-0005-0000-0000-00002A030000}"/>
    <cellStyle name="20% - Accent6 2 2 6 2" xfId="32093" xr:uid="{D128648A-31A3-41A3-86CE-AED34752F600}"/>
    <cellStyle name="20% - Accent6 2 2 7" xfId="32078" xr:uid="{B6C5AC6E-7370-4247-A54E-9A442BE352C9}"/>
    <cellStyle name="20% - Accent6 2 3" xfId="811" xr:uid="{00000000-0005-0000-0000-00002B030000}"/>
    <cellStyle name="20% - Accent6 2 3 2" xfId="812" xr:uid="{00000000-0005-0000-0000-00002C030000}"/>
    <cellStyle name="20% - Accent6 2 3 2 2" xfId="813" xr:uid="{00000000-0005-0000-0000-00002D030000}"/>
    <cellStyle name="20% - Accent6 2 3 2 2 2" xfId="814" xr:uid="{00000000-0005-0000-0000-00002E030000}"/>
    <cellStyle name="20% - Accent6 2 3 2 2 2 2" xfId="32097" xr:uid="{6FFB0B08-0ADF-4EB9-9C2F-C98B85B3CB05}"/>
    <cellStyle name="20% - Accent6 2 3 2 2 3" xfId="32096" xr:uid="{872E8BA0-3759-4562-82E6-C6A04B5B866A}"/>
    <cellStyle name="20% - Accent6 2 3 2 3" xfId="815" xr:uid="{00000000-0005-0000-0000-00002F030000}"/>
    <cellStyle name="20% - Accent6 2 3 2 3 2" xfId="32098" xr:uid="{1FCDD1E6-F12D-4CDD-8888-DB1C4D595B26}"/>
    <cellStyle name="20% - Accent6 2 3 2 4" xfId="32095" xr:uid="{D77332D5-A08B-4865-A31A-A3C832AA0EE6}"/>
    <cellStyle name="20% - Accent6 2 3 3" xfId="816" xr:uid="{00000000-0005-0000-0000-000030030000}"/>
    <cellStyle name="20% - Accent6 2 3 3 2" xfId="817" xr:uid="{00000000-0005-0000-0000-000031030000}"/>
    <cellStyle name="20% - Accent6 2 3 3 2 2" xfId="818" xr:uid="{00000000-0005-0000-0000-000032030000}"/>
    <cellStyle name="20% - Accent6 2 3 3 2 2 2" xfId="819" xr:uid="{00000000-0005-0000-0000-000033030000}"/>
    <cellStyle name="20% - Accent6 2 3 3 2 2 2 2" xfId="32102" xr:uid="{6FF6930C-0B4B-45FF-843A-5FA32C44D749}"/>
    <cellStyle name="20% - Accent6 2 3 3 2 2 3" xfId="32101" xr:uid="{22DF4B62-E81F-4AD6-8F48-955D422B4BD8}"/>
    <cellStyle name="20% - Accent6 2 3 3 2 3" xfId="820" xr:uid="{00000000-0005-0000-0000-000034030000}"/>
    <cellStyle name="20% - Accent6 2 3 3 2 3 2" xfId="32103" xr:uid="{5BB09E10-70FA-400E-B13D-D6F28F9B8F19}"/>
    <cellStyle name="20% - Accent6 2 3 3 2 4" xfId="32100" xr:uid="{533FC79C-C9B3-40FA-9DD9-3FC8FFA4651E}"/>
    <cellStyle name="20% - Accent6 2 3 3 3" xfId="821" xr:uid="{00000000-0005-0000-0000-000035030000}"/>
    <cellStyle name="20% - Accent6 2 3 3 3 2" xfId="822" xr:uid="{00000000-0005-0000-0000-000036030000}"/>
    <cellStyle name="20% - Accent6 2 3 3 3 2 2" xfId="32105" xr:uid="{197C2719-EF6B-47FC-A754-91D9E9CE36C6}"/>
    <cellStyle name="20% - Accent6 2 3 3 3 3" xfId="32104" xr:uid="{0D0DCC58-6ADF-4AB6-A69E-BFF164F601FE}"/>
    <cellStyle name="20% - Accent6 2 3 3 4" xfId="823" xr:uid="{00000000-0005-0000-0000-000037030000}"/>
    <cellStyle name="20% - Accent6 2 3 3 4 2" xfId="32106" xr:uid="{C632F689-F070-48DA-AEA6-4047241CDAA7}"/>
    <cellStyle name="20% - Accent6 2 3 3 5" xfId="32099" xr:uid="{B24EF0AF-8C11-42DB-89AD-6AC425A0B4E4}"/>
    <cellStyle name="20% - Accent6 2 3 4" xfId="824" xr:uid="{00000000-0005-0000-0000-000038030000}"/>
    <cellStyle name="20% - Accent6 2 3 4 2" xfId="825" xr:uid="{00000000-0005-0000-0000-000039030000}"/>
    <cellStyle name="20% - Accent6 2 3 4 2 2" xfId="32108" xr:uid="{C69A9913-1CB9-49F1-A74C-9174D47F66DE}"/>
    <cellStyle name="20% - Accent6 2 3 4 3" xfId="32107" xr:uid="{68967A32-CCCC-44B3-91D5-01E2518DCF64}"/>
    <cellStyle name="20% - Accent6 2 3 5" xfId="826" xr:uid="{00000000-0005-0000-0000-00003A030000}"/>
    <cellStyle name="20% - Accent6 2 3 5 2" xfId="32109" xr:uid="{7D8C60EE-109F-4059-8E3A-E951465DCDFA}"/>
    <cellStyle name="20% - Accent6 2 3 6" xfId="32094" xr:uid="{09A3065C-E574-417C-B8D6-E7E8CD6FC6B1}"/>
    <cellStyle name="20% - Accent6 2 4" xfId="827" xr:uid="{00000000-0005-0000-0000-00003B030000}"/>
    <cellStyle name="20% - Accent6 2 4 2" xfId="828" xr:uid="{00000000-0005-0000-0000-00003C030000}"/>
    <cellStyle name="20% - Accent6 2 4 2 2" xfId="829" xr:uid="{00000000-0005-0000-0000-00003D030000}"/>
    <cellStyle name="20% - Accent6 2 4 2 2 2" xfId="830" xr:uid="{00000000-0005-0000-0000-00003E030000}"/>
    <cellStyle name="20% - Accent6 2 4 2 2 2 2" xfId="32113" xr:uid="{E504E0C5-1438-46B2-8B34-56CA6E19C368}"/>
    <cellStyle name="20% - Accent6 2 4 2 2 3" xfId="32112" xr:uid="{2D0025D9-C444-43F7-8AA7-4C1618F25E4C}"/>
    <cellStyle name="20% - Accent6 2 4 2 3" xfId="831" xr:uid="{00000000-0005-0000-0000-00003F030000}"/>
    <cellStyle name="20% - Accent6 2 4 2 3 2" xfId="32114" xr:uid="{BC330E5C-6962-4509-9877-7892D0F681A1}"/>
    <cellStyle name="20% - Accent6 2 4 2 4" xfId="32111" xr:uid="{AC824111-68BA-4F36-8DBF-493E72405B55}"/>
    <cellStyle name="20% - Accent6 2 4 3" xfId="832" xr:uid="{00000000-0005-0000-0000-000040030000}"/>
    <cellStyle name="20% - Accent6 2 4 3 2" xfId="833" xr:uid="{00000000-0005-0000-0000-000041030000}"/>
    <cellStyle name="20% - Accent6 2 4 3 2 2" xfId="32116" xr:uid="{562021F3-FB16-4FC6-A822-7BE3A098A23C}"/>
    <cellStyle name="20% - Accent6 2 4 3 3" xfId="32115" xr:uid="{9960B083-00D1-4533-B4E0-12906A6685CB}"/>
    <cellStyle name="20% - Accent6 2 4 4" xfId="834" xr:uid="{00000000-0005-0000-0000-000042030000}"/>
    <cellStyle name="20% - Accent6 2 4 4 2" xfId="32117" xr:uid="{0FD05DAC-8564-4D57-9F13-F00A996E8156}"/>
    <cellStyle name="20% - Accent6 2 4 5" xfId="32110" xr:uid="{AE9F2009-8484-4B60-8598-62AAA75E36A9}"/>
    <cellStyle name="20% - Accent6 2 5" xfId="835" xr:uid="{00000000-0005-0000-0000-000043030000}"/>
    <cellStyle name="20% - Accent6 2 5 2" xfId="836" xr:uid="{00000000-0005-0000-0000-000044030000}"/>
    <cellStyle name="20% - Accent6 2 5 2 2" xfId="837" xr:uid="{00000000-0005-0000-0000-000045030000}"/>
    <cellStyle name="20% - Accent6 2 5 2 2 2" xfId="838" xr:uid="{00000000-0005-0000-0000-000046030000}"/>
    <cellStyle name="20% - Accent6 2 5 2 2 2 2" xfId="32121" xr:uid="{F802FC88-C59D-4B84-A9E5-401567132738}"/>
    <cellStyle name="20% - Accent6 2 5 2 2 3" xfId="32120" xr:uid="{828873DF-C562-437D-9A7C-70D8BE304956}"/>
    <cellStyle name="20% - Accent6 2 5 2 3" xfId="839" xr:uid="{00000000-0005-0000-0000-000047030000}"/>
    <cellStyle name="20% - Accent6 2 5 2 3 2" xfId="32122" xr:uid="{46F5DF9A-4184-42D8-A60A-C8C0E35CE969}"/>
    <cellStyle name="20% - Accent6 2 5 2 4" xfId="32119" xr:uid="{9F22898A-5600-45A7-999D-EF8C1997A3F8}"/>
    <cellStyle name="20% - Accent6 2 5 3" xfId="840" xr:uid="{00000000-0005-0000-0000-000048030000}"/>
    <cellStyle name="20% - Accent6 2 5 3 2" xfId="841" xr:uid="{00000000-0005-0000-0000-000049030000}"/>
    <cellStyle name="20% - Accent6 2 5 3 2 2" xfId="842" xr:uid="{00000000-0005-0000-0000-00004A030000}"/>
    <cellStyle name="20% - Accent6 2 5 3 2 2 2" xfId="843" xr:uid="{00000000-0005-0000-0000-00004B030000}"/>
    <cellStyle name="20% - Accent6 2 5 3 2 2 2 2" xfId="32126" xr:uid="{5873EAC2-7A5E-4900-AB2D-E0952F47EBBE}"/>
    <cellStyle name="20% - Accent6 2 5 3 2 2 3" xfId="32125" xr:uid="{C287182A-F913-4F4C-B46C-5F631352C3B0}"/>
    <cellStyle name="20% - Accent6 2 5 3 2 3" xfId="844" xr:uid="{00000000-0005-0000-0000-00004C030000}"/>
    <cellStyle name="20% - Accent6 2 5 3 2 3 2" xfId="32127" xr:uid="{8E133607-025B-43AD-93AC-6A0AC7A8CA97}"/>
    <cellStyle name="20% - Accent6 2 5 3 2 4" xfId="32124" xr:uid="{55278A97-CA65-4CF0-BFD0-D8C2FA785A08}"/>
    <cellStyle name="20% - Accent6 2 5 3 3" xfId="845" xr:uid="{00000000-0005-0000-0000-00004D030000}"/>
    <cellStyle name="20% - Accent6 2 5 3 3 2" xfId="846" xr:uid="{00000000-0005-0000-0000-00004E030000}"/>
    <cellStyle name="20% - Accent6 2 5 3 3 2 2" xfId="32129" xr:uid="{24A79C29-E904-4823-8674-6C6331CA91CE}"/>
    <cellStyle name="20% - Accent6 2 5 3 3 3" xfId="32128" xr:uid="{13314FE0-F97F-4C95-AB56-08A7C712DA0D}"/>
    <cellStyle name="20% - Accent6 2 5 3 4" xfId="847" xr:uid="{00000000-0005-0000-0000-00004F030000}"/>
    <cellStyle name="20% - Accent6 2 5 3 4 2" xfId="32130" xr:uid="{337BB441-BE27-488E-988E-A7317536A96C}"/>
    <cellStyle name="20% - Accent6 2 5 3 5" xfId="32123" xr:uid="{26EA6632-1B7D-437E-9571-380E2108B297}"/>
    <cellStyle name="20% - Accent6 2 5 4" xfId="848" xr:uid="{00000000-0005-0000-0000-000050030000}"/>
    <cellStyle name="20% - Accent6 2 5 4 2" xfId="849" xr:uid="{00000000-0005-0000-0000-000051030000}"/>
    <cellStyle name="20% - Accent6 2 5 4 2 2" xfId="32132" xr:uid="{96F3830A-5B67-487C-9E7F-A99C1C6B311D}"/>
    <cellStyle name="20% - Accent6 2 5 4 3" xfId="32131" xr:uid="{EEFF5638-3B86-47FD-B373-406460598BF2}"/>
    <cellStyle name="20% - Accent6 2 5 5" xfId="850" xr:uid="{00000000-0005-0000-0000-000052030000}"/>
    <cellStyle name="20% - Accent6 2 5 5 2" xfId="32133" xr:uid="{D3D10AD9-83BA-4F09-B011-2C20FBCCC228}"/>
    <cellStyle name="20% - Accent6 2 5 6" xfId="32118" xr:uid="{79E4251D-025E-4F40-B5A8-68900B8E830B}"/>
    <cellStyle name="20% - Accent6 2 6" xfId="851" xr:uid="{00000000-0005-0000-0000-000053030000}"/>
    <cellStyle name="20% - Accent6 2 6 2" xfId="852" xr:uid="{00000000-0005-0000-0000-000054030000}"/>
    <cellStyle name="20% - Accent6 2 6 2 2" xfId="853" xr:uid="{00000000-0005-0000-0000-000055030000}"/>
    <cellStyle name="20% - Accent6 2 6 2 2 2" xfId="32136" xr:uid="{A8535B7B-24AE-4B79-B10F-86AE10F68AB6}"/>
    <cellStyle name="20% - Accent6 2 6 2 3" xfId="32135" xr:uid="{44EF3500-05A3-4EF4-BFAE-19149A94A09F}"/>
    <cellStyle name="20% - Accent6 2 6 3" xfId="854" xr:uid="{00000000-0005-0000-0000-000056030000}"/>
    <cellStyle name="20% - Accent6 2 6 3 2" xfId="32137" xr:uid="{6750D196-EAE9-43B0-9901-8C2C47F16576}"/>
    <cellStyle name="20% - Accent6 2 6 4" xfId="32134" xr:uid="{9F59F437-5B97-434D-94A5-CA0796934333}"/>
    <cellStyle name="20% - Accent6 2 7" xfId="855" xr:uid="{00000000-0005-0000-0000-000057030000}"/>
    <cellStyle name="20% - Accent6 2 7 2" xfId="856" xr:uid="{00000000-0005-0000-0000-000058030000}"/>
    <cellStyle name="20% - Accent6 2 7 2 2" xfId="857" xr:uid="{00000000-0005-0000-0000-000059030000}"/>
    <cellStyle name="20% - Accent6 2 7 2 2 2" xfId="32140" xr:uid="{E62C497D-9199-43F1-88FE-CFB2473081C0}"/>
    <cellStyle name="20% - Accent6 2 7 2 3" xfId="32139" xr:uid="{22B7A291-2A5A-49C6-8797-ED1ED53367C3}"/>
    <cellStyle name="20% - Accent6 2 7 3" xfId="858" xr:uid="{00000000-0005-0000-0000-00005A030000}"/>
    <cellStyle name="20% - Accent6 2 7 3 2" xfId="32141" xr:uid="{56DE0712-271E-456A-B588-1235F50DBE9F}"/>
    <cellStyle name="20% - Accent6 2 7 4" xfId="32138" xr:uid="{822D3839-C436-4B5C-B1C8-CBEF93721DCF}"/>
    <cellStyle name="20% - Accent6 2 8" xfId="859" xr:uid="{00000000-0005-0000-0000-00005B030000}"/>
    <cellStyle name="20% - Accent6 2 8 2" xfId="860" xr:uid="{00000000-0005-0000-0000-00005C030000}"/>
    <cellStyle name="20% - Accent6 2 8 2 2" xfId="861" xr:uid="{00000000-0005-0000-0000-00005D030000}"/>
    <cellStyle name="20% - Accent6 2 8 2 2 2" xfId="862" xr:uid="{00000000-0005-0000-0000-00005E030000}"/>
    <cellStyle name="20% - Accent6 2 8 2 2 2 2" xfId="32145" xr:uid="{778C7D99-5FA2-47FF-898D-C6B0C7CA0261}"/>
    <cellStyle name="20% - Accent6 2 8 2 2 3" xfId="32144" xr:uid="{AC4E407C-7681-4CC2-B964-6AA6726C16EE}"/>
    <cellStyle name="20% - Accent6 2 8 2 3" xfId="863" xr:uid="{00000000-0005-0000-0000-00005F030000}"/>
    <cellStyle name="20% - Accent6 2 8 2 3 2" xfId="32146" xr:uid="{23EF94E4-0F24-477B-A05D-C2243FA0856A}"/>
    <cellStyle name="20% - Accent6 2 8 2 4" xfId="32143" xr:uid="{CA8B153C-5C41-4B66-B559-0D00AC56F278}"/>
    <cellStyle name="20% - Accent6 2 8 3" xfId="864" xr:uid="{00000000-0005-0000-0000-000060030000}"/>
    <cellStyle name="20% - Accent6 2 8 3 2" xfId="865" xr:uid="{00000000-0005-0000-0000-000061030000}"/>
    <cellStyle name="20% - Accent6 2 8 3 2 2" xfId="32148" xr:uid="{1AA4D17F-9AF6-41C3-9EE3-3A5138E927CD}"/>
    <cellStyle name="20% - Accent6 2 8 3 3" xfId="32147" xr:uid="{4E76883B-8EAC-4545-A680-69E182E72E01}"/>
    <cellStyle name="20% - Accent6 2 8 4" xfId="866" xr:uid="{00000000-0005-0000-0000-000062030000}"/>
    <cellStyle name="20% - Accent6 2 8 4 2" xfId="32149" xr:uid="{DAA5A2AD-CAC2-43D8-99A6-E89EC393C37D}"/>
    <cellStyle name="20% - Accent6 2 8 5" xfId="32142" xr:uid="{8790F9ED-BB06-429F-9E3E-888FA2B95B80}"/>
    <cellStyle name="20% - Accent6 2 9" xfId="867" xr:uid="{00000000-0005-0000-0000-000063030000}"/>
    <cellStyle name="20% - Accent6 2 9 2" xfId="868" xr:uid="{00000000-0005-0000-0000-000064030000}"/>
    <cellStyle name="20% - Accent6 2 9 2 2" xfId="32151" xr:uid="{3A404F25-D714-4A30-8382-F051D45388DF}"/>
    <cellStyle name="20% - Accent6 2 9 3" xfId="32150" xr:uid="{D6077226-92F6-4BB3-851A-14DF96424F82}"/>
    <cellStyle name="20% - Accent6 3" xfId="869" xr:uid="{00000000-0005-0000-0000-000065030000}"/>
    <cellStyle name="20% - Accent6 3 2" xfId="870" xr:uid="{00000000-0005-0000-0000-000066030000}"/>
    <cellStyle name="20% - Accent6 3 2 2" xfId="871" xr:uid="{00000000-0005-0000-0000-000067030000}"/>
    <cellStyle name="20% - Accent6 3 2 2 2" xfId="872" xr:uid="{00000000-0005-0000-0000-000068030000}"/>
    <cellStyle name="20% - Accent6 3 2 2 2 2" xfId="32155" xr:uid="{6AA58A12-9323-43D0-81AF-62C8DD7F1CB9}"/>
    <cellStyle name="20% - Accent6 3 2 2 3" xfId="32154" xr:uid="{57450811-3DB1-489F-9C0D-B77FC3F5C4F4}"/>
    <cellStyle name="20% - Accent6 3 2 3" xfId="873" xr:uid="{00000000-0005-0000-0000-000069030000}"/>
    <cellStyle name="20% - Accent6 3 2 3 2" xfId="32156" xr:uid="{28BD608E-4F4A-4355-A5CD-3F0B680D680F}"/>
    <cellStyle name="20% - Accent6 3 2 4" xfId="32153" xr:uid="{7D3B39DF-734A-4365-A741-03457F2125A2}"/>
    <cellStyle name="20% - Accent6 3 3" xfId="874" xr:uid="{00000000-0005-0000-0000-00006A030000}"/>
    <cellStyle name="20% - Accent6 3 3 2" xfId="875" xr:uid="{00000000-0005-0000-0000-00006B030000}"/>
    <cellStyle name="20% - Accent6 3 4" xfId="876" xr:uid="{00000000-0005-0000-0000-00006C030000}"/>
    <cellStyle name="20% - Accent6 3 4 2" xfId="877" xr:uid="{00000000-0005-0000-0000-00006D030000}"/>
    <cellStyle name="20% - Accent6 3 4 2 2" xfId="878" xr:uid="{00000000-0005-0000-0000-00006E030000}"/>
    <cellStyle name="20% - Accent6 3 4 3" xfId="879" xr:uid="{00000000-0005-0000-0000-00006F030000}"/>
    <cellStyle name="20% - Accent6 3 5" xfId="880" xr:uid="{00000000-0005-0000-0000-000070030000}"/>
    <cellStyle name="20% - Accent6 3 6" xfId="32152" xr:uid="{F7D5A810-830B-4CC0-AF2E-26F05FC46A56}"/>
    <cellStyle name="20% - Accent6 4" xfId="881" xr:uid="{00000000-0005-0000-0000-000071030000}"/>
    <cellStyle name="20% - Accent6 4 2" xfId="882" xr:uid="{00000000-0005-0000-0000-000072030000}"/>
    <cellStyle name="20% - Accent6 4 2 2" xfId="883" xr:uid="{00000000-0005-0000-0000-000073030000}"/>
    <cellStyle name="20% - Accent6 4 3" xfId="884" xr:uid="{00000000-0005-0000-0000-000074030000}"/>
    <cellStyle name="20% - Accent6 4 3 2" xfId="885" xr:uid="{00000000-0005-0000-0000-000075030000}"/>
    <cellStyle name="20% - Accent6 4 3 2 2" xfId="886" xr:uid="{00000000-0005-0000-0000-000076030000}"/>
    <cellStyle name="20% - Accent6 4 3 3" xfId="887" xr:uid="{00000000-0005-0000-0000-000077030000}"/>
    <cellStyle name="20% - Accent6 4 4" xfId="888" xr:uid="{00000000-0005-0000-0000-000078030000}"/>
    <cellStyle name="20% - Accent6 4 5" xfId="32157" xr:uid="{BE3BC192-07F8-48E3-9C5A-1D8A9A32CBA4}"/>
    <cellStyle name="20% - Accent6 5" xfId="889" xr:uid="{00000000-0005-0000-0000-000079030000}"/>
    <cellStyle name="20% - Accent6 5 2" xfId="890" xr:uid="{00000000-0005-0000-0000-00007A030000}"/>
    <cellStyle name="20% - Accent6 5 2 2" xfId="891" xr:uid="{00000000-0005-0000-0000-00007B030000}"/>
    <cellStyle name="20% - Accent6 5 2 2 2" xfId="892" xr:uid="{00000000-0005-0000-0000-00007C030000}"/>
    <cellStyle name="20% - Accent6 5 2 2 2 2" xfId="32161" xr:uid="{07EA3C1C-8A5D-45BE-B92A-D4E0D47E59EA}"/>
    <cellStyle name="20% - Accent6 5 2 2 3" xfId="32160" xr:uid="{7B6619BE-F79E-4821-BE85-F151E8E63C70}"/>
    <cellStyle name="20% - Accent6 5 2 3" xfId="893" xr:uid="{00000000-0005-0000-0000-00007D030000}"/>
    <cellStyle name="20% - Accent6 5 2 3 2" xfId="32162" xr:uid="{BD9C39B2-9AFE-41A1-86EE-32AB297C5B3E}"/>
    <cellStyle name="20% - Accent6 5 2 4" xfId="32159" xr:uid="{6C71B1FC-CED2-437F-9174-9DCDB8F2B908}"/>
    <cellStyle name="20% - Accent6 5 3" xfId="894" xr:uid="{00000000-0005-0000-0000-00007E030000}"/>
    <cellStyle name="20% - Accent6 5 3 2" xfId="895" xr:uid="{00000000-0005-0000-0000-00007F030000}"/>
    <cellStyle name="20% - Accent6 5 3 2 2" xfId="896" xr:uid="{00000000-0005-0000-0000-000080030000}"/>
    <cellStyle name="20% - Accent6 5 3 2 2 2" xfId="897" xr:uid="{00000000-0005-0000-0000-000081030000}"/>
    <cellStyle name="20% - Accent6 5 3 2 2 2 2" xfId="32166" xr:uid="{B2C85AFB-F854-4F0C-85C7-C116859F8B67}"/>
    <cellStyle name="20% - Accent6 5 3 2 2 3" xfId="32165" xr:uid="{DF1F4395-3528-4D5A-9CDB-E49EA4D461F1}"/>
    <cellStyle name="20% - Accent6 5 3 2 3" xfId="898" xr:uid="{00000000-0005-0000-0000-000082030000}"/>
    <cellStyle name="20% - Accent6 5 3 2 3 2" xfId="32167" xr:uid="{66DE3B40-C0D4-4014-A1DA-978B08BE8DCD}"/>
    <cellStyle name="20% - Accent6 5 3 2 4" xfId="32164" xr:uid="{58E84E77-7687-4AD6-9765-BF464069B24E}"/>
    <cellStyle name="20% - Accent6 5 3 3" xfId="899" xr:uid="{00000000-0005-0000-0000-000083030000}"/>
    <cellStyle name="20% - Accent6 5 3 3 2" xfId="900" xr:uid="{00000000-0005-0000-0000-000084030000}"/>
    <cellStyle name="20% - Accent6 5 3 3 2 2" xfId="32169" xr:uid="{889567E2-70B6-44BC-96AC-082F61E0CF18}"/>
    <cellStyle name="20% - Accent6 5 3 3 3" xfId="32168" xr:uid="{CE73D67D-7239-4D30-8589-C91251FEEC04}"/>
    <cellStyle name="20% - Accent6 5 3 4" xfId="901" xr:uid="{00000000-0005-0000-0000-000085030000}"/>
    <cellStyle name="20% - Accent6 5 3 4 2" xfId="32170" xr:uid="{263C4B9D-15B2-4075-89DD-980E881F3374}"/>
    <cellStyle name="20% - Accent6 5 3 5" xfId="32163" xr:uid="{550A2DB1-980D-493C-97BE-5CA0A3AE6BB4}"/>
    <cellStyle name="20% - Accent6 5 4" xfId="902" xr:uid="{00000000-0005-0000-0000-000086030000}"/>
    <cellStyle name="20% - Accent6 5 4 2" xfId="903" xr:uid="{00000000-0005-0000-0000-000087030000}"/>
    <cellStyle name="20% - Accent6 5 4 2 2" xfId="32172" xr:uid="{4606CB8C-1C2E-4364-A953-5BAABB52A312}"/>
    <cellStyle name="20% - Accent6 5 4 3" xfId="32171" xr:uid="{CED1864F-6622-4F95-80AE-7D6F3ABD90BF}"/>
    <cellStyle name="20% - Accent6 5 5" xfId="904" xr:uid="{00000000-0005-0000-0000-000088030000}"/>
    <cellStyle name="20% - Accent6 5 5 2" xfId="32173" xr:uid="{68E755C0-72A2-4B74-BE40-682E2B5B2059}"/>
    <cellStyle name="20% - Accent6 5 6" xfId="32158" xr:uid="{D77CB0E2-7D9E-44E8-BDD4-A8BCABE06D7D}"/>
    <cellStyle name="20% - Accent6 6" xfId="905" xr:uid="{00000000-0005-0000-0000-000089030000}"/>
    <cellStyle name="20% - Accent6 6 2" xfId="906" xr:uid="{00000000-0005-0000-0000-00008A030000}"/>
    <cellStyle name="20% - Accent6 6 2 2" xfId="907" xr:uid="{00000000-0005-0000-0000-00008B030000}"/>
    <cellStyle name="20% - Accent6 6 2 2 2" xfId="908" xr:uid="{00000000-0005-0000-0000-00008C030000}"/>
    <cellStyle name="20% - Accent6 6 2 2 2 2" xfId="32177" xr:uid="{9CC57F11-86EB-46C7-B6D4-F12A761F5DE0}"/>
    <cellStyle name="20% - Accent6 6 2 2 3" xfId="32176" xr:uid="{36383B86-A0FB-4837-A047-94290DEE56C2}"/>
    <cellStyle name="20% - Accent6 6 2 3" xfId="909" xr:uid="{00000000-0005-0000-0000-00008D030000}"/>
    <cellStyle name="20% - Accent6 6 2 3 2" xfId="32178" xr:uid="{8F52DEBE-02B6-413D-8D6D-537C45901AC3}"/>
    <cellStyle name="20% - Accent6 6 2 4" xfId="32175" xr:uid="{26D7494A-2A2A-4769-8D8C-F4661E9F78CD}"/>
    <cellStyle name="20% - Accent6 6 3" xfId="910" xr:uid="{00000000-0005-0000-0000-00008E030000}"/>
    <cellStyle name="20% - Accent6 6 3 2" xfId="911" xr:uid="{00000000-0005-0000-0000-00008F030000}"/>
    <cellStyle name="20% - Accent6 6 3 2 2" xfId="32180" xr:uid="{3E76C7E6-C3E9-4BEE-AA1A-02E211AFD0E8}"/>
    <cellStyle name="20% - Accent6 6 3 3" xfId="32179" xr:uid="{139F7F1A-38BB-472B-B48A-3BEC934D27ED}"/>
    <cellStyle name="20% - Accent6 6 4" xfId="912" xr:uid="{00000000-0005-0000-0000-000090030000}"/>
    <cellStyle name="20% - Accent6 6 4 2" xfId="32181" xr:uid="{CB89ADA5-BD28-43C2-BBAF-712A75ED89C5}"/>
    <cellStyle name="20% - Accent6 6 5" xfId="32174" xr:uid="{08C473CC-58E0-4F60-B600-23980BD4103F}"/>
    <cellStyle name="20% - Accent6 7" xfId="913" xr:uid="{00000000-0005-0000-0000-000091030000}"/>
    <cellStyle name="20% - Accent6 8" xfId="914" xr:uid="{00000000-0005-0000-0000-000092030000}"/>
    <cellStyle name="40% - Accent1 2" xfId="915" xr:uid="{00000000-0005-0000-0000-000093030000}"/>
    <cellStyle name="40% - Accent1 2 10" xfId="916" xr:uid="{00000000-0005-0000-0000-000094030000}"/>
    <cellStyle name="40% - Accent1 2 10 2" xfId="917" xr:uid="{00000000-0005-0000-0000-000095030000}"/>
    <cellStyle name="40% - Accent1 2 10 2 2" xfId="32184" xr:uid="{B3829E46-340C-4325-8631-C8ACD7667B0D}"/>
    <cellStyle name="40% - Accent1 2 10 3" xfId="32183" xr:uid="{8916689B-CB1C-4E26-B46A-C57FD5BCDF21}"/>
    <cellStyle name="40% - Accent1 2 11" xfId="918" xr:uid="{00000000-0005-0000-0000-000096030000}"/>
    <cellStyle name="40% - Accent1 2 11 2" xfId="32185" xr:uid="{0581DD42-685E-4AF9-AE73-C675DA498EFE}"/>
    <cellStyle name="40% - Accent1 2 12" xfId="32182" xr:uid="{2B491841-1830-4A6A-9ECB-52A2FC3D2736}"/>
    <cellStyle name="40% - Accent1 2 2" xfId="919" xr:uid="{00000000-0005-0000-0000-000097030000}"/>
    <cellStyle name="40% - Accent1 2 2 2" xfId="920" xr:uid="{00000000-0005-0000-0000-000098030000}"/>
    <cellStyle name="40% - Accent1 2 2 2 2" xfId="921" xr:uid="{00000000-0005-0000-0000-000099030000}"/>
    <cellStyle name="40% - Accent1 2 2 2 2 2" xfId="922" xr:uid="{00000000-0005-0000-0000-00009A030000}"/>
    <cellStyle name="40% - Accent1 2 2 2 3" xfId="923" xr:uid="{00000000-0005-0000-0000-00009B030000}"/>
    <cellStyle name="40% - Accent1 2 2 2 3 2" xfId="924" xr:uid="{00000000-0005-0000-0000-00009C030000}"/>
    <cellStyle name="40% - Accent1 2 2 2 3 2 2" xfId="925" xr:uid="{00000000-0005-0000-0000-00009D030000}"/>
    <cellStyle name="40% - Accent1 2 2 2 3 3" xfId="926" xr:uid="{00000000-0005-0000-0000-00009E030000}"/>
    <cellStyle name="40% - Accent1 2 2 2 4" xfId="927" xr:uid="{00000000-0005-0000-0000-00009F030000}"/>
    <cellStyle name="40% - Accent1 2 2 3" xfId="928" xr:uid="{00000000-0005-0000-0000-0000A0030000}"/>
    <cellStyle name="40% - Accent1 2 2 3 2" xfId="929" xr:uid="{00000000-0005-0000-0000-0000A1030000}"/>
    <cellStyle name="40% - Accent1 2 2 3 2 2" xfId="930" xr:uid="{00000000-0005-0000-0000-0000A2030000}"/>
    <cellStyle name="40% - Accent1 2 2 3 2 2 2" xfId="32189" xr:uid="{62A6AE52-15FE-4D67-94F5-68CCFCDF7C09}"/>
    <cellStyle name="40% - Accent1 2 2 3 2 3" xfId="32188" xr:uid="{AE149E08-191D-4166-9455-90B517D06CF1}"/>
    <cellStyle name="40% - Accent1 2 2 3 3" xfId="931" xr:uid="{00000000-0005-0000-0000-0000A3030000}"/>
    <cellStyle name="40% - Accent1 2 2 3 3 2" xfId="32190" xr:uid="{6A27FE8E-5978-4FC1-9DA1-03346E32C035}"/>
    <cellStyle name="40% - Accent1 2 2 3 4" xfId="32187" xr:uid="{C7619FBE-867C-49CC-99B9-D8043F27758B}"/>
    <cellStyle name="40% - Accent1 2 2 4" xfId="932" xr:uid="{00000000-0005-0000-0000-0000A4030000}"/>
    <cellStyle name="40% - Accent1 2 2 4 2" xfId="933" xr:uid="{00000000-0005-0000-0000-0000A5030000}"/>
    <cellStyle name="40% - Accent1 2 2 4 2 2" xfId="934" xr:uid="{00000000-0005-0000-0000-0000A6030000}"/>
    <cellStyle name="40% - Accent1 2 2 4 2 2 2" xfId="935" xr:uid="{00000000-0005-0000-0000-0000A7030000}"/>
    <cellStyle name="40% - Accent1 2 2 4 2 2 2 2" xfId="32194" xr:uid="{BCB11653-E599-4F9D-A560-F7082D1FAEDE}"/>
    <cellStyle name="40% - Accent1 2 2 4 2 2 3" xfId="32193" xr:uid="{478293D1-668A-4CFC-AFF8-15693AD95584}"/>
    <cellStyle name="40% - Accent1 2 2 4 2 3" xfId="936" xr:uid="{00000000-0005-0000-0000-0000A8030000}"/>
    <cellStyle name="40% - Accent1 2 2 4 2 3 2" xfId="32195" xr:uid="{86EAD2DB-B4F2-4768-A038-79A6FE96FA88}"/>
    <cellStyle name="40% - Accent1 2 2 4 2 4" xfId="32192" xr:uid="{A3C04665-B511-4E24-95D8-54E5F4946B7C}"/>
    <cellStyle name="40% - Accent1 2 2 4 3" xfId="937" xr:uid="{00000000-0005-0000-0000-0000A9030000}"/>
    <cellStyle name="40% - Accent1 2 2 4 3 2" xfId="938" xr:uid="{00000000-0005-0000-0000-0000AA030000}"/>
    <cellStyle name="40% - Accent1 2 2 4 3 2 2" xfId="32197" xr:uid="{D133070A-CD3E-4341-BE4A-F3B995AF49FC}"/>
    <cellStyle name="40% - Accent1 2 2 4 3 3" xfId="32196" xr:uid="{038F339B-0088-47D6-9B72-ECCAF64E9133}"/>
    <cellStyle name="40% - Accent1 2 2 4 4" xfId="939" xr:uid="{00000000-0005-0000-0000-0000AB030000}"/>
    <cellStyle name="40% - Accent1 2 2 4 4 2" xfId="32198" xr:uid="{D3FF41BC-06D0-40FE-AA71-9EBAAB73322F}"/>
    <cellStyle name="40% - Accent1 2 2 4 5" xfId="32191" xr:uid="{F7941243-18D0-4C93-8B36-598556A8F9E8}"/>
    <cellStyle name="40% - Accent1 2 2 5" xfId="940" xr:uid="{00000000-0005-0000-0000-0000AC030000}"/>
    <cellStyle name="40% - Accent1 2 2 5 2" xfId="941" xr:uid="{00000000-0005-0000-0000-0000AD030000}"/>
    <cellStyle name="40% - Accent1 2 2 5 2 2" xfId="32200" xr:uid="{25A6BDCA-1C9F-49EB-97C7-7AEE07BA4FDF}"/>
    <cellStyle name="40% - Accent1 2 2 5 3" xfId="32199" xr:uid="{803A74E4-8749-4858-B3E9-8C00264FA48C}"/>
    <cellStyle name="40% - Accent1 2 2 6" xfId="942" xr:uid="{00000000-0005-0000-0000-0000AE030000}"/>
    <cellStyle name="40% - Accent1 2 2 6 2" xfId="32201" xr:uid="{8B4834FD-F527-482D-A5FC-A1B0C8223D6E}"/>
    <cellStyle name="40% - Accent1 2 2 7" xfId="32186" xr:uid="{D6E8B007-855A-40C2-B4F2-E11B0DEA041A}"/>
    <cellStyle name="40% - Accent1 2 3" xfId="943" xr:uid="{00000000-0005-0000-0000-0000AF030000}"/>
    <cellStyle name="40% - Accent1 2 3 2" xfId="944" xr:uid="{00000000-0005-0000-0000-0000B0030000}"/>
    <cellStyle name="40% - Accent1 2 3 2 2" xfId="945" xr:uid="{00000000-0005-0000-0000-0000B1030000}"/>
    <cellStyle name="40% - Accent1 2 3 2 2 2" xfId="946" xr:uid="{00000000-0005-0000-0000-0000B2030000}"/>
    <cellStyle name="40% - Accent1 2 3 2 2 2 2" xfId="32205" xr:uid="{1C0A73BB-860C-416A-9E29-CE341F59E414}"/>
    <cellStyle name="40% - Accent1 2 3 2 2 3" xfId="32204" xr:uid="{E0FB0E14-74D4-46E1-ABBD-C6FDA7F2C589}"/>
    <cellStyle name="40% - Accent1 2 3 2 3" xfId="947" xr:uid="{00000000-0005-0000-0000-0000B3030000}"/>
    <cellStyle name="40% - Accent1 2 3 2 3 2" xfId="32206" xr:uid="{DCC0D147-6ECF-4E6B-825F-173912842868}"/>
    <cellStyle name="40% - Accent1 2 3 2 4" xfId="32203" xr:uid="{D1A4EF18-C0EC-4F3C-8869-DE1D08D8D579}"/>
    <cellStyle name="40% - Accent1 2 3 3" xfId="948" xr:uid="{00000000-0005-0000-0000-0000B4030000}"/>
    <cellStyle name="40% - Accent1 2 3 3 2" xfId="949" xr:uid="{00000000-0005-0000-0000-0000B5030000}"/>
    <cellStyle name="40% - Accent1 2 3 3 2 2" xfId="950" xr:uid="{00000000-0005-0000-0000-0000B6030000}"/>
    <cellStyle name="40% - Accent1 2 3 3 2 2 2" xfId="951" xr:uid="{00000000-0005-0000-0000-0000B7030000}"/>
    <cellStyle name="40% - Accent1 2 3 3 2 2 2 2" xfId="32210" xr:uid="{C75DE7E5-6333-4F9B-8566-911BA78E2D36}"/>
    <cellStyle name="40% - Accent1 2 3 3 2 2 3" xfId="32209" xr:uid="{C8ECC876-2A67-40FA-AD32-12B9587BB7F4}"/>
    <cellStyle name="40% - Accent1 2 3 3 2 3" xfId="952" xr:uid="{00000000-0005-0000-0000-0000B8030000}"/>
    <cellStyle name="40% - Accent1 2 3 3 2 3 2" xfId="32211" xr:uid="{5838AAA9-C9FC-4927-99E8-11AA3EE036CB}"/>
    <cellStyle name="40% - Accent1 2 3 3 2 4" xfId="32208" xr:uid="{E020E224-D87E-4FEE-B113-104809AD5965}"/>
    <cellStyle name="40% - Accent1 2 3 3 3" xfId="953" xr:uid="{00000000-0005-0000-0000-0000B9030000}"/>
    <cellStyle name="40% - Accent1 2 3 3 3 2" xfId="954" xr:uid="{00000000-0005-0000-0000-0000BA030000}"/>
    <cellStyle name="40% - Accent1 2 3 3 3 2 2" xfId="32213" xr:uid="{A055A087-03DA-43F5-96F2-D14A484B8C5E}"/>
    <cellStyle name="40% - Accent1 2 3 3 3 3" xfId="32212" xr:uid="{CB88C6FE-2F5C-4A81-996D-618B134B6C82}"/>
    <cellStyle name="40% - Accent1 2 3 3 4" xfId="955" xr:uid="{00000000-0005-0000-0000-0000BB030000}"/>
    <cellStyle name="40% - Accent1 2 3 3 4 2" xfId="32214" xr:uid="{EDC04077-A0E2-4C3F-A922-1C90C43D21E9}"/>
    <cellStyle name="40% - Accent1 2 3 3 5" xfId="32207" xr:uid="{6D6C7DB7-12A5-416C-8927-3BE0DBF5FB58}"/>
    <cellStyle name="40% - Accent1 2 3 4" xfId="956" xr:uid="{00000000-0005-0000-0000-0000BC030000}"/>
    <cellStyle name="40% - Accent1 2 3 4 2" xfId="957" xr:uid="{00000000-0005-0000-0000-0000BD030000}"/>
    <cellStyle name="40% - Accent1 2 3 4 2 2" xfId="32216" xr:uid="{A695EFB0-643B-4473-A9BD-C9A94B9F5B85}"/>
    <cellStyle name="40% - Accent1 2 3 4 3" xfId="32215" xr:uid="{AB2BCE49-BEDC-4722-BF61-58799B0E6EE2}"/>
    <cellStyle name="40% - Accent1 2 3 5" xfId="958" xr:uid="{00000000-0005-0000-0000-0000BE030000}"/>
    <cellStyle name="40% - Accent1 2 3 5 2" xfId="32217" xr:uid="{D3A63E55-5B3E-49EC-9758-B99635D6B77A}"/>
    <cellStyle name="40% - Accent1 2 3 6" xfId="32202" xr:uid="{FCC0ECCF-1C25-4A07-AB60-3EC5E844BF19}"/>
    <cellStyle name="40% - Accent1 2 4" xfId="959" xr:uid="{00000000-0005-0000-0000-0000BF030000}"/>
    <cellStyle name="40% - Accent1 2 4 2" xfId="960" xr:uid="{00000000-0005-0000-0000-0000C0030000}"/>
    <cellStyle name="40% - Accent1 2 4 2 2" xfId="961" xr:uid="{00000000-0005-0000-0000-0000C1030000}"/>
    <cellStyle name="40% - Accent1 2 4 2 2 2" xfId="962" xr:uid="{00000000-0005-0000-0000-0000C2030000}"/>
    <cellStyle name="40% - Accent1 2 4 2 2 2 2" xfId="32221" xr:uid="{7D5F410B-8983-4DDA-92E2-3E75842FE8C0}"/>
    <cellStyle name="40% - Accent1 2 4 2 2 3" xfId="32220" xr:uid="{440B87FA-0D0B-44C9-B37A-2C37815B611B}"/>
    <cellStyle name="40% - Accent1 2 4 2 3" xfId="963" xr:uid="{00000000-0005-0000-0000-0000C3030000}"/>
    <cellStyle name="40% - Accent1 2 4 2 3 2" xfId="32222" xr:uid="{D6A24F6E-4994-4139-AFAA-F28BEDBF6436}"/>
    <cellStyle name="40% - Accent1 2 4 2 4" xfId="32219" xr:uid="{10970D6F-735A-4CC5-9367-71D910C69D1C}"/>
    <cellStyle name="40% - Accent1 2 4 3" xfId="964" xr:uid="{00000000-0005-0000-0000-0000C4030000}"/>
    <cellStyle name="40% - Accent1 2 4 3 2" xfId="965" xr:uid="{00000000-0005-0000-0000-0000C5030000}"/>
    <cellStyle name="40% - Accent1 2 4 3 2 2" xfId="32224" xr:uid="{A8CF17DC-EBC0-4918-936D-B07B5E5D0DDA}"/>
    <cellStyle name="40% - Accent1 2 4 3 3" xfId="32223" xr:uid="{04BA716E-0276-4FBC-BEEF-6636CB9C9354}"/>
    <cellStyle name="40% - Accent1 2 4 4" xfId="966" xr:uid="{00000000-0005-0000-0000-0000C6030000}"/>
    <cellStyle name="40% - Accent1 2 4 4 2" xfId="32225" xr:uid="{17DD14C9-EFB9-48BE-A1F3-2E94E3C40802}"/>
    <cellStyle name="40% - Accent1 2 4 5" xfId="32218" xr:uid="{0D1B420E-8325-409A-AAFE-224A18AF64B6}"/>
    <cellStyle name="40% - Accent1 2 5" xfId="967" xr:uid="{00000000-0005-0000-0000-0000C7030000}"/>
    <cellStyle name="40% - Accent1 2 5 2" xfId="968" xr:uid="{00000000-0005-0000-0000-0000C8030000}"/>
    <cellStyle name="40% - Accent1 2 5 2 2" xfId="969" xr:uid="{00000000-0005-0000-0000-0000C9030000}"/>
    <cellStyle name="40% - Accent1 2 5 2 2 2" xfId="970" xr:uid="{00000000-0005-0000-0000-0000CA030000}"/>
    <cellStyle name="40% - Accent1 2 5 2 2 2 2" xfId="32229" xr:uid="{4D971F39-B1CE-4821-A87D-388A43CCCE78}"/>
    <cellStyle name="40% - Accent1 2 5 2 2 3" xfId="32228" xr:uid="{03522368-1C7C-4644-933C-FA3D28DAE0EF}"/>
    <cellStyle name="40% - Accent1 2 5 2 3" xfId="971" xr:uid="{00000000-0005-0000-0000-0000CB030000}"/>
    <cellStyle name="40% - Accent1 2 5 2 3 2" xfId="32230" xr:uid="{C72338C2-340B-4A08-975C-2B480B80A61D}"/>
    <cellStyle name="40% - Accent1 2 5 2 4" xfId="32227" xr:uid="{6BCFFE75-D7F2-4547-BD9E-EB23CB824177}"/>
    <cellStyle name="40% - Accent1 2 5 3" xfId="972" xr:uid="{00000000-0005-0000-0000-0000CC030000}"/>
    <cellStyle name="40% - Accent1 2 5 3 2" xfId="973" xr:uid="{00000000-0005-0000-0000-0000CD030000}"/>
    <cellStyle name="40% - Accent1 2 5 3 2 2" xfId="974" xr:uid="{00000000-0005-0000-0000-0000CE030000}"/>
    <cellStyle name="40% - Accent1 2 5 3 2 2 2" xfId="975" xr:uid="{00000000-0005-0000-0000-0000CF030000}"/>
    <cellStyle name="40% - Accent1 2 5 3 2 2 2 2" xfId="32234" xr:uid="{41EF3008-67F5-4EFA-8AB3-EE5F8E95852D}"/>
    <cellStyle name="40% - Accent1 2 5 3 2 2 3" xfId="32233" xr:uid="{9FBE5200-7584-4425-B0AB-C991BEEC38A1}"/>
    <cellStyle name="40% - Accent1 2 5 3 2 3" xfId="976" xr:uid="{00000000-0005-0000-0000-0000D0030000}"/>
    <cellStyle name="40% - Accent1 2 5 3 2 3 2" xfId="32235" xr:uid="{C767C345-BE78-41E4-B30C-2897A91E5382}"/>
    <cellStyle name="40% - Accent1 2 5 3 2 4" xfId="32232" xr:uid="{20ECC410-DE95-41BC-80E3-914A93158374}"/>
    <cellStyle name="40% - Accent1 2 5 3 3" xfId="977" xr:uid="{00000000-0005-0000-0000-0000D1030000}"/>
    <cellStyle name="40% - Accent1 2 5 3 3 2" xfId="978" xr:uid="{00000000-0005-0000-0000-0000D2030000}"/>
    <cellStyle name="40% - Accent1 2 5 3 3 2 2" xfId="32237" xr:uid="{7A6D4F32-8E31-4E1D-813A-DE60DA4C3CC3}"/>
    <cellStyle name="40% - Accent1 2 5 3 3 3" xfId="32236" xr:uid="{D3EC080D-9F15-4116-9DA3-C9C80C0FECC0}"/>
    <cellStyle name="40% - Accent1 2 5 3 4" xfId="979" xr:uid="{00000000-0005-0000-0000-0000D3030000}"/>
    <cellStyle name="40% - Accent1 2 5 3 4 2" xfId="32238" xr:uid="{45F0DAE9-C6EE-4D3F-AB96-E5BD1B061A7F}"/>
    <cellStyle name="40% - Accent1 2 5 3 5" xfId="32231" xr:uid="{1ABD3ACE-C8A1-42AD-9B4C-BDDA0FB2E00E}"/>
    <cellStyle name="40% - Accent1 2 5 4" xfId="980" xr:uid="{00000000-0005-0000-0000-0000D4030000}"/>
    <cellStyle name="40% - Accent1 2 5 4 2" xfId="981" xr:uid="{00000000-0005-0000-0000-0000D5030000}"/>
    <cellStyle name="40% - Accent1 2 5 4 2 2" xfId="32240" xr:uid="{531CF2B3-12FA-46FD-9414-64B6E0F720A7}"/>
    <cellStyle name="40% - Accent1 2 5 4 3" xfId="32239" xr:uid="{A670A198-21AA-4CB5-B6DF-CCF962D1270E}"/>
    <cellStyle name="40% - Accent1 2 5 5" xfId="982" xr:uid="{00000000-0005-0000-0000-0000D6030000}"/>
    <cellStyle name="40% - Accent1 2 5 5 2" xfId="32241" xr:uid="{66E5F55E-F004-4517-BBD2-445D3EBE4550}"/>
    <cellStyle name="40% - Accent1 2 5 6" xfId="32226" xr:uid="{DF2005A6-CC1F-4ECC-9BD1-FB902E00232E}"/>
    <cellStyle name="40% - Accent1 2 6" xfId="983" xr:uid="{00000000-0005-0000-0000-0000D7030000}"/>
    <cellStyle name="40% - Accent1 2 6 2" xfId="984" xr:uid="{00000000-0005-0000-0000-0000D8030000}"/>
    <cellStyle name="40% - Accent1 2 6 2 2" xfId="985" xr:uid="{00000000-0005-0000-0000-0000D9030000}"/>
    <cellStyle name="40% - Accent1 2 6 2 2 2" xfId="32244" xr:uid="{089B6AE4-D002-48B0-98F4-5737676CEDBF}"/>
    <cellStyle name="40% - Accent1 2 6 2 3" xfId="32243" xr:uid="{7BAE359E-B90B-444C-B736-A2A15AE311C2}"/>
    <cellStyle name="40% - Accent1 2 6 3" xfId="986" xr:uid="{00000000-0005-0000-0000-0000DA030000}"/>
    <cellStyle name="40% - Accent1 2 6 3 2" xfId="32245" xr:uid="{BD20AAA8-32DF-4C7A-91A9-CE3DC231C6E8}"/>
    <cellStyle name="40% - Accent1 2 6 4" xfId="32242" xr:uid="{D3D6F2AF-5955-48AD-8C61-6E0C2E34D6F5}"/>
    <cellStyle name="40% - Accent1 2 7" xfId="987" xr:uid="{00000000-0005-0000-0000-0000DB030000}"/>
    <cellStyle name="40% - Accent1 2 7 2" xfId="988" xr:uid="{00000000-0005-0000-0000-0000DC030000}"/>
    <cellStyle name="40% - Accent1 2 7 2 2" xfId="989" xr:uid="{00000000-0005-0000-0000-0000DD030000}"/>
    <cellStyle name="40% - Accent1 2 7 2 2 2" xfId="32248" xr:uid="{74BDDC2B-4F17-4701-B846-66FD70E73EE7}"/>
    <cellStyle name="40% - Accent1 2 7 2 3" xfId="32247" xr:uid="{A8A91D6A-5636-4B78-85E9-11BC8C5DACE4}"/>
    <cellStyle name="40% - Accent1 2 7 3" xfId="990" xr:uid="{00000000-0005-0000-0000-0000DE030000}"/>
    <cellStyle name="40% - Accent1 2 7 3 2" xfId="32249" xr:uid="{5A8F6BBB-23C0-4AF0-BEB6-3FC7A09F4323}"/>
    <cellStyle name="40% - Accent1 2 7 4" xfId="32246" xr:uid="{1F6BDDA1-42F2-4700-A708-7A47039DE63E}"/>
    <cellStyle name="40% - Accent1 2 8" xfId="991" xr:uid="{00000000-0005-0000-0000-0000DF030000}"/>
    <cellStyle name="40% - Accent1 2 8 2" xfId="992" xr:uid="{00000000-0005-0000-0000-0000E0030000}"/>
    <cellStyle name="40% - Accent1 2 8 2 2" xfId="993" xr:uid="{00000000-0005-0000-0000-0000E1030000}"/>
    <cellStyle name="40% - Accent1 2 8 2 2 2" xfId="994" xr:uid="{00000000-0005-0000-0000-0000E2030000}"/>
    <cellStyle name="40% - Accent1 2 8 2 2 2 2" xfId="32253" xr:uid="{EBCAC6B7-4421-4D68-A5AB-B1AC8379EFB2}"/>
    <cellStyle name="40% - Accent1 2 8 2 2 3" xfId="32252" xr:uid="{1998759C-C830-4305-8F9E-1EE4F2471EC2}"/>
    <cellStyle name="40% - Accent1 2 8 2 3" xfId="995" xr:uid="{00000000-0005-0000-0000-0000E3030000}"/>
    <cellStyle name="40% - Accent1 2 8 2 3 2" xfId="32254" xr:uid="{B7D6E2BD-89F1-4C99-AC6B-F5BD1BDB224E}"/>
    <cellStyle name="40% - Accent1 2 8 2 4" xfId="32251" xr:uid="{CE1E9B8B-4898-44C7-A568-9765A6F8E540}"/>
    <cellStyle name="40% - Accent1 2 8 3" xfId="996" xr:uid="{00000000-0005-0000-0000-0000E4030000}"/>
    <cellStyle name="40% - Accent1 2 8 3 2" xfId="997" xr:uid="{00000000-0005-0000-0000-0000E5030000}"/>
    <cellStyle name="40% - Accent1 2 8 3 2 2" xfId="32256" xr:uid="{6D8437E1-5F64-4635-AB17-CB002AFB0186}"/>
    <cellStyle name="40% - Accent1 2 8 3 3" xfId="32255" xr:uid="{FE925774-F689-4C2F-9975-5D5F7019C93A}"/>
    <cellStyle name="40% - Accent1 2 8 4" xfId="998" xr:uid="{00000000-0005-0000-0000-0000E6030000}"/>
    <cellStyle name="40% - Accent1 2 8 4 2" xfId="32257" xr:uid="{D78C4D91-D505-4B99-AF98-9EE467C7B29C}"/>
    <cellStyle name="40% - Accent1 2 8 5" xfId="32250" xr:uid="{53E6A4B6-9ABB-4000-B0AC-BEDD4FDEE6BF}"/>
    <cellStyle name="40% - Accent1 2 9" xfId="999" xr:uid="{00000000-0005-0000-0000-0000E7030000}"/>
    <cellStyle name="40% - Accent1 2 9 2" xfId="1000" xr:uid="{00000000-0005-0000-0000-0000E8030000}"/>
    <cellStyle name="40% - Accent1 2 9 2 2" xfId="32259" xr:uid="{613EEC33-953F-4725-8B92-9B45F7A9193B}"/>
    <cellStyle name="40% - Accent1 2 9 3" xfId="32258" xr:uid="{46FE6275-21E5-4FE8-8BB0-C0177264097F}"/>
    <cellStyle name="40% - Accent1 3" xfId="1001" xr:uid="{00000000-0005-0000-0000-0000E9030000}"/>
    <cellStyle name="40% - Accent1 3 2" xfId="1002" xr:uid="{00000000-0005-0000-0000-0000EA030000}"/>
    <cellStyle name="40% - Accent1 3 2 2" xfId="1003" xr:uid="{00000000-0005-0000-0000-0000EB030000}"/>
    <cellStyle name="40% - Accent1 3 2 2 2" xfId="1004" xr:uid="{00000000-0005-0000-0000-0000EC030000}"/>
    <cellStyle name="40% - Accent1 3 2 2 2 2" xfId="32263" xr:uid="{E35BCD97-30EB-4B09-A616-2BD6A9DD106B}"/>
    <cellStyle name="40% - Accent1 3 2 2 3" xfId="32262" xr:uid="{D07FE4AF-01E1-4B4A-87F5-C465C1846955}"/>
    <cellStyle name="40% - Accent1 3 2 3" xfId="1005" xr:uid="{00000000-0005-0000-0000-0000ED030000}"/>
    <cellStyle name="40% - Accent1 3 2 3 2" xfId="32264" xr:uid="{C70F0EFC-CD50-4B8F-8C57-BE86819BE175}"/>
    <cellStyle name="40% - Accent1 3 2 4" xfId="32261" xr:uid="{93F04592-4A81-436A-99E7-835CF479608F}"/>
    <cellStyle name="40% - Accent1 3 3" xfId="1006" xr:uid="{00000000-0005-0000-0000-0000EE030000}"/>
    <cellStyle name="40% - Accent1 3 3 2" xfId="1007" xr:uid="{00000000-0005-0000-0000-0000EF030000}"/>
    <cellStyle name="40% - Accent1 3 4" xfId="1008" xr:uid="{00000000-0005-0000-0000-0000F0030000}"/>
    <cellStyle name="40% - Accent1 3 4 2" xfId="1009" xr:uid="{00000000-0005-0000-0000-0000F1030000}"/>
    <cellStyle name="40% - Accent1 3 4 2 2" xfId="1010" xr:uid="{00000000-0005-0000-0000-0000F2030000}"/>
    <cellStyle name="40% - Accent1 3 4 3" xfId="1011" xr:uid="{00000000-0005-0000-0000-0000F3030000}"/>
    <cellStyle name="40% - Accent1 3 5" xfId="1012" xr:uid="{00000000-0005-0000-0000-0000F4030000}"/>
    <cellStyle name="40% - Accent1 3 6" xfId="32260" xr:uid="{7B7B0C8E-2F6D-49B2-869C-9F10290650A7}"/>
    <cellStyle name="40% - Accent1 4" xfId="1013" xr:uid="{00000000-0005-0000-0000-0000F5030000}"/>
    <cellStyle name="40% - Accent1 4 2" xfId="1014" xr:uid="{00000000-0005-0000-0000-0000F6030000}"/>
    <cellStyle name="40% - Accent1 4 2 2" xfId="1015" xr:uid="{00000000-0005-0000-0000-0000F7030000}"/>
    <cellStyle name="40% - Accent1 4 3" xfId="1016" xr:uid="{00000000-0005-0000-0000-0000F8030000}"/>
    <cellStyle name="40% - Accent1 4 3 2" xfId="1017" xr:uid="{00000000-0005-0000-0000-0000F9030000}"/>
    <cellStyle name="40% - Accent1 4 3 2 2" xfId="1018" xr:uid="{00000000-0005-0000-0000-0000FA030000}"/>
    <cellStyle name="40% - Accent1 4 3 3" xfId="1019" xr:uid="{00000000-0005-0000-0000-0000FB030000}"/>
    <cellStyle name="40% - Accent1 4 4" xfId="1020" xr:uid="{00000000-0005-0000-0000-0000FC030000}"/>
    <cellStyle name="40% - Accent1 4 5" xfId="32265" xr:uid="{3DDE493D-CA31-4BAB-B7E6-9081183704FB}"/>
    <cellStyle name="40% - Accent1 5" xfId="1021" xr:uid="{00000000-0005-0000-0000-0000FD030000}"/>
    <cellStyle name="40% - Accent1 5 2" xfId="1022" xr:uid="{00000000-0005-0000-0000-0000FE030000}"/>
    <cellStyle name="40% - Accent1 5 2 2" xfId="1023" xr:uid="{00000000-0005-0000-0000-0000FF030000}"/>
    <cellStyle name="40% - Accent1 5 2 2 2" xfId="1024" xr:uid="{00000000-0005-0000-0000-000000040000}"/>
    <cellStyle name="40% - Accent1 5 2 2 2 2" xfId="32269" xr:uid="{A9E370B4-2B87-4B31-AFF5-D6BA8C042D8C}"/>
    <cellStyle name="40% - Accent1 5 2 2 3" xfId="32268" xr:uid="{35A4FAD2-CA4D-47A3-98BF-3906293AA017}"/>
    <cellStyle name="40% - Accent1 5 2 3" xfId="1025" xr:uid="{00000000-0005-0000-0000-000001040000}"/>
    <cellStyle name="40% - Accent1 5 2 3 2" xfId="32270" xr:uid="{C1A75580-7D74-409C-A055-C5233F3B9AEE}"/>
    <cellStyle name="40% - Accent1 5 2 4" xfId="32267" xr:uid="{92340B2D-62F2-4A0D-A2DE-C3A078F39CB3}"/>
    <cellStyle name="40% - Accent1 5 3" xfId="1026" xr:uid="{00000000-0005-0000-0000-000002040000}"/>
    <cellStyle name="40% - Accent1 5 3 2" xfId="1027" xr:uid="{00000000-0005-0000-0000-000003040000}"/>
    <cellStyle name="40% - Accent1 5 3 2 2" xfId="1028" xr:uid="{00000000-0005-0000-0000-000004040000}"/>
    <cellStyle name="40% - Accent1 5 3 2 2 2" xfId="1029" xr:uid="{00000000-0005-0000-0000-000005040000}"/>
    <cellStyle name="40% - Accent1 5 3 2 2 2 2" xfId="32274" xr:uid="{22968BF6-B47C-45C2-BF41-6D0CB573DA5A}"/>
    <cellStyle name="40% - Accent1 5 3 2 2 3" xfId="32273" xr:uid="{5B647085-57BE-47CB-88FA-EF076B352F8F}"/>
    <cellStyle name="40% - Accent1 5 3 2 3" xfId="1030" xr:uid="{00000000-0005-0000-0000-000006040000}"/>
    <cellStyle name="40% - Accent1 5 3 2 3 2" xfId="32275" xr:uid="{E572F187-8567-4707-A031-A3848B8898C2}"/>
    <cellStyle name="40% - Accent1 5 3 2 4" xfId="32272" xr:uid="{8D26E3DD-767A-4E44-9F39-934DDFAF6769}"/>
    <cellStyle name="40% - Accent1 5 3 3" xfId="1031" xr:uid="{00000000-0005-0000-0000-000007040000}"/>
    <cellStyle name="40% - Accent1 5 3 3 2" xfId="1032" xr:uid="{00000000-0005-0000-0000-000008040000}"/>
    <cellStyle name="40% - Accent1 5 3 3 2 2" xfId="32277" xr:uid="{9DEFF31F-2AA9-4CB9-B57D-21FA5133B94C}"/>
    <cellStyle name="40% - Accent1 5 3 3 3" xfId="32276" xr:uid="{38A21391-E516-4082-849D-FB000E4DA0DE}"/>
    <cellStyle name="40% - Accent1 5 3 4" xfId="1033" xr:uid="{00000000-0005-0000-0000-000009040000}"/>
    <cellStyle name="40% - Accent1 5 3 4 2" xfId="32278" xr:uid="{9339A309-E15D-4DFF-99F7-FD9DB09557D3}"/>
    <cellStyle name="40% - Accent1 5 3 5" xfId="32271" xr:uid="{C7548C60-70BD-48FE-B683-FF9D40500388}"/>
    <cellStyle name="40% - Accent1 5 4" xfId="1034" xr:uid="{00000000-0005-0000-0000-00000A040000}"/>
    <cellStyle name="40% - Accent1 5 4 2" xfId="1035" xr:uid="{00000000-0005-0000-0000-00000B040000}"/>
    <cellStyle name="40% - Accent1 5 4 2 2" xfId="32280" xr:uid="{539922D5-8DD3-4B29-97D0-9B6B8D6F7907}"/>
    <cellStyle name="40% - Accent1 5 4 3" xfId="32279" xr:uid="{F0E7AFB3-7DF1-4FBE-9B91-9C053AD07603}"/>
    <cellStyle name="40% - Accent1 5 5" xfId="1036" xr:uid="{00000000-0005-0000-0000-00000C040000}"/>
    <cellStyle name="40% - Accent1 5 5 2" xfId="32281" xr:uid="{626F9022-6C2A-41FA-B7D8-7D69EF10DBE1}"/>
    <cellStyle name="40% - Accent1 5 6" xfId="32266" xr:uid="{70FF171C-DBEF-428A-A00B-80CB82888151}"/>
    <cellStyle name="40% - Accent1 6" xfId="1037" xr:uid="{00000000-0005-0000-0000-00000D040000}"/>
    <cellStyle name="40% - Accent1 6 2" xfId="1038" xr:uid="{00000000-0005-0000-0000-00000E040000}"/>
    <cellStyle name="40% - Accent1 6 2 2" xfId="1039" xr:uid="{00000000-0005-0000-0000-00000F040000}"/>
    <cellStyle name="40% - Accent1 6 2 2 2" xfId="1040" xr:uid="{00000000-0005-0000-0000-000010040000}"/>
    <cellStyle name="40% - Accent1 6 2 2 2 2" xfId="32285" xr:uid="{E8822757-FBC0-477E-A1BA-3004A39C4CA2}"/>
    <cellStyle name="40% - Accent1 6 2 2 3" xfId="32284" xr:uid="{584618D9-CF9A-4D6E-A65E-3BA783913630}"/>
    <cellStyle name="40% - Accent1 6 2 3" xfId="1041" xr:uid="{00000000-0005-0000-0000-000011040000}"/>
    <cellStyle name="40% - Accent1 6 2 3 2" xfId="32286" xr:uid="{C9BBCAD0-B1DE-4CF7-B7AE-A6A7F6AE4A68}"/>
    <cellStyle name="40% - Accent1 6 2 4" xfId="32283" xr:uid="{DA4F585B-56A8-4F94-B9F5-64D5621BD7F2}"/>
    <cellStyle name="40% - Accent1 6 3" xfId="1042" xr:uid="{00000000-0005-0000-0000-000012040000}"/>
    <cellStyle name="40% - Accent1 6 3 2" xfId="1043" xr:uid="{00000000-0005-0000-0000-000013040000}"/>
    <cellStyle name="40% - Accent1 6 3 2 2" xfId="32288" xr:uid="{4204AFE1-5BFC-45F9-9FFD-593DC7BE37FD}"/>
    <cellStyle name="40% - Accent1 6 3 3" xfId="32287" xr:uid="{B0B3B516-747D-4074-B5F8-2DDB1523E91A}"/>
    <cellStyle name="40% - Accent1 6 4" xfId="1044" xr:uid="{00000000-0005-0000-0000-000014040000}"/>
    <cellStyle name="40% - Accent1 6 4 2" xfId="32289" xr:uid="{BB5848C7-4FC3-4775-AB63-0854137E075D}"/>
    <cellStyle name="40% - Accent1 6 5" xfId="32282" xr:uid="{C80E73C8-ED08-4785-A66F-C00A90A31D71}"/>
    <cellStyle name="40% - Accent1 7" xfId="1045" xr:uid="{00000000-0005-0000-0000-000015040000}"/>
    <cellStyle name="40% - Accent1 8" xfId="1046" xr:uid="{00000000-0005-0000-0000-000016040000}"/>
    <cellStyle name="40% - Accent2 2" xfId="1047" xr:uid="{00000000-0005-0000-0000-000017040000}"/>
    <cellStyle name="40% - Accent2 2 10" xfId="1048" xr:uid="{00000000-0005-0000-0000-000018040000}"/>
    <cellStyle name="40% - Accent2 2 10 2" xfId="1049" xr:uid="{00000000-0005-0000-0000-000019040000}"/>
    <cellStyle name="40% - Accent2 2 11" xfId="1050" xr:uid="{00000000-0005-0000-0000-00001A040000}"/>
    <cellStyle name="40% - Accent2 2 2" xfId="1051" xr:uid="{00000000-0005-0000-0000-00001B040000}"/>
    <cellStyle name="40% - Accent2 2 2 2" xfId="1052" xr:uid="{00000000-0005-0000-0000-00001C040000}"/>
    <cellStyle name="40% - Accent2 2 2 2 2" xfId="1053" xr:uid="{00000000-0005-0000-0000-00001D040000}"/>
    <cellStyle name="40% - Accent2 2 2 2 2 2" xfId="1054" xr:uid="{00000000-0005-0000-0000-00001E040000}"/>
    <cellStyle name="40% - Accent2 2 2 2 3" xfId="1055" xr:uid="{00000000-0005-0000-0000-00001F040000}"/>
    <cellStyle name="40% - Accent2 2 2 2 3 2" xfId="1056" xr:uid="{00000000-0005-0000-0000-000020040000}"/>
    <cellStyle name="40% - Accent2 2 2 2 3 2 2" xfId="1057" xr:uid="{00000000-0005-0000-0000-000021040000}"/>
    <cellStyle name="40% - Accent2 2 2 2 3 3" xfId="1058" xr:uid="{00000000-0005-0000-0000-000022040000}"/>
    <cellStyle name="40% - Accent2 2 2 2 4" xfId="1059" xr:uid="{00000000-0005-0000-0000-000023040000}"/>
    <cellStyle name="40% - Accent2 2 2 3" xfId="1060" xr:uid="{00000000-0005-0000-0000-000024040000}"/>
    <cellStyle name="40% - Accent2 2 2 3 2" xfId="1061" xr:uid="{00000000-0005-0000-0000-000025040000}"/>
    <cellStyle name="40% - Accent2 2 2 3 2 2" xfId="1062" xr:uid="{00000000-0005-0000-0000-000026040000}"/>
    <cellStyle name="40% - Accent2 2 2 3 3" xfId="1063" xr:uid="{00000000-0005-0000-0000-000027040000}"/>
    <cellStyle name="40% - Accent2 2 2 4" xfId="1064" xr:uid="{00000000-0005-0000-0000-000028040000}"/>
    <cellStyle name="40% - Accent2 2 2 4 2" xfId="1065" xr:uid="{00000000-0005-0000-0000-000029040000}"/>
    <cellStyle name="40% - Accent2 2 2 4 2 2" xfId="1066" xr:uid="{00000000-0005-0000-0000-00002A040000}"/>
    <cellStyle name="40% - Accent2 2 2 4 2 2 2" xfId="1067" xr:uid="{00000000-0005-0000-0000-00002B040000}"/>
    <cellStyle name="40% - Accent2 2 2 4 2 3" xfId="1068" xr:uid="{00000000-0005-0000-0000-00002C040000}"/>
    <cellStyle name="40% - Accent2 2 2 4 3" xfId="1069" xr:uid="{00000000-0005-0000-0000-00002D040000}"/>
    <cellStyle name="40% - Accent2 2 2 4 3 2" xfId="1070" xr:uid="{00000000-0005-0000-0000-00002E040000}"/>
    <cellStyle name="40% - Accent2 2 2 4 4" xfId="1071" xr:uid="{00000000-0005-0000-0000-00002F040000}"/>
    <cellStyle name="40% - Accent2 2 2 5" xfId="1072" xr:uid="{00000000-0005-0000-0000-000030040000}"/>
    <cellStyle name="40% - Accent2 2 2 5 2" xfId="1073" xr:uid="{00000000-0005-0000-0000-000031040000}"/>
    <cellStyle name="40% - Accent2 2 2 6" xfId="1074" xr:uid="{00000000-0005-0000-0000-000032040000}"/>
    <cellStyle name="40% - Accent2 2 3" xfId="1075" xr:uid="{00000000-0005-0000-0000-000033040000}"/>
    <cellStyle name="40% - Accent2 2 3 2" xfId="1076" xr:uid="{00000000-0005-0000-0000-000034040000}"/>
    <cellStyle name="40% - Accent2 2 3 2 2" xfId="1077" xr:uid="{00000000-0005-0000-0000-000035040000}"/>
    <cellStyle name="40% - Accent2 2 3 2 2 2" xfId="1078" xr:uid="{00000000-0005-0000-0000-000036040000}"/>
    <cellStyle name="40% - Accent2 2 3 2 3" xfId="1079" xr:uid="{00000000-0005-0000-0000-000037040000}"/>
    <cellStyle name="40% - Accent2 2 3 3" xfId="1080" xr:uid="{00000000-0005-0000-0000-000038040000}"/>
    <cellStyle name="40% - Accent2 2 3 3 2" xfId="1081" xr:uid="{00000000-0005-0000-0000-000039040000}"/>
    <cellStyle name="40% - Accent2 2 3 3 2 2" xfId="1082" xr:uid="{00000000-0005-0000-0000-00003A040000}"/>
    <cellStyle name="40% - Accent2 2 3 3 2 2 2" xfId="1083" xr:uid="{00000000-0005-0000-0000-00003B040000}"/>
    <cellStyle name="40% - Accent2 2 3 3 2 3" xfId="1084" xr:uid="{00000000-0005-0000-0000-00003C040000}"/>
    <cellStyle name="40% - Accent2 2 3 3 3" xfId="1085" xr:uid="{00000000-0005-0000-0000-00003D040000}"/>
    <cellStyle name="40% - Accent2 2 3 3 3 2" xfId="1086" xr:uid="{00000000-0005-0000-0000-00003E040000}"/>
    <cellStyle name="40% - Accent2 2 3 3 4" xfId="1087" xr:uid="{00000000-0005-0000-0000-00003F040000}"/>
    <cellStyle name="40% - Accent2 2 3 4" xfId="1088" xr:uid="{00000000-0005-0000-0000-000040040000}"/>
    <cellStyle name="40% - Accent2 2 3 4 2" xfId="1089" xr:uid="{00000000-0005-0000-0000-000041040000}"/>
    <cellStyle name="40% - Accent2 2 3 5" xfId="1090" xr:uid="{00000000-0005-0000-0000-000042040000}"/>
    <cellStyle name="40% - Accent2 2 4" xfId="1091" xr:uid="{00000000-0005-0000-0000-000043040000}"/>
    <cellStyle name="40% - Accent2 2 4 2" xfId="1092" xr:uid="{00000000-0005-0000-0000-000044040000}"/>
    <cellStyle name="40% - Accent2 2 4 2 2" xfId="1093" xr:uid="{00000000-0005-0000-0000-000045040000}"/>
    <cellStyle name="40% - Accent2 2 4 2 2 2" xfId="1094" xr:uid="{00000000-0005-0000-0000-000046040000}"/>
    <cellStyle name="40% - Accent2 2 4 2 3" xfId="1095" xr:uid="{00000000-0005-0000-0000-000047040000}"/>
    <cellStyle name="40% - Accent2 2 4 3" xfId="1096" xr:uid="{00000000-0005-0000-0000-000048040000}"/>
    <cellStyle name="40% - Accent2 2 4 3 2" xfId="1097" xr:uid="{00000000-0005-0000-0000-000049040000}"/>
    <cellStyle name="40% - Accent2 2 4 4" xfId="1098" xr:uid="{00000000-0005-0000-0000-00004A040000}"/>
    <cellStyle name="40% - Accent2 2 5" xfId="1099" xr:uid="{00000000-0005-0000-0000-00004B040000}"/>
    <cellStyle name="40% - Accent2 2 5 2" xfId="1100" xr:uid="{00000000-0005-0000-0000-00004C040000}"/>
    <cellStyle name="40% - Accent2 2 5 2 2" xfId="1101" xr:uid="{00000000-0005-0000-0000-00004D040000}"/>
    <cellStyle name="40% - Accent2 2 5 2 2 2" xfId="1102" xr:uid="{00000000-0005-0000-0000-00004E040000}"/>
    <cellStyle name="40% - Accent2 2 5 2 3" xfId="1103" xr:uid="{00000000-0005-0000-0000-00004F040000}"/>
    <cellStyle name="40% - Accent2 2 5 3" xfId="1104" xr:uid="{00000000-0005-0000-0000-000050040000}"/>
    <cellStyle name="40% - Accent2 2 5 3 2" xfId="1105" xr:uid="{00000000-0005-0000-0000-000051040000}"/>
    <cellStyle name="40% - Accent2 2 5 3 2 2" xfId="1106" xr:uid="{00000000-0005-0000-0000-000052040000}"/>
    <cellStyle name="40% - Accent2 2 5 3 2 2 2" xfId="1107" xr:uid="{00000000-0005-0000-0000-000053040000}"/>
    <cellStyle name="40% - Accent2 2 5 3 2 3" xfId="1108" xr:uid="{00000000-0005-0000-0000-000054040000}"/>
    <cellStyle name="40% - Accent2 2 5 3 3" xfId="1109" xr:uid="{00000000-0005-0000-0000-000055040000}"/>
    <cellStyle name="40% - Accent2 2 5 3 3 2" xfId="1110" xr:uid="{00000000-0005-0000-0000-000056040000}"/>
    <cellStyle name="40% - Accent2 2 5 3 4" xfId="1111" xr:uid="{00000000-0005-0000-0000-000057040000}"/>
    <cellStyle name="40% - Accent2 2 5 4" xfId="1112" xr:uid="{00000000-0005-0000-0000-000058040000}"/>
    <cellStyle name="40% - Accent2 2 5 4 2" xfId="1113" xr:uid="{00000000-0005-0000-0000-000059040000}"/>
    <cellStyle name="40% - Accent2 2 5 5" xfId="1114" xr:uid="{00000000-0005-0000-0000-00005A040000}"/>
    <cellStyle name="40% - Accent2 2 6" xfId="1115" xr:uid="{00000000-0005-0000-0000-00005B040000}"/>
    <cellStyle name="40% - Accent2 2 6 2" xfId="1116" xr:uid="{00000000-0005-0000-0000-00005C040000}"/>
    <cellStyle name="40% - Accent2 2 6 2 2" xfId="1117" xr:uid="{00000000-0005-0000-0000-00005D040000}"/>
    <cellStyle name="40% - Accent2 2 6 3" xfId="1118" xr:uid="{00000000-0005-0000-0000-00005E040000}"/>
    <cellStyle name="40% - Accent2 2 7" xfId="1119" xr:uid="{00000000-0005-0000-0000-00005F040000}"/>
    <cellStyle name="40% - Accent2 2 7 2" xfId="1120" xr:uid="{00000000-0005-0000-0000-000060040000}"/>
    <cellStyle name="40% - Accent2 2 7 2 2" xfId="1121" xr:uid="{00000000-0005-0000-0000-000061040000}"/>
    <cellStyle name="40% - Accent2 2 7 3" xfId="1122" xr:uid="{00000000-0005-0000-0000-000062040000}"/>
    <cellStyle name="40% - Accent2 2 8" xfId="1123" xr:uid="{00000000-0005-0000-0000-000063040000}"/>
    <cellStyle name="40% - Accent2 2 8 2" xfId="1124" xr:uid="{00000000-0005-0000-0000-000064040000}"/>
    <cellStyle name="40% - Accent2 2 8 2 2" xfId="1125" xr:uid="{00000000-0005-0000-0000-000065040000}"/>
    <cellStyle name="40% - Accent2 2 8 2 2 2" xfId="1126" xr:uid="{00000000-0005-0000-0000-000066040000}"/>
    <cellStyle name="40% - Accent2 2 8 2 3" xfId="1127" xr:uid="{00000000-0005-0000-0000-000067040000}"/>
    <cellStyle name="40% - Accent2 2 8 3" xfId="1128" xr:uid="{00000000-0005-0000-0000-000068040000}"/>
    <cellStyle name="40% - Accent2 2 8 3 2" xfId="1129" xr:uid="{00000000-0005-0000-0000-000069040000}"/>
    <cellStyle name="40% - Accent2 2 8 4" xfId="1130" xr:uid="{00000000-0005-0000-0000-00006A040000}"/>
    <cellStyle name="40% - Accent2 2 9" xfId="1131" xr:uid="{00000000-0005-0000-0000-00006B040000}"/>
    <cellStyle name="40% - Accent2 2 9 2" xfId="1132" xr:uid="{00000000-0005-0000-0000-00006C040000}"/>
    <cellStyle name="40% - Accent2 3" xfId="1133" xr:uid="{00000000-0005-0000-0000-00006D040000}"/>
    <cellStyle name="40% - Accent2 3 2" xfId="1134" xr:uid="{00000000-0005-0000-0000-00006E040000}"/>
    <cellStyle name="40% - Accent2 3 2 2" xfId="1135" xr:uid="{00000000-0005-0000-0000-00006F040000}"/>
    <cellStyle name="40% - Accent2 3 2 2 2" xfId="1136" xr:uid="{00000000-0005-0000-0000-000070040000}"/>
    <cellStyle name="40% - Accent2 3 2 3" xfId="1137" xr:uid="{00000000-0005-0000-0000-000071040000}"/>
    <cellStyle name="40% - Accent2 3 3" xfId="1138" xr:uid="{00000000-0005-0000-0000-000072040000}"/>
    <cellStyle name="40% - Accent2 3 3 2" xfId="1139" xr:uid="{00000000-0005-0000-0000-000073040000}"/>
    <cellStyle name="40% - Accent2 3 4" xfId="1140" xr:uid="{00000000-0005-0000-0000-000074040000}"/>
    <cellStyle name="40% - Accent2 3 4 2" xfId="1141" xr:uid="{00000000-0005-0000-0000-000075040000}"/>
    <cellStyle name="40% - Accent2 3 4 2 2" xfId="1142" xr:uid="{00000000-0005-0000-0000-000076040000}"/>
    <cellStyle name="40% - Accent2 3 4 3" xfId="1143" xr:uid="{00000000-0005-0000-0000-000077040000}"/>
    <cellStyle name="40% - Accent2 3 5" xfId="1144" xr:uid="{00000000-0005-0000-0000-000078040000}"/>
    <cellStyle name="40% - Accent2 4" xfId="1145" xr:uid="{00000000-0005-0000-0000-000079040000}"/>
    <cellStyle name="40% - Accent2 4 2" xfId="1146" xr:uid="{00000000-0005-0000-0000-00007A040000}"/>
    <cellStyle name="40% - Accent2 4 2 2" xfId="1147" xr:uid="{00000000-0005-0000-0000-00007B040000}"/>
    <cellStyle name="40% - Accent2 4 3" xfId="1148" xr:uid="{00000000-0005-0000-0000-00007C040000}"/>
    <cellStyle name="40% - Accent2 4 3 2" xfId="1149" xr:uid="{00000000-0005-0000-0000-00007D040000}"/>
    <cellStyle name="40% - Accent2 4 3 2 2" xfId="1150" xr:uid="{00000000-0005-0000-0000-00007E040000}"/>
    <cellStyle name="40% - Accent2 4 3 3" xfId="1151" xr:uid="{00000000-0005-0000-0000-00007F040000}"/>
    <cellStyle name="40% - Accent2 4 4" xfId="1152" xr:uid="{00000000-0005-0000-0000-000080040000}"/>
    <cellStyle name="40% - Accent2 5" xfId="1153" xr:uid="{00000000-0005-0000-0000-000081040000}"/>
    <cellStyle name="40% - Accent2 5 2" xfId="1154" xr:uid="{00000000-0005-0000-0000-000082040000}"/>
    <cellStyle name="40% - Accent2 5 2 2" xfId="1155" xr:uid="{00000000-0005-0000-0000-000083040000}"/>
    <cellStyle name="40% - Accent2 5 2 2 2" xfId="1156" xr:uid="{00000000-0005-0000-0000-000084040000}"/>
    <cellStyle name="40% - Accent2 5 2 3" xfId="1157" xr:uid="{00000000-0005-0000-0000-000085040000}"/>
    <cellStyle name="40% - Accent2 5 3" xfId="1158" xr:uid="{00000000-0005-0000-0000-000086040000}"/>
    <cellStyle name="40% - Accent2 5 3 2" xfId="1159" xr:uid="{00000000-0005-0000-0000-000087040000}"/>
    <cellStyle name="40% - Accent2 5 3 2 2" xfId="1160" xr:uid="{00000000-0005-0000-0000-000088040000}"/>
    <cellStyle name="40% - Accent2 5 3 2 2 2" xfId="1161" xr:uid="{00000000-0005-0000-0000-000089040000}"/>
    <cellStyle name="40% - Accent2 5 3 2 3" xfId="1162" xr:uid="{00000000-0005-0000-0000-00008A040000}"/>
    <cellStyle name="40% - Accent2 5 3 3" xfId="1163" xr:uid="{00000000-0005-0000-0000-00008B040000}"/>
    <cellStyle name="40% - Accent2 5 3 3 2" xfId="1164" xr:uid="{00000000-0005-0000-0000-00008C040000}"/>
    <cellStyle name="40% - Accent2 5 3 4" xfId="1165" xr:uid="{00000000-0005-0000-0000-00008D040000}"/>
    <cellStyle name="40% - Accent2 5 4" xfId="1166" xr:uid="{00000000-0005-0000-0000-00008E040000}"/>
    <cellStyle name="40% - Accent2 5 4 2" xfId="1167" xr:uid="{00000000-0005-0000-0000-00008F040000}"/>
    <cellStyle name="40% - Accent2 5 5" xfId="1168" xr:uid="{00000000-0005-0000-0000-000090040000}"/>
    <cellStyle name="40% - Accent2 6" xfId="1169" xr:uid="{00000000-0005-0000-0000-000091040000}"/>
    <cellStyle name="40% - Accent2 6 2" xfId="1170" xr:uid="{00000000-0005-0000-0000-000092040000}"/>
    <cellStyle name="40% - Accent2 6 2 2" xfId="1171" xr:uid="{00000000-0005-0000-0000-000093040000}"/>
    <cellStyle name="40% - Accent2 6 2 2 2" xfId="1172" xr:uid="{00000000-0005-0000-0000-000094040000}"/>
    <cellStyle name="40% - Accent2 6 2 3" xfId="1173" xr:uid="{00000000-0005-0000-0000-000095040000}"/>
    <cellStyle name="40% - Accent2 6 3" xfId="1174" xr:uid="{00000000-0005-0000-0000-000096040000}"/>
    <cellStyle name="40% - Accent2 6 3 2" xfId="1175" xr:uid="{00000000-0005-0000-0000-000097040000}"/>
    <cellStyle name="40% - Accent2 6 4" xfId="1176" xr:uid="{00000000-0005-0000-0000-000098040000}"/>
    <cellStyle name="40% - Accent2 7" xfId="1177" xr:uid="{00000000-0005-0000-0000-000099040000}"/>
    <cellStyle name="40% - Accent2 8" xfId="1178" xr:uid="{00000000-0005-0000-0000-00009A040000}"/>
    <cellStyle name="40% - Accent3 2" xfId="1179" xr:uid="{00000000-0005-0000-0000-00009B040000}"/>
    <cellStyle name="40% - Accent3 2 10" xfId="1180" xr:uid="{00000000-0005-0000-0000-00009C040000}"/>
    <cellStyle name="40% - Accent3 2 10 2" xfId="1181" xr:uid="{00000000-0005-0000-0000-00009D040000}"/>
    <cellStyle name="40% - Accent3 2 10 2 2" xfId="32292" xr:uid="{BB3C3D89-CBB8-41EF-AF49-80C8B9624582}"/>
    <cellStyle name="40% - Accent3 2 10 3" xfId="32291" xr:uid="{F51489B8-827D-4B86-8FFB-BE0BF5A606E8}"/>
    <cellStyle name="40% - Accent3 2 11" xfId="1182" xr:uid="{00000000-0005-0000-0000-00009E040000}"/>
    <cellStyle name="40% - Accent3 2 11 2" xfId="32293" xr:uid="{EB43CB61-E5F8-429F-8645-5461CE0FCE3D}"/>
    <cellStyle name="40% - Accent3 2 12" xfId="32290" xr:uid="{60216A7C-EF8D-4A33-8F3A-3E41527300C5}"/>
    <cellStyle name="40% - Accent3 2 2" xfId="1183" xr:uid="{00000000-0005-0000-0000-00009F040000}"/>
    <cellStyle name="40% - Accent3 2 2 2" xfId="1184" xr:uid="{00000000-0005-0000-0000-0000A0040000}"/>
    <cellStyle name="40% - Accent3 2 2 2 2" xfId="1185" xr:uid="{00000000-0005-0000-0000-0000A1040000}"/>
    <cellStyle name="40% - Accent3 2 2 2 2 2" xfId="1186" xr:uid="{00000000-0005-0000-0000-0000A2040000}"/>
    <cellStyle name="40% - Accent3 2 2 2 3" xfId="1187" xr:uid="{00000000-0005-0000-0000-0000A3040000}"/>
    <cellStyle name="40% - Accent3 2 2 2 3 2" xfId="1188" xr:uid="{00000000-0005-0000-0000-0000A4040000}"/>
    <cellStyle name="40% - Accent3 2 2 2 3 2 2" xfId="1189" xr:uid="{00000000-0005-0000-0000-0000A5040000}"/>
    <cellStyle name="40% - Accent3 2 2 2 3 3" xfId="1190" xr:uid="{00000000-0005-0000-0000-0000A6040000}"/>
    <cellStyle name="40% - Accent3 2 2 2 4" xfId="1191" xr:uid="{00000000-0005-0000-0000-0000A7040000}"/>
    <cellStyle name="40% - Accent3 2 2 3" xfId="1192" xr:uid="{00000000-0005-0000-0000-0000A8040000}"/>
    <cellStyle name="40% - Accent3 2 2 3 2" xfId="1193" xr:uid="{00000000-0005-0000-0000-0000A9040000}"/>
    <cellStyle name="40% - Accent3 2 2 3 2 2" xfId="1194" xr:uid="{00000000-0005-0000-0000-0000AA040000}"/>
    <cellStyle name="40% - Accent3 2 2 3 2 2 2" xfId="32297" xr:uid="{40FE488B-AB8A-441E-8D4A-E5796F2A62B9}"/>
    <cellStyle name="40% - Accent3 2 2 3 2 3" xfId="32296" xr:uid="{99FC1409-C370-4935-843B-2E973874D58F}"/>
    <cellStyle name="40% - Accent3 2 2 3 3" xfId="1195" xr:uid="{00000000-0005-0000-0000-0000AB040000}"/>
    <cellStyle name="40% - Accent3 2 2 3 3 2" xfId="32298" xr:uid="{F3EB4AFE-5CE7-4452-9DE3-D121730E0269}"/>
    <cellStyle name="40% - Accent3 2 2 3 4" xfId="32295" xr:uid="{D601D4BD-B465-456D-8794-321205219545}"/>
    <cellStyle name="40% - Accent3 2 2 4" xfId="1196" xr:uid="{00000000-0005-0000-0000-0000AC040000}"/>
    <cellStyle name="40% - Accent3 2 2 4 2" xfId="1197" xr:uid="{00000000-0005-0000-0000-0000AD040000}"/>
    <cellStyle name="40% - Accent3 2 2 4 2 2" xfId="1198" xr:uid="{00000000-0005-0000-0000-0000AE040000}"/>
    <cellStyle name="40% - Accent3 2 2 4 2 2 2" xfId="1199" xr:uid="{00000000-0005-0000-0000-0000AF040000}"/>
    <cellStyle name="40% - Accent3 2 2 4 2 2 2 2" xfId="32302" xr:uid="{7445DF43-9288-4AE6-B62B-5A8E51BB61E2}"/>
    <cellStyle name="40% - Accent3 2 2 4 2 2 3" xfId="32301" xr:uid="{FA0364DD-8937-4E61-B6DB-7584CA3F4C69}"/>
    <cellStyle name="40% - Accent3 2 2 4 2 3" xfId="1200" xr:uid="{00000000-0005-0000-0000-0000B0040000}"/>
    <cellStyle name="40% - Accent3 2 2 4 2 3 2" xfId="32303" xr:uid="{A84DF653-94F5-46A8-91A4-EE1AB77149F6}"/>
    <cellStyle name="40% - Accent3 2 2 4 2 4" xfId="32300" xr:uid="{3903FFC6-D097-45A5-9625-E16266784863}"/>
    <cellStyle name="40% - Accent3 2 2 4 3" xfId="1201" xr:uid="{00000000-0005-0000-0000-0000B1040000}"/>
    <cellStyle name="40% - Accent3 2 2 4 3 2" xfId="1202" xr:uid="{00000000-0005-0000-0000-0000B2040000}"/>
    <cellStyle name="40% - Accent3 2 2 4 3 2 2" xfId="32305" xr:uid="{8453DAFD-A221-4180-9BA0-A39DFB287134}"/>
    <cellStyle name="40% - Accent3 2 2 4 3 3" xfId="32304" xr:uid="{81F0D2E8-EB9E-499C-86A8-6D805DEE0BA4}"/>
    <cellStyle name="40% - Accent3 2 2 4 4" xfId="1203" xr:uid="{00000000-0005-0000-0000-0000B3040000}"/>
    <cellStyle name="40% - Accent3 2 2 4 4 2" xfId="32306" xr:uid="{7353FD22-9ADD-4554-8E9A-59D26C251757}"/>
    <cellStyle name="40% - Accent3 2 2 4 5" xfId="32299" xr:uid="{C686A2B4-4D64-4FB0-B228-07B21206AFE9}"/>
    <cellStyle name="40% - Accent3 2 2 5" xfId="1204" xr:uid="{00000000-0005-0000-0000-0000B4040000}"/>
    <cellStyle name="40% - Accent3 2 2 5 2" xfId="1205" xr:uid="{00000000-0005-0000-0000-0000B5040000}"/>
    <cellStyle name="40% - Accent3 2 2 5 2 2" xfId="32308" xr:uid="{DE5D4C6B-6250-46D6-8F02-ED40E38491FE}"/>
    <cellStyle name="40% - Accent3 2 2 5 3" xfId="32307" xr:uid="{81BA9EC0-EDD4-4F3D-9232-9C7A9DDCB702}"/>
    <cellStyle name="40% - Accent3 2 2 6" xfId="1206" xr:uid="{00000000-0005-0000-0000-0000B6040000}"/>
    <cellStyle name="40% - Accent3 2 2 6 2" xfId="32309" xr:uid="{264628CD-370A-4C7B-BDF8-B1805FCAEA6C}"/>
    <cellStyle name="40% - Accent3 2 2 7" xfId="32294" xr:uid="{5C959554-217D-46E2-A2BC-788DA1D544DB}"/>
    <cellStyle name="40% - Accent3 2 3" xfId="1207" xr:uid="{00000000-0005-0000-0000-0000B7040000}"/>
    <cellStyle name="40% - Accent3 2 3 2" xfId="1208" xr:uid="{00000000-0005-0000-0000-0000B8040000}"/>
    <cellStyle name="40% - Accent3 2 3 2 2" xfId="1209" xr:uid="{00000000-0005-0000-0000-0000B9040000}"/>
    <cellStyle name="40% - Accent3 2 3 2 2 2" xfId="1210" xr:uid="{00000000-0005-0000-0000-0000BA040000}"/>
    <cellStyle name="40% - Accent3 2 3 2 2 2 2" xfId="32313" xr:uid="{2AE1C3E2-CFA9-4994-B9D5-0C9A7D85AFC4}"/>
    <cellStyle name="40% - Accent3 2 3 2 2 3" xfId="32312" xr:uid="{B9ED310E-E553-4CCA-BF57-484338A5838A}"/>
    <cellStyle name="40% - Accent3 2 3 2 3" xfId="1211" xr:uid="{00000000-0005-0000-0000-0000BB040000}"/>
    <cellStyle name="40% - Accent3 2 3 2 3 2" xfId="32314" xr:uid="{F995A090-1D3F-49DB-87EC-359B886A7912}"/>
    <cellStyle name="40% - Accent3 2 3 2 4" xfId="32311" xr:uid="{56157818-CF97-4B85-B42E-CA6315D154F7}"/>
    <cellStyle name="40% - Accent3 2 3 3" xfId="1212" xr:uid="{00000000-0005-0000-0000-0000BC040000}"/>
    <cellStyle name="40% - Accent3 2 3 3 2" xfId="1213" xr:uid="{00000000-0005-0000-0000-0000BD040000}"/>
    <cellStyle name="40% - Accent3 2 3 3 2 2" xfId="1214" xr:uid="{00000000-0005-0000-0000-0000BE040000}"/>
    <cellStyle name="40% - Accent3 2 3 3 2 2 2" xfId="1215" xr:uid="{00000000-0005-0000-0000-0000BF040000}"/>
    <cellStyle name="40% - Accent3 2 3 3 2 2 2 2" xfId="32318" xr:uid="{78FA9AC2-0DA9-4817-9EA9-BEB8D1391DFD}"/>
    <cellStyle name="40% - Accent3 2 3 3 2 2 3" xfId="32317" xr:uid="{6FC4F225-2E18-45AE-B3E9-86E45EEA8CE1}"/>
    <cellStyle name="40% - Accent3 2 3 3 2 3" xfId="1216" xr:uid="{00000000-0005-0000-0000-0000C0040000}"/>
    <cellStyle name="40% - Accent3 2 3 3 2 3 2" xfId="32319" xr:uid="{040B6D17-8294-4CE2-855F-83FB28F69828}"/>
    <cellStyle name="40% - Accent3 2 3 3 2 4" xfId="32316" xr:uid="{80BE9E9E-84CF-4635-A0A0-1896CEEF3827}"/>
    <cellStyle name="40% - Accent3 2 3 3 3" xfId="1217" xr:uid="{00000000-0005-0000-0000-0000C1040000}"/>
    <cellStyle name="40% - Accent3 2 3 3 3 2" xfId="1218" xr:uid="{00000000-0005-0000-0000-0000C2040000}"/>
    <cellStyle name="40% - Accent3 2 3 3 3 2 2" xfId="32321" xr:uid="{1AA3AFC9-B9D1-4334-AD8D-A0C606782507}"/>
    <cellStyle name="40% - Accent3 2 3 3 3 3" xfId="32320" xr:uid="{89934576-30EF-4173-9238-759DEE1675A1}"/>
    <cellStyle name="40% - Accent3 2 3 3 4" xfId="1219" xr:uid="{00000000-0005-0000-0000-0000C3040000}"/>
    <cellStyle name="40% - Accent3 2 3 3 4 2" xfId="32322" xr:uid="{9FA7F895-72B7-4AA7-85DB-8FE15BEA47CD}"/>
    <cellStyle name="40% - Accent3 2 3 3 5" xfId="32315" xr:uid="{C4FFC4D6-3766-4E67-8202-7CBA65A6E311}"/>
    <cellStyle name="40% - Accent3 2 3 4" xfId="1220" xr:uid="{00000000-0005-0000-0000-0000C4040000}"/>
    <cellStyle name="40% - Accent3 2 3 4 2" xfId="1221" xr:uid="{00000000-0005-0000-0000-0000C5040000}"/>
    <cellStyle name="40% - Accent3 2 3 4 2 2" xfId="32324" xr:uid="{58465FFF-3885-48C4-85D4-40C1775D52C5}"/>
    <cellStyle name="40% - Accent3 2 3 4 3" xfId="32323" xr:uid="{73658BD7-6BED-4322-B9A3-090CD64ABBD7}"/>
    <cellStyle name="40% - Accent3 2 3 5" xfId="1222" xr:uid="{00000000-0005-0000-0000-0000C6040000}"/>
    <cellStyle name="40% - Accent3 2 3 5 2" xfId="32325" xr:uid="{DDF99C27-4EFA-499A-B24C-0977D5E6E7E1}"/>
    <cellStyle name="40% - Accent3 2 3 6" xfId="32310" xr:uid="{07ECCEBE-3E72-4BC8-BA8F-BC4833475888}"/>
    <cellStyle name="40% - Accent3 2 4" xfId="1223" xr:uid="{00000000-0005-0000-0000-0000C7040000}"/>
    <cellStyle name="40% - Accent3 2 4 2" xfId="1224" xr:uid="{00000000-0005-0000-0000-0000C8040000}"/>
    <cellStyle name="40% - Accent3 2 4 2 2" xfId="1225" xr:uid="{00000000-0005-0000-0000-0000C9040000}"/>
    <cellStyle name="40% - Accent3 2 4 2 2 2" xfId="1226" xr:uid="{00000000-0005-0000-0000-0000CA040000}"/>
    <cellStyle name="40% - Accent3 2 4 2 2 2 2" xfId="32329" xr:uid="{9E2E3423-8732-4216-8B0C-5A303754C411}"/>
    <cellStyle name="40% - Accent3 2 4 2 2 3" xfId="32328" xr:uid="{B8E5D337-09BD-4FAF-9653-ADFEC1930332}"/>
    <cellStyle name="40% - Accent3 2 4 2 3" xfId="1227" xr:uid="{00000000-0005-0000-0000-0000CB040000}"/>
    <cellStyle name="40% - Accent3 2 4 2 3 2" xfId="32330" xr:uid="{D9B211D8-E898-4E3A-98E4-092900332513}"/>
    <cellStyle name="40% - Accent3 2 4 2 4" xfId="32327" xr:uid="{419AF18E-88DA-42F0-97EA-B19265C242C4}"/>
    <cellStyle name="40% - Accent3 2 4 3" xfId="1228" xr:uid="{00000000-0005-0000-0000-0000CC040000}"/>
    <cellStyle name="40% - Accent3 2 4 3 2" xfId="1229" xr:uid="{00000000-0005-0000-0000-0000CD040000}"/>
    <cellStyle name="40% - Accent3 2 4 3 2 2" xfId="32332" xr:uid="{7FD26BBF-3CFF-49E7-82F5-69F4E828825D}"/>
    <cellStyle name="40% - Accent3 2 4 3 3" xfId="32331" xr:uid="{08A37BCE-B715-451A-A770-E08384F27DAA}"/>
    <cellStyle name="40% - Accent3 2 4 4" xfId="1230" xr:uid="{00000000-0005-0000-0000-0000CE040000}"/>
    <cellStyle name="40% - Accent3 2 4 4 2" xfId="32333" xr:uid="{AEEF8119-A293-44E6-95E7-970133C67143}"/>
    <cellStyle name="40% - Accent3 2 4 5" xfId="32326" xr:uid="{8498CB64-C78D-4192-A810-F068E785A245}"/>
    <cellStyle name="40% - Accent3 2 5" xfId="1231" xr:uid="{00000000-0005-0000-0000-0000CF040000}"/>
    <cellStyle name="40% - Accent3 2 5 2" xfId="1232" xr:uid="{00000000-0005-0000-0000-0000D0040000}"/>
    <cellStyle name="40% - Accent3 2 5 2 2" xfId="1233" xr:uid="{00000000-0005-0000-0000-0000D1040000}"/>
    <cellStyle name="40% - Accent3 2 5 2 2 2" xfId="1234" xr:uid="{00000000-0005-0000-0000-0000D2040000}"/>
    <cellStyle name="40% - Accent3 2 5 2 2 2 2" xfId="32337" xr:uid="{019C2321-53D4-4652-A0CB-4BC01DB9E0BF}"/>
    <cellStyle name="40% - Accent3 2 5 2 2 3" xfId="32336" xr:uid="{A647876E-A8E3-4C71-AAA1-0E36A7C07E1C}"/>
    <cellStyle name="40% - Accent3 2 5 2 3" xfId="1235" xr:uid="{00000000-0005-0000-0000-0000D3040000}"/>
    <cellStyle name="40% - Accent3 2 5 2 3 2" xfId="32338" xr:uid="{95179CD1-4588-4DE0-8C00-1BFA32246B42}"/>
    <cellStyle name="40% - Accent3 2 5 2 4" xfId="32335" xr:uid="{D4A0ABC1-2116-4986-9174-AE11EE3F2399}"/>
    <cellStyle name="40% - Accent3 2 5 3" xfId="1236" xr:uid="{00000000-0005-0000-0000-0000D4040000}"/>
    <cellStyle name="40% - Accent3 2 5 3 2" xfId="1237" xr:uid="{00000000-0005-0000-0000-0000D5040000}"/>
    <cellStyle name="40% - Accent3 2 5 3 2 2" xfId="1238" xr:uid="{00000000-0005-0000-0000-0000D6040000}"/>
    <cellStyle name="40% - Accent3 2 5 3 2 2 2" xfId="1239" xr:uid="{00000000-0005-0000-0000-0000D7040000}"/>
    <cellStyle name="40% - Accent3 2 5 3 2 2 2 2" xfId="32342" xr:uid="{0C6013DE-0FF3-46B6-B5E5-E4998C0461DF}"/>
    <cellStyle name="40% - Accent3 2 5 3 2 2 3" xfId="32341" xr:uid="{851B5B1B-5E51-4EC3-AEE4-4EC52E77E4E9}"/>
    <cellStyle name="40% - Accent3 2 5 3 2 3" xfId="1240" xr:uid="{00000000-0005-0000-0000-0000D8040000}"/>
    <cellStyle name="40% - Accent3 2 5 3 2 3 2" xfId="32343" xr:uid="{783EF358-A19A-440E-A47A-81A92F764B55}"/>
    <cellStyle name="40% - Accent3 2 5 3 2 4" xfId="32340" xr:uid="{EADB92ED-77DA-4BDA-B58C-C4F7D5CF9AB5}"/>
    <cellStyle name="40% - Accent3 2 5 3 3" xfId="1241" xr:uid="{00000000-0005-0000-0000-0000D9040000}"/>
    <cellStyle name="40% - Accent3 2 5 3 3 2" xfId="1242" xr:uid="{00000000-0005-0000-0000-0000DA040000}"/>
    <cellStyle name="40% - Accent3 2 5 3 3 2 2" xfId="32345" xr:uid="{12F5F00E-CEC6-46A8-9A69-F62FC810E304}"/>
    <cellStyle name="40% - Accent3 2 5 3 3 3" xfId="32344" xr:uid="{D71C20F5-625F-403A-8CA5-183571FD9BD1}"/>
    <cellStyle name="40% - Accent3 2 5 3 4" xfId="1243" xr:uid="{00000000-0005-0000-0000-0000DB040000}"/>
    <cellStyle name="40% - Accent3 2 5 3 4 2" xfId="32346" xr:uid="{94E29442-A68A-433C-AFC0-1F8C66270EEE}"/>
    <cellStyle name="40% - Accent3 2 5 3 5" xfId="32339" xr:uid="{CB5A1F30-E7B3-40AE-9C1F-776A409E8ECF}"/>
    <cellStyle name="40% - Accent3 2 5 4" xfId="1244" xr:uid="{00000000-0005-0000-0000-0000DC040000}"/>
    <cellStyle name="40% - Accent3 2 5 4 2" xfId="1245" xr:uid="{00000000-0005-0000-0000-0000DD040000}"/>
    <cellStyle name="40% - Accent3 2 5 4 2 2" xfId="32348" xr:uid="{8D0B9E72-E475-42FA-90D2-F165764095FA}"/>
    <cellStyle name="40% - Accent3 2 5 4 3" xfId="32347" xr:uid="{4E1BD791-1ACC-49DF-BCD3-796AFD126983}"/>
    <cellStyle name="40% - Accent3 2 5 5" xfId="1246" xr:uid="{00000000-0005-0000-0000-0000DE040000}"/>
    <cellStyle name="40% - Accent3 2 5 5 2" xfId="32349" xr:uid="{8D415D1D-C55B-4656-8693-3626E53DA742}"/>
    <cellStyle name="40% - Accent3 2 5 6" xfId="32334" xr:uid="{B6A9B92B-EFEC-4572-888D-C13F74C4F2FA}"/>
    <cellStyle name="40% - Accent3 2 6" xfId="1247" xr:uid="{00000000-0005-0000-0000-0000DF040000}"/>
    <cellStyle name="40% - Accent3 2 6 2" xfId="1248" xr:uid="{00000000-0005-0000-0000-0000E0040000}"/>
    <cellStyle name="40% - Accent3 2 6 2 2" xfId="1249" xr:uid="{00000000-0005-0000-0000-0000E1040000}"/>
    <cellStyle name="40% - Accent3 2 6 2 2 2" xfId="32352" xr:uid="{28CF5DF6-516A-4391-AD44-6A07FAC9EFE8}"/>
    <cellStyle name="40% - Accent3 2 6 2 3" xfId="32351" xr:uid="{85C65F8B-8E62-4EB2-92D1-9A0DCA6FB7B9}"/>
    <cellStyle name="40% - Accent3 2 6 3" xfId="1250" xr:uid="{00000000-0005-0000-0000-0000E2040000}"/>
    <cellStyle name="40% - Accent3 2 6 3 2" xfId="32353" xr:uid="{2873979F-9C77-4C11-98EC-63A90BACCF68}"/>
    <cellStyle name="40% - Accent3 2 6 4" xfId="32350" xr:uid="{49F91D17-F019-48C9-93CF-22C3B6D37B72}"/>
    <cellStyle name="40% - Accent3 2 7" xfId="1251" xr:uid="{00000000-0005-0000-0000-0000E3040000}"/>
    <cellStyle name="40% - Accent3 2 7 2" xfId="1252" xr:uid="{00000000-0005-0000-0000-0000E4040000}"/>
    <cellStyle name="40% - Accent3 2 7 2 2" xfId="1253" xr:uid="{00000000-0005-0000-0000-0000E5040000}"/>
    <cellStyle name="40% - Accent3 2 7 2 2 2" xfId="32356" xr:uid="{4DB4197C-53D9-444C-8274-A9292CE1F0E1}"/>
    <cellStyle name="40% - Accent3 2 7 2 3" xfId="32355" xr:uid="{FEAB9CE7-2318-4A8E-824F-6C8AD22C8E24}"/>
    <cellStyle name="40% - Accent3 2 7 3" xfId="1254" xr:uid="{00000000-0005-0000-0000-0000E6040000}"/>
    <cellStyle name="40% - Accent3 2 7 3 2" xfId="32357" xr:uid="{5947990A-6290-47CA-9283-269A3E6E99EE}"/>
    <cellStyle name="40% - Accent3 2 7 4" xfId="32354" xr:uid="{5BBF54DC-40C8-4AEF-A90B-D4D1C8EC991C}"/>
    <cellStyle name="40% - Accent3 2 8" xfId="1255" xr:uid="{00000000-0005-0000-0000-0000E7040000}"/>
    <cellStyle name="40% - Accent3 2 8 2" xfId="1256" xr:uid="{00000000-0005-0000-0000-0000E8040000}"/>
    <cellStyle name="40% - Accent3 2 8 2 2" xfId="1257" xr:uid="{00000000-0005-0000-0000-0000E9040000}"/>
    <cellStyle name="40% - Accent3 2 8 2 2 2" xfId="1258" xr:uid="{00000000-0005-0000-0000-0000EA040000}"/>
    <cellStyle name="40% - Accent3 2 8 2 2 2 2" xfId="32361" xr:uid="{76D8AD54-AF44-4B3C-BEDE-5F3A46326157}"/>
    <cellStyle name="40% - Accent3 2 8 2 2 3" xfId="32360" xr:uid="{2C1B6742-66C9-47B5-B249-CC86B22C10C7}"/>
    <cellStyle name="40% - Accent3 2 8 2 3" xfId="1259" xr:uid="{00000000-0005-0000-0000-0000EB040000}"/>
    <cellStyle name="40% - Accent3 2 8 2 3 2" xfId="32362" xr:uid="{58032E90-48DE-4A76-971F-795E89903929}"/>
    <cellStyle name="40% - Accent3 2 8 2 4" xfId="32359" xr:uid="{B4FA6B97-1C0F-4DFA-ACA1-99AF9FBF8507}"/>
    <cellStyle name="40% - Accent3 2 8 3" xfId="1260" xr:uid="{00000000-0005-0000-0000-0000EC040000}"/>
    <cellStyle name="40% - Accent3 2 8 3 2" xfId="1261" xr:uid="{00000000-0005-0000-0000-0000ED040000}"/>
    <cellStyle name="40% - Accent3 2 8 3 2 2" xfId="32364" xr:uid="{71A07921-847E-4C01-BB68-BA013FC1AF5D}"/>
    <cellStyle name="40% - Accent3 2 8 3 3" xfId="32363" xr:uid="{E792CE03-B15C-40F1-83C5-2240408359FB}"/>
    <cellStyle name="40% - Accent3 2 8 4" xfId="1262" xr:uid="{00000000-0005-0000-0000-0000EE040000}"/>
    <cellStyle name="40% - Accent3 2 8 4 2" xfId="32365" xr:uid="{C364D19B-DFC7-421D-8AFB-FBB9E85E1B04}"/>
    <cellStyle name="40% - Accent3 2 8 5" xfId="32358" xr:uid="{E9956C57-19DE-48D3-8449-1F1EFD2DF168}"/>
    <cellStyle name="40% - Accent3 2 9" xfId="1263" xr:uid="{00000000-0005-0000-0000-0000EF040000}"/>
    <cellStyle name="40% - Accent3 2 9 2" xfId="1264" xr:uid="{00000000-0005-0000-0000-0000F0040000}"/>
    <cellStyle name="40% - Accent3 2 9 2 2" xfId="32367" xr:uid="{7F0EEA1A-AA02-4E6C-9D73-329F9914D2F9}"/>
    <cellStyle name="40% - Accent3 2 9 3" xfId="32366" xr:uid="{C6503F52-70C2-4EF5-9905-9231D0460643}"/>
    <cellStyle name="40% - Accent3 3" xfId="1265" xr:uid="{00000000-0005-0000-0000-0000F1040000}"/>
    <cellStyle name="40% - Accent3 3 2" xfId="1266" xr:uid="{00000000-0005-0000-0000-0000F2040000}"/>
    <cellStyle name="40% - Accent3 3 2 2" xfId="1267" xr:uid="{00000000-0005-0000-0000-0000F3040000}"/>
    <cellStyle name="40% - Accent3 3 2 2 2" xfId="1268" xr:uid="{00000000-0005-0000-0000-0000F4040000}"/>
    <cellStyle name="40% - Accent3 3 2 2 2 2" xfId="32371" xr:uid="{710C9CB5-E064-4925-8576-1DEEB6314C75}"/>
    <cellStyle name="40% - Accent3 3 2 2 3" xfId="32370" xr:uid="{6D0A45A0-E9E3-417B-9B31-29F50E878015}"/>
    <cellStyle name="40% - Accent3 3 2 3" xfId="1269" xr:uid="{00000000-0005-0000-0000-0000F5040000}"/>
    <cellStyle name="40% - Accent3 3 2 3 2" xfId="32372" xr:uid="{6C22257A-8CAB-4D69-9F43-D86EBB92F03C}"/>
    <cellStyle name="40% - Accent3 3 2 4" xfId="32369" xr:uid="{24021831-491C-413C-94C3-EAA6CEC7BE0E}"/>
    <cellStyle name="40% - Accent3 3 3" xfId="1270" xr:uid="{00000000-0005-0000-0000-0000F6040000}"/>
    <cellStyle name="40% - Accent3 3 3 2" xfId="1271" xr:uid="{00000000-0005-0000-0000-0000F7040000}"/>
    <cellStyle name="40% - Accent3 3 4" xfId="1272" xr:uid="{00000000-0005-0000-0000-0000F8040000}"/>
    <cellStyle name="40% - Accent3 3 4 2" xfId="1273" xr:uid="{00000000-0005-0000-0000-0000F9040000}"/>
    <cellStyle name="40% - Accent3 3 4 2 2" xfId="1274" xr:uid="{00000000-0005-0000-0000-0000FA040000}"/>
    <cellStyle name="40% - Accent3 3 4 3" xfId="1275" xr:uid="{00000000-0005-0000-0000-0000FB040000}"/>
    <cellStyle name="40% - Accent3 3 5" xfId="1276" xr:uid="{00000000-0005-0000-0000-0000FC040000}"/>
    <cellStyle name="40% - Accent3 3 6" xfId="32368" xr:uid="{B2CCD985-7FB2-42D9-A607-3A2BF6070851}"/>
    <cellStyle name="40% - Accent3 4" xfId="1277" xr:uid="{00000000-0005-0000-0000-0000FD040000}"/>
    <cellStyle name="40% - Accent3 4 2" xfId="1278" xr:uid="{00000000-0005-0000-0000-0000FE040000}"/>
    <cellStyle name="40% - Accent3 4 2 2" xfId="1279" xr:uid="{00000000-0005-0000-0000-0000FF040000}"/>
    <cellStyle name="40% - Accent3 4 3" xfId="1280" xr:uid="{00000000-0005-0000-0000-000000050000}"/>
    <cellStyle name="40% - Accent3 4 3 2" xfId="1281" xr:uid="{00000000-0005-0000-0000-000001050000}"/>
    <cellStyle name="40% - Accent3 4 3 2 2" xfId="1282" xr:uid="{00000000-0005-0000-0000-000002050000}"/>
    <cellStyle name="40% - Accent3 4 3 3" xfId="1283" xr:uid="{00000000-0005-0000-0000-000003050000}"/>
    <cellStyle name="40% - Accent3 4 4" xfId="1284" xr:uid="{00000000-0005-0000-0000-000004050000}"/>
    <cellStyle name="40% - Accent3 4 5" xfId="32373" xr:uid="{30DC3D66-4752-4B8D-A6E3-5B64FA890E3F}"/>
    <cellStyle name="40% - Accent3 5" xfId="1285" xr:uid="{00000000-0005-0000-0000-000005050000}"/>
    <cellStyle name="40% - Accent3 5 2" xfId="1286" xr:uid="{00000000-0005-0000-0000-000006050000}"/>
    <cellStyle name="40% - Accent3 5 2 2" xfId="1287" xr:uid="{00000000-0005-0000-0000-000007050000}"/>
    <cellStyle name="40% - Accent3 5 2 2 2" xfId="1288" xr:uid="{00000000-0005-0000-0000-000008050000}"/>
    <cellStyle name="40% - Accent3 5 2 2 2 2" xfId="32377" xr:uid="{D34419AE-A21F-43C8-A167-53958291BCCB}"/>
    <cellStyle name="40% - Accent3 5 2 2 3" xfId="32376" xr:uid="{5ED31874-04FA-4F57-8E19-78B2EECAC6A5}"/>
    <cellStyle name="40% - Accent3 5 2 3" xfId="1289" xr:uid="{00000000-0005-0000-0000-000009050000}"/>
    <cellStyle name="40% - Accent3 5 2 3 2" xfId="32378" xr:uid="{66C78B18-8ECB-4DF2-9D86-0703627F9F30}"/>
    <cellStyle name="40% - Accent3 5 2 4" xfId="32375" xr:uid="{5D6A93FB-6B0B-4BDF-ABB1-55733FECBAF5}"/>
    <cellStyle name="40% - Accent3 5 3" xfId="1290" xr:uid="{00000000-0005-0000-0000-00000A050000}"/>
    <cellStyle name="40% - Accent3 5 3 2" xfId="1291" xr:uid="{00000000-0005-0000-0000-00000B050000}"/>
    <cellStyle name="40% - Accent3 5 3 2 2" xfId="1292" xr:uid="{00000000-0005-0000-0000-00000C050000}"/>
    <cellStyle name="40% - Accent3 5 3 2 2 2" xfId="1293" xr:uid="{00000000-0005-0000-0000-00000D050000}"/>
    <cellStyle name="40% - Accent3 5 3 2 2 2 2" xfId="32382" xr:uid="{D52D4F7B-DD99-4B52-AB27-57B1FDCA2A3D}"/>
    <cellStyle name="40% - Accent3 5 3 2 2 3" xfId="32381" xr:uid="{34B14EAA-C27B-41D7-8E96-6C6C260709FB}"/>
    <cellStyle name="40% - Accent3 5 3 2 3" xfId="1294" xr:uid="{00000000-0005-0000-0000-00000E050000}"/>
    <cellStyle name="40% - Accent3 5 3 2 3 2" xfId="32383" xr:uid="{342DB197-38D6-4137-9A50-F70F84EE5E0A}"/>
    <cellStyle name="40% - Accent3 5 3 2 4" xfId="32380" xr:uid="{53793FE4-4618-4E04-8F59-72E7C7B76850}"/>
    <cellStyle name="40% - Accent3 5 3 3" xfId="1295" xr:uid="{00000000-0005-0000-0000-00000F050000}"/>
    <cellStyle name="40% - Accent3 5 3 3 2" xfId="1296" xr:uid="{00000000-0005-0000-0000-000010050000}"/>
    <cellStyle name="40% - Accent3 5 3 3 2 2" xfId="32385" xr:uid="{477C3643-533B-4555-8CC7-064DC3784C8D}"/>
    <cellStyle name="40% - Accent3 5 3 3 3" xfId="32384" xr:uid="{5A47C2CF-2D1F-454F-9ECA-19F97D896536}"/>
    <cellStyle name="40% - Accent3 5 3 4" xfId="1297" xr:uid="{00000000-0005-0000-0000-000011050000}"/>
    <cellStyle name="40% - Accent3 5 3 4 2" xfId="32386" xr:uid="{DC0717C5-7940-4C5C-82BC-D186B60431ED}"/>
    <cellStyle name="40% - Accent3 5 3 5" xfId="32379" xr:uid="{BAEE66DE-DCE7-4BC5-B60D-39C9DB2436C4}"/>
    <cellStyle name="40% - Accent3 5 4" xfId="1298" xr:uid="{00000000-0005-0000-0000-000012050000}"/>
    <cellStyle name="40% - Accent3 5 4 2" xfId="1299" xr:uid="{00000000-0005-0000-0000-000013050000}"/>
    <cellStyle name="40% - Accent3 5 4 2 2" xfId="32388" xr:uid="{7F7BF2E2-834D-48BB-BDA5-F617D49A7AAA}"/>
    <cellStyle name="40% - Accent3 5 4 3" xfId="32387" xr:uid="{4A3896DE-C7CF-4A00-81B1-3436CF7F3B82}"/>
    <cellStyle name="40% - Accent3 5 5" xfId="1300" xr:uid="{00000000-0005-0000-0000-000014050000}"/>
    <cellStyle name="40% - Accent3 5 5 2" xfId="32389" xr:uid="{366995DF-3AE1-4511-985B-BAD77D97BD85}"/>
    <cellStyle name="40% - Accent3 5 6" xfId="32374" xr:uid="{C3042375-9FC5-4192-BC16-DA873BB63B4B}"/>
    <cellStyle name="40% - Accent3 6" xfId="1301" xr:uid="{00000000-0005-0000-0000-000015050000}"/>
    <cellStyle name="40% - Accent3 6 2" xfId="1302" xr:uid="{00000000-0005-0000-0000-000016050000}"/>
    <cellStyle name="40% - Accent3 6 2 2" xfId="1303" xr:uid="{00000000-0005-0000-0000-000017050000}"/>
    <cellStyle name="40% - Accent3 6 2 2 2" xfId="1304" xr:uid="{00000000-0005-0000-0000-000018050000}"/>
    <cellStyle name="40% - Accent3 6 2 2 2 2" xfId="32393" xr:uid="{A1C243A0-FCA5-44EB-9F62-ABAA1F021D48}"/>
    <cellStyle name="40% - Accent3 6 2 2 3" xfId="32392" xr:uid="{8FBF1F4F-844C-430F-85BC-4B1E60AC8441}"/>
    <cellStyle name="40% - Accent3 6 2 3" xfId="1305" xr:uid="{00000000-0005-0000-0000-000019050000}"/>
    <cellStyle name="40% - Accent3 6 2 3 2" xfId="32394" xr:uid="{370A2A53-6548-40B6-A044-F97250B59CAB}"/>
    <cellStyle name="40% - Accent3 6 2 4" xfId="32391" xr:uid="{0A93A1BD-51D0-49CB-A9B7-62027D353FB2}"/>
    <cellStyle name="40% - Accent3 6 3" xfId="1306" xr:uid="{00000000-0005-0000-0000-00001A050000}"/>
    <cellStyle name="40% - Accent3 6 3 2" xfId="1307" xr:uid="{00000000-0005-0000-0000-00001B050000}"/>
    <cellStyle name="40% - Accent3 6 3 2 2" xfId="32396" xr:uid="{9EEB25A4-2AA5-4251-8202-847BE1CF81DD}"/>
    <cellStyle name="40% - Accent3 6 3 3" xfId="32395" xr:uid="{0D363301-D82F-465C-BB2A-703F8D36C2BB}"/>
    <cellStyle name="40% - Accent3 6 4" xfId="1308" xr:uid="{00000000-0005-0000-0000-00001C050000}"/>
    <cellStyle name="40% - Accent3 6 4 2" xfId="32397" xr:uid="{B354B967-A241-4386-A8C9-01E66D619311}"/>
    <cellStyle name="40% - Accent3 6 5" xfId="32390" xr:uid="{01210BDB-3FE0-4DD1-9B16-5D125618B5F0}"/>
    <cellStyle name="40% - Accent3 7" xfId="1309" xr:uid="{00000000-0005-0000-0000-00001D050000}"/>
    <cellStyle name="40% - Accent3 8" xfId="1310" xr:uid="{00000000-0005-0000-0000-00001E050000}"/>
    <cellStyle name="40% - Accent4 2" xfId="1311" xr:uid="{00000000-0005-0000-0000-00001F050000}"/>
    <cellStyle name="40% - Accent4 2 10" xfId="1312" xr:uid="{00000000-0005-0000-0000-000020050000}"/>
    <cellStyle name="40% - Accent4 2 10 2" xfId="1313" xr:uid="{00000000-0005-0000-0000-000021050000}"/>
    <cellStyle name="40% - Accent4 2 10 2 2" xfId="32399" xr:uid="{CE7059D7-F9F2-41A4-9D84-E1BF34E2E5E9}"/>
    <cellStyle name="40% - Accent4 2 10 3" xfId="32398" xr:uid="{6CE20694-A158-4514-BBC9-DA2E56AB385B}"/>
    <cellStyle name="40% - Accent4 2 11" xfId="1314" xr:uid="{00000000-0005-0000-0000-000022050000}"/>
    <cellStyle name="40% - Accent4 2 2" xfId="1315" xr:uid="{00000000-0005-0000-0000-000023050000}"/>
    <cellStyle name="40% - Accent4 2 2 2" xfId="1316" xr:uid="{00000000-0005-0000-0000-000024050000}"/>
    <cellStyle name="40% - Accent4 2 2 2 2" xfId="1317" xr:uid="{00000000-0005-0000-0000-000025050000}"/>
    <cellStyle name="40% - Accent4 2 2 2 2 2" xfId="1318" xr:uid="{00000000-0005-0000-0000-000026050000}"/>
    <cellStyle name="40% - Accent4 2 2 2 3" xfId="1319" xr:uid="{00000000-0005-0000-0000-000027050000}"/>
    <cellStyle name="40% - Accent4 2 2 2 3 2" xfId="1320" xr:uid="{00000000-0005-0000-0000-000028050000}"/>
    <cellStyle name="40% - Accent4 2 2 2 3 2 2" xfId="1321" xr:uid="{00000000-0005-0000-0000-000029050000}"/>
    <cellStyle name="40% - Accent4 2 2 2 3 3" xfId="1322" xr:uid="{00000000-0005-0000-0000-00002A050000}"/>
    <cellStyle name="40% - Accent4 2 2 2 4" xfId="1323" xr:uid="{00000000-0005-0000-0000-00002B050000}"/>
    <cellStyle name="40% - Accent4 2 2 3" xfId="1324" xr:uid="{00000000-0005-0000-0000-00002C050000}"/>
    <cellStyle name="40% - Accent4 2 2 3 2" xfId="1325" xr:uid="{00000000-0005-0000-0000-00002D050000}"/>
    <cellStyle name="40% - Accent4 2 2 3 2 2" xfId="1326" xr:uid="{00000000-0005-0000-0000-00002E050000}"/>
    <cellStyle name="40% - Accent4 2 2 3 3" xfId="1327" xr:uid="{00000000-0005-0000-0000-00002F050000}"/>
    <cellStyle name="40% - Accent4 2 2 4" xfId="1328" xr:uid="{00000000-0005-0000-0000-000030050000}"/>
    <cellStyle name="40% - Accent4 2 2 4 2" xfId="1329" xr:uid="{00000000-0005-0000-0000-000031050000}"/>
    <cellStyle name="40% - Accent4 2 2 4 2 2" xfId="1330" xr:uid="{00000000-0005-0000-0000-000032050000}"/>
    <cellStyle name="40% - Accent4 2 2 4 2 2 2" xfId="1331" xr:uid="{00000000-0005-0000-0000-000033050000}"/>
    <cellStyle name="40% - Accent4 2 2 4 2 3" xfId="1332" xr:uid="{00000000-0005-0000-0000-000034050000}"/>
    <cellStyle name="40% - Accent4 2 2 4 3" xfId="1333" xr:uid="{00000000-0005-0000-0000-000035050000}"/>
    <cellStyle name="40% - Accent4 2 2 4 3 2" xfId="1334" xr:uid="{00000000-0005-0000-0000-000036050000}"/>
    <cellStyle name="40% - Accent4 2 2 4 4" xfId="1335" xr:uid="{00000000-0005-0000-0000-000037050000}"/>
    <cellStyle name="40% - Accent4 2 2 5" xfId="1336" xr:uid="{00000000-0005-0000-0000-000038050000}"/>
    <cellStyle name="40% - Accent4 2 2 5 2" xfId="1337" xr:uid="{00000000-0005-0000-0000-000039050000}"/>
    <cellStyle name="40% - Accent4 2 2 6" xfId="1338" xr:uid="{00000000-0005-0000-0000-00003A050000}"/>
    <cellStyle name="40% - Accent4 2 3" xfId="1339" xr:uid="{00000000-0005-0000-0000-00003B050000}"/>
    <cellStyle name="40% - Accent4 2 3 2" xfId="1340" xr:uid="{00000000-0005-0000-0000-00003C050000}"/>
    <cellStyle name="40% - Accent4 2 3 2 2" xfId="1341" xr:uid="{00000000-0005-0000-0000-00003D050000}"/>
    <cellStyle name="40% - Accent4 2 3 2 2 2" xfId="1342" xr:uid="{00000000-0005-0000-0000-00003E050000}"/>
    <cellStyle name="40% - Accent4 2 3 2 2 2 2" xfId="32403" xr:uid="{D920945E-A8CA-4721-81CA-D07F1A28D785}"/>
    <cellStyle name="40% - Accent4 2 3 2 2 3" xfId="32402" xr:uid="{CF9BE67C-2A34-4847-9982-E9F84914A322}"/>
    <cellStyle name="40% - Accent4 2 3 2 3" xfId="1343" xr:uid="{00000000-0005-0000-0000-00003F050000}"/>
    <cellStyle name="40% - Accent4 2 3 2 3 2" xfId="32404" xr:uid="{3F4DA9D3-5485-4DD7-86D1-D9E30FB417F0}"/>
    <cellStyle name="40% - Accent4 2 3 2 4" xfId="32401" xr:uid="{90C65169-CFED-4487-9227-1617ACE791C4}"/>
    <cellStyle name="40% - Accent4 2 3 3" xfId="1344" xr:uid="{00000000-0005-0000-0000-000040050000}"/>
    <cellStyle name="40% - Accent4 2 3 3 2" xfId="1345" xr:uid="{00000000-0005-0000-0000-000041050000}"/>
    <cellStyle name="40% - Accent4 2 3 3 2 2" xfId="1346" xr:uid="{00000000-0005-0000-0000-000042050000}"/>
    <cellStyle name="40% - Accent4 2 3 3 2 2 2" xfId="1347" xr:uid="{00000000-0005-0000-0000-000043050000}"/>
    <cellStyle name="40% - Accent4 2 3 3 2 2 2 2" xfId="32408" xr:uid="{0CAAA351-F110-409C-9457-90708452902C}"/>
    <cellStyle name="40% - Accent4 2 3 3 2 2 3" xfId="32407" xr:uid="{B76CC832-ECF4-40D3-975C-3F1FABEBF946}"/>
    <cellStyle name="40% - Accent4 2 3 3 2 3" xfId="1348" xr:uid="{00000000-0005-0000-0000-000044050000}"/>
    <cellStyle name="40% - Accent4 2 3 3 2 3 2" xfId="32409" xr:uid="{88A371A2-AD43-4C6D-B528-A2E922C5A6DC}"/>
    <cellStyle name="40% - Accent4 2 3 3 2 4" xfId="32406" xr:uid="{AA5BC2D8-7A8D-4F5A-A3CC-2DF28974CF01}"/>
    <cellStyle name="40% - Accent4 2 3 3 3" xfId="1349" xr:uid="{00000000-0005-0000-0000-000045050000}"/>
    <cellStyle name="40% - Accent4 2 3 3 3 2" xfId="1350" xr:uid="{00000000-0005-0000-0000-000046050000}"/>
    <cellStyle name="40% - Accent4 2 3 3 3 2 2" xfId="32411" xr:uid="{3EC778ED-0A30-43A4-A9B7-AF5993546E24}"/>
    <cellStyle name="40% - Accent4 2 3 3 3 3" xfId="32410" xr:uid="{377585AD-61AE-495F-83B6-1C41FF27ED54}"/>
    <cellStyle name="40% - Accent4 2 3 3 4" xfId="1351" xr:uid="{00000000-0005-0000-0000-000047050000}"/>
    <cellStyle name="40% - Accent4 2 3 3 4 2" xfId="32412" xr:uid="{F4150859-D7AF-4CDF-9275-76907F956357}"/>
    <cellStyle name="40% - Accent4 2 3 3 5" xfId="32405" xr:uid="{5FAE6A7F-CB7B-46ED-B5E5-804CDDDDE6F3}"/>
    <cellStyle name="40% - Accent4 2 3 4" xfId="1352" xr:uid="{00000000-0005-0000-0000-000048050000}"/>
    <cellStyle name="40% - Accent4 2 3 4 2" xfId="1353" xr:uid="{00000000-0005-0000-0000-000049050000}"/>
    <cellStyle name="40% - Accent4 2 3 4 2 2" xfId="32414" xr:uid="{5D430215-5871-473D-8E7B-6008F50C55FC}"/>
    <cellStyle name="40% - Accent4 2 3 4 3" xfId="32413" xr:uid="{A51E23A1-F1D3-4E32-8DBD-C8E3C0AAD234}"/>
    <cellStyle name="40% - Accent4 2 3 5" xfId="1354" xr:uid="{00000000-0005-0000-0000-00004A050000}"/>
    <cellStyle name="40% - Accent4 2 3 5 2" xfId="32415" xr:uid="{3F8FA1DF-BE01-402D-81A0-B2567123FAAE}"/>
    <cellStyle name="40% - Accent4 2 3 6" xfId="32400" xr:uid="{2B3AF09F-D0B1-4195-883C-F4F4236B792C}"/>
    <cellStyle name="40% - Accent4 2 4" xfId="1355" xr:uid="{00000000-0005-0000-0000-00004B050000}"/>
    <cellStyle name="40% - Accent4 2 4 2" xfId="1356" xr:uid="{00000000-0005-0000-0000-00004C050000}"/>
    <cellStyle name="40% - Accent4 2 4 2 2" xfId="1357" xr:uid="{00000000-0005-0000-0000-00004D050000}"/>
    <cellStyle name="40% - Accent4 2 4 2 2 2" xfId="1358" xr:uid="{00000000-0005-0000-0000-00004E050000}"/>
    <cellStyle name="40% - Accent4 2 4 2 2 2 2" xfId="32419" xr:uid="{82489207-A7BD-458F-B38A-CF64DD08B964}"/>
    <cellStyle name="40% - Accent4 2 4 2 2 3" xfId="32418" xr:uid="{1EE9A6E1-345C-4263-B529-84956AA95FCC}"/>
    <cellStyle name="40% - Accent4 2 4 2 3" xfId="1359" xr:uid="{00000000-0005-0000-0000-00004F050000}"/>
    <cellStyle name="40% - Accent4 2 4 2 3 2" xfId="32420" xr:uid="{3436997A-379F-4834-A649-366D824FCF40}"/>
    <cellStyle name="40% - Accent4 2 4 2 4" xfId="32417" xr:uid="{CB15C67B-E84D-468D-B938-5D7DC27C5AA5}"/>
    <cellStyle name="40% - Accent4 2 4 3" xfId="1360" xr:uid="{00000000-0005-0000-0000-000050050000}"/>
    <cellStyle name="40% - Accent4 2 4 3 2" xfId="1361" xr:uid="{00000000-0005-0000-0000-000051050000}"/>
    <cellStyle name="40% - Accent4 2 4 3 2 2" xfId="32422" xr:uid="{4558CFBD-094B-4952-9EBF-E235BC964666}"/>
    <cellStyle name="40% - Accent4 2 4 3 3" xfId="32421" xr:uid="{26C9D79D-CE51-4D97-9F07-C0F0053061BB}"/>
    <cellStyle name="40% - Accent4 2 4 4" xfId="1362" xr:uid="{00000000-0005-0000-0000-000052050000}"/>
    <cellStyle name="40% - Accent4 2 4 4 2" xfId="32423" xr:uid="{0EF31F4B-235A-41CC-9E73-298F2B2D39F4}"/>
    <cellStyle name="40% - Accent4 2 4 5" xfId="32416" xr:uid="{71B96EF7-DC88-4BB4-8E7E-54E8A0AFB272}"/>
    <cellStyle name="40% - Accent4 2 5" xfId="1363" xr:uid="{00000000-0005-0000-0000-000053050000}"/>
    <cellStyle name="40% - Accent4 2 5 2" xfId="1364" xr:uid="{00000000-0005-0000-0000-000054050000}"/>
    <cellStyle name="40% - Accent4 2 5 2 2" xfId="1365" xr:uid="{00000000-0005-0000-0000-000055050000}"/>
    <cellStyle name="40% - Accent4 2 5 2 2 2" xfId="1366" xr:uid="{00000000-0005-0000-0000-000056050000}"/>
    <cellStyle name="40% - Accent4 2 5 2 2 2 2" xfId="32427" xr:uid="{624CCFDA-02B9-4328-A82A-AD3A3A68BE0B}"/>
    <cellStyle name="40% - Accent4 2 5 2 2 3" xfId="32426" xr:uid="{D3CDBE2C-68AC-4A81-83ED-6600DBC2E121}"/>
    <cellStyle name="40% - Accent4 2 5 2 3" xfId="1367" xr:uid="{00000000-0005-0000-0000-000057050000}"/>
    <cellStyle name="40% - Accent4 2 5 2 3 2" xfId="32428" xr:uid="{0EBAA582-50BD-4F68-AAB2-EE10CD90A400}"/>
    <cellStyle name="40% - Accent4 2 5 2 4" xfId="32425" xr:uid="{9F8D0FF0-7B52-42BA-8F9C-776E8CD19E59}"/>
    <cellStyle name="40% - Accent4 2 5 3" xfId="1368" xr:uid="{00000000-0005-0000-0000-000058050000}"/>
    <cellStyle name="40% - Accent4 2 5 3 2" xfId="1369" xr:uid="{00000000-0005-0000-0000-000059050000}"/>
    <cellStyle name="40% - Accent4 2 5 3 2 2" xfId="1370" xr:uid="{00000000-0005-0000-0000-00005A050000}"/>
    <cellStyle name="40% - Accent4 2 5 3 2 2 2" xfId="1371" xr:uid="{00000000-0005-0000-0000-00005B050000}"/>
    <cellStyle name="40% - Accent4 2 5 3 2 2 2 2" xfId="32432" xr:uid="{56F4C640-E5D9-47FA-B47F-F7CBD8C31E1A}"/>
    <cellStyle name="40% - Accent4 2 5 3 2 2 3" xfId="32431" xr:uid="{FFCD5698-8A87-4D88-B8E9-2ECF3EE012A2}"/>
    <cellStyle name="40% - Accent4 2 5 3 2 3" xfId="1372" xr:uid="{00000000-0005-0000-0000-00005C050000}"/>
    <cellStyle name="40% - Accent4 2 5 3 2 3 2" xfId="32433" xr:uid="{310231F5-77C2-4215-BE51-6DB26957A6AC}"/>
    <cellStyle name="40% - Accent4 2 5 3 2 4" xfId="32430" xr:uid="{93C8D525-FF5A-4563-B080-396B04EC9AB8}"/>
    <cellStyle name="40% - Accent4 2 5 3 3" xfId="1373" xr:uid="{00000000-0005-0000-0000-00005D050000}"/>
    <cellStyle name="40% - Accent4 2 5 3 3 2" xfId="1374" xr:uid="{00000000-0005-0000-0000-00005E050000}"/>
    <cellStyle name="40% - Accent4 2 5 3 3 2 2" xfId="32435" xr:uid="{2BA04D7B-8ED2-4704-AB0C-A041AA1248C1}"/>
    <cellStyle name="40% - Accent4 2 5 3 3 3" xfId="32434" xr:uid="{00C292AA-534B-43EA-A81D-3DB1BC8D6516}"/>
    <cellStyle name="40% - Accent4 2 5 3 4" xfId="1375" xr:uid="{00000000-0005-0000-0000-00005F050000}"/>
    <cellStyle name="40% - Accent4 2 5 3 4 2" xfId="32436" xr:uid="{07636DA7-A4C6-4988-AD8D-002A06D9C1CE}"/>
    <cellStyle name="40% - Accent4 2 5 3 5" xfId="32429" xr:uid="{054A003C-F635-4F33-B000-F0CEB8145A52}"/>
    <cellStyle name="40% - Accent4 2 5 4" xfId="1376" xr:uid="{00000000-0005-0000-0000-000060050000}"/>
    <cellStyle name="40% - Accent4 2 5 4 2" xfId="1377" xr:uid="{00000000-0005-0000-0000-000061050000}"/>
    <cellStyle name="40% - Accent4 2 5 4 2 2" xfId="32438" xr:uid="{A9522B7C-39E1-47BA-AACD-096F6652DB2A}"/>
    <cellStyle name="40% - Accent4 2 5 4 3" xfId="32437" xr:uid="{E7E721C3-496A-40CA-924F-C60D1E944093}"/>
    <cellStyle name="40% - Accent4 2 5 5" xfId="1378" xr:uid="{00000000-0005-0000-0000-000062050000}"/>
    <cellStyle name="40% - Accent4 2 5 5 2" xfId="32439" xr:uid="{B8BB301F-0C97-438F-98A7-E3AE1D00E7F1}"/>
    <cellStyle name="40% - Accent4 2 5 6" xfId="32424" xr:uid="{668C1817-A50D-4358-B7B2-61BA088D2537}"/>
    <cellStyle name="40% - Accent4 2 6" xfId="1379" xr:uid="{00000000-0005-0000-0000-000063050000}"/>
    <cellStyle name="40% - Accent4 2 6 2" xfId="1380" xr:uid="{00000000-0005-0000-0000-000064050000}"/>
    <cellStyle name="40% - Accent4 2 6 2 2" xfId="1381" xr:uid="{00000000-0005-0000-0000-000065050000}"/>
    <cellStyle name="40% - Accent4 2 6 2 2 2" xfId="32442" xr:uid="{7AEF1EAC-A950-4FBC-B485-6A56339E4880}"/>
    <cellStyle name="40% - Accent4 2 6 2 3" xfId="32441" xr:uid="{E99E8565-8A60-489A-B284-8ABA0CC5EFBE}"/>
    <cellStyle name="40% - Accent4 2 6 3" xfId="1382" xr:uid="{00000000-0005-0000-0000-000066050000}"/>
    <cellStyle name="40% - Accent4 2 6 3 2" xfId="32443" xr:uid="{3CDAE286-10DB-4854-A1F6-100837A75013}"/>
    <cellStyle name="40% - Accent4 2 6 4" xfId="32440" xr:uid="{BB8D7172-BA6A-4E26-8573-7754E67FFCDC}"/>
    <cellStyle name="40% - Accent4 2 7" xfId="1383" xr:uid="{00000000-0005-0000-0000-000067050000}"/>
    <cellStyle name="40% - Accent4 2 7 2" xfId="1384" xr:uid="{00000000-0005-0000-0000-000068050000}"/>
    <cellStyle name="40% - Accent4 2 7 2 2" xfId="1385" xr:uid="{00000000-0005-0000-0000-000069050000}"/>
    <cellStyle name="40% - Accent4 2 7 3" xfId="1386" xr:uid="{00000000-0005-0000-0000-00006A050000}"/>
    <cellStyle name="40% - Accent4 2 8" xfId="1387" xr:uid="{00000000-0005-0000-0000-00006B050000}"/>
    <cellStyle name="40% - Accent4 2 8 2" xfId="1388" xr:uid="{00000000-0005-0000-0000-00006C050000}"/>
    <cellStyle name="40% - Accent4 2 8 2 2" xfId="1389" xr:uid="{00000000-0005-0000-0000-00006D050000}"/>
    <cellStyle name="40% - Accent4 2 8 2 2 2" xfId="1390" xr:uid="{00000000-0005-0000-0000-00006E050000}"/>
    <cellStyle name="40% - Accent4 2 8 2 3" xfId="1391" xr:uid="{00000000-0005-0000-0000-00006F050000}"/>
    <cellStyle name="40% - Accent4 2 8 3" xfId="1392" xr:uid="{00000000-0005-0000-0000-000070050000}"/>
    <cellStyle name="40% - Accent4 2 8 3 2" xfId="1393" xr:uid="{00000000-0005-0000-0000-000071050000}"/>
    <cellStyle name="40% - Accent4 2 8 4" xfId="1394" xr:uid="{00000000-0005-0000-0000-000072050000}"/>
    <cellStyle name="40% - Accent4 2 9" xfId="1395" xr:uid="{00000000-0005-0000-0000-000073050000}"/>
    <cellStyle name="40% - Accent4 2 9 2" xfId="1396" xr:uid="{00000000-0005-0000-0000-000074050000}"/>
    <cellStyle name="40% - Accent4 3" xfId="1397" xr:uid="{00000000-0005-0000-0000-000075050000}"/>
    <cellStyle name="40% - Accent4 3 2" xfId="1398" xr:uid="{00000000-0005-0000-0000-000076050000}"/>
    <cellStyle name="40% - Accent4 3 2 2" xfId="1399" xr:uid="{00000000-0005-0000-0000-000077050000}"/>
    <cellStyle name="40% - Accent4 3 2 2 2" xfId="1400" xr:uid="{00000000-0005-0000-0000-000078050000}"/>
    <cellStyle name="40% - Accent4 3 2 2 2 2" xfId="32446" xr:uid="{CDE88A17-2634-480C-8FB7-DAFC68CDE5D3}"/>
    <cellStyle name="40% - Accent4 3 2 2 3" xfId="32445" xr:uid="{F93920F0-140A-4A96-B995-562BE5FA615A}"/>
    <cellStyle name="40% - Accent4 3 2 3" xfId="1401" xr:uid="{00000000-0005-0000-0000-000079050000}"/>
    <cellStyle name="40% - Accent4 3 2 3 2" xfId="32447" xr:uid="{F2309D1B-B2CD-40C6-B672-23CDBF67D7F6}"/>
    <cellStyle name="40% - Accent4 3 2 4" xfId="32444" xr:uid="{580798E6-EFC0-46B8-87E5-2F21AF0848AD}"/>
    <cellStyle name="40% - Accent4 3 3" xfId="1402" xr:uid="{00000000-0005-0000-0000-00007A050000}"/>
    <cellStyle name="40% - Accent4 3 3 2" xfId="1403" xr:uid="{00000000-0005-0000-0000-00007B050000}"/>
    <cellStyle name="40% - Accent4 3 4" xfId="1404" xr:uid="{00000000-0005-0000-0000-00007C050000}"/>
    <cellStyle name="40% - Accent4 3 4 2" xfId="1405" xr:uid="{00000000-0005-0000-0000-00007D050000}"/>
    <cellStyle name="40% - Accent4 3 4 2 2" xfId="1406" xr:uid="{00000000-0005-0000-0000-00007E050000}"/>
    <cellStyle name="40% - Accent4 3 4 3" xfId="1407" xr:uid="{00000000-0005-0000-0000-00007F050000}"/>
    <cellStyle name="40% - Accent4 3 5" xfId="1408" xr:uid="{00000000-0005-0000-0000-000080050000}"/>
    <cellStyle name="40% - Accent4 4" xfId="1409" xr:uid="{00000000-0005-0000-0000-000081050000}"/>
    <cellStyle name="40% - Accent4 4 2" xfId="1410" xr:uid="{00000000-0005-0000-0000-000082050000}"/>
    <cellStyle name="40% - Accent4 4 2 2" xfId="1411" xr:uid="{00000000-0005-0000-0000-000083050000}"/>
    <cellStyle name="40% - Accent4 4 3" xfId="1412" xr:uid="{00000000-0005-0000-0000-000084050000}"/>
    <cellStyle name="40% - Accent4 4 3 2" xfId="1413" xr:uid="{00000000-0005-0000-0000-000085050000}"/>
    <cellStyle name="40% - Accent4 4 3 2 2" xfId="1414" xr:uid="{00000000-0005-0000-0000-000086050000}"/>
    <cellStyle name="40% - Accent4 4 3 3" xfId="1415" xr:uid="{00000000-0005-0000-0000-000087050000}"/>
    <cellStyle name="40% - Accent4 4 4" xfId="1416" xr:uid="{00000000-0005-0000-0000-000088050000}"/>
    <cellStyle name="40% - Accent4 5" xfId="1417" xr:uid="{00000000-0005-0000-0000-000089050000}"/>
    <cellStyle name="40% - Accent4 5 2" xfId="1418" xr:uid="{00000000-0005-0000-0000-00008A050000}"/>
    <cellStyle name="40% - Accent4 5 2 2" xfId="1419" xr:uid="{00000000-0005-0000-0000-00008B050000}"/>
    <cellStyle name="40% - Accent4 5 2 2 2" xfId="1420" xr:uid="{00000000-0005-0000-0000-00008C050000}"/>
    <cellStyle name="40% - Accent4 5 2 3" xfId="1421" xr:uid="{00000000-0005-0000-0000-00008D050000}"/>
    <cellStyle name="40% - Accent4 5 3" xfId="1422" xr:uid="{00000000-0005-0000-0000-00008E050000}"/>
    <cellStyle name="40% - Accent4 5 3 2" xfId="1423" xr:uid="{00000000-0005-0000-0000-00008F050000}"/>
    <cellStyle name="40% - Accent4 5 3 2 2" xfId="1424" xr:uid="{00000000-0005-0000-0000-000090050000}"/>
    <cellStyle name="40% - Accent4 5 3 2 2 2" xfId="1425" xr:uid="{00000000-0005-0000-0000-000091050000}"/>
    <cellStyle name="40% - Accent4 5 3 2 3" xfId="1426" xr:uid="{00000000-0005-0000-0000-000092050000}"/>
    <cellStyle name="40% - Accent4 5 3 3" xfId="1427" xr:uid="{00000000-0005-0000-0000-000093050000}"/>
    <cellStyle name="40% - Accent4 5 3 3 2" xfId="1428" xr:uid="{00000000-0005-0000-0000-000094050000}"/>
    <cellStyle name="40% - Accent4 5 3 4" xfId="1429" xr:uid="{00000000-0005-0000-0000-000095050000}"/>
    <cellStyle name="40% - Accent4 5 4" xfId="1430" xr:uid="{00000000-0005-0000-0000-000096050000}"/>
    <cellStyle name="40% - Accent4 5 4 2" xfId="1431" xr:uid="{00000000-0005-0000-0000-000097050000}"/>
    <cellStyle name="40% - Accent4 5 5" xfId="1432" xr:uid="{00000000-0005-0000-0000-000098050000}"/>
    <cellStyle name="40% - Accent4 6" xfId="1433" xr:uid="{00000000-0005-0000-0000-000099050000}"/>
    <cellStyle name="40% - Accent4 6 2" xfId="1434" xr:uid="{00000000-0005-0000-0000-00009A050000}"/>
    <cellStyle name="40% - Accent4 6 2 2" xfId="1435" xr:uid="{00000000-0005-0000-0000-00009B050000}"/>
    <cellStyle name="40% - Accent4 6 2 2 2" xfId="1436" xr:uid="{00000000-0005-0000-0000-00009C050000}"/>
    <cellStyle name="40% - Accent4 6 2 2 2 2" xfId="32451" xr:uid="{641DCD39-27D4-4ECB-BA6A-093AEB6EE6A1}"/>
    <cellStyle name="40% - Accent4 6 2 2 3" xfId="32450" xr:uid="{C334A458-B7D0-40CD-A71B-BA48003A0E14}"/>
    <cellStyle name="40% - Accent4 6 2 3" xfId="1437" xr:uid="{00000000-0005-0000-0000-00009D050000}"/>
    <cellStyle name="40% - Accent4 6 2 3 2" xfId="32452" xr:uid="{615BB5BF-EEF8-4F54-AE82-95961563B621}"/>
    <cellStyle name="40% - Accent4 6 2 4" xfId="32449" xr:uid="{BF4D60BE-5766-4181-A72C-4C574FA8CE43}"/>
    <cellStyle name="40% - Accent4 6 3" xfId="1438" xr:uid="{00000000-0005-0000-0000-00009E050000}"/>
    <cellStyle name="40% - Accent4 6 3 2" xfId="1439" xr:uid="{00000000-0005-0000-0000-00009F050000}"/>
    <cellStyle name="40% - Accent4 6 3 2 2" xfId="32454" xr:uid="{DCAFF4F9-1503-42F3-893B-CF1515ACD0C3}"/>
    <cellStyle name="40% - Accent4 6 3 3" xfId="32453" xr:uid="{8ECCDC79-3CEE-4C09-A959-9D36D32CD659}"/>
    <cellStyle name="40% - Accent4 6 4" xfId="1440" xr:uid="{00000000-0005-0000-0000-0000A0050000}"/>
    <cellStyle name="40% - Accent4 6 4 2" xfId="32455" xr:uid="{DED144A8-9188-45E0-B7B6-F542B62EC508}"/>
    <cellStyle name="40% - Accent4 6 5" xfId="32448" xr:uid="{5F4E6BB9-2163-4829-ADD7-F2B73073347D}"/>
    <cellStyle name="40% - Accent4 7" xfId="1441" xr:uid="{00000000-0005-0000-0000-0000A1050000}"/>
    <cellStyle name="40% - Accent4 8" xfId="1442" xr:uid="{00000000-0005-0000-0000-0000A2050000}"/>
    <cellStyle name="40% - Accent5 2" xfId="1443" xr:uid="{00000000-0005-0000-0000-0000A3050000}"/>
    <cellStyle name="40% - Accent5 2 10" xfId="1444" xr:uid="{00000000-0005-0000-0000-0000A4050000}"/>
    <cellStyle name="40% - Accent5 2 10 2" xfId="1445" xr:uid="{00000000-0005-0000-0000-0000A5050000}"/>
    <cellStyle name="40% - Accent5 2 10 2 2" xfId="32458" xr:uid="{07A87191-9A9A-49C2-924E-E4479DCB9D17}"/>
    <cellStyle name="40% - Accent5 2 10 3" xfId="32457" xr:uid="{9A393F74-A2DE-42D5-B327-F8F8430E42A4}"/>
    <cellStyle name="40% - Accent5 2 11" xfId="1446" xr:uid="{00000000-0005-0000-0000-0000A6050000}"/>
    <cellStyle name="40% - Accent5 2 11 2" xfId="32459" xr:uid="{3F834388-E33E-426A-9132-FC008697D3EA}"/>
    <cellStyle name="40% - Accent5 2 12" xfId="32456" xr:uid="{E99BB2D2-A3EC-4F11-969D-E1C11D936A26}"/>
    <cellStyle name="40% - Accent5 2 2" xfId="1447" xr:uid="{00000000-0005-0000-0000-0000A7050000}"/>
    <cellStyle name="40% - Accent5 2 2 2" xfId="1448" xr:uid="{00000000-0005-0000-0000-0000A8050000}"/>
    <cellStyle name="40% - Accent5 2 2 2 2" xfId="1449" xr:uid="{00000000-0005-0000-0000-0000A9050000}"/>
    <cellStyle name="40% - Accent5 2 2 2 2 2" xfId="1450" xr:uid="{00000000-0005-0000-0000-0000AA050000}"/>
    <cellStyle name="40% - Accent5 2 2 2 3" xfId="1451" xr:uid="{00000000-0005-0000-0000-0000AB050000}"/>
    <cellStyle name="40% - Accent5 2 2 2 3 2" xfId="1452" xr:uid="{00000000-0005-0000-0000-0000AC050000}"/>
    <cellStyle name="40% - Accent5 2 2 2 3 2 2" xfId="1453" xr:uid="{00000000-0005-0000-0000-0000AD050000}"/>
    <cellStyle name="40% - Accent5 2 2 2 3 3" xfId="1454" xr:uid="{00000000-0005-0000-0000-0000AE050000}"/>
    <cellStyle name="40% - Accent5 2 2 2 4" xfId="1455" xr:uid="{00000000-0005-0000-0000-0000AF050000}"/>
    <cellStyle name="40% - Accent5 2 2 3" xfId="1456" xr:uid="{00000000-0005-0000-0000-0000B0050000}"/>
    <cellStyle name="40% - Accent5 2 2 3 2" xfId="1457" xr:uid="{00000000-0005-0000-0000-0000B1050000}"/>
    <cellStyle name="40% - Accent5 2 2 3 2 2" xfId="1458" xr:uid="{00000000-0005-0000-0000-0000B2050000}"/>
    <cellStyle name="40% - Accent5 2 2 3 2 2 2" xfId="32463" xr:uid="{EC33A192-A578-45F2-9CD1-AA495CA32E3A}"/>
    <cellStyle name="40% - Accent5 2 2 3 2 3" xfId="32462" xr:uid="{CD6FBFDE-2F9B-4509-8265-2F1DD31FF9B6}"/>
    <cellStyle name="40% - Accent5 2 2 3 3" xfId="1459" xr:uid="{00000000-0005-0000-0000-0000B3050000}"/>
    <cellStyle name="40% - Accent5 2 2 3 3 2" xfId="32464" xr:uid="{31EAFC2F-E577-45C4-9A0B-1A2FE9DDA42A}"/>
    <cellStyle name="40% - Accent5 2 2 3 4" xfId="32461" xr:uid="{4F4D6597-19E5-48A1-8710-49BB56AA654F}"/>
    <cellStyle name="40% - Accent5 2 2 4" xfId="1460" xr:uid="{00000000-0005-0000-0000-0000B4050000}"/>
    <cellStyle name="40% - Accent5 2 2 4 2" xfId="1461" xr:uid="{00000000-0005-0000-0000-0000B5050000}"/>
    <cellStyle name="40% - Accent5 2 2 4 2 2" xfId="1462" xr:uid="{00000000-0005-0000-0000-0000B6050000}"/>
    <cellStyle name="40% - Accent5 2 2 4 2 2 2" xfId="1463" xr:uid="{00000000-0005-0000-0000-0000B7050000}"/>
    <cellStyle name="40% - Accent5 2 2 4 2 2 2 2" xfId="32468" xr:uid="{7D99668D-3A25-4251-92BB-F8C97B7B4529}"/>
    <cellStyle name="40% - Accent5 2 2 4 2 2 3" xfId="32467" xr:uid="{81DDEBB7-0388-40DB-B664-660F0F7F4CB0}"/>
    <cellStyle name="40% - Accent5 2 2 4 2 3" xfId="1464" xr:uid="{00000000-0005-0000-0000-0000B8050000}"/>
    <cellStyle name="40% - Accent5 2 2 4 2 3 2" xfId="32469" xr:uid="{FC9CAA83-9E30-447B-ADFB-6373603AFF77}"/>
    <cellStyle name="40% - Accent5 2 2 4 2 4" xfId="32466" xr:uid="{8DDBA874-8F7F-411D-9EC6-8D747A5E902D}"/>
    <cellStyle name="40% - Accent5 2 2 4 3" xfId="1465" xr:uid="{00000000-0005-0000-0000-0000B9050000}"/>
    <cellStyle name="40% - Accent5 2 2 4 3 2" xfId="1466" xr:uid="{00000000-0005-0000-0000-0000BA050000}"/>
    <cellStyle name="40% - Accent5 2 2 4 3 2 2" xfId="32471" xr:uid="{95346DD2-D232-4D6C-BB0A-F1C866BBDC35}"/>
    <cellStyle name="40% - Accent5 2 2 4 3 3" xfId="32470" xr:uid="{C8F891FE-16A0-4FE7-A49E-DCD32BC2E0E7}"/>
    <cellStyle name="40% - Accent5 2 2 4 4" xfId="1467" xr:uid="{00000000-0005-0000-0000-0000BB050000}"/>
    <cellStyle name="40% - Accent5 2 2 4 4 2" xfId="32472" xr:uid="{6D607BA6-6A4F-4018-92AD-5BB115F45095}"/>
    <cellStyle name="40% - Accent5 2 2 4 5" xfId="32465" xr:uid="{17E7D5EF-3698-45DB-90D4-D028D5F4A065}"/>
    <cellStyle name="40% - Accent5 2 2 5" xfId="1468" xr:uid="{00000000-0005-0000-0000-0000BC050000}"/>
    <cellStyle name="40% - Accent5 2 2 5 2" xfId="1469" xr:uid="{00000000-0005-0000-0000-0000BD050000}"/>
    <cellStyle name="40% - Accent5 2 2 5 2 2" xfId="32474" xr:uid="{74037B29-95A7-46C2-8709-1C3E90EFE6FD}"/>
    <cellStyle name="40% - Accent5 2 2 5 3" xfId="32473" xr:uid="{CE8F1FBC-19C7-48BE-96B8-B2B484821A89}"/>
    <cellStyle name="40% - Accent5 2 2 6" xfId="1470" xr:uid="{00000000-0005-0000-0000-0000BE050000}"/>
    <cellStyle name="40% - Accent5 2 2 6 2" xfId="32475" xr:uid="{E30E4D05-FAD6-464B-9810-BAB797EF43BC}"/>
    <cellStyle name="40% - Accent5 2 2 7" xfId="32460" xr:uid="{BB7C98E7-677C-4EDB-97AD-B1FB1BDAC3BD}"/>
    <cellStyle name="40% - Accent5 2 3" xfId="1471" xr:uid="{00000000-0005-0000-0000-0000BF050000}"/>
    <cellStyle name="40% - Accent5 2 3 2" xfId="1472" xr:uid="{00000000-0005-0000-0000-0000C0050000}"/>
    <cellStyle name="40% - Accent5 2 3 2 2" xfId="1473" xr:uid="{00000000-0005-0000-0000-0000C1050000}"/>
    <cellStyle name="40% - Accent5 2 3 2 2 2" xfId="1474" xr:uid="{00000000-0005-0000-0000-0000C2050000}"/>
    <cellStyle name="40% - Accent5 2 3 2 2 2 2" xfId="32479" xr:uid="{86B01F10-8F7C-41EE-95B2-8B8D17619323}"/>
    <cellStyle name="40% - Accent5 2 3 2 2 3" xfId="32478" xr:uid="{3B4DCD06-45E7-4B79-A709-3F87115B9047}"/>
    <cellStyle name="40% - Accent5 2 3 2 3" xfId="1475" xr:uid="{00000000-0005-0000-0000-0000C3050000}"/>
    <cellStyle name="40% - Accent5 2 3 2 3 2" xfId="32480" xr:uid="{5ADD1DFB-5FD6-4BC2-B0EE-974F4116DE9F}"/>
    <cellStyle name="40% - Accent5 2 3 2 4" xfId="32477" xr:uid="{0C3AAA6E-368F-48AB-B315-245E8053DD5F}"/>
    <cellStyle name="40% - Accent5 2 3 3" xfId="1476" xr:uid="{00000000-0005-0000-0000-0000C4050000}"/>
    <cellStyle name="40% - Accent5 2 3 3 2" xfId="1477" xr:uid="{00000000-0005-0000-0000-0000C5050000}"/>
    <cellStyle name="40% - Accent5 2 3 3 2 2" xfId="1478" xr:uid="{00000000-0005-0000-0000-0000C6050000}"/>
    <cellStyle name="40% - Accent5 2 3 3 2 2 2" xfId="1479" xr:uid="{00000000-0005-0000-0000-0000C7050000}"/>
    <cellStyle name="40% - Accent5 2 3 3 2 2 2 2" xfId="32484" xr:uid="{2115504F-1DAE-44D7-8FA2-91ED57917456}"/>
    <cellStyle name="40% - Accent5 2 3 3 2 2 3" xfId="32483" xr:uid="{4485A472-6BCC-4BDD-BF49-12220D52047C}"/>
    <cellStyle name="40% - Accent5 2 3 3 2 3" xfId="1480" xr:uid="{00000000-0005-0000-0000-0000C8050000}"/>
    <cellStyle name="40% - Accent5 2 3 3 2 3 2" xfId="32485" xr:uid="{13E59129-BA0B-4CB9-9BB7-AAFE9D1C7513}"/>
    <cellStyle name="40% - Accent5 2 3 3 2 4" xfId="32482" xr:uid="{7795851A-9CBB-4DA5-9FCF-B77D1D8DE0E1}"/>
    <cellStyle name="40% - Accent5 2 3 3 3" xfId="1481" xr:uid="{00000000-0005-0000-0000-0000C9050000}"/>
    <cellStyle name="40% - Accent5 2 3 3 3 2" xfId="1482" xr:uid="{00000000-0005-0000-0000-0000CA050000}"/>
    <cellStyle name="40% - Accent5 2 3 3 3 2 2" xfId="32487" xr:uid="{0C562601-E763-43C3-8AAB-3AB6B92F35CA}"/>
    <cellStyle name="40% - Accent5 2 3 3 3 3" xfId="32486" xr:uid="{F44671EA-7891-45B3-BC49-95C603B8BD7B}"/>
    <cellStyle name="40% - Accent5 2 3 3 4" xfId="1483" xr:uid="{00000000-0005-0000-0000-0000CB050000}"/>
    <cellStyle name="40% - Accent5 2 3 3 4 2" xfId="32488" xr:uid="{0336366C-44ED-42BD-8CE5-12EAAD4AA57B}"/>
    <cellStyle name="40% - Accent5 2 3 3 5" xfId="32481" xr:uid="{6E9698B8-9387-41CD-A759-27E74B227F95}"/>
    <cellStyle name="40% - Accent5 2 3 4" xfId="1484" xr:uid="{00000000-0005-0000-0000-0000CC050000}"/>
    <cellStyle name="40% - Accent5 2 3 4 2" xfId="1485" xr:uid="{00000000-0005-0000-0000-0000CD050000}"/>
    <cellStyle name="40% - Accent5 2 3 4 2 2" xfId="32490" xr:uid="{2B74B5AF-7848-4C74-B1A6-364141596E5D}"/>
    <cellStyle name="40% - Accent5 2 3 4 3" xfId="32489" xr:uid="{E93759B9-B846-4AB6-9C36-EB79C5C0A6CD}"/>
    <cellStyle name="40% - Accent5 2 3 5" xfId="1486" xr:uid="{00000000-0005-0000-0000-0000CE050000}"/>
    <cellStyle name="40% - Accent5 2 3 5 2" xfId="32491" xr:uid="{E5FF5F28-DBE9-424E-80C6-12F8D11B8907}"/>
    <cellStyle name="40% - Accent5 2 3 6" xfId="32476" xr:uid="{F4EA6893-6064-4D80-A9B8-7657C00C9C01}"/>
    <cellStyle name="40% - Accent5 2 4" xfId="1487" xr:uid="{00000000-0005-0000-0000-0000CF050000}"/>
    <cellStyle name="40% - Accent5 2 4 2" xfId="1488" xr:uid="{00000000-0005-0000-0000-0000D0050000}"/>
    <cellStyle name="40% - Accent5 2 4 2 2" xfId="1489" xr:uid="{00000000-0005-0000-0000-0000D1050000}"/>
    <cellStyle name="40% - Accent5 2 4 2 2 2" xfId="1490" xr:uid="{00000000-0005-0000-0000-0000D2050000}"/>
    <cellStyle name="40% - Accent5 2 4 2 2 2 2" xfId="32495" xr:uid="{F824E4EC-73E2-4AA9-A9DE-4BDCDCB818B6}"/>
    <cellStyle name="40% - Accent5 2 4 2 2 3" xfId="32494" xr:uid="{262D6F3C-AA24-4369-B2C9-949EAE7A0425}"/>
    <cellStyle name="40% - Accent5 2 4 2 3" xfId="1491" xr:uid="{00000000-0005-0000-0000-0000D3050000}"/>
    <cellStyle name="40% - Accent5 2 4 2 3 2" xfId="32496" xr:uid="{679FB044-B1EC-4650-9302-2CFF122BD304}"/>
    <cellStyle name="40% - Accent5 2 4 2 4" xfId="32493" xr:uid="{FD81D214-9943-4502-BFE1-E5FD3AFC2324}"/>
    <cellStyle name="40% - Accent5 2 4 3" xfId="1492" xr:uid="{00000000-0005-0000-0000-0000D4050000}"/>
    <cellStyle name="40% - Accent5 2 4 3 2" xfId="1493" xr:uid="{00000000-0005-0000-0000-0000D5050000}"/>
    <cellStyle name="40% - Accent5 2 4 3 2 2" xfId="32498" xr:uid="{B1991538-F889-468D-8638-E6246A016AC8}"/>
    <cellStyle name="40% - Accent5 2 4 3 3" xfId="32497" xr:uid="{B532A103-9D65-492E-AF17-6F73C9511FBD}"/>
    <cellStyle name="40% - Accent5 2 4 4" xfId="1494" xr:uid="{00000000-0005-0000-0000-0000D6050000}"/>
    <cellStyle name="40% - Accent5 2 4 4 2" xfId="32499" xr:uid="{0244E2D3-B386-48F4-99FD-6890EDA7A1A3}"/>
    <cellStyle name="40% - Accent5 2 4 5" xfId="32492" xr:uid="{0C974EC1-2BFF-4C1B-BEFE-E1790CE63729}"/>
    <cellStyle name="40% - Accent5 2 5" xfId="1495" xr:uid="{00000000-0005-0000-0000-0000D7050000}"/>
    <cellStyle name="40% - Accent5 2 5 2" xfId="1496" xr:uid="{00000000-0005-0000-0000-0000D8050000}"/>
    <cellStyle name="40% - Accent5 2 5 2 2" xfId="1497" xr:uid="{00000000-0005-0000-0000-0000D9050000}"/>
    <cellStyle name="40% - Accent5 2 5 2 2 2" xfId="1498" xr:uid="{00000000-0005-0000-0000-0000DA050000}"/>
    <cellStyle name="40% - Accent5 2 5 2 2 2 2" xfId="32503" xr:uid="{198B3D6F-2A7C-4A03-8123-C14BE8726819}"/>
    <cellStyle name="40% - Accent5 2 5 2 2 3" xfId="32502" xr:uid="{F581EAFE-3186-4336-AE29-2207C784568C}"/>
    <cellStyle name="40% - Accent5 2 5 2 3" xfId="1499" xr:uid="{00000000-0005-0000-0000-0000DB050000}"/>
    <cellStyle name="40% - Accent5 2 5 2 3 2" xfId="32504" xr:uid="{C8CE6214-87D8-485B-8668-A16CE5F3D2AC}"/>
    <cellStyle name="40% - Accent5 2 5 2 4" xfId="32501" xr:uid="{3434A57C-F8ED-43A7-B6B7-18D660BFE1A8}"/>
    <cellStyle name="40% - Accent5 2 5 3" xfId="1500" xr:uid="{00000000-0005-0000-0000-0000DC050000}"/>
    <cellStyle name="40% - Accent5 2 5 3 2" xfId="1501" xr:uid="{00000000-0005-0000-0000-0000DD050000}"/>
    <cellStyle name="40% - Accent5 2 5 3 2 2" xfId="1502" xr:uid="{00000000-0005-0000-0000-0000DE050000}"/>
    <cellStyle name="40% - Accent5 2 5 3 2 2 2" xfId="1503" xr:uid="{00000000-0005-0000-0000-0000DF050000}"/>
    <cellStyle name="40% - Accent5 2 5 3 2 2 2 2" xfId="32508" xr:uid="{93252BE1-32ED-406B-9319-B071DBCFDCA4}"/>
    <cellStyle name="40% - Accent5 2 5 3 2 2 3" xfId="32507" xr:uid="{E6BA77EF-4752-4E38-8190-DCD4BF938CC2}"/>
    <cellStyle name="40% - Accent5 2 5 3 2 3" xfId="1504" xr:uid="{00000000-0005-0000-0000-0000E0050000}"/>
    <cellStyle name="40% - Accent5 2 5 3 2 3 2" xfId="32509" xr:uid="{DDB156B9-5112-4B89-98E2-E34EBBC21C53}"/>
    <cellStyle name="40% - Accent5 2 5 3 2 4" xfId="32506" xr:uid="{46159E0F-5119-4278-A496-0231ADBFB152}"/>
    <cellStyle name="40% - Accent5 2 5 3 3" xfId="1505" xr:uid="{00000000-0005-0000-0000-0000E1050000}"/>
    <cellStyle name="40% - Accent5 2 5 3 3 2" xfId="1506" xr:uid="{00000000-0005-0000-0000-0000E2050000}"/>
    <cellStyle name="40% - Accent5 2 5 3 3 2 2" xfId="32511" xr:uid="{AF92BA77-366D-4310-BA5E-67AD31429AE7}"/>
    <cellStyle name="40% - Accent5 2 5 3 3 3" xfId="32510" xr:uid="{4C4CBF84-3470-41AD-82E3-9B065EE4F8CA}"/>
    <cellStyle name="40% - Accent5 2 5 3 4" xfId="1507" xr:uid="{00000000-0005-0000-0000-0000E3050000}"/>
    <cellStyle name="40% - Accent5 2 5 3 4 2" xfId="32512" xr:uid="{9AEDDD03-C2D5-4135-A33E-DCA8496BB472}"/>
    <cellStyle name="40% - Accent5 2 5 3 5" xfId="32505" xr:uid="{0FCA1E42-DA69-4859-A7C4-FB869B70488E}"/>
    <cellStyle name="40% - Accent5 2 5 4" xfId="1508" xr:uid="{00000000-0005-0000-0000-0000E4050000}"/>
    <cellStyle name="40% - Accent5 2 5 4 2" xfId="1509" xr:uid="{00000000-0005-0000-0000-0000E5050000}"/>
    <cellStyle name="40% - Accent5 2 5 4 2 2" xfId="32514" xr:uid="{97A0A716-118C-4B73-AA45-3DCFD4261F8E}"/>
    <cellStyle name="40% - Accent5 2 5 4 3" xfId="32513" xr:uid="{04422DD2-5A28-4848-98D0-6ACF97B814C8}"/>
    <cellStyle name="40% - Accent5 2 5 5" xfId="1510" xr:uid="{00000000-0005-0000-0000-0000E6050000}"/>
    <cellStyle name="40% - Accent5 2 5 5 2" xfId="32515" xr:uid="{7F7C0616-D263-4463-8DA8-E552015DB71B}"/>
    <cellStyle name="40% - Accent5 2 5 6" xfId="32500" xr:uid="{4A2B667D-6E0F-4336-95FC-3172040A2AE7}"/>
    <cellStyle name="40% - Accent5 2 6" xfId="1511" xr:uid="{00000000-0005-0000-0000-0000E7050000}"/>
    <cellStyle name="40% - Accent5 2 6 2" xfId="1512" xr:uid="{00000000-0005-0000-0000-0000E8050000}"/>
    <cellStyle name="40% - Accent5 2 6 2 2" xfId="1513" xr:uid="{00000000-0005-0000-0000-0000E9050000}"/>
    <cellStyle name="40% - Accent5 2 6 2 2 2" xfId="32518" xr:uid="{7367DCBD-EF65-4EE1-9715-7992447F5251}"/>
    <cellStyle name="40% - Accent5 2 6 2 3" xfId="32517" xr:uid="{6D66F393-C807-4FC9-BD50-794BFA3CB0F7}"/>
    <cellStyle name="40% - Accent5 2 6 3" xfId="1514" xr:uid="{00000000-0005-0000-0000-0000EA050000}"/>
    <cellStyle name="40% - Accent5 2 6 3 2" xfId="32519" xr:uid="{B7B4151A-D3DF-48C7-8F96-F79CAE925BAB}"/>
    <cellStyle name="40% - Accent5 2 6 4" xfId="32516" xr:uid="{EB92B2EA-95A7-4DFB-96A9-C9DD26FDF3F0}"/>
    <cellStyle name="40% - Accent5 2 7" xfId="1515" xr:uid="{00000000-0005-0000-0000-0000EB050000}"/>
    <cellStyle name="40% - Accent5 2 7 2" xfId="1516" xr:uid="{00000000-0005-0000-0000-0000EC050000}"/>
    <cellStyle name="40% - Accent5 2 7 2 2" xfId="1517" xr:uid="{00000000-0005-0000-0000-0000ED050000}"/>
    <cellStyle name="40% - Accent5 2 7 2 2 2" xfId="32522" xr:uid="{FF49EFAF-A6C0-4C5F-AF0F-7DF2C59EAE65}"/>
    <cellStyle name="40% - Accent5 2 7 2 3" xfId="32521" xr:uid="{AA29D3D5-31AD-4B72-BA0E-31C85DCE415B}"/>
    <cellStyle name="40% - Accent5 2 7 3" xfId="1518" xr:uid="{00000000-0005-0000-0000-0000EE050000}"/>
    <cellStyle name="40% - Accent5 2 7 3 2" xfId="32523" xr:uid="{E4BEE9A3-928C-431D-8256-0E9304FAEA8E}"/>
    <cellStyle name="40% - Accent5 2 7 4" xfId="32520" xr:uid="{9E2FF4B4-31FF-49F0-8878-BBD6C8E07BE8}"/>
    <cellStyle name="40% - Accent5 2 8" xfId="1519" xr:uid="{00000000-0005-0000-0000-0000EF050000}"/>
    <cellStyle name="40% - Accent5 2 8 2" xfId="1520" xr:uid="{00000000-0005-0000-0000-0000F0050000}"/>
    <cellStyle name="40% - Accent5 2 8 2 2" xfId="1521" xr:uid="{00000000-0005-0000-0000-0000F1050000}"/>
    <cellStyle name="40% - Accent5 2 8 2 2 2" xfId="1522" xr:uid="{00000000-0005-0000-0000-0000F2050000}"/>
    <cellStyle name="40% - Accent5 2 8 2 2 2 2" xfId="32527" xr:uid="{6B49D638-6968-4B7C-A44B-FF21B7121835}"/>
    <cellStyle name="40% - Accent5 2 8 2 2 3" xfId="32526" xr:uid="{0C18A77F-9F66-44FA-B600-87E2ABE00357}"/>
    <cellStyle name="40% - Accent5 2 8 2 3" xfId="1523" xr:uid="{00000000-0005-0000-0000-0000F3050000}"/>
    <cellStyle name="40% - Accent5 2 8 2 3 2" xfId="32528" xr:uid="{1AED5328-0ECB-48DF-B0CB-46DEBC7A6558}"/>
    <cellStyle name="40% - Accent5 2 8 2 4" xfId="32525" xr:uid="{8B8EA506-5BD3-43D6-BC0F-85D86771D703}"/>
    <cellStyle name="40% - Accent5 2 8 3" xfId="1524" xr:uid="{00000000-0005-0000-0000-0000F4050000}"/>
    <cellStyle name="40% - Accent5 2 8 3 2" xfId="1525" xr:uid="{00000000-0005-0000-0000-0000F5050000}"/>
    <cellStyle name="40% - Accent5 2 8 3 2 2" xfId="32530" xr:uid="{1ED894DA-0C27-4375-9CB9-CFA24C7E19A6}"/>
    <cellStyle name="40% - Accent5 2 8 3 3" xfId="32529" xr:uid="{6DF64C39-F761-4464-964A-DA9A6A362A78}"/>
    <cellStyle name="40% - Accent5 2 8 4" xfId="1526" xr:uid="{00000000-0005-0000-0000-0000F6050000}"/>
    <cellStyle name="40% - Accent5 2 8 4 2" xfId="32531" xr:uid="{3EA5DC48-4828-4E8F-B4A3-1E3C00EA4613}"/>
    <cellStyle name="40% - Accent5 2 8 5" xfId="32524" xr:uid="{0640D9B3-A056-4EBE-A158-D65D2E0E1D9D}"/>
    <cellStyle name="40% - Accent5 2 9" xfId="1527" xr:uid="{00000000-0005-0000-0000-0000F7050000}"/>
    <cellStyle name="40% - Accent5 2 9 2" xfId="1528" xr:uid="{00000000-0005-0000-0000-0000F8050000}"/>
    <cellStyle name="40% - Accent5 2 9 2 2" xfId="32533" xr:uid="{2FE6E8B8-9038-4778-9AFC-0D6D258624F3}"/>
    <cellStyle name="40% - Accent5 2 9 3" xfId="32532" xr:uid="{4CA2F25B-D513-4A7D-84A3-5A362D2B990F}"/>
    <cellStyle name="40% - Accent5 3" xfId="1529" xr:uid="{00000000-0005-0000-0000-0000F9050000}"/>
    <cellStyle name="40% - Accent5 3 2" xfId="1530" xr:uid="{00000000-0005-0000-0000-0000FA050000}"/>
    <cellStyle name="40% - Accent5 3 2 2" xfId="1531" xr:uid="{00000000-0005-0000-0000-0000FB050000}"/>
    <cellStyle name="40% - Accent5 3 2 2 2" xfId="1532" xr:uid="{00000000-0005-0000-0000-0000FC050000}"/>
    <cellStyle name="40% - Accent5 3 2 2 2 2" xfId="32537" xr:uid="{2960DFB7-5DE9-4321-AA10-CA85F70C8A28}"/>
    <cellStyle name="40% - Accent5 3 2 2 3" xfId="32536" xr:uid="{CA4F8000-7582-4C61-833D-5ABD96826882}"/>
    <cellStyle name="40% - Accent5 3 2 3" xfId="1533" xr:uid="{00000000-0005-0000-0000-0000FD050000}"/>
    <cellStyle name="40% - Accent5 3 2 3 2" xfId="32538" xr:uid="{A3B75BCC-5BCA-4DA6-A348-34386BF5C4C5}"/>
    <cellStyle name="40% - Accent5 3 2 4" xfId="32535" xr:uid="{6D9693C7-93F3-4C38-A208-85012C7A0CFF}"/>
    <cellStyle name="40% - Accent5 3 3" xfId="1534" xr:uid="{00000000-0005-0000-0000-0000FE050000}"/>
    <cellStyle name="40% - Accent5 3 3 2" xfId="1535" xr:uid="{00000000-0005-0000-0000-0000FF050000}"/>
    <cellStyle name="40% - Accent5 3 4" xfId="1536" xr:uid="{00000000-0005-0000-0000-000000060000}"/>
    <cellStyle name="40% - Accent5 3 4 2" xfId="1537" xr:uid="{00000000-0005-0000-0000-000001060000}"/>
    <cellStyle name="40% - Accent5 3 4 2 2" xfId="1538" xr:uid="{00000000-0005-0000-0000-000002060000}"/>
    <cellStyle name="40% - Accent5 3 4 3" xfId="1539" xr:uid="{00000000-0005-0000-0000-000003060000}"/>
    <cellStyle name="40% - Accent5 3 5" xfId="1540" xr:uid="{00000000-0005-0000-0000-000004060000}"/>
    <cellStyle name="40% - Accent5 3 6" xfId="32534" xr:uid="{9DD15969-8885-4BB3-B5F1-D44C14B1F3C2}"/>
    <cellStyle name="40% - Accent5 4" xfId="1541" xr:uid="{00000000-0005-0000-0000-000005060000}"/>
    <cellStyle name="40% - Accent5 4 2" xfId="1542" xr:uid="{00000000-0005-0000-0000-000006060000}"/>
    <cellStyle name="40% - Accent5 4 2 2" xfId="1543" xr:uid="{00000000-0005-0000-0000-000007060000}"/>
    <cellStyle name="40% - Accent5 4 3" xfId="1544" xr:uid="{00000000-0005-0000-0000-000008060000}"/>
    <cellStyle name="40% - Accent5 4 3 2" xfId="1545" xr:uid="{00000000-0005-0000-0000-000009060000}"/>
    <cellStyle name="40% - Accent5 4 3 2 2" xfId="1546" xr:uid="{00000000-0005-0000-0000-00000A060000}"/>
    <cellStyle name="40% - Accent5 4 3 3" xfId="1547" xr:uid="{00000000-0005-0000-0000-00000B060000}"/>
    <cellStyle name="40% - Accent5 4 4" xfId="1548" xr:uid="{00000000-0005-0000-0000-00000C060000}"/>
    <cellStyle name="40% - Accent5 4 5" xfId="32539" xr:uid="{FC89A38F-37BD-4B5F-9F24-E5A7447C4651}"/>
    <cellStyle name="40% - Accent5 5" xfId="1549" xr:uid="{00000000-0005-0000-0000-00000D060000}"/>
    <cellStyle name="40% - Accent5 5 2" xfId="1550" xr:uid="{00000000-0005-0000-0000-00000E060000}"/>
    <cellStyle name="40% - Accent5 5 2 2" xfId="1551" xr:uid="{00000000-0005-0000-0000-00000F060000}"/>
    <cellStyle name="40% - Accent5 5 2 2 2" xfId="1552" xr:uid="{00000000-0005-0000-0000-000010060000}"/>
    <cellStyle name="40% - Accent5 5 2 2 2 2" xfId="32543" xr:uid="{DF7721C8-2B60-4472-895D-9B479A39FE0B}"/>
    <cellStyle name="40% - Accent5 5 2 2 3" xfId="32542" xr:uid="{8CE1F9BB-7DE3-48A4-9BC2-69EFF44BAB96}"/>
    <cellStyle name="40% - Accent5 5 2 3" xfId="1553" xr:uid="{00000000-0005-0000-0000-000011060000}"/>
    <cellStyle name="40% - Accent5 5 2 3 2" xfId="32544" xr:uid="{FF4545F0-2B21-4BBA-B867-808AA05743A2}"/>
    <cellStyle name="40% - Accent5 5 2 4" xfId="32541" xr:uid="{2C4344EA-3934-4C51-B892-2A06A2ABEB28}"/>
    <cellStyle name="40% - Accent5 5 3" xfId="1554" xr:uid="{00000000-0005-0000-0000-000012060000}"/>
    <cellStyle name="40% - Accent5 5 3 2" xfId="1555" xr:uid="{00000000-0005-0000-0000-000013060000}"/>
    <cellStyle name="40% - Accent5 5 3 2 2" xfId="1556" xr:uid="{00000000-0005-0000-0000-000014060000}"/>
    <cellStyle name="40% - Accent5 5 3 2 2 2" xfId="1557" xr:uid="{00000000-0005-0000-0000-000015060000}"/>
    <cellStyle name="40% - Accent5 5 3 2 2 2 2" xfId="32548" xr:uid="{307645C6-1E61-4E76-9590-3FAA7F5B1DFB}"/>
    <cellStyle name="40% - Accent5 5 3 2 2 3" xfId="32547" xr:uid="{4F961609-DB1A-45E7-B6E6-E1F690FCBA0D}"/>
    <cellStyle name="40% - Accent5 5 3 2 3" xfId="1558" xr:uid="{00000000-0005-0000-0000-000016060000}"/>
    <cellStyle name="40% - Accent5 5 3 2 3 2" xfId="32549" xr:uid="{DA7BD28A-0344-4210-89AD-03029E292960}"/>
    <cellStyle name="40% - Accent5 5 3 2 4" xfId="32546" xr:uid="{FBCABAB8-AFFC-4349-B112-26EC13871151}"/>
    <cellStyle name="40% - Accent5 5 3 3" xfId="1559" xr:uid="{00000000-0005-0000-0000-000017060000}"/>
    <cellStyle name="40% - Accent5 5 3 3 2" xfId="1560" xr:uid="{00000000-0005-0000-0000-000018060000}"/>
    <cellStyle name="40% - Accent5 5 3 3 2 2" xfId="32551" xr:uid="{CA5BA1DD-8545-4CAC-98B0-2306F416FFD8}"/>
    <cellStyle name="40% - Accent5 5 3 3 3" xfId="32550" xr:uid="{B562C3E1-F310-4A45-BB17-2FF03532AB36}"/>
    <cellStyle name="40% - Accent5 5 3 4" xfId="1561" xr:uid="{00000000-0005-0000-0000-000019060000}"/>
    <cellStyle name="40% - Accent5 5 3 4 2" xfId="32552" xr:uid="{B6DCCFB2-9CB8-4894-9027-68DDEEA5CB84}"/>
    <cellStyle name="40% - Accent5 5 3 5" xfId="32545" xr:uid="{80D34D82-8FC0-4E5C-81A0-6475BC5A508A}"/>
    <cellStyle name="40% - Accent5 5 4" xfId="1562" xr:uid="{00000000-0005-0000-0000-00001A060000}"/>
    <cellStyle name="40% - Accent5 5 4 2" xfId="1563" xr:uid="{00000000-0005-0000-0000-00001B060000}"/>
    <cellStyle name="40% - Accent5 5 4 2 2" xfId="32554" xr:uid="{31E26F94-828B-4EAD-B272-725DE41E5E5C}"/>
    <cellStyle name="40% - Accent5 5 4 3" xfId="32553" xr:uid="{273D4C6B-ADA8-4649-B48B-29DB50E89075}"/>
    <cellStyle name="40% - Accent5 5 5" xfId="1564" xr:uid="{00000000-0005-0000-0000-00001C060000}"/>
    <cellStyle name="40% - Accent5 5 5 2" xfId="32555" xr:uid="{44C4511F-077C-47E4-9D1E-CA274368405F}"/>
    <cellStyle name="40% - Accent5 5 6" xfId="32540" xr:uid="{0321D6D4-6613-4E45-8920-F270A4702868}"/>
    <cellStyle name="40% - Accent5 6" xfId="1565" xr:uid="{00000000-0005-0000-0000-00001D060000}"/>
    <cellStyle name="40% - Accent5 6 2" xfId="1566" xr:uid="{00000000-0005-0000-0000-00001E060000}"/>
    <cellStyle name="40% - Accent5 6 2 2" xfId="1567" xr:uid="{00000000-0005-0000-0000-00001F060000}"/>
    <cellStyle name="40% - Accent5 6 2 2 2" xfId="1568" xr:uid="{00000000-0005-0000-0000-000020060000}"/>
    <cellStyle name="40% - Accent5 6 2 2 2 2" xfId="32559" xr:uid="{70D0EAEE-1E59-4CE6-B391-695C414012C2}"/>
    <cellStyle name="40% - Accent5 6 2 2 3" xfId="32558" xr:uid="{27E69B9B-B498-4BC3-ACB4-F8FC3823E2B3}"/>
    <cellStyle name="40% - Accent5 6 2 3" xfId="1569" xr:uid="{00000000-0005-0000-0000-000021060000}"/>
    <cellStyle name="40% - Accent5 6 2 3 2" xfId="32560" xr:uid="{D2F9EB24-730F-4AE7-B26F-39249DE8CFE4}"/>
    <cellStyle name="40% - Accent5 6 2 4" xfId="32557" xr:uid="{5975F6BF-6605-4CB3-81FE-D7115B4407D8}"/>
    <cellStyle name="40% - Accent5 6 3" xfId="1570" xr:uid="{00000000-0005-0000-0000-000022060000}"/>
    <cellStyle name="40% - Accent5 6 3 2" xfId="1571" xr:uid="{00000000-0005-0000-0000-000023060000}"/>
    <cellStyle name="40% - Accent5 6 3 2 2" xfId="32562" xr:uid="{BAB5BF7A-2EC7-4B83-8519-3D04EE5C6D5B}"/>
    <cellStyle name="40% - Accent5 6 3 3" xfId="32561" xr:uid="{89C48F14-496D-420F-B91F-286BF996D048}"/>
    <cellStyle name="40% - Accent5 6 4" xfId="1572" xr:uid="{00000000-0005-0000-0000-000024060000}"/>
    <cellStyle name="40% - Accent5 6 4 2" xfId="32563" xr:uid="{FAE0C42C-D4BC-4518-A6C9-FEDDE77D7D71}"/>
    <cellStyle name="40% - Accent5 6 5" xfId="32556" xr:uid="{82DF848E-1D0A-4FE7-8CF0-E184C61D3409}"/>
    <cellStyle name="40% - Accent5 7" xfId="1573" xr:uid="{00000000-0005-0000-0000-000025060000}"/>
    <cellStyle name="40% - Accent5 8" xfId="1574" xr:uid="{00000000-0005-0000-0000-000026060000}"/>
    <cellStyle name="40% - Accent6 2" xfId="1575" xr:uid="{00000000-0005-0000-0000-000027060000}"/>
    <cellStyle name="40% - Accent6 2 10" xfId="1576" xr:uid="{00000000-0005-0000-0000-000028060000}"/>
    <cellStyle name="40% - Accent6 2 10 2" xfId="1577" xr:uid="{00000000-0005-0000-0000-000029060000}"/>
    <cellStyle name="40% - Accent6 2 10 2 2" xfId="32566" xr:uid="{8164D1FA-7792-4A3D-A876-805579BBA45B}"/>
    <cellStyle name="40% - Accent6 2 10 3" xfId="32565" xr:uid="{3DC0FE51-AF9F-4FB7-B515-6275348AC7A0}"/>
    <cellStyle name="40% - Accent6 2 11" xfId="1578" xr:uid="{00000000-0005-0000-0000-00002A060000}"/>
    <cellStyle name="40% - Accent6 2 11 2" xfId="32567" xr:uid="{86C97FBD-99CC-45FB-BB47-D8C3C827E2F8}"/>
    <cellStyle name="40% - Accent6 2 12" xfId="32564" xr:uid="{8257D040-2D53-4ACB-AB5B-941326118603}"/>
    <cellStyle name="40% - Accent6 2 2" xfId="1579" xr:uid="{00000000-0005-0000-0000-00002B060000}"/>
    <cellStyle name="40% - Accent6 2 2 2" xfId="1580" xr:uid="{00000000-0005-0000-0000-00002C060000}"/>
    <cellStyle name="40% - Accent6 2 2 2 2" xfId="1581" xr:uid="{00000000-0005-0000-0000-00002D060000}"/>
    <cellStyle name="40% - Accent6 2 2 2 2 2" xfId="1582" xr:uid="{00000000-0005-0000-0000-00002E060000}"/>
    <cellStyle name="40% - Accent6 2 2 2 3" xfId="1583" xr:uid="{00000000-0005-0000-0000-00002F060000}"/>
    <cellStyle name="40% - Accent6 2 2 2 3 2" xfId="1584" xr:uid="{00000000-0005-0000-0000-000030060000}"/>
    <cellStyle name="40% - Accent6 2 2 2 3 2 2" xfId="1585" xr:uid="{00000000-0005-0000-0000-000031060000}"/>
    <cellStyle name="40% - Accent6 2 2 2 3 3" xfId="1586" xr:uid="{00000000-0005-0000-0000-000032060000}"/>
    <cellStyle name="40% - Accent6 2 2 2 4" xfId="1587" xr:uid="{00000000-0005-0000-0000-000033060000}"/>
    <cellStyle name="40% - Accent6 2 2 3" xfId="1588" xr:uid="{00000000-0005-0000-0000-000034060000}"/>
    <cellStyle name="40% - Accent6 2 2 3 2" xfId="1589" xr:uid="{00000000-0005-0000-0000-000035060000}"/>
    <cellStyle name="40% - Accent6 2 2 3 2 2" xfId="1590" xr:uid="{00000000-0005-0000-0000-000036060000}"/>
    <cellStyle name="40% - Accent6 2 2 3 2 2 2" xfId="32571" xr:uid="{78599C11-12B8-42AC-94D8-D2365CA83535}"/>
    <cellStyle name="40% - Accent6 2 2 3 2 3" xfId="32570" xr:uid="{40EF0B9C-17D7-48F2-90EB-B83E78620BFF}"/>
    <cellStyle name="40% - Accent6 2 2 3 3" xfId="1591" xr:uid="{00000000-0005-0000-0000-000037060000}"/>
    <cellStyle name="40% - Accent6 2 2 3 3 2" xfId="32572" xr:uid="{9B379F49-BD18-4C6B-B497-13EB4F339D74}"/>
    <cellStyle name="40% - Accent6 2 2 3 4" xfId="32569" xr:uid="{A730BD16-FE11-4261-B9F6-68993769F13D}"/>
    <cellStyle name="40% - Accent6 2 2 4" xfId="1592" xr:uid="{00000000-0005-0000-0000-000038060000}"/>
    <cellStyle name="40% - Accent6 2 2 4 2" xfId="1593" xr:uid="{00000000-0005-0000-0000-000039060000}"/>
    <cellStyle name="40% - Accent6 2 2 4 2 2" xfId="1594" xr:uid="{00000000-0005-0000-0000-00003A060000}"/>
    <cellStyle name="40% - Accent6 2 2 4 2 2 2" xfId="1595" xr:uid="{00000000-0005-0000-0000-00003B060000}"/>
    <cellStyle name="40% - Accent6 2 2 4 2 2 2 2" xfId="32576" xr:uid="{024084AF-CE76-4C65-B803-EDF64C8D15EA}"/>
    <cellStyle name="40% - Accent6 2 2 4 2 2 3" xfId="32575" xr:uid="{B874A7A5-0B27-437F-BAB0-9B9EA6EE9FA3}"/>
    <cellStyle name="40% - Accent6 2 2 4 2 3" xfId="1596" xr:uid="{00000000-0005-0000-0000-00003C060000}"/>
    <cellStyle name="40% - Accent6 2 2 4 2 3 2" xfId="32577" xr:uid="{3DFC9FE3-D970-435C-A035-3AA7B0CCD07C}"/>
    <cellStyle name="40% - Accent6 2 2 4 2 4" xfId="32574" xr:uid="{F26F211F-409B-4FD6-861F-1E71874F9B0B}"/>
    <cellStyle name="40% - Accent6 2 2 4 3" xfId="1597" xr:uid="{00000000-0005-0000-0000-00003D060000}"/>
    <cellStyle name="40% - Accent6 2 2 4 3 2" xfId="1598" xr:uid="{00000000-0005-0000-0000-00003E060000}"/>
    <cellStyle name="40% - Accent6 2 2 4 3 2 2" xfId="32579" xr:uid="{FACB7346-F75A-4F73-8224-9EC8CFFB9E16}"/>
    <cellStyle name="40% - Accent6 2 2 4 3 3" xfId="32578" xr:uid="{AE87E3B9-6C87-4113-8135-88997169AC24}"/>
    <cellStyle name="40% - Accent6 2 2 4 4" xfId="1599" xr:uid="{00000000-0005-0000-0000-00003F060000}"/>
    <cellStyle name="40% - Accent6 2 2 4 4 2" xfId="32580" xr:uid="{A17DB167-93ED-483F-9F7E-4C7E01C09759}"/>
    <cellStyle name="40% - Accent6 2 2 4 5" xfId="32573" xr:uid="{15C17ECC-5D81-41C9-8B3A-E36B5DDABF32}"/>
    <cellStyle name="40% - Accent6 2 2 5" xfId="1600" xr:uid="{00000000-0005-0000-0000-000040060000}"/>
    <cellStyle name="40% - Accent6 2 2 5 2" xfId="1601" xr:uid="{00000000-0005-0000-0000-000041060000}"/>
    <cellStyle name="40% - Accent6 2 2 5 2 2" xfId="32582" xr:uid="{CD8579EE-3AB0-4A61-B200-005992D11587}"/>
    <cellStyle name="40% - Accent6 2 2 5 3" xfId="32581" xr:uid="{92551BF3-FF3F-43C5-968B-91FCA706303D}"/>
    <cellStyle name="40% - Accent6 2 2 6" xfId="1602" xr:uid="{00000000-0005-0000-0000-000042060000}"/>
    <cellStyle name="40% - Accent6 2 2 6 2" xfId="32583" xr:uid="{07EF0870-4AF8-4883-B454-D79A8BA5732A}"/>
    <cellStyle name="40% - Accent6 2 2 7" xfId="32568" xr:uid="{D1F102BA-1884-4033-8C61-A4908AD336D3}"/>
    <cellStyle name="40% - Accent6 2 3" xfId="1603" xr:uid="{00000000-0005-0000-0000-000043060000}"/>
    <cellStyle name="40% - Accent6 2 3 2" xfId="1604" xr:uid="{00000000-0005-0000-0000-000044060000}"/>
    <cellStyle name="40% - Accent6 2 3 2 2" xfId="1605" xr:uid="{00000000-0005-0000-0000-000045060000}"/>
    <cellStyle name="40% - Accent6 2 3 2 2 2" xfId="1606" xr:uid="{00000000-0005-0000-0000-000046060000}"/>
    <cellStyle name="40% - Accent6 2 3 2 2 2 2" xfId="32587" xr:uid="{18B7E918-ED4A-4554-BBB8-C450FA0447BF}"/>
    <cellStyle name="40% - Accent6 2 3 2 2 3" xfId="32586" xr:uid="{FEBC379A-54FB-46A7-AA3D-66B5F41C328F}"/>
    <cellStyle name="40% - Accent6 2 3 2 3" xfId="1607" xr:uid="{00000000-0005-0000-0000-000047060000}"/>
    <cellStyle name="40% - Accent6 2 3 2 3 2" xfId="32588" xr:uid="{B45ACED4-F42E-49BE-BD72-B4BB5037FB20}"/>
    <cellStyle name="40% - Accent6 2 3 2 4" xfId="32585" xr:uid="{4EEBADAE-AC0E-4AD1-A7D0-05FCE80998F1}"/>
    <cellStyle name="40% - Accent6 2 3 3" xfId="1608" xr:uid="{00000000-0005-0000-0000-000048060000}"/>
    <cellStyle name="40% - Accent6 2 3 3 2" xfId="1609" xr:uid="{00000000-0005-0000-0000-000049060000}"/>
    <cellStyle name="40% - Accent6 2 3 3 2 2" xfId="1610" xr:uid="{00000000-0005-0000-0000-00004A060000}"/>
    <cellStyle name="40% - Accent6 2 3 3 2 2 2" xfId="1611" xr:uid="{00000000-0005-0000-0000-00004B060000}"/>
    <cellStyle name="40% - Accent6 2 3 3 2 2 2 2" xfId="32592" xr:uid="{E666E602-ED21-464E-85C8-6E3D06E2484F}"/>
    <cellStyle name="40% - Accent6 2 3 3 2 2 3" xfId="32591" xr:uid="{E7C26B02-30B7-4E52-BC9E-606DB031FA70}"/>
    <cellStyle name="40% - Accent6 2 3 3 2 3" xfId="1612" xr:uid="{00000000-0005-0000-0000-00004C060000}"/>
    <cellStyle name="40% - Accent6 2 3 3 2 3 2" xfId="32593" xr:uid="{FC5A4CD1-F9F3-4858-B991-09375A77F58B}"/>
    <cellStyle name="40% - Accent6 2 3 3 2 4" xfId="32590" xr:uid="{21FE8851-FE37-4ACE-B320-A47259178E2A}"/>
    <cellStyle name="40% - Accent6 2 3 3 3" xfId="1613" xr:uid="{00000000-0005-0000-0000-00004D060000}"/>
    <cellStyle name="40% - Accent6 2 3 3 3 2" xfId="1614" xr:uid="{00000000-0005-0000-0000-00004E060000}"/>
    <cellStyle name="40% - Accent6 2 3 3 3 2 2" xfId="32595" xr:uid="{EAF1DE8B-FB05-4C77-8E16-EB9A0197881F}"/>
    <cellStyle name="40% - Accent6 2 3 3 3 3" xfId="32594" xr:uid="{A30382C4-B340-4B71-8085-2529BED66FA6}"/>
    <cellStyle name="40% - Accent6 2 3 3 4" xfId="1615" xr:uid="{00000000-0005-0000-0000-00004F060000}"/>
    <cellStyle name="40% - Accent6 2 3 3 4 2" xfId="32596" xr:uid="{2156B419-697E-480C-B1FE-0380986FBF5F}"/>
    <cellStyle name="40% - Accent6 2 3 3 5" xfId="32589" xr:uid="{C30BFD61-9F30-4EE2-A11D-CD43E76EA8A4}"/>
    <cellStyle name="40% - Accent6 2 3 4" xfId="1616" xr:uid="{00000000-0005-0000-0000-000050060000}"/>
    <cellStyle name="40% - Accent6 2 3 4 2" xfId="1617" xr:uid="{00000000-0005-0000-0000-000051060000}"/>
    <cellStyle name="40% - Accent6 2 3 4 2 2" xfId="32598" xr:uid="{2530F9B5-71CF-4719-BD5B-BAF75FBCCBBA}"/>
    <cellStyle name="40% - Accent6 2 3 4 3" xfId="32597" xr:uid="{0A3A027C-A31E-4450-8891-14EF1901DF5F}"/>
    <cellStyle name="40% - Accent6 2 3 5" xfId="1618" xr:uid="{00000000-0005-0000-0000-000052060000}"/>
    <cellStyle name="40% - Accent6 2 3 5 2" xfId="32599" xr:uid="{0D63EFB1-D6E4-41E3-8906-2B546E68BE00}"/>
    <cellStyle name="40% - Accent6 2 3 6" xfId="32584" xr:uid="{251EE0CA-3971-4733-9CFD-28011D18533C}"/>
    <cellStyle name="40% - Accent6 2 4" xfId="1619" xr:uid="{00000000-0005-0000-0000-000053060000}"/>
    <cellStyle name="40% - Accent6 2 4 2" xfId="1620" xr:uid="{00000000-0005-0000-0000-000054060000}"/>
    <cellStyle name="40% - Accent6 2 4 2 2" xfId="1621" xr:uid="{00000000-0005-0000-0000-000055060000}"/>
    <cellStyle name="40% - Accent6 2 4 2 2 2" xfId="1622" xr:uid="{00000000-0005-0000-0000-000056060000}"/>
    <cellStyle name="40% - Accent6 2 4 2 2 2 2" xfId="32603" xr:uid="{71935D8E-1F64-42C7-8298-44BE4CBCA6BF}"/>
    <cellStyle name="40% - Accent6 2 4 2 2 3" xfId="32602" xr:uid="{4D93C21B-3C1E-43E3-B1D1-53A795678C04}"/>
    <cellStyle name="40% - Accent6 2 4 2 3" xfId="1623" xr:uid="{00000000-0005-0000-0000-000057060000}"/>
    <cellStyle name="40% - Accent6 2 4 2 3 2" xfId="32604" xr:uid="{181F51CD-DF81-43CD-9AA9-E7712F3FD205}"/>
    <cellStyle name="40% - Accent6 2 4 2 4" xfId="32601" xr:uid="{9A95175D-FEAA-4720-ADC1-340B6C8C4E2A}"/>
    <cellStyle name="40% - Accent6 2 4 3" xfId="1624" xr:uid="{00000000-0005-0000-0000-000058060000}"/>
    <cellStyle name="40% - Accent6 2 4 3 2" xfId="1625" xr:uid="{00000000-0005-0000-0000-000059060000}"/>
    <cellStyle name="40% - Accent6 2 4 3 2 2" xfId="32606" xr:uid="{0858700D-B287-4914-8690-2128D42191CD}"/>
    <cellStyle name="40% - Accent6 2 4 3 3" xfId="32605" xr:uid="{90C1BAB8-3A5E-4D3B-8115-517287A6761C}"/>
    <cellStyle name="40% - Accent6 2 4 4" xfId="1626" xr:uid="{00000000-0005-0000-0000-00005A060000}"/>
    <cellStyle name="40% - Accent6 2 4 4 2" xfId="32607" xr:uid="{51FE3368-2CD6-4BAA-9F1B-15BEB2694D43}"/>
    <cellStyle name="40% - Accent6 2 4 5" xfId="32600" xr:uid="{0D204E8F-0E7B-4E5A-ACD4-B70757A23C97}"/>
    <cellStyle name="40% - Accent6 2 5" xfId="1627" xr:uid="{00000000-0005-0000-0000-00005B060000}"/>
    <cellStyle name="40% - Accent6 2 5 2" xfId="1628" xr:uid="{00000000-0005-0000-0000-00005C060000}"/>
    <cellStyle name="40% - Accent6 2 5 2 2" xfId="1629" xr:uid="{00000000-0005-0000-0000-00005D060000}"/>
    <cellStyle name="40% - Accent6 2 5 2 2 2" xfId="1630" xr:uid="{00000000-0005-0000-0000-00005E060000}"/>
    <cellStyle name="40% - Accent6 2 5 2 2 2 2" xfId="32611" xr:uid="{64D1D7CD-9785-45D3-9D4C-69FE6C5364FD}"/>
    <cellStyle name="40% - Accent6 2 5 2 2 3" xfId="32610" xr:uid="{B7450DEA-ABE6-4DEC-96DB-FF0D2A887844}"/>
    <cellStyle name="40% - Accent6 2 5 2 3" xfId="1631" xr:uid="{00000000-0005-0000-0000-00005F060000}"/>
    <cellStyle name="40% - Accent6 2 5 2 3 2" xfId="32612" xr:uid="{C3AAD532-2551-4727-888A-5AE92A8CE1B2}"/>
    <cellStyle name="40% - Accent6 2 5 2 4" xfId="32609" xr:uid="{9F6DB1E9-7FF9-4BFA-BD34-B345880AE694}"/>
    <cellStyle name="40% - Accent6 2 5 3" xfId="1632" xr:uid="{00000000-0005-0000-0000-000060060000}"/>
    <cellStyle name="40% - Accent6 2 5 3 2" xfId="1633" xr:uid="{00000000-0005-0000-0000-000061060000}"/>
    <cellStyle name="40% - Accent6 2 5 3 2 2" xfId="1634" xr:uid="{00000000-0005-0000-0000-000062060000}"/>
    <cellStyle name="40% - Accent6 2 5 3 2 2 2" xfId="1635" xr:uid="{00000000-0005-0000-0000-000063060000}"/>
    <cellStyle name="40% - Accent6 2 5 3 2 2 2 2" xfId="32616" xr:uid="{99ED0986-BC7F-482C-9DE0-9A1BE95AD038}"/>
    <cellStyle name="40% - Accent6 2 5 3 2 2 3" xfId="32615" xr:uid="{435137B6-4784-41D6-A3A3-A0C08388C792}"/>
    <cellStyle name="40% - Accent6 2 5 3 2 3" xfId="1636" xr:uid="{00000000-0005-0000-0000-000064060000}"/>
    <cellStyle name="40% - Accent6 2 5 3 2 3 2" xfId="32617" xr:uid="{84D9FC3D-CB1C-42D7-A9C6-427C19E28749}"/>
    <cellStyle name="40% - Accent6 2 5 3 2 4" xfId="32614" xr:uid="{D4C1D3C8-2EE8-47D0-B6AD-A1D508B5CC08}"/>
    <cellStyle name="40% - Accent6 2 5 3 3" xfId="1637" xr:uid="{00000000-0005-0000-0000-000065060000}"/>
    <cellStyle name="40% - Accent6 2 5 3 3 2" xfId="1638" xr:uid="{00000000-0005-0000-0000-000066060000}"/>
    <cellStyle name="40% - Accent6 2 5 3 3 2 2" xfId="32619" xr:uid="{23CD177A-00B7-4E95-AE90-C46AD0C8EF4B}"/>
    <cellStyle name="40% - Accent6 2 5 3 3 3" xfId="32618" xr:uid="{A775A0D4-07A1-4495-B779-4C59E740E44E}"/>
    <cellStyle name="40% - Accent6 2 5 3 4" xfId="1639" xr:uid="{00000000-0005-0000-0000-000067060000}"/>
    <cellStyle name="40% - Accent6 2 5 3 4 2" xfId="32620" xr:uid="{353E9213-DDB2-4293-B2FC-13E9A699E461}"/>
    <cellStyle name="40% - Accent6 2 5 3 5" xfId="32613" xr:uid="{E103A742-4A6F-4B9A-85DA-D043A84C4FA7}"/>
    <cellStyle name="40% - Accent6 2 5 4" xfId="1640" xr:uid="{00000000-0005-0000-0000-000068060000}"/>
    <cellStyle name="40% - Accent6 2 5 4 2" xfId="1641" xr:uid="{00000000-0005-0000-0000-000069060000}"/>
    <cellStyle name="40% - Accent6 2 5 4 2 2" xfId="32622" xr:uid="{25715F88-02F0-4BAA-A5E5-F3E466D701D6}"/>
    <cellStyle name="40% - Accent6 2 5 4 3" xfId="32621" xr:uid="{48FEE176-5675-4497-A6E8-003FF92BA790}"/>
    <cellStyle name="40% - Accent6 2 5 5" xfId="1642" xr:uid="{00000000-0005-0000-0000-00006A060000}"/>
    <cellStyle name="40% - Accent6 2 5 5 2" xfId="32623" xr:uid="{3848E302-606C-4F72-92B0-D4B089CDD5E4}"/>
    <cellStyle name="40% - Accent6 2 5 6" xfId="32608" xr:uid="{4C78AF6E-5BE1-4417-BF79-061E0CBC00E9}"/>
    <cellStyle name="40% - Accent6 2 6" xfId="1643" xr:uid="{00000000-0005-0000-0000-00006B060000}"/>
    <cellStyle name="40% - Accent6 2 6 2" xfId="1644" xr:uid="{00000000-0005-0000-0000-00006C060000}"/>
    <cellStyle name="40% - Accent6 2 6 2 2" xfId="1645" xr:uid="{00000000-0005-0000-0000-00006D060000}"/>
    <cellStyle name="40% - Accent6 2 6 2 2 2" xfId="32626" xr:uid="{60E3DAFF-6A7A-463C-A804-821CA8856E00}"/>
    <cellStyle name="40% - Accent6 2 6 2 3" xfId="32625" xr:uid="{BBCAAEEB-D9B5-4A51-953C-9E409C618BDC}"/>
    <cellStyle name="40% - Accent6 2 6 3" xfId="1646" xr:uid="{00000000-0005-0000-0000-00006E060000}"/>
    <cellStyle name="40% - Accent6 2 6 3 2" xfId="32627" xr:uid="{BBAC675D-56CE-4528-8A95-2FFD97B3B435}"/>
    <cellStyle name="40% - Accent6 2 6 4" xfId="32624" xr:uid="{10121FB6-8869-4048-8072-58D04D1F1CBA}"/>
    <cellStyle name="40% - Accent6 2 7" xfId="1647" xr:uid="{00000000-0005-0000-0000-00006F060000}"/>
    <cellStyle name="40% - Accent6 2 7 2" xfId="1648" xr:uid="{00000000-0005-0000-0000-000070060000}"/>
    <cellStyle name="40% - Accent6 2 7 2 2" xfId="1649" xr:uid="{00000000-0005-0000-0000-000071060000}"/>
    <cellStyle name="40% - Accent6 2 7 2 2 2" xfId="32630" xr:uid="{31F733BB-DEAD-48DC-B35D-7A300A8DF2E2}"/>
    <cellStyle name="40% - Accent6 2 7 2 3" xfId="32629" xr:uid="{798993FB-F8FC-474E-8ED2-66DCAD3D4236}"/>
    <cellStyle name="40% - Accent6 2 7 3" xfId="1650" xr:uid="{00000000-0005-0000-0000-000072060000}"/>
    <cellStyle name="40% - Accent6 2 7 3 2" xfId="32631" xr:uid="{F850CC0F-646C-4CD2-AE31-E2701A09055F}"/>
    <cellStyle name="40% - Accent6 2 7 4" xfId="32628" xr:uid="{77FA7010-5493-4107-B708-DB07C3AA23DE}"/>
    <cellStyle name="40% - Accent6 2 8" xfId="1651" xr:uid="{00000000-0005-0000-0000-000073060000}"/>
    <cellStyle name="40% - Accent6 2 8 2" xfId="1652" xr:uid="{00000000-0005-0000-0000-000074060000}"/>
    <cellStyle name="40% - Accent6 2 8 2 2" xfId="1653" xr:uid="{00000000-0005-0000-0000-000075060000}"/>
    <cellStyle name="40% - Accent6 2 8 2 2 2" xfId="1654" xr:uid="{00000000-0005-0000-0000-000076060000}"/>
    <cellStyle name="40% - Accent6 2 8 2 2 2 2" xfId="32635" xr:uid="{2584D493-5C8A-4335-A213-D34BB5D2784A}"/>
    <cellStyle name="40% - Accent6 2 8 2 2 3" xfId="32634" xr:uid="{4CA2FFCA-A8C0-4EDD-92FD-6A1960593456}"/>
    <cellStyle name="40% - Accent6 2 8 2 3" xfId="1655" xr:uid="{00000000-0005-0000-0000-000077060000}"/>
    <cellStyle name="40% - Accent6 2 8 2 3 2" xfId="32636" xr:uid="{EE76775C-C9F3-446D-9530-FA02686B660B}"/>
    <cellStyle name="40% - Accent6 2 8 2 4" xfId="32633" xr:uid="{4EF2FCEE-1E4A-46B7-84C9-5EC2BAFEA6F8}"/>
    <cellStyle name="40% - Accent6 2 8 3" xfId="1656" xr:uid="{00000000-0005-0000-0000-000078060000}"/>
    <cellStyle name="40% - Accent6 2 8 3 2" xfId="1657" xr:uid="{00000000-0005-0000-0000-000079060000}"/>
    <cellStyle name="40% - Accent6 2 8 3 2 2" xfId="32638" xr:uid="{FB4E7BE5-B551-431D-B498-A7E196CC4D9A}"/>
    <cellStyle name="40% - Accent6 2 8 3 3" xfId="32637" xr:uid="{70FA1055-F4A7-4A69-B801-80629B33C056}"/>
    <cellStyle name="40% - Accent6 2 8 4" xfId="1658" xr:uid="{00000000-0005-0000-0000-00007A060000}"/>
    <cellStyle name="40% - Accent6 2 8 4 2" xfId="32639" xr:uid="{4EAE8890-1950-4672-9B5C-08C930939D66}"/>
    <cellStyle name="40% - Accent6 2 8 5" xfId="32632" xr:uid="{FEFBB3AA-5E17-434F-9895-423682780FD9}"/>
    <cellStyle name="40% - Accent6 2 9" xfId="1659" xr:uid="{00000000-0005-0000-0000-00007B060000}"/>
    <cellStyle name="40% - Accent6 2 9 2" xfId="1660" xr:uid="{00000000-0005-0000-0000-00007C060000}"/>
    <cellStyle name="40% - Accent6 2 9 2 2" xfId="32641" xr:uid="{D1D27E52-9F3F-4443-8945-C3DE9C4640FD}"/>
    <cellStyle name="40% - Accent6 2 9 3" xfId="32640" xr:uid="{90727FF6-0865-4B5A-81A1-DD7B4360E824}"/>
    <cellStyle name="40% - Accent6 3" xfId="1661" xr:uid="{00000000-0005-0000-0000-00007D060000}"/>
    <cellStyle name="40% - Accent6 3 2" xfId="1662" xr:uid="{00000000-0005-0000-0000-00007E060000}"/>
    <cellStyle name="40% - Accent6 3 2 2" xfId="1663" xr:uid="{00000000-0005-0000-0000-00007F060000}"/>
    <cellStyle name="40% - Accent6 3 2 2 2" xfId="1664" xr:uid="{00000000-0005-0000-0000-000080060000}"/>
    <cellStyle name="40% - Accent6 3 2 2 2 2" xfId="32645" xr:uid="{3B11A10C-7A88-4348-811A-0D284E8DDD53}"/>
    <cellStyle name="40% - Accent6 3 2 2 3" xfId="32644" xr:uid="{F63CDC68-FD4F-4A5E-879D-626C6E29664B}"/>
    <cellStyle name="40% - Accent6 3 2 3" xfId="1665" xr:uid="{00000000-0005-0000-0000-000081060000}"/>
    <cellStyle name="40% - Accent6 3 2 3 2" xfId="32646" xr:uid="{01927F3A-C63D-4B76-803A-D4B997F160D5}"/>
    <cellStyle name="40% - Accent6 3 2 4" xfId="32643" xr:uid="{481C9DF2-9E7B-4331-B1E9-42DB0C65F8C7}"/>
    <cellStyle name="40% - Accent6 3 3" xfId="1666" xr:uid="{00000000-0005-0000-0000-000082060000}"/>
    <cellStyle name="40% - Accent6 3 3 2" xfId="1667" xr:uid="{00000000-0005-0000-0000-000083060000}"/>
    <cellStyle name="40% - Accent6 3 4" xfId="1668" xr:uid="{00000000-0005-0000-0000-000084060000}"/>
    <cellStyle name="40% - Accent6 3 4 2" xfId="1669" xr:uid="{00000000-0005-0000-0000-000085060000}"/>
    <cellStyle name="40% - Accent6 3 4 2 2" xfId="1670" xr:uid="{00000000-0005-0000-0000-000086060000}"/>
    <cellStyle name="40% - Accent6 3 4 3" xfId="1671" xr:uid="{00000000-0005-0000-0000-000087060000}"/>
    <cellStyle name="40% - Accent6 3 5" xfId="1672" xr:uid="{00000000-0005-0000-0000-000088060000}"/>
    <cellStyle name="40% - Accent6 3 6" xfId="32642" xr:uid="{48C96352-2E3E-4F1E-AAD0-09383833F68A}"/>
    <cellStyle name="40% - Accent6 4" xfId="1673" xr:uid="{00000000-0005-0000-0000-000089060000}"/>
    <cellStyle name="40% - Accent6 4 2" xfId="1674" xr:uid="{00000000-0005-0000-0000-00008A060000}"/>
    <cellStyle name="40% - Accent6 4 2 2" xfId="1675" xr:uid="{00000000-0005-0000-0000-00008B060000}"/>
    <cellStyle name="40% - Accent6 4 3" xfId="1676" xr:uid="{00000000-0005-0000-0000-00008C060000}"/>
    <cellStyle name="40% - Accent6 4 3 2" xfId="1677" xr:uid="{00000000-0005-0000-0000-00008D060000}"/>
    <cellStyle name="40% - Accent6 4 3 2 2" xfId="1678" xr:uid="{00000000-0005-0000-0000-00008E060000}"/>
    <cellStyle name="40% - Accent6 4 3 3" xfId="1679" xr:uid="{00000000-0005-0000-0000-00008F060000}"/>
    <cellStyle name="40% - Accent6 4 4" xfId="1680" xr:uid="{00000000-0005-0000-0000-000090060000}"/>
    <cellStyle name="40% - Accent6 4 5" xfId="32647" xr:uid="{3C950485-4D07-4E3F-B326-3511BDF286B6}"/>
    <cellStyle name="40% - Accent6 5" xfId="1681" xr:uid="{00000000-0005-0000-0000-000091060000}"/>
    <cellStyle name="40% - Accent6 5 2" xfId="1682" xr:uid="{00000000-0005-0000-0000-000092060000}"/>
    <cellStyle name="40% - Accent6 5 2 2" xfId="1683" xr:uid="{00000000-0005-0000-0000-000093060000}"/>
    <cellStyle name="40% - Accent6 5 2 2 2" xfId="1684" xr:uid="{00000000-0005-0000-0000-000094060000}"/>
    <cellStyle name="40% - Accent6 5 2 2 2 2" xfId="32651" xr:uid="{B408E516-E9F5-49C7-80C3-F9C179AF9C8D}"/>
    <cellStyle name="40% - Accent6 5 2 2 3" xfId="32650" xr:uid="{176FBE90-767F-4E77-B21A-9F81D093F2FF}"/>
    <cellStyle name="40% - Accent6 5 2 3" xfId="1685" xr:uid="{00000000-0005-0000-0000-000095060000}"/>
    <cellStyle name="40% - Accent6 5 2 3 2" xfId="32652" xr:uid="{2B0272AD-0178-4012-8472-B5B34A616378}"/>
    <cellStyle name="40% - Accent6 5 2 4" xfId="32649" xr:uid="{5A0C4DF0-BC75-4DE8-ACFD-434C1FC670BD}"/>
    <cellStyle name="40% - Accent6 5 3" xfId="1686" xr:uid="{00000000-0005-0000-0000-000096060000}"/>
    <cellStyle name="40% - Accent6 5 3 2" xfId="1687" xr:uid="{00000000-0005-0000-0000-000097060000}"/>
    <cellStyle name="40% - Accent6 5 3 2 2" xfId="1688" xr:uid="{00000000-0005-0000-0000-000098060000}"/>
    <cellStyle name="40% - Accent6 5 3 2 2 2" xfId="1689" xr:uid="{00000000-0005-0000-0000-000099060000}"/>
    <cellStyle name="40% - Accent6 5 3 2 2 2 2" xfId="32656" xr:uid="{CE8DFE3C-518F-448E-AFEA-609EDE46A623}"/>
    <cellStyle name="40% - Accent6 5 3 2 2 3" xfId="32655" xr:uid="{49F6B0A6-1040-4549-88DF-DDA61A73174A}"/>
    <cellStyle name="40% - Accent6 5 3 2 3" xfId="1690" xr:uid="{00000000-0005-0000-0000-00009A060000}"/>
    <cellStyle name="40% - Accent6 5 3 2 3 2" xfId="32657" xr:uid="{BA34AA3A-E4AD-44FE-9038-C3CB407DFB04}"/>
    <cellStyle name="40% - Accent6 5 3 2 4" xfId="32654" xr:uid="{53A84B53-0CC5-47AF-B414-B23605935B68}"/>
    <cellStyle name="40% - Accent6 5 3 3" xfId="1691" xr:uid="{00000000-0005-0000-0000-00009B060000}"/>
    <cellStyle name="40% - Accent6 5 3 3 2" xfId="1692" xr:uid="{00000000-0005-0000-0000-00009C060000}"/>
    <cellStyle name="40% - Accent6 5 3 3 2 2" xfId="32659" xr:uid="{64AAE422-A5A7-4111-8005-5E5BED744EC0}"/>
    <cellStyle name="40% - Accent6 5 3 3 3" xfId="32658" xr:uid="{065FD025-4E4C-420E-B662-7D97C322B0E6}"/>
    <cellStyle name="40% - Accent6 5 3 4" xfId="1693" xr:uid="{00000000-0005-0000-0000-00009D060000}"/>
    <cellStyle name="40% - Accent6 5 3 4 2" xfId="32660" xr:uid="{63CB9516-5185-4294-8BF5-A719F4C165FE}"/>
    <cellStyle name="40% - Accent6 5 3 5" xfId="32653" xr:uid="{B6819734-EE9D-45AF-A7A9-1DA8B645B87A}"/>
    <cellStyle name="40% - Accent6 5 4" xfId="1694" xr:uid="{00000000-0005-0000-0000-00009E060000}"/>
    <cellStyle name="40% - Accent6 5 4 2" xfId="1695" xr:uid="{00000000-0005-0000-0000-00009F060000}"/>
    <cellStyle name="40% - Accent6 5 4 2 2" xfId="32662" xr:uid="{F769D44D-66DA-4BDB-A112-A02D755C189F}"/>
    <cellStyle name="40% - Accent6 5 4 3" xfId="32661" xr:uid="{46929A18-4B3B-4BA8-A261-4019D0ED4F64}"/>
    <cellStyle name="40% - Accent6 5 5" xfId="1696" xr:uid="{00000000-0005-0000-0000-0000A0060000}"/>
    <cellStyle name="40% - Accent6 5 5 2" xfId="32663" xr:uid="{89B096BE-1F60-4CC9-BC08-63E78ACEA5A9}"/>
    <cellStyle name="40% - Accent6 5 6" xfId="32648" xr:uid="{419753FA-4AB3-4DD5-907E-E2A49D8A4E9E}"/>
    <cellStyle name="40% - Accent6 6" xfId="1697" xr:uid="{00000000-0005-0000-0000-0000A1060000}"/>
    <cellStyle name="40% - Accent6 6 2" xfId="1698" xr:uid="{00000000-0005-0000-0000-0000A2060000}"/>
    <cellStyle name="40% - Accent6 6 2 2" xfId="1699" xr:uid="{00000000-0005-0000-0000-0000A3060000}"/>
    <cellStyle name="40% - Accent6 6 2 2 2" xfId="1700" xr:uid="{00000000-0005-0000-0000-0000A4060000}"/>
    <cellStyle name="40% - Accent6 6 2 2 2 2" xfId="32667" xr:uid="{AB2C73A2-159B-4D52-A343-43AEF28F8552}"/>
    <cellStyle name="40% - Accent6 6 2 2 3" xfId="32666" xr:uid="{022793B3-0315-448D-9090-355C528A06C8}"/>
    <cellStyle name="40% - Accent6 6 2 3" xfId="1701" xr:uid="{00000000-0005-0000-0000-0000A5060000}"/>
    <cellStyle name="40% - Accent6 6 2 3 2" xfId="32668" xr:uid="{9B907245-5663-4F93-AD48-D1DDEC1AC42F}"/>
    <cellStyle name="40% - Accent6 6 2 4" xfId="32665" xr:uid="{324C9D32-4CF0-44F7-95C6-639B3AAB9FE7}"/>
    <cellStyle name="40% - Accent6 6 3" xfId="1702" xr:uid="{00000000-0005-0000-0000-0000A6060000}"/>
    <cellStyle name="40% - Accent6 6 3 2" xfId="1703" xr:uid="{00000000-0005-0000-0000-0000A7060000}"/>
    <cellStyle name="40% - Accent6 6 3 2 2" xfId="32670" xr:uid="{DCF14A46-B5A4-4124-ADFE-B1C9A75FB2FF}"/>
    <cellStyle name="40% - Accent6 6 3 3" xfId="32669" xr:uid="{9A27B7D8-CC48-4BA4-96A8-5D0F12F04C1B}"/>
    <cellStyle name="40% - Accent6 6 4" xfId="1704" xr:uid="{00000000-0005-0000-0000-0000A8060000}"/>
    <cellStyle name="40% - Accent6 6 4 2" xfId="32671" xr:uid="{ED52E130-B0C2-4F1F-A6A2-7082BD61C397}"/>
    <cellStyle name="40% - Accent6 6 5" xfId="32664" xr:uid="{EFAB26EA-A900-4EE9-801D-BF77B8E2DF82}"/>
    <cellStyle name="40% - Accent6 7" xfId="1705" xr:uid="{00000000-0005-0000-0000-0000A9060000}"/>
    <cellStyle name="40% - Accent6 8" xfId="1706" xr:uid="{00000000-0005-0000-0000-0000AA060000}"/>
    <cellStyle name="60% - Accent1 2" xfId="1707" xr:uid="{00000000-0005-0000-0000-0000AB060000}"/>
    <cellStyle name="60% - Accent1 2 10" xfId="1708" xr:uid="{00000000-0005-0000-0000-0000AC060000}"/>
    <cellStyle name="60% - Accent1 2 2" xfId="1709" xr:uid="{00000000-0005-0000-0000-0000AD060000}"/>
    <cellStyle name="60% - Accent1 2 2 2" xfId="1710" xr:uid="{00000000-0005-0000-0000-0000AE060000}"/>
    <cellStyle name="60% - Accent1 2 2 2 2" xfId="1711" xr:uid="{00000000-0005-0000-0000-0000AF060000}"/>
    <cellStyle name="60% - Accent1 2 2 3" xfId="1712" xr:uid="{00000000-0005-0000-0000-0000B0060000}"/>
    <cellStyle name="60% - Accent1 2 2 3 2" xfId="1713" xr:uid="{00000000-0005-0000-0000-0000B1060000}"/>
    <cellStyle name="60% - Accent1 2 2 3 2 2" xfId="1714" xr:uid="{00000000-0005-0000-0000-0000B2060000}"/>
    <cellStyle name="60% - Accent1 2 2 3 3" xfId="1715" xr:uid="{00000000-0005-0000-0000-0000B3060000}"/>
    <cellStyle name="60% - Accent1 2 2 4" xfId="1716" xr:uid="{00000000-0005-0000-0000-0000B4060000}"/>
    <cellStyle name="60% - Accent1 2 3" xfId="1717" xr:uid="{00000000-0005-0000-0000-0000B5060000}"/>
    <cellStyle name="60% - Accent1 2 3 2" xfId="1718" xr:uid="{00000000-0005-0000-0000-0000B6060000}"/>
    <cellStyle name="60% - Accent1 2 3 2 2" xfId="1719" xr:uid="{00000000-0005-0000-0000-0000B7060000}"/>
    <cellStyle name="60% - Accent1 2 3 2 2 2" xfId="32674" xr:uid="{E8CB9DA5-2A0E-45F5-8FA0-D8BA6665842D}"/>
    <cellStyle name="60% - Accent1 2 3 2 3" xfId="32673" xr:uid="{FCA8B959-8689-4EC3-AC47-75D2820CD5E3}"/>
    <cellStyle name="60% - Accent1 2 3 3" xfId="1720" xr:uid="{00000000-0005-0000-0000-0000B8060000}"/>
    <cellStyle name="60% - Accent1 2 3 3 2" xfId="1721" xr:uid="{00000000-0005-0000-0000-0000B9060000}"/>
    <cellStyle name="60% - Accent1 2 3 3 2 2" xfId="1722" xr:uid="{00000000-0005-0000-0000-0000BA060000}"/>
    <cellStyle name="60% - Accent1 2 3 3 2 2 2" xfId="32677" xr:uid="{74FE96F4-E57B-4004-A0DE-79F2C5F5D095}"/>
    <cellStyle name="60% - Accent1 2 3 3 2 3" xfId="32676" xr:uid="{5F62700F-DCA3-4816-88DB-3BB83DB7A90E}"/>
    <cellStyle name="60% - Accent1 2 3 3 3" xfId="1723" xr:uid="{00000000-0005-0000-0000-0000BB060000}"/>
    <cellStyle name="60% - Accent1 2 3 3 3 2" xfId="32678" xr:uid="{79345BEB-56C1-4758-BF87-4A239D7CDAA5}"/>
    <cellStyle name="60% - Accent1 2 3 3 4" xfId="32675" xr:uid="{50584E78-2169-45D9-9B71-47E90DB3F3B0}"/>
    <cellStyle name="60% - Accent1 2 3 4" xfId="1724" xr:uid="{00000000-0005-0000-0000-0000BC060000}"/>
    <cellStyle name="60% - Accent1 2 3 4 2" xfId="32679" xr:uid="{4744FD61-8724-4DC6-9A20-2315B45B2A01}"/>
    <cellStyle name="60% - Accent1 2 3 5" xfId="32672" xr:uid="{70BC9663-0519-402A-A85F-EA6E41A6512E}"/>
    <cellStyle name="60% - Accent1 2 4" xfId="1725" xr:uid="{00000000-0005-0000-0000-0000BD060000}"/>
    <cellStyle name="60% - Accent1 2 4 2" xfId="1726" xr:uid="{00000000-0005-0000-0000-0000BE060000}"/>
    <cellStyle name="60% - Accent1 2 4 2 2" xfId="1727" xr:uid="{00000000-0005-0000-0000-0000BF060000}"/>
    <cellStyle name="60% - Accent1 2 4 2 2 2" xfId="32682" xr:uid="{234E8F44-4275-46FB-8D4E-8CB2A26D913C}"/>
    <cellStyle name="60% - Accent1 2 4 2 3" xfId="32681" xr:uid="{64AD84A6-E43F-4A54-84C2-63A9C85FAC19}"/>
    <cellStyle name="60% - Accent1 2 4 3" xfId="1728" xr:uid="{00000000-0005-0000-0000-0000C0060000}"/>
    <cellStyle name="60% - Accent1 2 4 3 2" xfId="32683" xr:uid="{BBBE36C3-18C6-4422-8EAB-80439CA5161C}"/>
    <cellStyle name="60% - Accent1 2 4 4" xfId="32680" xr:uid="{EEBEA01E-4068-4FA7-A1B5-24FBD9C4F8E6}"/>
    <cellStyle name="60% - Accent1 2 5" xfId="1729" xr:uid="{00000000-0005-0000-0000-0000C1060000}"/>
    <cellStyle name="60% - Accent1 2 5 2" xfId="1730" xr:uid="{00000000-0005-0000-0000-0000C2060000}"/>
    <cellStyle name="60% - Accent1 2 5 2 2" xfId="1731" xr:uid="{00000000-0005-0000-0000-0000C3060000}"/>
    <cellStyle name="60% - Accent1 2 5 2 2 2" xfId="32686" xr:uid="{E2E8DE68-FABF-47C9-BDFB-F752CB05F391}"/>
    <cellStyle name="60% - Accent1 2 5 2 3" xfId="32685" xr:uid="{CF252E0B-02F2-4673-A538-DE2C959BAC91}"/>
    <cellStyle name="60% - Accent1 2 5 3" xfId="1732" xr:uid="{00000000-0005-0000-0000-0000C4060000}"/>
    <cellStyle name="60% - Accent1 2 5 3 2" xfId="1733" xr:uid="{00000000-0005-0000-0000-0000C5060000}"/>
    <cellStyle name="60% - Accent1 2 5 3 2 2" xfId="1734" xr:uid="{00000000-0005-0000-0000-0000C6060000}"/>
    <cellStyle name="60% - Accent1 2 5 3 2 2 2" xfId="32689" xr:uid="{FE7A57B5-550B-40A0-B173-F979DC5BBC85}"/>
    <cellStyle name="60% - Accent1 2 5 3 2 3" xfId="32688" xr:uid="{D2D6479F-29BF-4644-B807-FC272A41BD43}"/>
    <cellStyle name="60% - Accent1 2 5 3 3" xfId="1735" xr:uid="{00000000-0005-0000-0000-0000C7060000}"/>
    <cellStyle name="60% - Accent1 2 5 3 3 2" xfId="32690" xr:uid="{B36316F4-771C-4E40-8412-8722031B3670}"/>
    <cellStyle name="60% - Accent1 2 5 3 4" xfId="32687" xr:uid="{7B0562DB-45DB-4CE0-8DF0-C95469B044B0}"/>
    <cellStyle name="60% - Accent1 2 5 4" xfId="1736" xr:uid="{00000000-0005-0000-0000-0000C8060000}"/>
    <cellStyle name="60% - Accent1 2 5 4 2" xfId="32691" xr:uid="{1A9F77CD-9819-41C7-AAE3-7BEFA8FE3485}"/>
    <cellStyle name="60% - Accent1 2 5 5" xfId="32684" xr:uid="{9EC3DBE0-DEAE-4B5B-817A-536E76ED8013}"/>
    <cellStyle name="60% - Accent1 2 6" xfId="1737" xr:uid="{00000000-0005-0000-0000-0000C9060000}"/>
    <cellStyle name="60% - Accent1 2 6 2" xfId="1738" xr:uid="{00000000-0005-0000-0000-0000CA060000}"/>
    <cellStyle name="60% - Accent1 2 6 2 2" xfId="32693" xr:uid="{9DC9406D-E10E-48D3-9918-0FB71D2AC97A}"/>
    <cellStyle name="60% - Accent1 2 6 3" xfId="32692" xr:uid="{348AB2A8-9D21-4990-985C-DFD8DDB7C7CF}"/>
    <cellStyle name="60% - Accent1 2 7" xfId="1739" xr:uid="{00000000-0005-0000-0000-0000CB060000}"/>
    <cellStyle name="60% - Accent1 2 7 2" xfId="1740" xr:uid="{00000000-0005-0000-0000-0000CC060000}"/>
    <cellStyle name="60% - Accent1 2 8" xfId="1741" xr:uid="{00000000-0005-0000-0000-0000CD060000}"/>
    <cellStyle name="60% - Accent1 2 8 2" xfId="1742" xr:uid="{00000000-0005-0000-0000-0000CE060000}"/>
    <cellStyle name="60% - Accent1 2 8 2 2" xfId="1743" xr:uid="{00000000-0005-0000-0000-0000CF060000}"/>
    <cellStyle name="60% - Accent1 2 8 3" xfId="1744" xr:uid="{00000000-0005-0000-0000-0000D0060000}"/>
    <cellStyle name="60% - Accent1 2 9" xfId="1745" xr:uid="{00000000-0005-0000-0000-0000D1060000}"/>
    <cellStyle name="60% - Accent1 2 9 2" xfId="1746" xr:uid="{00000000-0005-0000-0000-0000D2060000}"/>
    <cellStyle name="60% - Accent1 2 9 2 2" xfId="1747" xr:uid="{00000000-0005-0000-0000-0000D3060000}"/>
    <cellStyle name="60% - Accent1 2 9 3" xfId="1748" xr:uid="{00000000-0005-0000-0000-0000D4060000}"/>
    <cellStyle name="60% - Accent1 2 9 3 2" xfId="32695" xr:uid="{74A7988A-9FA9-4372-85A5-B23B30B4EDC5}"/>
    <cellStyle name="60% - Accent1 2 9 4" xfId="32694" xr:uid="{1FECC752-25F5-4900-98F6-F4EA77C84E70}"/>
    <cellStyle name="60% - Accent1 3" xfId="1749" xr:uid="{00000000-0005-0000-0000-0000D5060000}"/>
    <cellStyle name="60% - Accent1 3 2" xfId="1750" xr:uid="{00000000-0005-0000-0000-0000D6060000}"/>
    <cellStyle name="60% - Accent1 3 2 2" xfId="1751" xr:uid="{00000000-0005-0000-0000-0000D7060000}"/>
    <cellStyle name="60% - Accent1 3 2 2 2" xfId="32697" xr:uid="{3287E53F-F137-48D9-A2BE-010174F7B12A}"/>
    <cellStyle name="60% - Accent1 3 2 3" xfId="32696" xr:uid="{D9C491DE-30E8-4A0A-8C95-8E4C25A7C702}"/>
    <cellStyle name="60% - Accent1 3 3" xfId="1752" xr:uid="{00000000-0005-0000-0000-0000D8060000}"/>
    <cellStyle name="60% - Accent1 3 3 2" xfId="1753" xr:uid="{00000000-0005-0000-0000-0000D9060000}"/>
    <cellStyle name="60% - Accent1 3 4" xfId="1754" xr:uid="{00000000-0005-0000-0000-0000DA060000}"/>
    <cellStyle name="60% - Accent1 3 4 2" xfId="1755" xr:uid="{00000000-0005-0000-0000-0000DB060000}"/>
    <cellStyle name="60% - Accent1 3 4 2 2" xfId="1756" xr:uid="{00000000-0005-0000-0000-0000DC060000}"/>
    <cellStyle name="60% - Accent1 3 4 3" xfId="1757" xr:uid="{00000000-0005-0000-0000-0000DD060000}"/>
    <cellStyle name="60% - Accent1 3 5" xfId="1758" xr:uid="{00000000-0005-0000-0000-0000DE060000}"/>
    <cellStyle name="60% - Accent1 4" xfId="1759" xr:uid="{00000000-0005-0000-0000-0000DF060000}"/>
    <cellStyle name="60% - Accent1 4 2" xfId="1760" xr:uid="{00000000-0005-0000-0000-0000E0060000}"/>
    <cellStyle name="60% - Accent1 4 2 2" xfId="1761" xr:uid="{00000000-0005-0000-0000-0000E1060000}"/>
    <cellStyle name="60% - Accent1 4 3" xfId="1762" xr:uid="{00000000-0005-0000-0000-0000E2060000}"/>
    <cellStyle name="60% - Accent1 4 3 2" xfId="1763" xr:uid="{00000000-0005-0000-0000-0000E3060000}"/>
    <cellStyle name="60% - Accent1 4 3 2 2" xfId="1764" xr:uid="{00000000-0005-0000-0000-0000E4060000}"/>
    <cellStyle name="60% - Accent1 4 3 3" xfId="1765" xr:uid="{00000000-0005-0000-0000-0000E5060000}"/>
    <cellStyle name="60% - Accent1 4 4" xfId="1766" xr:uid="{00000000-0005-0000-0000-0000E6060000}"/>
    <cellStyle name="60% - Accent1 5" xfId="1767" xr:uid="{00000000-0005-0000-0000-0000E7060000}"/>
    <cellStyle name="60% - Accent1 5 2" xfId="1768" xr:uid="{00000000-0005-0000-0000-0000E8060000}"/>
    <cellStyle name="60% - Accent1 5 2 2" xfId="1769" xr:uid="{00000000-0005-0000-0000-0000E9060000}"/>
    <cellStyle name="60% - Accent1 5 3" xfId="1770" xr:uid="{00000000-0005-0000-0000-0000EA060000}"/>
    <cellStyle name="60% - Accent1 5 3 2" xfId="1771" xr:uid="{00000000-0005-0000-0000-0000EB060000}"/>
    <cellStyle name="60% - Accent1 5 3 2 2" xfId="1772" xr:uid="{00000000-0005-0000-0000-0000EC060000}"/>
    <cellStyle name="60% - Accent1 5 3 3" xfId="1773" xr:uid="{00000000-0005-0000-0000-0000ED060000}"/>
    <cellStyle name="60% - Accent1 5 4" xfId="1774" xr:uid="{00000000-0005-0000-0000-0000EE060000}"/>
    <cellStyle name="60% - Accent1 6" xfId="1775" xr:uid="{00000000-0005-0000-0000-0000EF060000}"/>
    <cellStyle name="60% - Accent1 6 2" xfId="1776" xr:uid="{00000000-0005-0000-0000-0000F0060000}"/>
    <cellStyle name="60% - Accent1 6 2 2" xfId="1777" xr:uid="{00000000-0005-0000-0000-0000F1060000}"/>
    <cellStyle name="60% - Accent1 6 2 2 2" xfId="32700" xr:uid="{2C775105-CAC3-48AF-B2B8-5E3947AB08CB}"/>
    <cellStyle name="60% - Accent1 6 2 3" xfId="32699" xr:uid="{01871483-58D5-4F27-8451-487D242E42D8}"/>
    <cellStyle name="60% - Accent1 6 3" xfId="1778" xr:uid="{00000000-0005-0000-0000-0000F2060000}"/>
    <cellStyle name="60% - Accent1 6 3 2" xfId="32701" xr:uid="{79AC95EF-7838-47CF-AAFA-670A5A0C0B1B}"/>
    <cellStyle name="60% - Accent1 6 4" xfId="32698" xr:uid="{98F1902C-69A2-4D9B-A670-3D07123FB73B}"/>
    <cellStyle name="60% - Accent1 7" xfId="1779" xr:uid="{00000000-0005-0000-0000-0000F3060000}"/>
    <cellStyle name="60% - Accent1 8" xfId="1780" xr:uid="{00000000-0005-0000-0000-0000F4060000}"/>
    <cellStyle name="60% - Accent2 2" xfId="1781" xr:uid="{00000000-0005-0000-0000-0000F5060000}"/>
    <cellStyle name="60% - Accent2 2 10" xfId="1782" xr:uid="{00000000-0005-0000-0000-0000F6060000}"/>
    <cellStyle name="60% - Accent2 2 2" xfId="1783" xr:uid="{00000000-0005-0000-0000-0000F7060000}"/>
    <cellStyle name="60% - Accent2 2 2 2" xfId="1784" xr:uid="{00000000-0005-0000-0000-0000F8060000}"/>
    <cellStyle name="60% - Accent2 2 2 2 2" xfId="1785" xr:uid="{00000000-0005-0000-0000-0000F9060000}"/>
    <cellStyle name="60% - Accent2 2 2 3" xfId="1786" xr:uid="{00000000-0005-0000-0000-0000FA060000}"/>
    <cellStyle name="60% - Accent2 2 2 3 2" xfId="1787" xr:uid="{00000000-0005-0000-0000-0000FB060000}"/>
    <cellStyle name="60% - Accent2 2 2 3 2 2" xfId="1788" xr:uid="{00000000-0005-0000-0000-0000FC060000}"/>
    <cellStyle name="60% - Accent2 2 2 3 3" xfId="1789" xr:uid="{00000000-0005-0000-0000-0000FD060000}"/>
    <cellStyle name="60% - Accent2 2 2 4" xfId="1790" xr:uid="{00000000-0005-0000-0000-0000FE060000}"/>
    <cellStyle name="60% - Accent2 2 3" xfId="1791" xr:uid="{00000000-0005-0000-0000-0000FF060000}"/>
    <cellStyle name="60% - Accent2 2 3 2" xfId="1792" xr:uid="{00000000-0005-0000-0000-000000070000}"/>
    <cellStyle name="60% - Accent2 2 3 2 2" xfId="1793" xr:uid="{00000000-0005-0000-0000-000001070000}"/>
    <cellStyle name="60% - Accent2 2 3 3" xfId="1794" xr:uid="{00000000-0005-0000-0000-000002070000}"/>
    <cellStyle name="60% - Accent2 2 3 3 2" xfId="1795" xr:uid="{00000000-0005-0000-0000-000003070000}"/>
    <cellStyle name="60% - Accent2 2 3 3 2 2" xfId="1796" xr:uid="{00000000-0005-0000-0000-000004070000}"/>
    <cellStyle name="60% - Accent2 2 3 3 3" xfId="1797" xr:uid="{00000000-0005-0000-0000-000005070000}"/>
    <cellStyle name="60% - Accent2 2 3 4" xfId="1798" xr:uid="{00000000-0005-0000-0000-000006070000}"/>
    <cellStyle name="60% - Accent2 2 4" xfId="1799" xr:uid="{00000000-0005-0000-0000-000007070000}"/>
    <cellStyle name="60% - Accent2 2 4 2" xfId="1800" xr:uid="{00000000-0005-0000-0000-000008070000}"/>
    <cellStyle name="60% - Accent2 2 4 2 2" xfId="1801" xr:uid="{00000000-0005-0000-0000-000009070000}"/>
    <cellStyle name="60% - Accent2 2 4 3" xfId="1802" xr:uid="{00000000-0005-0000-0000-00000A070000}"/>
    <cellStyle name="60% - Accent2 2 5" xfId="1803" xr:uid="{00000000-0005-0000-0000-00000B070000}"/>
    <cellStyle name="60% - Accent2 2 5 2" xfId="1804" xr:uid="{00000000-0005-0000-0000-00000C070000}"/>
    <cellStyle name="60% - Accent2 2 5 2 2" xfId="1805" xr:uid="{00000000-0005-0000-0000-00000D070000}"/>
    <cellStyle name="60% - Accent2 2 5 3" xfId="1806" xr:uid="{00000000-0005-0000-0000-00000E070000}"/>
    <cellStyle name="60% - Accent2 2 5 3 2" xfId="1807" xr:uid="{00000000-0005-0000-0000-00000F070000}"/>
    <cellStyle name="60% - Accent2 2 5 3 2 2" xfId="1808" xr:uid="{00000000-0005-0000-0000-000010070000}"/>
    <cellStyle name="60% - Accent2 2 5 3 3" xfId="1809" xr:uid="{00000000-0005-0000-0000-000011070000}"/>
    <cellStyle name="60% - Accent2 2 5 4" xfId="1810" xr:uid="{00000000-0005-0000-0000-000012070000}"/>
    <cellStyle name="60% - Accent2 2 6" xfId="1811" xr:uid="{00000000-0005-0000-0000-000013070000}"/>
    <cellStyle name="60% - Accent2 2 6 2" xfId="1812" xr:uid="{00000000-0005-0000-0000-000014070000}"/>
    <cellStyle name="60% - Accent2 2 7" xfId="1813" xr:uid="{00000000-0005-0000-0000-000015070000}"/>
    <cellStyle name="60% - Accent2 2 7 2" xfId="1814" xr:uid="{00000000-0005-0000-0000-000016070000}"/>
    <cellStyle name="60% - Accent2 2 8" xfId="1815" xr:uid="{00000000-0005-0000-0000-000017070000}"/>
    <cellStyle name="60% - Accent2 2 8 2" xfId="1816" xr:uid="{00000000-0005-0000-0000-000018070000}"/>
    <cellStyle name="60% - Accent2 2 8 2 2" xfId="1817" xr:uid="{00000000-0005-0000-0000-000019070000}"/>
    <cellStyle name="60% - Accent2 2 8 3" xfId="1818" xr:uid="{00000000-0005-0000-0000-00001A070000}"/>
    <cellStyle name="60% - Accent2 2 9" xfId="1819" xr:uid="{00000000-0005-0000-0000-00001B070000}"/>
    <cellStyle name="60% - Accent2 2 9 2" xfId="1820" xr:uid="{00000000-0005-0000-0000-00001C070000}"/>
    <cellStyle name="60% - Accent2 2 9 2 2" xfId="1821" xr:uid="{00000000-0005-0000-0000-00001D070000}"/>
    <cellStyle name="60% - Accent2 2 9 3" xfId="1822" xr:uid="{00000000-0005-0000-0000-00001E070000}"/>
    <cellStyle name="60% - Accent2 3" xfId="1823" xr:uid="{00000000-0005-0000-0000-00001F070000}"/>
    <cellStyle name="60% - Accent2 3 2" xfId="1824" xr:uid="{00000000-0005-0000-0000-000020070000}"/>
    <cellStyle name="60% - Accent2 3 2 2" xfId="1825" xr:uid="{00000000-0005-0000-0000-000021070000}"/>
    <cellStyle name="60% - Accent2 3 3" xfId="1826" xr:uid="{00000000-0005-0000-0000-000022070000}"/>
    <cellStyle name="60% - Accent2 3 3 2" xfId="1827" xr:uid="{00000000-0005-0000-0000-000023070000}"/>
    <cellStyle name="60% - Accent2 3 4" xfId="1828" xr:uid="{00000000-0005-0000-0000-000024070000}"/>
    <cellStyle name="60% - Accent2 3 4 2" xfId="1829" xr:uid="{00000000-0005-0000-0000-000025070000}"/>
    <cellStyle name="60% - Accent2 3 4 2 2" xfId="1830" xr:uid="{00000000-0005-0000-0000-000026070000}"/>
    <cellStyle name="60% - Accent2 3 4 3" xfId="1831" xr:uid="{00000000-0005-0000-0000-000027070000}"/>
    <cellStyle name="60% - Accent2 3 5" xfId="1832" xr:uid="{00000000-0005-0000-0000-000028070000}"/>
    <cellStyle name="60% - Accent2 4" xfId="1833" xr:uid="{00000000-0005-0000-0000-000029070000}"/>
    <cellStyle name="60% - Accent2 4 2" xfId="1834" xr:uid="{00000000-0005-0000-0000-00002A070000}"/>
    <cellStyle name="60% - Accent2 4 2 2" xfId="1835" xr:uid="{00000000-0005-0000-0000-00002B070000}"/>
    <cellStyle name="60% - Accent2 4 3" xfId="1836" xr:uid="{00000000-0005-0000-0000-00002C070000}"/>
    <cellStyle name="60% - Accent2 4 3 2" xfId="1837" xr:uid="{00000000-0005-0000-0000-00002D070000}"/>
    <cellStyle name="60% - Accent2 4 3 2 2" xfId="1838" xr:uid="{00000000-0005-0000-0000-00002E070000}"/>
    <cellStyle name="60% - Accent2 4 3 3" xfId="1839" xr:uid="{00000000-0005-0000-0000-00002F070000}"/>
    <cellStyle name="60% - Accent2 4 4" xfId="1840" xr:uid="{00000000-0005-0000-0000-000030070000}"/>
    <cellStyle name="60% - Accent2 5" xfId="1841" xr:uid="{00000000-0005-0000-0000-000031070000}"/>
    <cellStyle name="60% - Accent2 5 2" xfId="1842" xr:uid="{00000000-0005-0000-0000-000032070000}"/>
    <cellStyle name="60% - Accent2 5 2 2" xfId="1843" xr:uid="{00000000-0005-0000-0000-000033070000}"/>
    <cellStyle name="60% - Accent2 5 3" xfId="1844" xr:uid="{00000000-0005-0000-0000-000034070000}"/>
    <cellStyle name="60% - Accent2 5 3 2" xfId="1845" xr:uid="{00000000-0005-0000-0000-000035070000}"/>
    <cellStyle name="60% - Accent2 5 3 2 2" xfId="1846" xr:uid="{00000000-0005-0000-0000-000036070000}"/>
    <cellStyle name="60% - Accent2 5 3 3" xfId="1847" xr:uid="{00000000-0005-0000-0000-000037070000}"/>
    <cellStyle name="60% - Accent2 5 4" xfId="1848" xr:uid="{00000000-0005-0000-0000-000038070000}"/>
    <cellStyle name="60% - Accent2 6" xfId="1849" xr:uid="{00000000-0005-0000-0000-000039070000}"/>
    <cellStyle name="60% - Accent2 6 2" xfId="1850" xr:uid="{00000000-0005-0000-0000-00003A070000}"/>
    <cellStyle name="60% - Accent2 6 2 2" xfId="1851" xr:uid="{00000000-0005-0000-0000-00003B070000}"/>
    <cellStyle name="60% - Accent2 6 3" xfId="1852" xr:uid="{00000000-0005-0000-0000-00003C070000}"/>
    <cellStyle name="60% - Accent2 7" xfId="1853" xr:uid="{00000000-0005-0000-0000-00003D070000}"/>
    <cellStyle name="60% - Accent2 8" xfId="1854" xr:uid="{00000000-0005-0000-0000-00003E070000}"/>
    <cellStyle name="60% - Accent3 2" xfId="1855" xr:uid="{00000000-0005-0000-0000-00003F070000}"/>
    <cellStyle name="60% - Accent3 2 10" xfId="1856" xr:uid="{00000000-0005-0000-0000-000040070000}"/>
    <cellStyle name="60% - Accent3 2 10 2" xfId="32703" xr:uid="{0F99DFEF-E782-40C4-8802-3DC5A8BBC393}"/>
    <cellStyle name="60% - Accent3 2 11" xfId="32702" xr:uid="{7495079F-43D1-42F6-B2E2-EB63D463B872}"/>
    <cellStyle name="60% - Accent3 2 2" xfId="1857" xr:uid="{00000000-0005-0000-0000-000041070000}"/>
    <cellStyle name="60% - Accent3 2 2 2" xfId="1858" xr:uid="{00000000-0005-0000-0000-000042070000}"/>
    <cellStyle name="60% - Accent3 2 2 2 2" xfId="1859" xr:uid="{00000000-0005-0000-0000-000043070000}"/>
    <cellStyle name="60% - Accent3 2 2 3" xfId="1860" xr:uid="{00000000-0005-0000-0000-000044070000}"/>
    <cellStyle name="60% - Accent3 2 2 3 2" xfId="1861" xr:uid="{00000000-0005-0000-0000-000045070000}"/>
    <cellStyle name="60% - Accent3 2 2 3 2 2" xfId="1862" xr:uid="{00000000-0005-0000-0000-000046070000}"/>
    <cellStyle name="60% - Accent3 2 2 3 3" xfId="1863" xr:uid="{00000000-0005-0000-0000-000047070000}"/>
    <cellStyle name="60% - Accent3 2 2 4" xfId="1864" xr:uid="{00000000-0005-0000-0000-000048070000}"/>
    <cellStyle name="60% - Accent3 2 3" xfId="1865" xr:uid="{00000000-0005-0000-0000-000049070000}"/>
    <cellStyle name="60% - Accent3 2 3 2" xfId="1866" xr:uid="{00000000-0005-0000-0000-00004A070000}"/>
    <cellStyle name="60% - Accent3 2 3 2 2" xfId="1867" xr:uid="{00000000-0005-0000-0000-00004B070000}"/>
    <cellStyle name="60% - Accent3 2 3 2 2 2" xfId="32706" xr:uid="{B3370185-E862-487A-8E97-E0E595EB684D}"/>
    <cellStyle name="60% - Accent3 2 3 2 3" xfId="32705" xr:uid="{A79B05BA-AB4C-4B42-981C-3337B3BFA7D9}"/>
    <cellStyle name="60% - Accent3 2 3 3" xfId="1868" xr:uid="{00000000-0005-0000-0000-00004C070000}"/>
    <cellStyle name="60% - Accent3 2 3 3 2" xfId="1869" xr:uid="{00000000-0005-0000-0000-00004D070000}"/>
    <cellStyle name="60% - Accent3 2 3 3 2 2" xfId="1870" xr:uid="{00000000-0005-0000-0000-00004E070000}"/>
    <cellStyle name="60% - Accent3 2 3 3 2 2 2" xfId="32709" xr:uid="{2FAF3965-88F9-452F-BE0A-10AF7A93F631}"/>
    <cellStyle name="60% - Accent3 2 3 3 2 3" xfId="32708" xr:uid="{E0B35CA6-01BB-4FEF-9685-05B7AC24DCB6}"/>
    <cellStyle name="60% - Accent3 2 3 3 3" xfId="1871" xr:uid="{00000000-0005-0000-0000-00004F070000}"/>
    <cellStyle name="60% - Accent3 2 3 3 3 2" xfId="32710" xr:uid="{71054A44-1712-44E8-B44D-2E52588D03B9}"/>
    <cellStyle name="60% - Accent3 2 3 3 4" xfId="32707" xr:uid="{C235B184-B61B-4B17-AC94-7BA9CC812587}"/>
    <cellStyle name="60% - Accent3 2 3 4" xfId="1872" xr:uid="{00000000-0005-0000-0000-000050070000}"/>
    <cellStyle name="60% - Accent3 2 3 4 2" xfId="32711" xr:uid="{2EDE9090-B356-4BD5-A129-3A18330DD8B0}"/>
    <cellStyle name="60% - Accent3 2 3 5" xfId="32704" xr:uid="{D58C1527-DA41-4D73-A011-89A94AFDC4AF}"/>
    <cellStyle name="60% - Accent3 2 4" xfId="1873" xr:uid="{00000000-0005-0000-0000-000051070000}"/>
    <cellStyle name="60% - Accent3 2 4 2" xfId="1874" xr:uid="{00000000-0005-0000-0000-000052070000}"/>
    <cellStyle name="60% - Accent3 2 4 2 2" xfId="1875" xr:uid="{00000000-0005-0000-0000-000053070000}"/>
    <cellStyle name="60% - Accent3 2 4 2 2 2" xfId="32714" xr:uid="{BF1FD226-6753-4EB8-BC6B-D6D78C5B8408}"/>
    <cellStyle name="60% - Accent3 2 4 2 3" xfId="32713" xr:uid="{934C12A9-3856-4A00-A25A-B2F770C29F72}"/>
    <cellStyle name="60% - Accent3 2 4 3" xfId="1876" xr:uid="{00000000-0005-0000-0000-000054070000}"/>
    <cellStyle name="60% - Accent3 2 4 3 2" xfId="32715" xr:uid="{681AB916-F4BD-4EC7-BB14-497DBD893314}"/>
    <cellStyle name="60% - Accent3 2 4 4" xfId="32712" xr:uid="{7FB1BB3E-A6D1-4AC5-919F-1681B24AE358}"/>
    <cellStyle name="60% - Accent3 2 5" xfId="1877" xr:uid="{00000000-0005-0000-0000-000055070000}"/>
    <cellStyle name="60% - Accent3 2 5 2" xfId="1878" xr:uid="{00000000-0005-0000-0000-000056070000}"/>
    <cellStyle name="60% - Accent3 2 5 2 2" xfId="1879" xr:uid="{00000000-0005-0000-0000-000057070000}"/>
    <cellStyle name="60% - Accent3 2 5 2 2 2" xfId="32718" xr:uid="{2CC02B39-440B-429D-B1C7-A3F746E90FF7}"/>
    <cellStyle name="60% - Accent3 2 5 2 3" xfId="32717" xr:uid="{0C9C7F8A-A1D2-495E-B5C7-A2B15125C085}"/>
    <cellStyle name="60% - Accent3 2 5 3" xfId="1880" xr:uid="{00000000-0005-0000-0000-000058070000}"/>
    <cellStyle name="60% - Accent3 2 5 3 2" xfId="1881" xr:uid="{00000000-0005-0000-0000-000059070000}"/>
    <cellStyle name="60% - Accent3 2 5 3 2 2" xfId="1882" xr:uid="{00000000-0005-0000-0000-00005A070000}"/>
    <cellStyle name="60% - Accent3 2 5 3 2 2 2" xfId="32721" xr:uid="{5ADB3541-C7D3-4E1E-AA89-7011B51F0128}"/>
    <cellStyle name="60% - Accent3 2 5 3 2 3" xfId="32720" xr:uid="{024A470D-8CCB-4A9D-966D-33A749C0264E}"/>
    <cellStyle name="60% - Accent3 2 5 3 3" xfId="1883" xr:uid="{00000000-0005-0000-0000-00005B070000}"/>
    <cellStyle name="60% - Accent3 2 5 3 3 2" xfId="32722" xr:uid="{4D229BBA-0E64-4CF3-887B-242FB3F1A0AE}"/>
    <cellStyle name="60% - Accent3 2 5 3 4" xfId="32719" xr:uid="{BAC00A2E-31F9-4A1A-9D95-A33CC71874EC}"/>
    <cellStyle name="60% - Accent3 2 5 4" xfId="1884" xr:uid="{00000000-0005-0000-0000-00005C070000}"/>
    <cellStyle name="60% - Accent3 2 5 4 2" xfId="32723" xr:uid="{C6938E93-1770-4A8B-96C2-2DE6242F2570}"/>
    <cellStyle name="60% - Accent3 2 5 5" xfId="32716" xr:uid="{55D07EA0-8A92-4830-B399-274456F07B92}"/>
    <cellStyle name="60% - Accent3 2 6" xfId="1885" xr:uid="{00000000-0005-0000-0000-00005D070000}"/>
    <cellStyle name="60% - Accent3 2 6 2" xfId="1886" xr:uid="{00000000-0005-0000-0000-00005E070000}"/>
    <cellStyle name="60% - Accent3 2 6 2 2" xfId="32725" xr:uid="{FF61043A-86C2-4CF6-805C-0617A5D0AAEC}"/>
    <cellStyle name="60% - Accent3 2 6 3" xfId="32724" xr:uid="{1CC7D348-1DDF-4B04-A3B0-3A847BDFB390}"/>
    <cellStyle name="60% - Accent3 2 7" xfId="1887" xr:uid="{00000000-0005-0000-0000-00005F070000}"/>
    <cellStyle name="60% - Accent3 2 7 2" xfId="1888" xr:uid="{00000000-0005-0000-0000-000060070000}"/>
    <cellStyle name="60% - Accent3 2 7 2 2" xfId="32727" xr:uid="{8BF427E1-4C8C-4EBE-A8F9-5B27C9462138}"/>
    <cellStyle name="60% - Accent3 2 7 3" xfId="32726" xr:uid="{51448CDF-9BEB-4006-8A05-84D936DAD7CB}"/>
    <cellStyle name="60% - Accent3 2 8" xfId="1889" xr:uid="{00000000-0005-0000-0000-000061070000}"/>
    <cellStyle name="60% - Accent3 2 8 2" xfId="1890" xr:uid="{00000000-0005-0000-0000-000062070000}"/>
    <cellStyle name="60% - Accent3 2 8 2 2" xfId="1891" xr:uid="{00000000-0005-0000-0000-000063070000}"/>
    <cellStyle name="60% - Accent3 2 8 2 2 2" xfId="32730" xr:uid="{EEE814B1-6997-412D-87E0-6E5DF9DA457E}"/>
    <cellStyle name="60% - Accent3 2 8 2 3" xfId="32729" xr:uid="{B2743865-A56E-4881-8D94-35855C5C8117}"/>
    <cellStyle name="60% - Accent3 2 8 3" xfId="1892" xr:uid="{00000000-0005-0000-0000-000064070000}"/>
    <cellStyle name="60% - Accent3 2 8 3 2" xfId="32731" xr:uid="{53DE4282-94E4-4315-9E21-9B49B61B0D9E}"/>
    <cellStyle name="60% - Accent3 2 8 4" xfId="32728" xr:uid="{C387A5FF-1940-4BDB-8AE1-A035BA125E62}"/>
    <cellStyle name="60% - Accent3 2 9" xfId="1893" xr:uid="{00000000-0005-0000-0000-000065070000}"/>
    <cellStyle name="60% - Accent3 2 9 2" xfId="1894" xr:uid="{00000000-0005-0000-0000-000066070000}"/>
    <cellStyle name="60% - Accent3 2 9 2 2" xfId="1895" xr:uid="{00000000-0005-0000-0000-000067070000}"/>
    <cellStyle name="60% - Accent3 2 9 2 2 2" xfId="32734" xr:uid="{78BC0A26-9B34-4111-94E1-5A4753434DFB}"/>
    <cellStyle name="60% - Accent3 2 9 2 3" xfId="32733" xr:uid="{BA1E250A-0256-4DAF-835F-2FCFF563A672}"/>
    <cellStyle name="60% - Accent3 2 9 3" xfId="1896" xr:uid="{00000000-0005-0000-0000-000068070000}"/>
    <cellStyle name="60% - Accent3 2 9 3 2" xfId="32735" xr:uid="{1F6E62F2-0C72-4BA5-8DF2-ED4041833548}"/>
    <cellStyle name="60% - Accent3 2 9 4" xfId="32732" xr:uid="{9F739F4B-02EC-48D5-A61E-62B53EB1E9C6}"/>
    <cellStyle name="60% - Accent3 3" xfId="1897" xr:uid="{00000000-0005-0000-0000-000069070000}"/>
    <cellStyle name="60% - Accent3 3 2" xfId="1898" xr:uid="{00000000-0005-0000-0000-00006A070000}"/>
    <cellStyle name="60% - Accent3 3 2 2" xfId="1899" xr:uid="{00000000-0005-0000-0000-00006B070000}"/>
    <cellStyle name="60% - Accent3 3 2 2 2" xfId="32738" xr:uid="{F07F9F5C-F90F-42C0-A1CA-BD6A297B8EA0}"/>
    <cellStyle name="60% - Accent3 3 2 3" xfId="32737" xr:uid="{FD0C0F5A-4DBD-4C55-BBAC-DD144448FB85}"/>
    <cellStyle name="60% - Accent3 3 3" xfId="1900" xr:uid="{00000000-0005-0000-0000-00006C070000}"/>
    <cellStyle name="60% - Accent3 3 3 2" xfId="1901" xr:uid="{00000000-0005-0000-0000-00006D070000}"/>
    <cellStyle name="60% - Accent3 3 4" xfId="1902" xr:uid="{00000000-0005-0000-0000-00006E070000}"/>
    <cellStyle name="60% - Accent3 3 4 2" xfId="1903" xr:uid="{00000000-0005-0000-0000-00006F070000}"/>
    <cellStyle name="60% - Accent3 3 4 2 2" xfId="1904" xr:uid="{00000000-0005-0000-0000-000070070000}"/>
    <cellStyle name="60% - Accent3 3 4 3" xfId="1905" xr:uid="{00000000-0005-0000-0000-000071070000}"/>
    <cellStyle name="60% - Accent3 3 5" xfId="1906" xr:uid="{00000000-0005-0000-0000-000072070000}"/>
    <cellStyle name="60% - Accent3 3 6" xfId="32736" xr:uid="{15311808-E970-4F17-9C50-A7F25F271A21}"/>
    <cellStyle name="60% - Accent3 4" xfId="1907" xr:uid="{00000000-0005-0000-0000-000073070000}"/>
    <cellStyle name="60% - Accent3 4 2" xfId="1908" xr:uid="{00000000-0005-0000-0000-000074070000}"/>
    <cellStyle name="60% - Accent3 4 2 2" xfId="1909" xr:uid="{00000000-0005-0000-0000-000075070000}"/>
    <cellStyle name="60% - Accent3 4 3" xfId="1910" xr:uid="{00000000-0005-0000-0000-000076070000}"/>
    <cellStyle name="60% - Accent3 4 3 2" xfId="1911" xr:uid="{00000000-0005-0000-0000-000077070000}"/>
    <cellStyle name="60% - Accent3 4 3 2 2" xfId="1912" xr:uid="{00000000-0005-0000-0000-000078070000}"/>
    <cellStyle name="60% - Accent3 4 3 3" xfId="1913" xr:uid="{00000000-0005-0000-0000-000079070000}"/>
    <cellStyle name="60% - Accent3 4 4" xfId="1914" xr:uid="{00000000-0005-0000-0000-00007A070000}"/>
    <cellStyle name="60% - Accent3 4 5" xfId="32739" xr:uid="{E8C69AAA-DE6D-480B-A5E8-D496DB766801}"/>
    <cellStyle name="60% - Accent3 5" xfId="1915" xr:uid="{00000000-0005-0000-0000-00007B070000}"/>
    <cellStyle name="60% - Accent3 5 2" xfId="1916" xr:uid="{00000000-0005-0000-0000-00007C070000}"/>
    <cellStyle name="60% - Accent3 5 2 2" xfId="1917" xr:uid="{00000000-0005-0000-0000-00007D070000}"/>
    <cellStyle name="60% - Accent3 5 2 2 2" xfId="32742" xr:uid="{CF569858-C5F3-46BD-9C5A-EAC34287BFBE}"/>
    <cellStyle name="60% - Accent3 5 2 3" xfId="32741" xr:uid="{2C1186AC-C9C0-4029-AE61-64FEEC0C5881}"/>
    <cellStyle name="60% - Accent3 5 3" xfId="1918" xr:uid="{00000000-0005-0000-0000-00007E070000}"/>
    <cellStyle name="60% - Accent3 5 3 2" xfId="1919" xr:uid="{00000000-0005-0000-0000-00007F070000}"/>
    <cellStyle name="60% - Accent3 5 3 2 2" xfId="1920" xr:uid="{00000000-0005-0000-0000-000080070000}"/>
    <cellStyle name="60% - Accent3 5 3 2 2 2" xfId="32745" xr:uid="{EAF5BDA6-0296-4F53-A2FA-4461FA0C4B3E}"/>
    <cellStyle name="60% - Accent3 5 3 2 3" xfId="32744" xr:uid="{AA677F3E-EDE9-42DF-B7B3-7570E1A5A8B0}"/>
    <cellStyle name="60% - Accent3 5 3 3" xfId="1921" xr:uid="{00000000-0005-0000-0000-000081070000}"/>
    <cellStyle name="60% - Accent3 5 3 3 2" xfId="32746" xr:uid="{60123EE6-D088-4921-9E43-EB76CD928BCF}"/>
    <cellStyle name="60% - Accent3 5 3 4" xfId="32743" xr:uid="{0CE9DEA1-7847-41B9-8843-E686BDE701E4}"/>
    <cellStyle name="60% - Accent3 5 4" xfId="1922" xr:uid="{00000000-0005-0000-0000-000082070000}"/>
    <cellStyle name="60% - Accent3 5 4 2" xfId="32747" xr:uid="{34902A95-1EA4-4EB6-9EF9-7DEC6B2D86E9}"/>
    <cellStyle name="60% - Accent3 5 5" xfId="32740" xr:uid="{6781F972-8C30-4F89-9472-33DF96C7BA70}"/>
    <cellStyle name="60% - Accent3 6" xfId="1923" xr:uid="{00000000-0005-0000-0000-000083070000}"/>
    <cellStyle name="60% - Accent3 6 2" xfId="1924" xr:uid="{00000000-0005-0000-0000-000084070000}"/>
    <cellStyle name="60% - Accent3 6 2 2" xfId="1925" xr:uid="{00000000-0005-0000-0000-000085070000}"/>
    <cellStyle name="60% - Accent3 6 2 2 2" xfId="32750" xr:uid="{7E57FF7D-5673-4165-BD30-7CA25EDD97EC}"/>
    <cellStyle name="60% - Accent3 6 2 3" xfId="32749" xr:uid="{4E237350-92CC-439E-8176-FC6CCF148F17}"/>
    <cellStyle name="60% - Accent3 6 3" xfId="1926" xr:uid="{00000000-0005-0000-0000-000086070000}"/>
    <cellStyle name="60% - Accent3 6 3 2" xfId="32751" xr:uid="{2E792FFD-5C0D-4027-BB5A-5C0FA561B1B4}"/>
    <cellStyle name="60% - Accent3 6 4" xfId="32748" xr:uid="{5E12D9DB-7878-4960-A54F-6DD40A87D0F7}"/>
    <cellStyle name="60% - Accent3 7" xfId="1927" xr:uid="{00000000-0005-0000-0000-000087070000}"/>
    <cellStyle name="60% - Accent3 8" xfId="1928" xr:uid="{00000000-0005-0000-0000-000088070000}"/>
    <cellStyle name="60% - Accent4 2" xfId="1929" xr:uid="{00000000-0005-0000-0000-000089070000}"/>
    <cellStyle name="60% - Accent4 2 10" xfId="1930" xr:uid="{00000000-0005-0000-0000-00008A070000}"/>
    <cellStyle name="60% - Accent4 2 2" xfId="1931" xr:uid="{00000000-0005-0000-0000-00008B070000}"/>
    <cellStyle name="60% - Accent4 2 2 2" xfId="1932" xr:uid="{00000000-0005-0000-0000-00008C070000}"/>
    <cellStyle name="60% - Accent4 2 2 2 2" xfId="1933" xr:uid="{00000000-0005-0000-0000-00008D070000}"/>
    <cellStyle name="60% - Accent4 2 2 3" xfId="1934" xr:uid="{00000000-0005-0000-0000-00008E070000}"/>
    <cellStyle name="60% - Accent4 2 2 3 2" xfId="1935" xr:uid="{00000000-0005-0000-0000-00008F070000}"/>
    <cellStyle name="60% - Accent4 2 2 3 2 2" xfId="1936" xr:uid="{00000000-0005-0000-0000-000090070000}"/>
    <cellStyle name="60% - Accent4 2 2 3 3" xfId="1937" xr:uid="{00000000-0005-0000-0000-000091070000}"/>
    <cellStyle name="60% - Accent4 2 2 4" xfId="1938" xr:uid="{00000000-0005-0000-0000-000092070000}"/>
    <cellStyle name="60% - Accent4 2 3" xfId="1939" xr:uid="{00000000-0005-0000-0000-000093070000}"/>
    <cellStyle name="60% - Accent4 2 3 2" xfId="1940" xr:uid="{00000000-0005-0000-0000-000094070000}"/>
    <cellStyle name="60% - Accent4 2 3 2 2" xfId="1941" xr:uid="{00000000-0005-0000-0000-000095070000}"/>
    <cellStyle name="60% - Accent4 2 3 2 2 2" xfId="32754" xr:uid="{5CB89625-E69D-49E0-8154-67EF0D9EFB8A}"/>
    <cellStyle name="60% - Accent4 2 3 2 3" xfId="32753" xr:uid="{8754C656-D912-4F80-9F2E-7974772541FA}"/>
    <cellStyle name="60% - Accent4 2 3 3" xfId="1942" xr:uid="{00000000-0005-0000-0000-000096070000}"/>
    <cellStyle name="60% - Accent4 2 3 3 2" xfId="1943" xr:uid="{00000000-0005-0000-0000-000097070000}"/>
    <cellStyle name="60% - Accent4 2 3 3 2 2" xfId="1944" xr:uid="{00000000-0005-0000-0000-000098070000}"/>
    <cellStyle name="60% - Accent4 2 3 3 2 2 2" xfId="32757" xr:uid="{F7EC0D36-43B5-4AAE-9173-182693A1E9C0}"/>
    <cellStyle name="60% - Accent4 2 3 3 2 3" xfId="32756" xr:uid="{F5E081FC-0127-4233-B879-D25C6FB6E67E}"/>
    <cellStyle name="60% - Accent4 2 3 3 3" xfId="1945" xr:uid="{00000000-0005-0000-0000-000099070000}"/>
    <cellStyle name="60% - Accent4 2 3 3 3 2" xfId="32758" xr:uid="{E3DC2BA8-0C77-480A-AF5C-5F2430BAD690}"/>
    <cellStyle name="60% - Accent4 2 3 3 4" xfId="32755" xr:uid="{3EA3AEC8-5353-4752-ADB1-E947F6468FBA}"/>
    <cellStyle name="60% - Accent4 2 3 4" xfId="1946" xr:uid="{00000000-0005-0000-0000-00009A070000}"/>
    <cellStyle name="60% - Accent4 2 3 4 2" xfId="32759" xr:uid="{D6DACAC8-0AF4-45C1-A71C-25B89E7281DF}"/>
    <cellStyle name="60% - Accent4 2 3 5" xfId="32752" xr:uid="{2317A895-391B-4115-827B-4E9C3AE010F4}"/>
    <cellStyle name="60% - Accent4 2 4" xfId="1947" xr:uid="{00000000-0005-0000-0000-00009B070000}"/>
    <cellStyle name="60% - Accent4 2 4 2" xfId="1948" xr:uid="{00000000-0005-0000-0000-00009C070000}"/>
    <cellStyle name="60% - Accent4 2 4 2 2" xfId="1949" xr:uid="{00000000-0005-0000-0000-00009D070000}"/>
    <cellStyle name="60% - Accent4 2 4 2 2 2" xfId="32762" xr:uid="{D0D119F2-A48E-459F-9CA7-959F5844FCEA}"/>
    <cellStyle name="60% - Accent4 2 4 2 3" xfId="32761" xr:uid="{7C3390D0-C2D4-4188-B660-9658A18A3D04}"/>
    <cellStyle name="60% - Accent4 2 4 3" xfId="1950" xr:uid="{00000000-0005-0000-0000-00009E070000}"/>
    <cellStyle name="60% - Accent4 2 4 3 2" xfId="32763" xr:uid="{EDDF7E40-270A-484B-8DB5-044CA6B90658}"/>
    <cellStyle name="60% - Accent4 2 4 4" xfId="32760" xr:uid="{EA6CE921-73A8-4842-BB30-4788915D496E}"/>
    <cellStyle name="60% - Accent4 2 5" xfId="1951" xr:uid="{00000000-0005-0000-0000-00009F070000}"/>
    <cellStyle name="60% - Accent4 2 5 2" xfId="1952" xr:uid="{00000000-0005-0000-0000-0000A0070000}"/>
    <cellStyle name="60% - Accent4 2 5 2 2" xfId="1953" xr:uid="{00000000-0005-0000-0000-0000A1070000}"/>
    <cellStyle name="60% - Accent4 2 5 2 2 2" xfId="32766" xr:uid="{BFD7B9EA-7C24-4E5D-B65B-8C5F8510382C}"/>
    <cellStyle name="60% - Accent4 2 5 2 3" xfId="32765" xr:uid="{8DDA4AF3-38CC-4FE4-8944-82F0E68194D5}"/>
    <cellStyle name="60% - Accent4 2 5 3" xfId="1954" xr:uid="{00000000-0005-0000-0000-0000A2070000}"/>
    <cellStyle name="60% - Accent4 2 5 3 2" xfId="1955" xr:uid="{00000000-0005-0000-0000-0000A3070000}"/>
    <cellStyle name="60% - Accent4 2 5 3 2 2" xfId="1956" xr:uid="{00000000-0005-0000-0000-0000A4070000}"/>
    <cellStyle name="60% - Accent4 2 5 3 2 2 2" xfId="32769" xr:uid="{10856E19-0E6A-4309-8FF5-39F243E7D547}"/>
    <cellStyle name="60% - Accent4 2 5 3 2 3" xfId="32768" xr:uid="{71DCA19D-7D52-4AC7-97ED-368951B73D0C}"/>
    <cellStyle name="60% - Accent4 2 5 3 3" xfId="1957" xr:uid="{00000000-0005-0000-0000-0000A5070000}"/>
    <cellStyle name="60% - Accent4 2 5 3 3 2" xfId="32770" xr:uid="{5B1C8AE6-65FD-49E7-93F0-2AFEFAC78DEF}"/>
    <cellStyle name="60% - Accent4 2 5 3 4" xfId="32767" xr:uid="{86496F36-2DFE-454A-BF32-2E745DE7B9E6}"/>
    <cellStyle name="60% - Accent4 2 5 4" xfId="1958" xr:uid="{00000000-0005-0000-0000-0000A6070000}"/>
    <cellStyle name="60% - Accent4 2 5 4 2" xfId="32771" xr:uid="{DB551551-D3A6-4CA0-918D-E0FDFD610561}"/>
    <cellStyle name="60% - Accent4 2 5 5" xfId="32764" xr:uid="{7D4FF714-69D2-4C49-9D83-4EFEBD971771}"/>
    <cellStyle name="60% - Accent4 2 6" xfId="1959" xr:uid="{00000000-0005-0000-0000-0000A7070000}"/>
    <cellStyle name="60% - Accent4 2 6 2" xfId="1960" xr:uid="{00000000-0005-0000-0000-0000A8070000}"/>
    <cellStyle name="60% - Accent4 2 6 2 2" xfId="32773" xr:uid="{9D1CF899-1AA3-405D-B66A-CDD81D72129C}"/>
    <cellStyle name="60% - Accent4 2 6 3" xfId="32772" xr:uid="{C7195E09-02B7-4CAD-91C7-5860D103CA31}"/>
    <cellStyle name="60% - Accent4 2 7" xfId="1961" xr:uid="{00000000-0005-0000-0000-0000A9070000}"/>
    <cellStyle name="60% - Accent4 2 7 2" xfId="1962" xr:uid="{00000000-0005-0000-0000-0000AA070000}"/>
    <cellStyle name="60% - Accent4 2 8" xfId="1963" xr:uid="{00000000-0005-0000-0000-0000AB070000}"/>
    <cellStyle name="60% - Accent4 2 8 2" xfId="1964" xr:uid="{00000000-0005-0000-0000-0000AC070000}"/>
    <cellStyle name="60% - Accent4 2 8 2 2" xfId="1965" xr:uid="{00000000-0005-0000-0000-0000AD070000}"/>
    <cellStyle name="60% - Accent4 2 8 3" xfId="1966" xr:uid="{00000000-0005-0000-0000-0000AE070000}"/>
    <cellStyle name="60% - Accent4 2 9" xfId="1967" xr:uid="{00000000-0005-0000-0000-0000AF070000}"/>
    <cellStyle name="60% - Accent4 2 9 2" xfId="1968" xr:uid="{00000000-0005-0000-0000-0000B0070000}"/>
    <cellStyle name="60% - Accent4 2 9 2 2" xfId="1969" xr:uid="{00000000-0005-0000-0000-0000B1070000}"/>
    <cellStyle name="60% - Accent4 2 9 3" xfId="1970" xr:uid="{00000000-0005-0000-0000-0000B2070000}"/>
    <cellStyle name="60% - Accent4 2 9 3 2" xfId="32775" xr:uid="{D7E09ED3-4ACF-4A00-8C83-1DC9749E6EEA}"/>
    <cellStyle name="60% - Accent4 2 9 4" xfId="32774" xr:uid="{9495115A-1D76-49BC-AF00-9C1203B090BF}"/>
    <cellStyle name="60% - Accent4 3" xfId="1971" xr:uid="{00000000-0005-0000-0000-0000B3070000}"/>
    <cellStyle name="60% - Accent4 3 2" xfId="1972" xr:uid="{00000000-0005-0000-0000-0000B4070000}"/>
    <cellStyle name="60% - Accent4 3 2 2" xfId="1973" xr:uid="{00000000-0005-0000-0000-0000B5070000}"/>
    <cellStyle name="60% - Accent4 3 2 2 2" xfId="32777" xr:uid="{19A1651D-DF23-4E14-AACF-C8E53BB6E2AB}"/>
    <cellStyle name="60% - Accent4 3 2 3" xfId="32776" xr:uid="{767A9008-D609-4E6B-8FFD-1E6845BF7F6A}"/>
    <cellStyle name="60% - Accent4 3 3" xfId="1974" xr:uid="{00000000-0005-0000-0000-0000B6070000}"/>
    <cellStyle name="60% - Accent4 3 3 2" xfId="1975" xr:uid="{00000000-0005-0000-0000-0000B7070000}"/>
    <cellStyle name="60% - Accent4 3 4" xfId="1976" xr:uid="{00000000-0005-0000-0000-0000B8070000}"/>
    <cellStyle name="60% - Accent4 3 4 2" xfId="1977" xr:uid="{00000000-0005-0000-0000-0000B9070000}"/>
    <cellStyle name="60% - Accent4 3 4 2 2" xfId="1978" xr:uid="{00000000-0005-0000-0000-0000BA070000}"/>
    <cellStyle name="60% - Accent4 3 4 3" xfId="1979" xr:uid="{00000000-0005-0000-0000-0000BB070000}"/>
    <cellStyle name="60% - Accent4 3 5" xfId="1980" xr:uid="{00000000-0005-0000-0000-0000BC070000}"/>
    <cellStyle name="60% - Accent4 4" xfId="1981" xr:uid="{00000000-0005-0000-0000-0000BD070000}"/>
    <cellStyle name="60% - Accent4 4 2" xfId="1982" xr:uid="{00000000-0005-0000-0000-0000BE070000}"/>
    <cellStyle name="60% - Accent4 4 2 2" xfId="1983" xr:uid="{00000000-0005-0000-0000-0000BF070000}"/>
    <cellStyle name="60% - Accent4 4 3" xfId="1984" xr:uid="{00000000-0005-0000-0000-0000C0070000}"/>
    <cellStyle name="60% - Accent4 4 3 2" xfId="1985" xr:uid="{00000000-0005-0000-0000-0000C1070000}"/>
    <cellStyle name="60% - Accent4 4 3 2 2" xfId="1986" xr:uid="{00000000-0005-0000-0000-0000C2070000}"/>
    <cellStyle name="60% - Accent4 4 3 3" xfId="1987" xr:uid="{00000000-0005-0000-0000-0000C3070000}"/>
    <cellStyle name="60% - Accent4 4 4" xfId="1988" xr:uid="{00000000-0005-0000-0000-0000C4070000}"/>
    <cellStyle name="60% - Accent4 5" xfId="1989" xr:uid="{00000000-0005-0000-0000-0000C5070000}"/>
    <cellStyle name="60% - Accent4 5 2" xfId="1990" xr:uid="{00000000-0005-0000-0000-0000C6070000}"/>
    <cellStyle name="60% - Accent4 5 2 2" xfId="1991" xr:uid="{00000000-0005-0000-0000-0000C7070000}"/>
    <cellStyle name="60% - Accent4 5 3" xfId="1992" xr:uid="{00000000-0005-0000-0000-0000C8070000}"/>
    <cellStyle name="60% - Accent4 5 3 2" xfId="1993" xr:uid="{00000000-0005-0000-0000-0000C9070000}"/>
    <cellStyle name="60% - Accent4 5 3 2 2" xfId="1994" xr:uid="{00000000-0005-0000-0000-0000CA070000}"/>
    <cellStyle name="60% - Accent4 5 3 3" xfId="1995" xr:uid="{00000000-0005-0000-0000-0000CB070000}"/>
    <cellStyle name="60% - Accent4 5 4" xfId="1996" xr:uid="{00000000-0005-0000-0000-0000CC070000}"/>
    <cellStyle name="60% - Accent4 6" xfId="1997" xr:uid="{00000000-0005-0000-0000-0000CD070000}"/>
    <cellStyle name="60% - Accent4 6 2" xfId="1998" xr:uid="{00000000-0005-0000-0000-0000CE070000}"/>
    <cellStyle name="60% - Accent4 6 2 2" xfId="1999" xr:uid="{00000000-0005-0000-0000-0000CF070000}"/>
    <cellStyle name="60% - Accent4 6 2 2 2" xfId="32780" xr:uid="{6BD0CFC3-FFA4-40A2-87BD-C61D183F9EF5}"/>
    <cellStyle name="60% - Accent4 6 2 3" xfId="32779" xr:uid="{CC6AC3C8-FFF0-4ADB-82C8-BF737E863DCB}"/>
    <cellStyle name="60% - Accent4 6 3" xfId="2000" xr:uid="{00000000-0005-0000-0000-0000D0070000}"/>
    <cellStyle name="60% - Accent4 6 3 2" xfId="32781" xr:uid="{66D280EE-CD07-415C-8F69-DD0C5E61D16E}"/>
    <cellStyle name="60% - Accent4 6 4" xfId="32778" xr:uid="{4D43F60C-133D-40F8-8F51-3510140E76F9}"/>
    <cellStyle name="60% - Accent4 7" xfId="2001" xr:uid="{00000000-0005-0000-0000-0000D1070000}"/>
    <cellStyle name="60% - Accent4 8" xfId="2002" xr:uid="{00000000-0005-0000-0000-0000D2070000}"/>
    <cellStyle name="60% - Accent5 2" xfId="2003" xr:uid="{00000000-0005-0000-0000-0000D3070000}"/>
    <cellStyle name="60% - Accent5 2 10" xfId="2004" xr:uid="{00000000-0005-0000-0000-0000D4070000}"/>
    <cellStyle name="60% - Accent5 2 10 2" xfId="32783" xr:uid="{7C7FD46E-409F-4CB0-8A30-14614B7D121D}"/>
    <cellStyle name="60% - Accent5 2 11" xfId="32782" xr:uid="{BA6EF6AD-612B-41C3-89D8-E58EF4EDB95E}"/>
    <cellStyle name="60% - Accent5 2 2" xfId="2005" xr:uid="{00000000-0005-0000-0000-0000D5070000}"/>
    <cellStyle name="60% - Accent5 2 2 2" xfId="2006" xr:uid="{00000000-0005-0000-0000-0000D6070000}"/>
    <cellStyle name="60% - Accent5 2 2 2 2" xfId="2007" xr:uid="{00000000-0005-0000-0000-0000D7070000}"/>
    <cellStyle name="60% - Accent5 2 2 3" xfId="2008" xr:uid="{00000000-0005-0000-0000-0000D8070000}"/>
    <cellStyle name="60% - Accent5 2 2 3 2" xfId="2009" xr:uid="{00000000-0005-0000-0000-0000D9070000}"/>
    <cellStyle name="60% - Accent5 2 2 3 2 2" xfId="2010" xr:uid="{00000000-0005-0000-0000-0000DA070000}"/>
    <cellStyle name="60% - Accent5 2 2 3 3" xfId="2011" xr:uid="{00000000-0005-0000-0000-0000DB070000}"/>
    <cellStyle name="60% - Accent5 2 2 4" xfId="2012" xr:uid="{00000000-0005-0000-0000-0000DC070000}"/>
    <cellStyle name="60% - Accent5 2 3" xfId="2013" xr:uid="{00000000-0005-0000-0000-0000DD070000}"/>
    <cellStyle name="60% - Accent5 2 3 2" xfId="2014" xr:uid="{00000000-0005-0000-0000-0000DE070000}"/>
    <cellStyle name="60% - Accent5 2 3 2 2" xfId="2015" xr:uid="{00000000-0005-0000-0000-0000DF070000}"/>
    <cellStyle name="60% - Accent5 2 3 2 2 2" xfId="32786" xr:uid="{C5572CA4-B1C8-49A4-ADF2-5EF8532CD72A}"/>
    <cellStyle name="60% - Accent5 2 3 2 3" xfId="32785" xr:uid="{88F84B9D-48A0-48C8-ACBD-0301351DAA89}"/>
    <cellStyle name="60% - Accent5 2 3 3" xfId="2016" xr:uid="{00000000-0005-0000-0000-0000E0070000}"/>
    <cellStyle name="60% - Accent5 2 3 3 2" xfId="2017" xr:uid="{00000000-0005-0000-0000-0000E1070000}"/>
    <cellStyle name="60% - Accent5 2 3 3 2 2" xfId="2018" xr:uid="{00000000-0005-0000-0000-0000E2070000}"/>
    <cellStyle name="60% - Accent5 2 3 3 2 2 2" xfId="32789" xr:uid="{2563D6E7-8B38-46A1-939E-DCDF555BDFE7}"/>
    <cellStyle name="60% - Accent5 2 3 3 2 3" xfId="32788" xr:uid="{8591C3BE-B139-4F70-85FE-1B898DF6481A}"/>
    <cellStyle name="60% - Accent5 2 3 3 3" xfId="2019" xr:uid="{00000000-0005-0000-0000-0000E3070000}"/>
    <cellStyle name="60% - Accent5 2 3 3 3 2" xfId="32790" xr:uid="{0D96FD71-DEB4-4119-97F0-2809BF822D4B}"/>
    <cellStyle name="60% - Accent5 2 3 3 4" xfId="32787" xr:uid="{630A050D-2DAF-4CBD-A628-59406C513A92}"/>
    <cellStyle name="60% - Accent5 2 3 4" xfId="2020" xr:uid="{00000000-0005-0000-0000-0000E4070000}"/>
    <cellStyle name="60% - Accent5 2 3 4 2" xfId="32791" xr:uid="{DD5FCE48-2DC5-4194-8F31-526EDB78A698}"/>
    <cellStyle name="60% - Accent5 2 3 5" xfId="32784" xr:uid="{9B787E13-1CA0-4E6B-9433-F06CBF1F476D}"/>
    <cellStyle name="60% - Accent5 2 4" xfId="2021" xr:uid="{00000000-0005-0000-0000-0000E5070000}"/>
    <cellStyle name="60% - Accent5 2 4 2" xfId="2022" xr:uid="{00000000-0005-0000-0000-0000E6070000}"/>
    <cellStyle name="60% - Accent5 2 4 2 2" xfId="2023" xr:uid="{00000000-0005-0000-0000-0000E7070000}"/>
    <cellStyle name="60% - Accent5 2 4 2 2 2" xfId="32794" xr:uid="{B1B2EF8F-455E-4D36-8727-85BECFF8778E}"/>
    <cellStyle name="60% - Accent5 2 4 2 3" xfId="32793" xr:uid="{27735668-B251-4B05-8280-46D9A7D87304}"/>
    <cellStyle name="60% - Accent5 2 4 3" xfId="2024" xr:uid="{00000000-0005-0000-0000-0000E8070000}"/>
    <cellStyle name="60% - Accent5 2 4 3 2" xfId="32795" xr:uid="{41C2BAAD-6405-4F9B-92C5-E2C73800B17F}"/>
    <cellStyle name="60% - Accent5 2 4 4" xfId="32792" xr:uid="{9D71F758-DB65-4B14-8702-92C459E1337E}"/>
    <cellStyle name="60% - Accent5 2 5" xfId="2025" xr:uid="{00000000-0005-0000-0000-0000E9070000}"/>
    <cellStyle name="60% - Accent5 2 5 2" xfId="2026" xr:uid="{00000000-0005-0000-0000-0000EA070000}"/>
    <cellStyle name="60% - Accent5 2 5 2 2" xfId="2027" xr:uid="{00000000-0005-0000-0000-0000EB070000}"/>
    <cellStyle name="60% - Accent5 2 5 2 2 2" xfId="32798" xr:uid="{AEC5EE13-77E5-4E05-BE1D-07598E5E3267}"/>
    <cellStyle name="60% - Accent5 2 5 2 3" xfId="32797" xr:uid="{6F58A776-FB1E-48E4-BC71-138EC611C725}"/>
    <cellStyle name="60% - Accent5 2 5 3" xfId="2028" xr:uid="{00000000-0005-0000-0000-0000EC070000}"/>
    <cellStyle name="60% - Accent5 2 5 3 2" xfId="2029" xr:uid="{00000000-0005-0000-0000-0000ED070000}"/>
    <cellStyle name="60% - Accent5 2 5 3 2 2" xfId="2030" xr:uid="{00000000-0005-0000-0000-0000EE070000}"/>
    <cellStyle name="60% - Accent5 2 5 3 2 2 2" xfId="32801" xr:uid="{15D1BAC7-EA51-4A89-BCF6-BBF8ADD88780}"/>
    <cellStyle name="60% - Accent5 2 5 3 2 3" xfId="32800" xr:uid="{3681A91B-57D7-423D-8749-B6BC2A95A216}"/>
    <cellStyle name="60% - Accent5 2 5 3 3" xfId="2031" xr:uid="{00000000-0005-0000-0000-0000EF070000}"/>
    <cellStyle name="60% - Accent5 2 5 3 3 2" xfId="32802" xr:uid="{AEE0B4D3-2977-4CE3-AB71-E42EEB75159E}"/>
    <cellStyle name="60% - Accent5 2 5 3 4" xfId="32799" xr:uid="{1FD7C980-0BBB-440D-816F-E3A3033500C8}"/>
    <cellStyle name="60% - Accent5 2 5 4" xfId="2032" xr:uid="{00000000-0005-0000-0000-0000F0070000}"/>
    <cellStyle name="60% - Accent5 2 5 4 2" xfId="32803" xr:uid="{DEEC7889-DF08-472A-8B75-508A71E5FB61}"/>
    <cellStyle name="60% - Accent5 2 5 5" xfId="32796" xr:uid="{B3086D73-A31D-4BD5-9459-9F96F926E97F}"/>
    <cellStyle name="60% - Accent5 2 6" xfId="2033" xr:uid="{00000000-0005-0000-0000-0000F1070000}"/>
    <cellStyle name="60% - Accent5 2 6 2" xfId="2034" xr:uid="{00000000-0005-0000-0000-0000F2070000}"/>
    <cellStyle name="60% - Accent5 2 6 2 2" xfId="32805" xr:uid="{FC2E1315-7F62-4638-9DE5-6BEE474600BD}"/>
    <cellStyle name="60% - Accent5 2 6 3" xfId="32804" xr:uid="{C633C205-3810-40C4-8F70-77E288D51989}"/>
    <cellStyle name="60% - Accent5 2 7" xfId="2035" xr:uid="{00000000-0005-0000-0000-0000F3070000}"/>
    <cellStyle name="60% - Accent5 2 7 2" xfId="2036" xr:uid="{00000000-0005-0000-0000-0000F4070000}"/>
    <cellStyle name="60% - Accent5 2 7 2 2" xfId="32807" xr:uid="{7E5517C0-0FFB-43A6-88C3-4E8448423AD2}"/>
    <cellStyle name="60% - Accent5 2 7 3" xfId="32806" xr:uid="{7862C91F-9F62-42C2-B139-BC5F6966A856}"/>
    <cellStyle name="60% - Accent5 2 8" xfId="2037" xr:uid="{00000000-0005-0000-0000-0000F5070000}"/>
    <cellStyle name="60% - Accent5 2 8 2" xfId="2038" xr:uid="{00000000-0005-0000-0000-0000F6070000}"/>
    <cellStyle name="60% - Accent5 2 8 2 2" xfId="2039" xr:uid="{00000000-0005-0000-0000-0000F7070000}"/>
    <cellStyle name="60% - Accent5 2 8 2 2 2" xfId="32810" xr:uid="{57E96400-A76C-4BAB-81EC-C4EAB597636E}"/>
    <cellStyle name="60% - Accent5 2 8 2 3" xfId="32809" xr:uid="{5A6A7BB7-B6B2-4740-A371-8ABE47E1CFDD}"/>
    <cellStyle name="60% - Accent5 2 8 3" xfId="2040" xr:uid="{00000000-0005-0000-0000-0000F8070000}"/>
    <cellStyle name="60% - Accent5 2 8 3 2" xfId="32811" xr:uid="{3A408EB7-ADCF-4153-ACF2-2A77C53F04BC}"/>
    <cellStyle name="60% - Accent5 2 8 4" xfId="32808" xr:uid="{9FB82333-C7CF-4BD5-872E-4A9AAC4947E3}"/>
    <cellStyle name="60% - Accent5 2 9" xfId="2041" xr:uid="{00000000-0005-0000-0000-0000F9070000}"/>
    <cellStyle name="60% - Accent5 2 9 2" xfId="2042" xr:uid="{00000000-0005-0000-0000-0000FA070000}"/>
    <cellStyle name="60% - Accent5 2 9 2 2" xfId="2043" xr:uid="{00000000-0005-0000-0000-0000FB070000}"/>
    <cellStyle name="60% - Accent5 2 9 2 2 2" xfId="32814" xr:uid="{F0C9496E-C49E-452D-B439-5F694E0DD400}"/>
    <cellStyle name="60% - Accent5 2 9 2 3" xfId="32813" xr:uid="{843CA1DA-70AC-4130-BED4-74B472998FFE}"/>
    <cellStyle name="60% - Accent5 2 9 3" xfId="2044" xr:uid="{00000000-0005-0000-0000-0000FC070000}"/>
    <cellStyle name="60% - Accent5 2 9 3 2" xfId="32815" xr:uid="{0FDE4A51-CDD1-45D4-BF7C-C8678F7298E0}"/>
    <cellStyle name="60% - Accent5 2 9 4" xfId="32812" xr:uid="{A42B20C7-EE0B-4290-B8A1-2C2CEEC5D032}"/>
    <cellStyle name="60% - Accent5 3" xfId="2045" xr:uid="{00000000-0005-0000-0000-0000FD070000}"/>
    <cellStyle name="60% - Accent5 3 2" xfId="2046" xr:uid="{00000000-0005-0000-0000-0000FE070000}"/>
    <cellStyle name="60% - Accent5 3 2 2" xfId="2047" xr:uid="{00000000-0005-0000-0000-0000FF070000}"/>
    <cellStyle name="60% - Accent5 3 2 2 2" xfId="32818" xr:uid="{38B85D3C-F30B-4917-8B92-36D7BD8C2DBA}"/>
    <cellStyle name="60% - Accent5 3 2 3" xfId="32817" xr:uid="{CEEDC9E8-7F3F-410B-8990-249F5C52E41F}"/>
    <cellStyle name="60% - Accent5 3 3" xfId="2048" xr:uid="{00000000-0005-0000-0000-000000080000}"/>
    <cellStyle name="60% - Accent5 3 3 2" xfId="2049" xr:uid="{00000000-0005-0000-0000-000001080000}"/>
    <cellStyle name="60% - Accent5 3 4" xfId="2050" xr:uid="{00000000-0005-0000-0000-000002080000}"/>
    <cellStyle name="60% - Accent5 3 4 2" xfId="2051" xr:uid="{00000000-0005-0000-0000-000003080000}"/>
    <cellStyle name="60% - Accent5 3 4 2 2" xfId="2052" xr:uid="{00000000-0005-0000-0000-000004080000}"/>
    <cellStyle name="60% - Accent5 3 4 3" xfId="2053" xr:uid="{00000000-0005-0000-0000-000005080000}"/>
    <cellStyle name="60% - Accent5 3 5" xfId="2054" xr:uid="{00000000-0005-0000-0000-000006080000}"/>
    <cellStyle name="60% - Accent5 3 6" xfId="32816" xr:uid="{0906DAF8-B815-4CCF-909A-BF2064882227}"/>
    <cellStyle name="60% - Accent5 4" xfId="2055" xr:uid="{00000000-0005-0000-0000-000007080000}"/>
    <cellStyle name="60% - Accent5 4 2" xfId="2056" xr:uid="{00000000-0005-0000-0000-000008080000}"/>
    <cellStyle name="60% - Accent5 4 2 2" xfId="2057" xr:uid="{00000000-0005-0000-0000-000009080000}"/>
    <cellStyle name="60% - Accent5 4 3" xfId="2058" xr:uid="{00000000-0005-0000-0000-00000A080000}"/>
    <cellStyle name="60% - Accent5 4 3 2" xfId="2059" xr:uid="{00000000-0005-0000-0000-00000B080000}"/>
    <cellStyle name="60% - Accent5 4 3 2 2" xfId="2060" xr:uid="{00000000-0005-0000-0000-00000C080000}"/>
    <cellStyle name="60% - Accent5 4 3 3" xfId="2061" xr:uid="{00000000-0005-0000-0000-00000D080000}"/>
    <cellStyle name="60% - Accent5 4 4" xfId="2062" xr:uid="{00000000-0005-0000-0000-00000E080000}"/>
    <cellStyle name="60% - Accent5 4 5" xfId="32819" xr:uid="{C6D36E40-1F36-4C25-8AA2-3F7DC6D96E9F}"/>
    <cellStyle name="60% - Accent5 5" xfId="2063" xr:uid="{00000000-0005-0000-0000-00000F080000}"/>
    <cellStyle name="60% - Accent5 5 2" xfId="2064" xr:uid="{00000000-0005-0000-0000-000010080000}"/>
    <cellStyle name="60% - Accent5 5 2 2" xfId="2065" xr:uid="{00000000-0005-0000-0000-000011080000}"/>
    <cellStyle name="60% - Accent5 5 2 2 2" xfId="32822" xr:uid="{EB11BB1C-9BD1-4FC5-9F22-F234D49F3C2D}"/>
    <cellStyle name="60% - Accent5 5 2 3" xfId="32821" xr:uid="{C53F6DD9-7C81-4BA6-8C03-0A2F64D68A8F}"/>
    <cellStyle name="60% - Accent5 5 3" xfId="2066" xr:uid="{00000000-0005-0000-0000-000012080000}"/>
    <cellStyle name="60% - Accent5 5 3 2" xfId="2067" xr:uid="{00000000-0005-0000-0000-000013080000}"/>
    <cellStyle name="60% - Accent5 5 3 2 2" xfId="2068" xr:uid="{00000000-0005-0000-0000-000014080000}"/>
    <cellStyle name="60% - Accent5 5 3 2 2 2" xfId="32825" xr:uid="{53A066B2-FF39-4D2E-9550-47046B37DEDE}"/>
    <cellStyle name="60% - Accent5 5 3 2 3" xfId="32824" xr:uid="{BC66D2AD-C4EC-433C-8958-ECA79A41E537}"/>
    <cellStyle name="60% - Accent5 5 3 3" xfId="2069" xr:uid="{00000000-0005-0000-0000-000015080000}"/>
    <cellStyle name="60% - Accent5 5 3 3 2" xfId="32826" xr:uid="{AC41AD64-4746-48B7-84BA-AFABA2DDBECE}"/>
    <cellStyle name="60% - Accent5 5 3 4" xfId="32823" xr:uid="{B615AC79-0849-4680-A044-163C64BE78D0}"/>
    <cellStyle name="60% - Accent5 5 4" xfId="2070" xr:uid="{00000000-0005-0000-0000-000016080000}"/>
    <cellStyle name="60% - Accent5 5 4 2" xfId="32827" xr:uid="{9F3DF82D-896B-404D-9450-AD83D0E71625}"/>
    <cellStyle name="60% - Accent5 5 5" xfId="32820" xr:uid="{8532606C-034E-492A-8530-5F5EFE92D279}"/>
    <cellStyle name="60% - Accent5 6" xfId="2071" xr:uid="{00000000-0005-0000-0000-000017080000}"/>
    <cellStyle name="60% - Accent5 6 2" xfId="2072" xr:uid="{00000000-0005-0000-0000-000018080000}"/>
    <cellStyle name="60% - Accent5 6 2 2" xfId="2073" xr:uid="{00000000-0005-0000-0000-000019080000}"/>
    <cellStyle name="60% - Accent5 6 2 2 2" xfId="32830" xr:uid="{72B6DD27-E4B8-4916-943C-0FDDA849B8D5}"/>
    <cellStyle name="60% - Accent5 6 2 3" xfId="32829" xr:uid="{BC6B7D21-FCE0-4BEF-8121-BD0EE5E00A32}"/>
    <cellStyle name="60% - Accent5 6 3" xfId="2074" xr:uid="{00000000-0005-0000-0000-00001A080000}"/>
    <cellStyle name="60% - Accent5 6 3 2" xfId="32831" xr:uid="{30897FA5-5192-4A5A-8BFF-8C72833A20B2}"/>
    <cellStyle name="60% - Accent5 6 4" xfId="32828" xr:uid="{B9F466D4-7AD7-4AC5-9547-CB7CD39B06E4}"/>
    <cellStyle name="60% - Accent5 7" xfId="2075" xr:uid="{00000000-0005-0000-0000-00001B080000}"/>
    <cellStyle name="60% - Accent5 8" xfId="2076" xr:uid="{00000000-0005-0000-0000-00001C080000}"/>
    <cellStyle name="60% - Accent6 2" xfId="2077" xr:uid="{00000000-0005-0000-0000-00001D080000}"/>
    <cellStyle name="60% - Accent6 2 10" xfId="2078" xr:uid="{00000000-0005-0000-0000-00001E080000}"/>
    <cellStyle name="60% - Accent6 2 10 2" xfId="32833" xr:uid="{7857886A-1AC6-4904-A0F3-042DDD019293}"/>
    <cellStyle name="60% - Accent6 2 11" xfId="32832" xr:uid="{37B2AABF-5374-4926-8D1D-8D7A2D88ED47}"/>
    <cellStyle name="60% - Accent6 2 2" xfId="2079" xr:uid="{00000000-0005-0000-0000-00001F080000}"/>
    <cellStyle name="60% - Accent6 2 2 2" xfId="2080" xr:uid="{00000000-0005-0000-0000-000020080000}"/>
    <cellStyle name="60% - Accent6 2 2 2 2" xfId="2081" xr:uid="{00000000-0005-0000-0000-000021080000}"/>
    <cellStyle name="60% - Accent6 2 2 3" xfId="2082" xr:uid="{00000000-0005-0000-0000-000022080000}"/>
    <cellStyle name="60% - Accent6 2 2 3 2" xfId="2083" xr:uid="{00000000-0005-0000-0000-000023080000}"/>
    <cellStyle name="60% - Accent6 2 2 3 2 2" xfId="2084" xr:uid="{00000000-0005-0000-0000-000024080000}"/>
    <cellStyle name="60% - Accent6 2 2 3 3" xfId="2085" xr:uid="{00000000-0005-0000-0000-000025080000}"/>
    <cellStyle name="60% - Accent6 2 2 4" xfId="2086" xr:uid="{00000000-0005-0000-0000-000026080000}"/>
    <cellStyle name="60% - Accent6 2 3" xfId="2087" xr:uid="{00000000-0005-0000-0000-000027080000}"/>
    <cellStyle name="60% - Accent6 2 3 2" xfId="2088" xr:uid="{00000000-0005-0000-0000-000028080000}"/>
    <cellStyle name="60% - Accent6 2 3 2 2" xfId="2089" xr:uid="{00000000-0005-0000-0000-000029080000}"/>
    <cellStyle name="60% - Accent6 2 3 2 2 2" xfId="32836" xr:uid="{3983DF71-C467-4191-8E8D-D0E4A37E1131}"/>
    <cellStyle name="60% - Accent6 2 3 2 3" xfId="32835" xr:uid="{7A898FF3-5AC4-4DBD-A21C-BD070795AEE0}"/>
    <cellStyle name="60% - Accent6 2 3 3" xfId="2090" xr:uid="{00000000-0005-0000-0000-00002A080000}"/>
    <cellStyle name="60% - Accent6 2 3 3 2" xfId="2091" xr:uid="{00000000-0005-0000-0000-00002B080000}"/>
    <cellStyle name="60% - Accent6 2 3 3 2 2" xfId="2092" xr:uid="{00000000-0005-0000-0000-00002C080000}"/>
    <cellStyle name="60% - Accent6 2 3 3 2 2 2" xfId="32839" xr:uid="{5080C730-9682-4BB8-B508-88B508D814B9}"/>
    <cellStyle name="60% - Accent6 2 3 3 2 3" xfId="32838" xr:uid="{0CFB113F-25AE-48C1-B12A-FB0922FB5CBC}"/>
    <cellStyle name="60% - Accent6 2 3 3 3" xfId="2093" xr:uid="{00000000-0005-0000-0000-00002D080000}"/>
    <cellStyle name="60% - Accent6 2 3 3 3 2" xfId="32840" xr:uid="{8141B98A-B983-4B14-8B67-187080941BB7}"/>
    <cellStyle name="60% - Accent6 2 3 3 4" xfId="32837" xr:uid="{9F58CAA4-9545-4A8B-ADA8-F69E3140185A}"/>
    <cellStyle name="60% - Accent6 2 3 4" xfId="2094" xr:uid="{00000000-0005-0000-0000-00002E080000}"/>
    <cellStyle name="60% - Accent6 2 3 4 2" xfId="32841" xr:uid="{0EBB3350-89C9-4297-9CCB-043F781812A8}"/>
    <cellStyle name="60% - Accent6 2 3 5" xfId="32834" xr:uid="{43851A1E-7419-458C-A65F-E5640FD19E11}"/>
    <cellStyle name="60% - Accent6 2 4" xfId="2095" xr:uid="{00000000-0005-0000-0000-00002F080000}"/>
    <cellStyle name="60% - Accent6 2 4 2" xfId="2096" xr:uid="{00000000-0005-0000-0000-000030080000}"/>
    <cellStyle name="60% - Accent6 2 4 2 2" xfId="2097" xr:uid="{00000000-0005-0000-0000-000031080000}"/>
    <cellStyle name="60% - Accent6 2 4 2 2 2" xfId="32844" xr:uid="{527DE45B-C4A6-41F1-B07A-459A3C29DC24}"/>
    <cellStyle name="60% - Accent6 2 4 2 3" xfId="32843" xr:uid="{F862EF98-3A19-4CD1-AB3A-DA595D72204F}"/>
    <cellStyle name="60% - Accent6 2 4 3" xfId="2098" xr:uid="{00000000-0005-0000-0000-000032080000}"/>
    <cellStyle name="60% - Accent6 2 4 3 2" xfId="32845" xr:uid="{81659D35-0AD8-43A7-B249-6E9FB4B76AD8}"/>
    <cellStyle name="60% - Accent6 2 4 4" xfId="32842" xr:uid="{E5610B84-117D-4B1E-B074-1CF4834155B8}"/>
    <cellStyle name="60% - Accent6 2 5" xfId="2099" xr:uid="{00000000-0005-0000-0000-000033080000}"/>
    <cellStyle name="60% - Accent6 2 5 2" xfId="2100" xr:uid="{00000000-0005-0000-0000-000034080000}"/>
    <cellStyle name="60% - Accent6 2 5 2 2" xfId="2101" xr:uid="{00000000-0005-0000-0000-000035080000}"/>
    <cellStyle name="60% - Accent6 2 5 2 2 2" xfId="32848" xr:uid="{02176E90-2390-4379-9064-F9D4A2773137}"/>
    <cellStyle name="60% - Accent6 2 5 2 3" xfId="32847" xr:uid="{2169DDB3-A340-4C43-BD16-BC4E6711D1FC}"/>
    <cellStyle name="60% - Accent6 2 5 3" xfId="2102" xr:uid="{00000000-0005-0000-0000-000036080000}"/>
    <cellStyle name="60% - Accent6 2 5 3 2" xfId="2103" xr:uid="{00000000-0005-0000-0000-000037080000}"/>
    <cellStyle name="60% - Accent6 2 5 3 2 2" xfId="2104" xr:uid="{00000000-0005-0000-0000-000038080000}"/>
    <cellStyle name="60% - Accent6 2 5 3 2 2 2" xfId="32851" xr:uid="{AC6A13FB-FC12-49FB-9064-FD27F033CBF9}"/>
    <cellStyle name="60% - Accent6 2 5 3 2 3" xfId="32850" xr:uid="{38CDAA6C-D0FB-41C9-97B1-9BC54CA4A434}"/>
    <cellStyle name="60% - Accent6 2 5 3 3" xfId="2105" xr:uid="{00000000-0005-0000-0000-000039080000}"/>
    <cellStyle name="60% - Accent6 2 5 3 3 2" xfId="32852" xr:uid="{98CCE484-4396-4C9C-87AB-BA28BC835C20}"/>
    <cellStyle name="60% - Accent6 2 5 3 4" xfId="32849" xr:uid="{5E399FAD-FB19-4473-A156-A6B3637E7020}"/>
    <cellStyle name="60% - Accent6 2 5 4" xfId="2106" xr:uid="{00000000-0005-0000-0000-00003A080000}"/>
    <cellStyle name="60% - Accent6 2 5 4 2" xfId="32853" xr:uid="{AE7891FC-4B8C-4602-8E95-C45151FD8EC0}"/>
    <cellStyle name="60% - Accent6 2 5 5" xfId="32846" xr:uid="{4DFE947B-CC6B-43A1-B99A-AD4DFD65A031}"/>
    <cellStyle name="60% - Accent6 2 6" xfId="2107" xr:uid="{00000000-0005-0000-0000-00003B080000}"/>
    <cellStyle name="60% - Accent6 2 6 2" xfId="2108" xr:uid="{00000000-0005-0000-0000-00003C080000}"/>
    <cellStyle name="60% - Accent6 2 6 2 2" xfId="32855" xr:uid="{76093713-D3A4-452A-BC10-451DFA89DE20}"/>
    <cellStyle name="60% - Accent6 2 6 3" xfId="32854" xr:uid="{9F1F347A-D563-41C7-89E9-9193807705BA}"/>
    <cellStyle name="60% - Accent6 2 7" xfId="2109" xr:uid="{00000000-0005-0000-0000-00003D080000}"/>
    <cellStyle name="60% - Accent6 2 7 2" xfId="2110" xr:uid="{00000000-0005-0000-0000-00003E080000}"/>
    <cellStyle name="60% - Accent6 2 7 2 2" xfId="32857" xr:uid="{3FBC0E5D-2D97-4ED2-8255-71B680C11CFD}"/>
    <cellStyle name="60% - Accent6 2 7 3" xfId="32856" xr:uid="{B0545E66-11B3-4432-BD3B-0A0D87985C6C}"/>
    <cellStyle name="60% - Accent6 2 8" xfId="2111" xr:uid="{00000000-0005-0000-0000-00003F080000}"/>
    <cellStyle name="60% - Accent6 2 8 2" xfId="2112" xr:uid="{00000000-0005-0000-0000-000040080000}"/>
    <cellStyle name="60% - Accent6 2 8 2 2" xfId="2113" xr:uid="{00000000-0005-0000-0000-000041080000}"/>
    <cellStyle name="60% - Accent6 2 8 2 2 2" xfId="32860" xr:uid="{C06AC692-286E-4F5B-9250-B42D8FDB6F90}"/>
    <cellStyle name="60% - Accent6 2 8 2 3" xfId="32859" xr:uid="{9CC89ADB-4DAF-4B18-A2E7-DAE12904EBE7}"/>
    <cellStyle name="60% - Accent6 2 8 3" xfId="2114" xr:uid="{00000000-0005-0000-0000-000042080000}"/>
    <cellStyle name="60% - Accent6 2 8 3 2" xfId="32861" xr:uid="{AC275025-E6C1-4FA9-8464-F5E82E537017}"/>
    <cellStyle name="60% - Accent6 2 8 4" xfId="32858" xr:uid="{2581C032-902E-4474-8D9D-2C0FF8A1E6DA}"/>
    <cellStyle name="60% - Accent6 2 9" xfId="2115" xr:uid="{00000000-0005-0000-0000-000043080000}"/>
    <cellStyle name="60% - Accent6 2 9 2" xfId="2116" xr:uid="{00000000-0005-0000-0000-000044080000}"/>
    <cellStyle name="60% - Accent6 2 9 2 2" xfId="2117" xr:uid="{00000000-0005-0000-0000-000045080000}"/>
    <cellStyle name="60% - Accent6 2 9 2 2 2" xfId="32864" xr:uid="{46F8E8BC-9ECB-4641-861E-2DA39866F47F}"/>
    <cellStyle name="60% - Accent6 2 9 2 3" xfId="32863" xr:uid="{554FE803-BA87-4593-987F-04AF281B3545}"/>
    <cellStyle name="60% - Accent6 2 9 3" xfId="2118" xr:uid="{00000000-0005-0000-0000-000046080000}"/>
    <cellStyle name="60% - Accent6 2 9 3 2" xfId="32865" xr:uid="{2F8A11B9-4A53-4202-8528-FC5B24544954}"/>
    <cellStyle name="60% - Accent6 2 9 4" xfId="32862" xr:uid="{5259B95D-B62A-4E1C-908F-012AD405DB89}"/>
    <cellStyle name="60% - Accent6 3" xfId="2119" xr:uid="{00000000-0005-0000-0000-000047080000}"/>
    <cellStyle name="60% - Accent6 3 2" xfId="2120" xr:uid="{00000000-0005-0000-0000-000048080000}"/>
    <cellStyle name="60% - Accent6 3 2 2" xfId="2121" xr:uid="{00000000-0005-0000-0000-000049080000}"/>
    <cellStyle name="60% - Accent6 3 2 2 2" xfId="32868" xr:uid="{865721D9-6072-44C7-8E47-1FA908A4D2B9}"/>
    <cellStyle name="60% - Accent6 3 2 3" xfId="32867" xr:uid="{9AE019D6-6C66-40B9-B2A1-A8C7F672AA8F}"/>
    <cellStyle name="60% - Accent6 3 3" xfId="2122" xr:uid="{00000000-0005-0000-0000-00004A080000}"/>
    <cellStyle name="60% - Accent6 3 3 2" xfId="2123" xr:uid="{00000000-0005-0000-0000-00004B080000}"/>
    <cellStyle name="60% - Accent6 3 4" xfId="2124" xr:uid="{00000000-0005-0000-0000-00004C080000}"/>
    <cellStyle name="60% - Accent6 3 4 2" xfId="2125" xr:uid="{00000000-0005-0000-0000-00004D080000}"/>
    <cellStyle name="60% - Accent6 3 4 2 2" xfId="2126" xr:uid="{00000000-0005-0000-0000-00004E080000}"/>
    <cellStyle name="60% - Accent6 3 4 3" xfId="2127" xr:uid="{00000000-0005-0000-0000-00004F080000}"/>
    <cellStyle name="60% - Accent6 3 5" xfId="2128" xr:uid="{00000000-0005-0000-0000-000050080000}"/>
    <cellStyle name="60% - Accent6 3 6" xfId="32866" xr:uid="{D8E3FE0E-DA51-4363-B7E2-665674E398B0}"/>
    <cellStyle name="60% - Accent6 4" xfId="2129" xr:uid="{00000000-0005-0000-0000-000051080000}"/>
    <cellStyle name="60% - Accent6 4 2" xfId="2130" xr:uid="{00000000-0005-0000-0000-000052080000}"/>
    <cellStyle name="60% - Accent6 4 2 2" xfId="2131" xr:uid="{00000000-0005-0000-0000-000053080000}"/>
    <cellStyle name="60% - Accent6 4 3" xfId="2132" xr:uid="{00000000-0005-0000-0000-000054080000}"/>
    <cellStyle name="60% - Accent6 4 3 2" xfId="2133" xr:uid="{00000000-0005-0000-0000-000055080000}"/>
    <cellStyle name="60% - Accent6 4 3 2 2" xfId="2134" xr:uid="{00000000-0005-0000-0000-000056080000}"/>
    <cellStyle name="60% - Accent6 4 3 3" xfId="2135" xr:uid="{00000000-0005-0000-0000-000057080000}"/>
    <cellStyle name="60% - Accent6 4 4" xfId="2136" xr:uid="{00000000-0005-0000-0000-000058080000}"/>
    <cellStyle name="60% - Accent6 4 5" xfId="32869" xr:uid="{82384F4D-367C-477B-8600-7F0A02AEAE87}"/>
    <cellStyle name="60% - Accent6 5" xfId="2137" xr:uid="{00000000-0005-0000-0000-000059080000}"/>
    <cellStyle name="60% - Accent6 5 2" xfId="2138" xr:uid="{00000000-0005-0000-0000-00005A080000}"/>
    <cellStyle name="60% - Accent6 5 2 2" xfId="2139" xr:uid="{00000000-0005-0000-0000-00005B080000}"/>
    <cellStyle name="60% - Accent6 5 2 2 2" xfId="32872" xr:uid="{D76DC288-8EA0-4618-BC41-34FB4AEC8CE6}"/>
    <cellStyle name="60% - Accent6 5 2 3" xfId="32871" xr:uid="{75623122-83F7-4AD3-A4EF-8F5CFD97D24E}"/>
    <cellStyle name="60% - Accent6 5 3" xfId="2140" xr:uid="{00000000-0005-0000-0000-00005C080000}"/>
    <cellStyle name="60% - Accent6 5 3 2" xfId="2141" xr:uid="{00000000-0005-0000-0000-00005D080000}"/>
    <cellStyle name="60% - Accent6 5 3 2 2" xfId="2142" xr:uid="{00000000-0005-0000-0000-00005E080000}"/>
    <cellStyle name="60% - Accent6 5 3 2 2 2" xfId="32875" xr:uid="{FE723520-50E8-4966-B606-680D9A99C60D}"/>
    <cellStyle name="60% - Accent6 5 3 2 3" xfId="32874" xr:uid="{D024DF41-7737-4923-9515-0712960791D9}"/>
    <cellStyle name="60% - Accent6 5 3 3" xfId="2143" xr:uid="{00000000-0005-0000-0000-00005F080000}"/>
    <cellStyle name="60% - Accent6 5 3 3 2" xfId="32876" xr:uid="{7493859F-D514-4522-9DA8-46F6251ECC51}"/>
    <cellStyle name="60% - Accent6 5 3 4" xfId="32873" xr:uid="{72BA8C24-61B8-455C-A534-6A38FFAC4EF2}"/>
    <cellStyle name="60% - Accent6 5 4" xfId="2144" xr:uid="{00000000-0005-0000-0000-000060080000}"/>
    <cellStyle name="60% - Accent6 5 4 2" xfId="32877" xr:uid="{7A351D16-16BD-4026-BBB7-9CF7460D2710}"/>
    <cellStyle name="60% - Accent6 5 5" xfId="32870" xr:uid="{5645CF63-C512-462E-B807-622112493FEC}"/>
    <cellStyle name="60% - Accent6 6" xfId="2145" xr:uid="{00000000-0005-0000-0000-000061080000}"/>
    <cellStyle name="60% - Accent6 6 2" xfId="2146" xr:uid="{00000000-0005-0000-0000-000062080000}"/>
    <cellStyle name="60% - Accent6 6 2 2" xfId="2147" xr:uid="{00000000-0005-0000-0000-000063080000}"/>
    <cellStyle name="60% - Accent6 6 2 2 2" xfId="32880" xr:uid="{1523A70C-ED2D-4BB3-99A3-BBF45B09D833}"/>
    <cellStyle name="60% - Accent6 6 2 3" xfId="32879" xr:uid="{A335335B-55AE-431F-95B7-B62DF0D6F52E}"/>
    <cellStyle name="60% - Accent6 6 3" xfId="2148" xr:uid="{00000000-0005-0000-0000-000064080000}"/>
    <cellStyle name="60% - Accent6 6 3 2" xfId="32881" xr:uid="{05AC6381-2431-4B17-B3C0-910DC14E54C1}"/>
    <cellStyle name="60% - Accent6 6 4" xfId="32878" xr:uid="{5853B7AE-4107-4FA7-9B58-DEC96109ADE4}"/>
    <cellStyle name="60% - Accent6 7" xfId="2149" xr:uid="{00000000-0005-0000-0000-000065080000}"/>
    <cellStyle name="60% - Accent6 8" xfId="2150" xr:uid="{00000000-0005-0000-0000-000066080000}"/>
    <cellStyle name="Accent1 - 20%" xfId="2151" xr:uid="{00000000-0005-0000-0000-000067080000}"/>
    <cellStyle name="Accent1 - 20% 10" xfId="2152" xr:uid="{00000000-0005-0000-0000-000068080000}"/>
    <cellStyle name="Accent1 - 20% 11" xfId="2153" xr:uid="{00000000-0005-0000-0000-000069080000}"/>
    <cellStyle name="Accent1 - 20% 2" xfId="2154" xr:uid="{00000000-0005-0000-0000-00006A080000}"/>
    <cellStyle name="Accent1 - 20% 2 2" xfId="2155" xr:uid="{00000000-0005-0000-0000-00006B080000}"/>
    <cellStyle name="Accent1 - 20% 2 2 2" xfId="2156" xr:uid="{00000000-0005-0000-0000-00006C080000}"/>
    <cellStyle name="Accent1 - 20% 2 2 2 2" xfId="2157" xr:uid="{00000000-0005-0000-0000-00006D080000}"/>
    <cellStyle name="Accent1 - 20% 2 2 3" xfId="2158" xr:uid="{00000000-0005-0000-0000-00006E080000}"/>
    <cellStyle name="Accent1 - 20% 2 3" xfId="2159" xr:uid="{00000000-0005-0000-0000-00006F080000}"/>
    <cellStyle name="Accent1 - 20% 2 3 2" xfId="2160" xr:uid="{00000000-0005-0000-0000-000070080000}"/>
    <cellStyle name="Accent1 - 20% 2 3 2 2" xfId="2161" xr:uid="{00000000-0005-0000-0000-000071080000}"/>
    <cellStyle name="Accent1 - 20% 2 3 2 2 2" xfId="2162" xr:uid="{00000000-0005-0000-0000-000072080000}"/>
    <cellStyle name="Accent1 - 20% 2 3 2 3" xfId="2163" xr:uid="{00000000-0005-0000-0000-000073080000}"/>
    <cellStyle name="Accent1 - 20% 2 3 3" xfId="2164" xr:uid="{00000000-0005-0000-0000-000074080000}"/>
    <cellStyle name="Accent1 - 20% 2 3 3 2" xfId="2165" xr:uid="{00000000-0005-0000-0000-000075080000}"/>
    <cellStyle name="Accent1 - 20% 2 3 4" xfId="2166" xr:uid="{00000000-0005-0000-0000-000076080000}"/>
    <cellStyle name="Accent1 - 20% 2 4" xfId="2167" xr:uid="{00000000-0005-0000-0000-000077080000}"/>
    <cellStyle name="Accent1 - 20% 2 4 2" xfId="2168" xr:uid="{00000000-0005-0000-0000-000078080000}"/>
    <cellStyle name="Accent1 - 20% 2 4 2 2" xfId="2169" xr:uid="{00000000-0005-0000-0000-000079080000}"/>
    <cellStyle name="Accent1 - 20% 2 4 2 2 2" xfId="2170" xr:uid="{00000000-0005-0000-0000-00007A080000}"/>
    <cellStyle name="Accent1 - 20% 2 4 2 3" xfId="2171" xr:uid="{00000000-0005-0000-0000-00007B080000}"/>
    <cellStyle name="Accent1 - 20% 2 4 3" xfId="2172" xr:uid="{00000000-0005-0000-0000-00007C080000}"/>
    <cellStyle name="Accent1 - 20% 2 4 3 2" xfId="2173" xr:uid="{00000000-0005-0000-0000-00007D080000}"/>
    <cellStyle name="Accent1 - 20% 2 4 4" xfId="2174" xr:uid="{00000000-0005-0000-0000-00007E080000}"/>
    <cellStyle name="Accent1 - 20% 2 5" xfId="2175" xr:uid="{00000000-0005-0000-0000-00007F080000}"/>
    <cellStyle name="Accent1 - 20% 2 5 2" xfId="2176" xr:uid="{00000000-0005-0000-0000-000080080000}"/>
    <cellStyle name="Accent1 - 20% 2 6" xfId="2177" xr:uid="{00000000-0005-0000-0000-000081080000}"/>
    <cellStyle name="Accent1 - 20% 2 6 2" xfId="2178" xr:uid="{00000000-0005-0000-0000-000082080000}"/>
    <cellStyle name="Accent1 - 20% 2 7" xfId="2179" xr:uid="{00000000-0005-0000-0000-000083080000}"/>
    <cellStyle name="Accent1 - 20% 3" xfId="2180" xr:uid="{00000000-0005-0000-0000-000084080000}"/>
    <cellStyle name="Accent1 - 20% 3 2" xfId="2181" xr:uid="{00000000-0005-0000-0000-000085080000}"/>
    <cellStyle name="Accent1 - 20% 3 2 2" xfId="2182" xr:uid="{00000000-0005-0000-0000-000086080000}"/>
    <cellStyle name="Accent1 - 20% 3 2 2 2" xfId="2183" xr:uid="{00000000-0005-0000-0000-000087080000}"/>
    <cellStyle name="Accent1 - 20% 3 2 3" xfId="2184" xr:uid="{00000000-0005-0000-0000-000088080000}"/>
    <cellStyle name="Accent1 - 20% 3 3" xfId="2185" xr:uid="{00000000-0005-0000-0000-000089080000}"/>
    <cellStyle name="Accent1 - 20% 3 3 2" xfId="2186" xr:uid="{00000000-0005-0000-0000-00008A080000}"/>
    <cellStyle name="Accent1 - 20% 3 4" xfId="2187" xr:uid="{00000000-0005-0000-0000-00008B080000}"/>
    <cellStyle name="Accent1 - 20% 4" xfId="2188" xr:uid="{00000000-0005-0000-0000-00008C080000}"/>
    <cellStyle name="Accent1 - 20% 4 2" xfId="2189" xr:uid="{00000000-0005-0000-0000-00008D080000}"/>
    <cellStyle name="Accent1 - 20% 4 2 2" xfId="2190" xr:uid="{00000000-0005-0000-0000-00008E080000}"/>
    <cellStyle name="Accent1 - 20% 4 3" xfId="2191" xr:uid="{00000000-0005-0000-0000-00008F080000}"/>
    <cellStyle name="Accent1 - 20% 5" xfId="2192" xr:uid="{00000000-0005-0000-0000-000090080000}"/>
    <cellStyle name="Accent1 - 20% 5 2" xfId="2193" xr:uid="{00000000-0005-0000-0000-000091080000}"/>
    <cellStyle name="Accent1 - 20% 5 2 2" xfId="2194" xr:uid="{00000000-0005-0000-0000-000092080000}"/>
    <cellStyle name="Accent1 - 20% 5 3" xfId="2195" xr:uid="{00000000-0005-0000-0000-000093080000}"/>
    <cellStyle name="Accent1 - 20% 6" xfId="2196" xr:uid="{00000000-0005-0000-0000-000094080000}"/>
    <cellStyle name="Accent1 - 20% 6 2" xfId="2197" xr:uid="{00000000-0005-0000-0000-000095080000}"/>
    <cellStyle name="Accent1 - 20% 7" xfId="2198" xr:uid="{00000000-0005-0000-0000-000096080000}"/>
    <cellStyle name="Accent1 - 20% 7 2" xfId="2199" xr:uid="{00000000-0005-0000-0000-000097080000}"/>
    <cellStyle name="Accent1 - 20% 8" xfId="2200" xr:uid="{00000000-0005-0000-0000-000098080000}"/>
    <cellStyle name="Accent1 - 20% 8 2" xfId="2201" xr:uid="{00000000-0005-0000-0000-000099080000}"/>
    <cellStyle name="Accent1 - 20% 9" xfId="2202" xr:uid="{00000000-0005-0000-0000-00009A080000}"/>
    <cellStyle name="Accent1 - 20% 9 2" xfId="2203" xr:uid="{00000000-0005-0000-0000-00009B080000}"/>
    <cellStyle name="Accent1 - 40%" xfId="2204" xr:uid="{00000000-0005-0000-0000-00009C080000}"/>
    <cellStyle name="Accent1 - 40% 10" xfId="2205" xr:uid="{00000000-0005-0000-0000-00009D080000}"/>
    <cellStyle name="Accent1 - 40% 11" xfId="2206" xr:uid="{00000000-0005-0000-0000-00009E080000}"/>
    <cellStyle name="Accent1 - 40% 2" xfId="2207" xr:uid="{00000000-0005-0000-0000-00009F080000}"/>
    <cellStyle name="Accent1 - 40% 2 2" xfId="2208" xr:uid="{00000000-0005-0000-0000-0000A0080000}"/>
    <cellStyle name="Accent1 - 40% 2 2 2" xfId="2209" xr:uid="{00000000-0005-0000-0000-0000A1080000}"/>
    <cellStyle name="Accent1 - 40% 2 2 2 2" xfId="2210" xr:uid="{00000000-0005-0000-0000-0000A2080000}"/>
    <cellStyle name="Accent1 - 40% 2 2 3" xfId="2211" xr:uid="{00000000-0005-0000-0000-0000A3080000}"/>
    <cellStyle name="Accent1 - 40% 2 3" xfId="2212" xr:uid="{00000000-0005-0000-0000-0000A4080000}"/>
    <cellStyle name="Accent1 - 40% 2 3 2" xfId="2213" xr:uid="{00000000-0005-0000-0000-0000A5080000}"/>
    <cellStyle name="Accent1 - 40% 2 3 2 2" xfId="2214" xr:uid="{00000000-0005-0000-0000-0000A6080000}"/>
    <cellStyle name="Accent1 - 40% 2 3 2 2 2" xfId="2215" xr:uid="{00000000-0005-0000-0000-0000A7080000}"/>
    <cellStyle name="Accent1 - 40% 2 3 2 3" xfId="2216" xr:uid="{00000000-0005-0000-0000-0000A8080000}"/>
    <cellStyle name="Accent1 - 40% 2 3 3" xfId="2217" xr:uid="{00000000-0005-0000-0000-0000A9080000}"/>
    <cellStyle name="Accent1 - 40% 2 3 3 2" xfId="2218" xr:uid="{00000000-0005-0000-0000-0000AA080000}"/>
    <cellStyle name="Accent1 - 40% 2 3 4" xfId="2219" xr:uid="{00000000-0005-0000-0000-0000AB080000}"/>
    <cellStyle name="Accent1 - 40% 2 4" xfId="2220" xr:uid="{00000000-0005-0000-0000-0000AC080000}"/>
    <cellStyle name="Accent1 - 40% 2 4 2" xfId="2221" xr:uid="{00000000-0005-0000-0000-0000AD080000}"/>
    <cellStyle name="Accent1 - 40% 2 4 2 2" xfId="2222" xr:uid="{00000000-0005-0000-0000-0000AE080000}"/>
    <cellStyle name="Accent1 - 40% 2 4 2 2 2" xfId="2223" xr:uid="{00000000-0005-0000-0000-0000AF080000}"/>
    <cellStyle name="Accent1 - 40% 2 4 2 3" xfId="2224" xr:uid="{00000000-0005-0000-0000-0000B0080000}"/>
    <cellStyle name="Accent1 - 40% 2 4 3" xfId="2225" xr:uid="{00000000-0005-0000-0000-0000B1080000}"/>
    <cellStyle name="Accent1 - 40% 2 4 3 2" xfId="2226" xr:uid="{00000000-0005-0000-0000-0000B2080000}"/>
    <cellStyle name="Accent1 - 40% 2 4 4" xfId="2227" xr:uid="{00000000-0005-0000-0000-0000B3080000}"/>
    <cellStyle name="Accent1 - 40% 2 5" xfId="2228" xr:uid="{00000000-0005-0000-0000-0000B4080000}"/>
    <cellStyle name="Accent1 - 40% 2 5 2" xfId="2229" xr:uid="{00000000-0005-0000-0000-0000B5080000}"/>
    <cellStyle name="Accent1 - 40% 2 6" xfId="2230" xr:uid="{00000000-0005-0000-0000-0000B6080000}"/>
    <cellStyle name="Accent1 - 40% 2 6 2" xfId="2231" xr:uid="{00000000-0005-0000-0000-0000B7080000}"/>
    <cellStyle name="Accent1 - 40% 2 7" xfId="2232" xr:uid="{00000000-0005-0000-0000-0000B8080000}"/>
    <cellStyle name="Accent1 - 40% 3" xfId="2233" xr:uid="{00000000-0005-0000-0000-0000B9080000}"/>
    <cellStyle name="Accent1 - 40% 3 2" xfId="2234" xr:uid="{00000000-0005-0000-0000-0000BA080000}"/>
    <cellStyle name="Accent1 - 40% 3 2 2" xfId="2235" xr:uid="{00000000-0005-0000-0000-0000BB080000}"/>
    <cellStyle name="Accent1 - 40% 3 2 2 2" xfId="2236" xr:uid="{00000000-0005-0000-0000-0000BC080000}"/>
    <cellStyle name="Accent1 - 40% 3 2 3" xfId="2237" xr:uid="{00000000-0005-0000-0000-0000BD080000}"/>
    <cellStyle name="Accent1 - 40% 3 3" xfId="2238" xr:uid="{00000000-0005-0000-0000-0000BE080000}"/>
    <cellStyle name="Accent1 - 40% 3 3 2" xfId="2239" xr:uid="{00000000-0005-0000-0000-0000BF080000}"/>
    <cellStyle name="Accent1 - 40% 3 4" xfId="2240" xr:uid="{00000000-0005-0000-0000-0000C0080000}"/>
    <cellStyle name="Accent1 - 40% 4" xfId="2241" xr:uid="{00000000-0005-0000-0000-0000C1080000}"/>
    <cellStyle name="Accent1 - 40% 4 2" xfId="2242" xr:uid="{00000000-0005-0000-0000-0000C2080000}"/>
    <cellStyle name="Accent1 - 40% 4 2 2" xfId="2243" xr:uid="{00000000-0005-0000-0000-0000C3080000}"/>
    <cellStyle name="Accent1 - 40% 4 3" xfId="2244" xr:uid="{00000000-0005-0000-0000-0000C4080000}"/>
    <cellStyle name="Accent1 - 40% 5" xfId="2245" xr:uid="{00000000-0005-0000-0000-0000C5080000}"/>
    <cellStyle name="Accent1 - 40% 5 2" xfId="2246" xr:uid="{00000000-0005-0000-0000-0000C6080000}"/>
    <cellStyle name="Accent1 - 40% 5 2 2" xfId="2247" xr:uid="{00000000-0005-0000-0000-0000C7080000}"/>
    <cellStyle name="Accent1 - 40% 5 3" xfId="2248" xr:uid="{00000000-0005-0000-0000-0000C8080000}"/>
    <cellStyle name="Accent1 - 40% 6" xfId="2249" xr:uid="{00000000-0005-0000-0000-0000C9080000}"/>
    <cellStyle name="Accent1 - 40% 6 2" xfId="2250" xr:uid="{00000000-0005-0000-0000-0000CA080000}"/>
    <cellStyle name="Accent1 - 40% 7" xfId="2251" xr:uid="{00000000-0005-0000-0000-0000CB080000}"/>
    <cellStyle name="Accent1 - 40% 7 2" xfId="2252" xr:uid="{00000000-0005-0000-0000-0000CC080000}"/>
    <cellStyle name="Accent1 - 40% 8" xfId="2253" xr:uid="{00000000-0005-0000-0000-0000CD080000}"/>
    <cellStyle name="Accent1 - 40% 8 2" xfId="2254" xr:uid="{00000000-0005-0000-0000-0000CE080000}"/>
    <cellStyle name="Accent1 - 40% 9" xfId="2255" xr:uid="{00000000-0005-0000-0000-0000CF080000}"/>
    <cellStyle name="Accent1 - 40% 9 2" xfId="2256" xr:uid="{00000000-0005-0000-0000-0000D0080000}"/>
    <cellStyle name="Accent1 - 60%" xfId="2257" xr:uid="{00000000-0005-0000-0000-0000D1080000}"/>
    <cellStyle name="Accent1 - 60% 10" xfId="2258" xr:uid="{00000000-0005-0000-0000-0000D2080000}"/>
    <cellStyle name="Accent1 - 60% 2" xfId="2259" xr:uid="{00000000-0005-0000-0000-0000D3080000}"/>
    <cellStyle name="Accent1 - 60% 2 2" xfId="2260" xr:uid="{00000000-0005-0000-0000-0000D4080000}"/>
    <cellStyle name="Accent1 - 60% 2 2 2" xfId="2261" xr:uid="{00000000-0005-0000-0000-0000D5080000}"/>
    <cellStyle name="Accent1 - 60% 2 3" xfId="2262" xr:uid="{00000000-0005-0000-0000-0000D6080000}"/>
    <cellStyle name="Accent1 - 60% 2 3 2" xfId="2263" xr:uid="{00000000-0005-0000-0000-0000D7080000}"/>
    <cellStyle name="Accent1 - 60% 2 3 2 2" xfId="2264" xr:uid="{00000000-0005-0000-0000-0000D8080000}"/>
    <cellStyle name="Accent1 - 60% 2 3 3" xfId="2265" xr:uid="{00000000-0005-0000-0000-0000D9080000}"/>
    <cellStyle name="Accent1 - 60% 2 4" xfId="2266" xr:uid="{00000000-0005-0000-0000-0000DA080000}"/>
    <cellStyle name="Accent1 - 60% 2 4 2" xfId="2267" xr:uid="{00000000-0005-0000-0000-0000DB080000}"/>
    <cellStyle name="Accent1 - 60% 2 4 2 2" xfId="2268" xr:uid="{00000000-0005-0000-0000-0000DC080000}"/>
    <cellStyle name="Accent1 - 60% 2 4 3" xfId="2269" xr:uid="{00000000-0005-0000-0000-0000DD080000}"/>
    <cellStyle name="Accent1 - 60% 2 5" xfId="2270" xr:uid="{00000000-0005-0000-0000-0000DE080000}"/>
    <cellStyle name="Accent1 - 60% 3" xfId="2271" xr:uid="{00000000-0005-0000-0000-0000DF080000}"/>
    <cellStyle name="Accent1 - 60% 3 2" xfId="2272" xr:uid="{00000000-0005-0000-0000-0000E0080000}"/>
    <cellStyle name="Accent1 - 60% 3 2 2" xfId="2273" xr:uid="{00000000-0005-0000-0000-0000E1080000}"/>
    <cellStyle name="Accent1 - 60% 3 3" xfId="2274" xr:uid="{00000000-0005-0000-0000-0000E2080000}"/>
    <cellStyle name="Accent1 - 60% 4" xfId="2275" xr:uid="{00000000-0005-0000-0000-0000E3080000}"/>
    <cellStyle name="Accent1 - 60% 4 2" xfId="2276" xr:uid="{00000000-0005-0000-0000-0000E4080000}"/>
    <cellStyle name="Accent1 - 60% 5" xfId="2277" xr:uid="{00000000-0005-0000-0000-0000E5080000}"/>
    <cellStyle name="Accent1 - 60% 5 2" xfId="2278" xr:uid="{00000000-0005-0000-0000-0000E6080000}"/>
    <cellStyle name="Accent1 - 60% 6" xfId="2279" xr:uid="{00000000-0005-0000-0000-0000E7080000}"/>
    <cellStyle name="Accent1 - 60% 6 2" xfId="2280" xr:uid="{00000000-0005-0000-0000-0000E8080000}"/>
    <cellStyle name="Accent1 - 60% 6 2 2" xfId="2281" xr:uid="{00000000-0005-0000-0000-0000E9080000}"/>
    <cellStyle name="Accent1 - 60% 6 3" xfId="2282" xr:uid="{00000000-0005-0000-0000-0000EA080000}"/>
    <cellStyle name="Accent1 - 60% 7" xfId="2283" xr:uid="{00000000-0005-0000-0000-0000EB080000}"/>
    <cellStyle name="Accent1 - 60% 7 2" xfId="2284" xr:uid="{00000000-0005-0000-0000-0000EC080000}"/>
    <cellStyle name="Accent1 - 60% 8" xfId="2285" xr:uid="{00000000-0005-0000-0000-0000ED080000}"/>
    <cellStyle name="Accent1 - 60% 8 2" xfId="2286" xr:uid="{00000000-0005-0000-0000-0000EE080000}"/>
    <cellStyle name="Accent1 - 60% 9" xfId="2287" xr:uid="{00000000-0005-0000-0000-0000EF080000}"/>
    <cellStyle name="Accent1 10" xfId="2288" xr:uid="{00000000-0005-0000-0000-0000F0080000}"/>
    <cellStyle name="Accent1 10 2" xfId="2289" xr:uid="{00000000-0005-0000-0000-0000F1080000}"/>
    <cellStyle name="Accent1 10 2 2" xfId="2290" xr:uid="{00000000-0005-0000-0000-0000F2080000}"/>
    <cellStyle name="Accent1 10 3" xfId="2291" xr:uid="{00000000-0005-0000-0000-0000F3080000}"/>
    <cellStyle name="Accent1 100" xfId="2292" xr:uid="{00000000-0005-0000-0000-0000F4080000}"/>
    <cellStyle name="Accent1 100 2" xfId="2293" xr:uid="{00000000-0005-0000-0000-0000F5080000}"/>
    <cellStyle name="Accent1 100 2 2" xfId="2294" xr:uid="{00000000-0005-0000-0000-0000F6080000}"/>
    <cellStyle name="Accent1 100 3" xfId="2295" xr:uid="{00000000-0005-0000-0000-0000F7080000}"/>
    <cellStyle name="Accent1 101" xfId="2296" xr:uid="{00000000-0005-0000-0000-0000F8080000}"/>
    <cellStyle name="Accent1 101 2" xfId="2297" xr:uid="{00000000-0005-0000-0000-0000F9080000}"/>
    <cellStyle name="Accent1 101 2 2" xfId="2298" xr:uid="{00000000-0005-0000-0000-0000FA080000}"/>
    <cellStyle name="Accent1 101 3" xfId="2299" xr:uid="{00000000-0005-0000-0000-0000FB080000}"/>
    <cellStyle name="Accent1 102" xfId="2300" xr:uid="{00000000-0005-0000-0000-0000FC080000}"/>
    <cellStyle name="Accent1 102 2" xfId="2301" xr:uid="{00000000-0005-0000-0000-0000FD080000}"/>
    <cellStyle name="Accent1 103" xfId="2302" xr:uid="{00000000-0005-0000-0000-0000FE080000}"/>
    <cellStyle name="Accent1 103 2" xfId="2303" xr:uid="{00000000-0005-0000-0000-0000FF080000}"/>
    <cellStyle name="Accent1 104" xfId="2304" xr:uid="{00000000-0005-0000-0000-000000090000}"/>
    <cellStyle name="Accent1 104 2" xfId="2305" xr:uid="{00000000-0005-0000-0000-000001090000}"/>
    <cellStyle name="Accent1 104 2 2" xfId="2306" xr:uid="{00000000-0005-0000-0000-000002090000}"/>
    <cellStyle name="Accent1 104 3" xfId="2307" xr:uid="{00000000-0005-0000-0000-000003090000}"/>
    <cellStyle name="Accent1 105" xfId="2308" xr:uid="{00000000-0005-0000-0000-000004090000}"/>
    <cellStyle name="Accent1 105 2" xfId="2309" xr:uid="{00000000-0005-0000-0000-000005090000}"/>
    <cellStyle name="Accent1 105 2 2" xfId="2310" xr:uid="{00000000-0005-0000-0000-000006090000}"/>
    <cellStyle name="Accent1 105 3" xfId="2311" xr:uid="{00000000-0005-0000-0000-000007090000}"/>
    <cellStyle name="Accent1 106" xfId="2312" xr:uid="{00000000-0005-0000-0000-000008090000}"/>
    <cellStyle name="Accent1 106 2" xfId="2313" xr:uid="{00000000-0005-0000-0000-000009090000}"/>
    <cellStyle name="Accent1 106 2 2" xfId="2314" xr:uid="{00000000-0005-0000-0000-00000A090000}"/>
    <cellStyle name="Accent1 106 3" xfId="2315" xr:uid="{00000000-0005-0000-0000-00000B090000}"/>
    <cellStyle name="Accent1 107" xfId="2316" xr:uid="{00000000-0005-0000-0000-00000C090000}"/>
    <cellStyle name="Accent1 107 2" xfId="2317" xr:uid="{00000000-0005-0000-0000-00000D090000}"/>
    <cellStyle name="Accent1 107 2 2" xfId="2318" xr:uid="{00000000-0005-0000-0000-00000E090000}"/>
    <cellStyle name="Accent1 107 3" xfId="2319" xr:uid="{00000000-0005-0000-0000-00000F090000}"/>
    <cellStyle name="Accent1 108" xfId="2320" xr:uid="{00000000-0005-0000-0000-000010090000}"/>
    <cellStyle name="Accent1 108 2" xfId="2321" xr:uid="{00000000-0005-0000-0000-000011090000}"/>
    <cellStyle name="Accent1 108 2 2" xfId="2322" xr:uid="{00000000-0005-0000-0000-000012090000}"/>
    <cellStyle name="Accent1 108 3" xfId="2323" xr:uid="{00000000-0005-0000-0000-000013090000}"/>
    <cellStyle name="Accent1 109" xfId="2324" xr:uid="{00000000-0005-0000-0000-000014090000}"/>
    <cellStyle name="Accent1 109 2" xfId="2325" xr:uid="{00000000-0005-0000-0000-000015090000}"/>
    <cellStyle name="Accent1 109 2 2" xfId="2326" xr:uid="{00000000-0005-0000-0000-000016090000}"/>
    <cellStyle name="Accent1 109 3" xfId="2327" xr:uid="{00000000-0005-0000-0000-000017090000}"/>
    <cellStyle name="Accent1 11" xfId="2328" xr:uid="{00000000-0005-0000-0000-000018090000}"/>
    <cellStyle name="Accent1 11 2" xfId="2329" xr:uid="{00000000-0005-0000-0000-000019090000}"/>
    <cellStyle name="Accent1 11 2 2" xfId="2330" xr:uid="{00000000-0005-0000-0000-00001A090000}"/>
    <cellStyle name="Accent1 11 3" xfId="2331" xr:uid="{00000000-0005-0000-0000-00001B090000}"/>
    <cellStyle name="Accent1 110" xfId="2332" xr:uid="{00000000-0005-0000-0000-00001C090000}"/>
    <cellStyle name="Accent1 110 2" xfId="2333" xr:uid="{00000000-0005-0000-0000-00001D090000}"/>
    <cellStyle name="Accent1 110 2 2" xfId="2334" xr:uid="{00000000-0005-0000-0000-00001E090000}"/>
    <cellStyle name="Accent1 110 3" xfId="2335" xr:uid="{00000000-0005-0000-0000-00001F090000}"/>
    <cellStyle name="Accent1 111" xfId="2336" xr:uid="{00000000-0005-0000-0000-000020090000}"/>
    <cellStyle name="Accent1 111 2" xfId="2337" xr:uid="{00000000-0005-0000-0000-000021090000}"/>
    <cellStyle name="Accent1 111 2 2" xfId="2338" xr:uid="{00000000-0005-0000-0000-000022090000}"/>
    <cellStyle name="Accent1 111 3" xfId="2339" xr:uid="{00000000-0005-0000-0000-000023090000}"/>
    <cellStyle name="Accent1 112" xfId="2340" xr:uid="{00000000-0005-0000-0000-000024090000}"/>
    <cellStyle name="Accent1 112 2" xfId="2341" xr:uid="{00000000-0005-0000-0000-000025090000}"/>
    <cellStyle name="Accent1 112 2 2" xfId="2342" xr:uid="{00000000-0005-0000-0000-000026090000}"/>
    <cellStyle name="Accent1 112 3" xfId="2343" xr:uid="{00000000-0005-0000-0000-000027090000}"/>
    <cellStyle name="Accent1 113" xfId="2344" xr:uid="{00000000-0005-0000-0000-000028090000}"/>
    <cellStyle name="Accent1 113 2" xfId="2345" xr:uid="{00000000-0005-0000-0000-000029090000}"/>
    <cellStyle name="Accent1 113 2 2" xfId="2346" xr:uid="{00000000-0005-0000-0000-00002A090000}"/>
    <cellStyle name="Accent1 113 3" xfId="2347" xr:uid="{00000000-0005-0000-0000-00002B090000}"/>
    <cellStyle name="Accent1 114" xfId="2348" xr:uid="{00000000-0005-0000-0000-00002C090000}"/>
    <cellStyle name="Accent1 114 2" xfId="2349" xr:uid="{00000000-0005-0000-0000-00002D090000}"/>
    <cellStyle name="Accent1 115" xfId="2350" xr:uid="{00000000-0005-0000-0000-00002E090000}"/>
    <cellStyle name="Accent1 115 2" xfId="2351" xr:uid="{00000000-0005-0000-0000-00002F090000}"/>
    <cellStyle name="Accent1 116" xfId="2352" xr:uid="{00000000-0005-0000-0000-000030090000}"/>
    <cellStyle name="Accent1 116 2" xfId="2353" xr:uid="{00000000-0005-0000-0000-000031090000}"/>
    <cellStyle name="Accent1 117" xfId="2354" xr:uid="{00000000-0005-0000-0000-000032090000}"/>
    <cellStyle name="Accent1 117 2" xfId="2355" xr:uid="{00000000-0005-0000-0000-000033090000}"/>
    <cellStyle name="Accent1 118" xfId="2356" xr:uid="{00000000-0005-0000-0000-000034090000}"/>
    <cellStyle name="Accent1 118 2" xfId="2357" xr:uid="{00000000-0005-0000-0000-000035090000}"/>
    <cellStyle name="Accent1 119" xfId="2358" xr:uid="{00000000-0005-0000-0000-000036090000}"/>
    <cellStyle name="Accent1 119 2" xfId="2359" xr:uid="{00000000-0005-0000-0000-000037090000}"/>
    <cellStyle name="Accent1 12" xfId="2360" xr:uid="{00000000-0005-0000-0000-000038090000}"/>
    <cellStyle name="Accent1 12 2" xfId="2361" xr:uid="{00000000-0005-0000-0000-000039090000}"/>
    <cellStyle name="Accent1 12 2 2" xfId="2362" xr:uid="{00000000-0005-0000-0000-00003A090000}"/>
    <cellStyle name="Accent1 12 3" xfId="2363" xr:uid="{00000000-0005-0000-0000-00003B090000}"/>
    <cellStyle name="Accent1 120" xfId="2364" xr:uid="{00000000-0005-0000-0000-00003C090000}"/>
    <cellStyle name="Accent1 120 2" xfId="2365" xr:uid="{00000000-0005-0000-0000-00003D090000}"/>
    <cellStyle name="Accent1 121" xfId="2366" xr:uid="{00000000-0005-0000-0000-00003E090000}"/>
    <cellStyle name="Accent1 121 2" xfId="2367" xr:uid="{00000000-0005-0000-0000-00003F090000}"/>
    <cellStyle name="Accent1 122" xfId="2368" xr:uid="{00000000-0005-0000-0000-000040090000}"/>
    <cellStyle name="Accent1 122 2" xfId="2369" xr:uid="{00000000-0005-0000-0000-000041090000}"/>
    <cellStyle name="Accent1 123" xfId="2370" xr:uid="{00000000-0005-0000-0000-000042090000}"/>
    <cellStyle name="Accent1 123 2" xfId="2371" xr:uid="{00000000-0005-0000-0000-000043090000}"/>
    <cellStyle name="Accent1 124" xfId="2372" xr:uid="{00000000-0005-0000-0000-000044090000}"/>
    <cellStyle name="Accent1 124 2" xfId="2373" xr:uid="{00000000-0005-0000-0000-000045090000}"/>
    <cellStyle name="Accent1 125" xfId="2374" xr:uid="{00000000-0005-0000-0000-000046090000}"/>
    <cellStyle name="Accent1 125 2" xfId="2375" xr:uid="{00000000-0005-0000-0000-000047090000}"/>
    <cellStyle name="Accent1 126" xfId="2376" xr:uid="{00000000-0005-0000-0000-000048090000}"/>
    <cellStyle name="Accent1 127" xfId="2377" xr:uid="{00000000-0005-0000-0000-000049090000}"/>
    <cellStyle name="Accent1 128" xfId="2378" xr:uid="{00000000-0005-0000-0000-00004A090000}"/>
    <cellStyle name="Accent1 129" xfId="2379" xr:uid="{00000000-0005-0000-0000-00004B090000}"/>
    <cellStyle name="Accent1 13" xfId="2380" xr:uid="{00000000-0005-0000-0000-00004C090000}"/>
    <cellStyle name="Accent1 13 2" xfId="2381" xr:uid="{00000000-0005-0000-0000-00004D090000}"/>
    <cellStyle name="Accent1 13 2 2" xfId="2382" xr:uid="{00000000-0005-0000-0000-00004E090000}"/>
    <cellStyle name="Accent1 13 3" xfId="2383" xr:uid="{00000000-0005-0000-0000-00004F090000}"/>
    <cellStyle name="Accent1 130" xfId="2384" xr:uid="{00000000-0005-0000-0000-000050090000}"/>
    <cellStyle name="Accent1 131" xfId="2385" xr:uid="{00000000-0005-0000-0000-000051090000}"/>
    <cellStyle name="Accent1 132" xfId="2386" xr:uid="{00000000-0005-0000-0000-000052090000}"/>
    <cellStyle name="Accent1 133" xfId="2387" xr:uid="{00000000-0005-0000-0000-000053090000}"/>
    <cellStyle name="Accent1 134" xfId="2388" xr:uid="{00000000-0005-0000-0000-000054090000}"/>
    <cellStyle name="Accent1 135" xfId="2389" xr:uid="{00000000-0005-0000-0000-000055090000}"/>
    <cellStyle name="Accent1 136" xfId="2390" xr:uid="{00000000-0005-0000-0000-000056090000}"/>
    <cellStyle name="Accent1 137" xfId="2391" xr:uid="{00000000-0005-0000-0000-000057090000}"/>
    <cellStyle name="Accent1 138" xfId="2392" xr:uid="{00000000-0005-0000-0000-000058090000}"/>
    <cellStyle name="Accent1 139" xfId="2393" xr:uid="{00000000-0005-0000-0000-000059090000}"/>
    <cellStyle name="Accent1 14" xfId="2394" xr:uid="{00000000-0005-0000-0000-00005A090000}"/>
    <cellStyle name="Accent1 14 2" xfId="2395" xr:uid="{00000000-0005-0000-0000-00005B090000}"/>
    <cellStyle name="Accent1 14 2 2" xfId="2396" xr:uid="{00000000-0005-0000-0000-00005C090000}"/>
    <cellStyle name="Accent1 14 3" xfId="2397" xr:uid="{00000000-0005-0000-0000-00005D090000}"/>
    <cellStyle name="Accent1 140" xfId="2398" xr:uid="{00000000-0005-0000-0000-00005E090000}"/>
    <cellStyle name="Accent1 141" xfId="2399" xr:uid="{00000000-0005-0000-0000-00005F090000}"/>
    <cellStyle name="Accent1 142" xfId="2400" xr:uid="{00000000-0005-0000-0000-000060090000}"/>
    <cellStyle name="Accent1 143" xfId="2401" xr:uid="{00000000-0005-0000-0000-000061090000}"/>
    <cellStyle name="Accent1 144" xfId="2402" xr:uid="{00000000-0005-0000-0000-000062090000}"/>
    <cellStyle name="Accent1 145" xfId="2403" xr:uid="{00000000-0005-0000-0000-000063090000}"/>
    <cellStyle name="Accent1 146" xfId="2404" xr:uid="{00000000-0005-0000-0000-000064090000}"/>
    <cellStyle name="Accent1 147" xfId="2405" xr:uid="{00000000-0005-0000-0000-000065090000}"/>
    <cellStyle name="Accent1 148" xfId="2406" xr:uid="{00000000-0005-0000-0000-000066090000}"/>
    <cellStyle name="Accent1 149" xfId="2407" xr:uid="{00000000-0005-0000-0000-000067090000}"/>
    <cellStyle name="Accent1 15" xfId="2408" xr:uid="{00000000-0005-0000-0000-000068090000}"/>
    <cellStyle name="Accent1 15 2" xfId="2409" xr:uid="{00000000-0005-0000-0000-000069090000}"/>
    <cellStyle name="Accent1 15 2 2" xfId="2410" xr:uid="{00000000-0005-0000-0000-00006A090000}"/>
    <cellStyle name="Accent1 15 3" xfId="2411" xr:uid="{00000000-0005-0000-0000-00006B090000}"/>
    <cellStyle name="Accent1 150" xfId="2412" xr:uid="{00000000-0005-0000-0000-00006C090000}"/>
    <cellStyle name="Accent1 151" xfId="2413" xr:uid="{00000000-0005-0000-0000-00006D090000}"/>
    <cellStyle name="Accent1 152" xfId="2414" xr:uid="{00000000-0005-0000-0000-00006E090000}"/>
    <cellStyle name="Accent1 153" xfId="2415" xr:uid="{00000000-0005-0000-0000-00006F090000}"/>
    <cellStyle name="Accent1 154" xfId="2416" xr:uid="{00000000-0005-0000-0000-000070090000}"/>
    <cellStyle name="Accent1 155" xfId="2417" xr:uid="{00000000-0005-0000-0000-000071090000}"/>
    <cellStyle name="Accent1 156" xfId="2418" xr:uid="{00000000-0005-0000-0000-000072090000}"/>
    <cellStyle name="Accent1 157" xfId="2419" xr:uid="{00000000-0005-0000-0000-000073090000}"/>
    <cellStyle name="Accent1 158" xfId="2420" xr:uid="{00000000-0005-0000-0000-000074090000}"/>
    <cellStyle name="Accent1 159" xfId="2421" xr:uid="{00000000-0005-0000-0000-000075090000}"/>
    <cellStyle name="Accent1 16" xfId="2422" xr:uid="{00000000-0005-0000-0000-000076090000}"/>
    <cellStyle name="Accent1 16 2" xfId="2423" xr:uid="{00000000-0005-0000-0000-000077090000}"/>
    <cellStyle name="Accent1 16 2 2" xfId="2424" xr:uid="{00000000-0005-0000-0000-000078090000}"/>
    <cellStyle name="Accent1 16 3" xfId="2425" xr:uid="{00000000-0005-0000-0000-000079090000}"/>
    <cellStyle name="Accent1 160" xfId="2426" xr:uid="{00000000-0005-0000-0000-00007A090000}"/>
    <cellStyle name="Accent1 161" xfId="2427" xr:uid="{00000000-0005-0000-0000-00007B090000}"/>
    <cellStyle name="Accent1 162" xfId="2428" xr:uid="{00000000-0005-0000-0000-00007C090000}"/>
    <cellStyle name="Accent1 163" xfId="2429" xr:uid="{00000000-0005-0000-0000-00007D090000}"/>
    <cellStyle name="Accent1 164" xfId="2430" xr:uid="{00000000-0005-0000-0000-00007E090000}"/>
    <cellStyle name="Accent1 165" xfId="2431" xr:uid="{00000000-0005-0000-0000-00007F090000}"/>
    <cellStyle name="Accent1 166" xfId="2432" xr:uid="{00000000-0005-0000-0000-000080090000}"/>
    <cellStyle name="Accent1 167" xfId="2433" xr:uid="{00000000-0005-0000-0000-000081090000}"/>
    <cellStyle name="Accent1 168" xfId="2434" xr:uid="{00000000-0005-0000-0000-000082090000}"/>
    <cellStyle name="Accent1 169" xfId="2435" xr:uid="{00000000-0005-0000-0000-000083090000}"/>
    <cellStyle name="Accent1 17" xfId="2436" xr:uid="{00000000-0005-0000-0000-000084090000}"/>
    <cellStyle name="Accent1 17 2" xfId="2437" xr:uid="{00000000-0005-0000-0000-000085090000}"/>
    <cellStyle name="Accent1 17 2 2" xfId="2438" xr:uid="{00000000-0005-0000-0000-000086090000}"/>
    <cellStyle name="Accent1 17 3" xfId="2439" xr:uid="{00000000-0005-0000-0000-000087090000}"/>
    <cellStyle name="Accent1 170" xfId="2440" xr:uid="{00000000-0005-0000-0000-000088090000}"/>
    <cellStyle name="Accent1 171" xfId="2441" xr:uid="{00000000-0005-0000-0000-000089090000}"/>
    <cellStyle name="Accent1 172" xfId="2442" xr:uid="{00000000-0005-0000-0000-00008A090000}"/>
    <cellStyle name="Accent1 173" xfId="2443" xr:uid="{00000000-0005-0000-0000-00008B090000}"/>
    <cellStyle name="Accent1 174" xfId="2444" xr:uid="{00000000-0005-0000-0000-00008C090000}"/>
    <cellStyle name="Accent1 175" xfId="2445" xr:uid="{00000000-0005-0000-0000-00008D090000}"/>
    <cellStyle name="Accent1 176" xfId="2446" xr:uid="{00000000-0005-0000-0000-00008E090000}"/>
    <cellStyle name="Accent1 177" xfId="2447" xr:uid="{00000000-0005-0000-0000-00008F090000}"/>
    <cellStyle name="Accent1 178" xfId="2448" xr:uid="{00000000-0005-0000-0000-000090090000}"/>
    <cellStyle name="Accent1 179" xfId="2449" xr:uid="{00000000-0005-0000-0000-000091090000}"/>
    <cellStyle name="Accent1 18" xfId="2450" xr:uid="{00000000-0005-0000-0000-000092090000}"/>
    <cellStyle name="Accent1 18 2" xfId="2451" xr:uid="{00000000-0005-0000-0000-000093090000}"/>
    <cellStyle name="Accent1 18 2 2" xfId="2452" xr:uid="{00000000-0005-0000-0000-000094090000}"/>
    <cellStyle name="Accent1 18 3" xfId="2453" xr:uid="{00000000-0005-0000-0000-000095090000}"/>
    <cellStyle name="Accent1 19" xfId="2454" xr:uid="{00000000-0005-0000-0000-000096090000}"/>
    <cellStyle name="Accent1 19 2" xfId="2455" xr:uid="{00000000-0005-0000-0000-000097090000}"/>
    <cellStyle name="Accent1 19 2 2" xfId="2456" xr:uid="{00000000-0005-0000-0000-000098090000}"/>
    <cellStyle name="Accent1 19 3" xfId="2457" xr:uid="{00000000-0005-0000-0000-000099090000}"/>
    <cellStyle name="Accent1 2" xfId="2458" xr:uid="{00000000-0005-0000-0000-00009A090000}"/>
    <cellStyle name="Accent1 2 10" xfId="2459" xr:uid="{00000000-0005-0000-0000-00009B090000}"/>
    <cellStyle name="Accent1 2 10 2" xfId="2460" xr:uid="{00000000-0005-0000-0000-00009C090000}"/>
    <cellStyle name="Accent1 2 11" xfId="2461" xr:uid="{00000000-0005-0000-0000-00009D090000}"/>
    <cellStyle name="Accent1 2 12" xfId="2462" xr:uid="{00000000-0005-0000-0000-00009E090000}"/>
    <cellStyle name="Accent1 2 2" xfId="2463" xr:uid="{00000000-0005-0000-0000-00009F090000}"/>
    <cellStyle name="Accent1 2 2 2" xfId="2464" xr:uid="{00000000-0005-0000-0000-0000A0090000}"/>
    <cellStyle name="Accent1 2 2 2 2" xfId="2465" xr:uid="{00000000-0005-0000-0000-0000A1090000}"/>
    <cellStyle name="Accent1 2 2 3" xfId="2466" xr:uid="{00000000-0005-0000-0000-0000A2090000}"/>
    <cellStyle name="Accent1 2 2 3 2" xfId="2467" xr:uid="{00000000-0005-0000-0000-0000A3090000}"/>
    <cellStyle name="Accent1 2 2 3 2 2" xfId="2468" xr:uid="{00000000-0005-0000-0000-0000A4090000}"/>
    <cellStyle name="Accent1 2 2 3 3" xfId="2469" xr:uid="{00000000-0005-0000-0000-0000A5090000}"/>
    <cellStyle name="Accent1 2 2 4" xfId="2470" xr:uid="{00000000-0005-0000-0000-0000A6090000}"/>
    <cellStyle name="Accent1 2 3" xfId="2471" xr:uid="{00000000-0005-0000-0000-0000A7090000}"/>
    <cellStyle name="Accent1 2 3 2" xfId="2472" xr:uid="{00000000-0005-0000-0000-0000A8090000}"/>
    <cellStyle name="Accent1 2 3 2 2" xfId="2473" xr:uid="{00000000-0005-0000-0000-0000A9090000}"/>
    <cellStyle name="Accent1 2 3 3" xfId="2474" xr:uid="{00000000-0005-0000-0000-0000AA090000}"/>
    <cellStyle name="Accent1 2 3 3 2" xfId="2475" xr:uid="{00000000-0005-0000-0000-0000AB090000}"/>
    <cellStyle name="Accent1 2 3 3 2 2" xfId="2476" xr:uid="{00000000-0005-0000-0000-0000AC090000}"/>
    <cellStyle name="Accent1 2 3 3 3" xfId="2477" xr:uid="{00000000-0005-0000-0000-0000AD090000}"/>
    <cellStyle name="Accent1 2 3 4" xfId="2478" xr:uid="{00000000-0005-0000-0000-0000AE090000}"/>
    <cellStyle name="Accent1 2 4" xfId="2479" xr:uid="{00000000-0005-0000-0000-0000AF090000}"/>
    <cellStyle name="Accent1 2 4 2" xfId="2480" xr:uid="{00000000-0005-0000-0000-0000B0090000}"/>
    <cellStyle name="Accent1 2 4 2 2" xfId="2481" xr:uid="{00000000-0005-0000-0000-0000B1090000}"/>
    <cellStyle name="Accent1 2 4 3" xfId="2482" xr:uid="{00000000-0005-0000-0000-0000B2090000}"/>
    <cellStyle name="Accent1 2 5" xfId="2483" xr:uid="{00000000-0005-0000-0000-0000B3090000}"/>
    <cellStyle name="Accent1 2 5 2" xfId="2484" xr:uid="{00000000-0005-0000-0000-0000B4090000}"/>
    <cellStyle name="Accent1 2 5 2 2" xfId="2485" xr:uid="{00000000-0005-0000-0000-0000B5090000}"/>
    <cellStyle name="Accent1 2 5 3" xfId="2486" xr:uid="{00000000-0005-0000-0000-0000B6090000}"/>
    <cellStyle name="Accent1 2 5 3 2" xfId="2487" xr:uid="{00000000-0005-0000-0000-0000B7090000}"/>
    <cellStyle name="Accent1 2 5 3 2 2" xfId="2488" xr:uid="{00000000-0005-0000-0000-0000B8090000}"/>
    <cellStyle name="Accent1 2 5 3 3" xfId="2489" xr:uid="{00000000-0005-0000-0000-0000B9090000}"/>
    <cellStyle name="Accent1 2 5 4" xfId="2490" xr:uid="{00000000-0005-0000-0000-0000BA090000}"/>
    <cellStyle name="Accent1 2 6" xfId="2491" xr:uid="{00000000-0005-0000-0000-0000BB090000}"/>
    <cellStyle name="Accent1 2 6 2" xfId="2492" xr:uid="{00000000-0005-0000-0000-0000BC090000}"/>
    <cellStyle name="Accent1 2 7" xfId="2493" xr:uid="{00000000-0005-0000-0000-0000BD090000}"/>
    <cellStyle name="Accent1 2 7 2" xfId="2494" xr:uid="{00000000-0005-0000-0000-0000BE090000}"/>
    <cellStyle name="Accent1 2 8" xfId="2495" xr:uid="{00000000-0005-0000-0000-0000BF090000}"/>
    <cellStyle name="Accent1 2 8 2" xfId="2496" xr:uid="{00000000-0005-0000-0000-0000C0090000}"/>
    <cellStyle name="Accent1 2 8 2 2" xfId="2497" xr:uid="{00000000-0005-0000-0000-0000C1090000}"/>
    <cellStyle name="Accent1 2 8 3" xfId="2498" xr:uid="{00000000-0005-0000-0000-0000C2090000}"/>
    <cellStyle name="Accent1 2 9" xfId="2499" xr:uid="{00000000-0005-0000-0000-0000C3090000}"/>
    <cellStyle name="Accent1 2 9 2" xfId="2500" xr:uid="{00000000-0005-0000-0000-0000C4090000}"/>
    <cellStyle name="Accent1 2 9 2 2" xfId="2501" xr:uid="{00000000-0005-0000-0000-0000C5090000}"/>
    <cellStyle name="Accent1 2 9 3" xfId="2502" xr:uid="{00000000-0005-0000-0000-0000C6090000}"/>
    <cellStyle name="Accent1 20" xfId="2503" xr:uid="{00000000-0005-0000-0000-0000C7090000}"/>
    <cellStyle name="Accent1 20 2" xfId="2504" xr:uid="{00000000-0005-0000-0000-0000C8090000}"/>
    <cellStyle name="Accent1 20 2 2" xfId="2505" xr:uid="{00000000-0005-0000-0000-0000C9090000}"/>
    <cellStyle name="Accent1 20 3" xfId="2506" xr:uid="{00000000-0005-0000-0000-0000CA090000}"/>
    <cellStyle name="Accent1 21" xfId="2507" xr:uid="{00000000-0005-0000-0000-0000CB090000}"/>
    <cellStyle name="Accent1 21 2" xfId="2508" xr:uid="{00000000-0005-0000-0000-0000CC090000}"/>
    <cellStyle name="Accent1 21 2 2" xfId="2509" xr:uid="{00000000-0005-0000-0000-0000CD090000}"/>
    <cellStyle name="Accent1 21 3" xfId="2510" xr:uid="{00000000-0005-0000-0000-0000CE090000}"/>
    <cellStyle name="Accent1 22" xfId="2511" xr:uid="{00000000-0005-0000-0000-0000CF090000}"/>
    <cellStyle name="Accent1 22 2" xfId="2512" xr:uid="{00000000-0005-0000-0000-0000D0090000}"/>
    <cellStyle name="Accent1 22 2 2" xfId="2513" xr:uid="{00000000-0005-0000-0000-0000D1090000}"/>
    <cellStyle name="Accent1 22 3" xfId="2514" xr:uid="{00000000-0005-0000-0000-0000D2090000}"/>
    <cellStyle name="Accent1 23" xfId="2515" xr:uid="{00000000-0005-0000-0000-0000D3090000}"/>
    <cellStyle name="Accent1 23 2" xfId="2516" xr:uid="{00000000-0005-0000-0000-0000D4090000}"/>
    <cellStyle name="Accent1 23 2 2" xfId="2517" xr:uid="{00000000-0005-0000-0000-0000D5090000}"/>
    <cellStyle name="Accent1 23 3" xfId="2518" xr:uid="{00000000-0005-0000-0000-0000D6090000}"/>
    <cellStyle name="Accent1 24" xfId="2519" xr:uid="{00000000-0005-0000-0000-0000D7090000}"/>
    <cellStyle name="Accent1 24 2" xfId="2520" xr:uid="{00000000-0005-0000-0000-0000D8090000}"/>
    <cellStyle name="Accent1 24 2 2" xfId="2521" xr:uid="{00000000-0005-0000-0000-0000D9090000}"/>
    <cellStyle name="Accent1 24 3" xfId="2522" xr:uid="{00000000-0005-0000-0000-0000DA090000}"/>
    <cellStyle name="Accent1 25" xfId="2523" xr:uid="{00000000-0005-0000-0000-0000DB090000}"/>
    <cellStyle name="Accent1 25 2" xfId="2524" xr:uid="{00000000-0005-0000-0000-0000DC090000}"/>
    <cellStyle name="Accent1 25 2 2" xfId="2525" xr:uid="{00000000-0005-0000-0000-0000DD090000}"/>
    <cellStyle name="Accent1 25 3" xfId="2526" xr:uid="{00000000-0005-0000-0000-0000DE090000}"/>
    <cellStyle name="Accent1 26" xfId="2527" xr:uid="{00000000-0005-0000-0000-0000DF090000}"/>
    <cellStyle name="Accent1 26 2" xfId="2528" xr:uid="{00000000-0005-0000-0000-0000E0090000}"/>
    <cellStyle name="Accent1 26 2 2" xfId="2529" xr:uid="{00000000-0005-0000-0000-0000E1090000}"/>
    <cellStyle name="Accent1 26 3" xfId="2530" xr:uid="{00000000-0005-0000-0000-0000E2090000}"/>
    <cellStyle name="Accent1 27" xfId="2531" xr:uid="{00000000-0005-0000-0000-0000E3090000}"/>
    <cellStyle name="Accent1 27 2" xfId="2532" xr:uid="{00000000-0005-0000-0000-0000E4090000}"/>
    <cellStyle name="Accent1 27 2 2" xfId="2533" xr:uid="{00000000-0005-0000-0000-0000E5090000}"/>
    <cellStyle name="Accent1 27 3" xfId="2534" xr:uid="{00000000-0005-0000-0000-0000E6090000}"/>
    <cellStyle name="Accent1 28" xfId="2535" xr:uid="{00000000-0005-0000-0000-0000E7090000}"/>
    <cellStyle name="Accent1 28 2" xfId="2536" xr:uid="{00000000-0005-0000-0000-0000E8090000}"/>
    <cellStyle name="Accent1 28 2 2" xfId="2537" xr:uid="{00000000-0005-0000-0000-0000E9090000}"/>
    <cellStyle name="Accent1 28 3" xfId="2538" xr:uid="{00000000-0005-0000-0000-0000EA090000}"/>
    <cellStyle name="Accent1 29" xfId="2539" xr:uid="{00000000-0005-0000-0000-0000EB090000}"/>
    <cellStyle name="Accent1 29 2" xfId="2540" xr:uid="{00000000-0005-0000-0000-0000EC090000}"/>
    <cellStyle name="Accent1 29 2 2" xfId="2541" xr:uid="{00000000-0005-0000-0000-0000ED090000}"/>
    <cellStyle name="Accent1 29 3" xfId="2542" xr:uid="{00000000-0005-0000-0000-0000EE090000}"/>
    <cellStyle name="Accent1 3" xfId="2543" xr:uid="{00000000-0005-0000-0000-0000EF090000}"/>
    <cellStyle name="Accent1 3 10" xfId="2544" xr:uid="{00000000-0005-0000-0000-0000F0090000}"/>
    <cellStyle name="Accent1 3 10 2" xfId="2545" xr:uid="{00000000-0005-0000-0000-0000F1090000}"/>
    <cellStyle name="Accent1 3 11" xfId="2546" xr:uid="{00000000-0005-0000-0000-0000F2090000}"/>
    <cellStyle name="Accent1 3 2" xfId="2547" xr:uid="{00000000-0005-0000-0000-0000F3090000}"/>
    <cellStyle name="Accent1 3 2 2" xfId="2548" xr:uid="{00000000-0005-0000-0000-0000F4090000}"/>
    <cellStyle name="Accent1 3 2 2 2" xfId="2549" xr:uid="{00000000-0005-0000-0000-0000F5090000}"/>
    <cellStyle name="Accent1 3 2 3" xfId="2550" xr:uid="{00000000-0005-0000-0000-0000F6090000}"/>
    <cellStyle name="Accent1 3 2 3 2" xfId="2551" xr:uid="{00000000-0005-0000-0000-0000F7090000}"/>
    <cellStyle name="Accent1 3 2 3 2 2" xfId="2552" xr:uid="{00000000-0005-0000-0000-0000F8090000}"/>
    <cellStyle name="Accent1 3 2 3 3" xfId="2553" xr:uid="{00000000-0005-0000-0000-0000F9090000}"/>
    <cellStyle name="Accent1 3 2 4" xfId="2554" xr:uid="{00000000-0005-0000-0000-0000FA090000}"/>
    <cellStyle name="Accent1 3 3" xfId="2555" xr:uid="{00000000-0005-0000-0000-0000FB090000}"/>
    <cellStyle name="Accent1 3 3 2" xfId="2556" xr:uid="{00000000-0005-0000-0000-0000FC090000}"/>
    <cellStyle name="Accent1 3 3 2 2" xfId="2557" xr:uid="{00000000-0005-0000-0000-0000FD090000}"/>
    <cellStyle name="Accent1 3 3 3" xfId="2558" xr:uid="{00000000-0005-0000-0000-0000FE090000}"/>
    <cellStyle name="Accent1 3 3 3 2" xfId="2559" xr:uid="{00000000-0005-0000-0000-0000FF090000}"/>
    <cellStyle name="Accent1 3 3 3 2 2" xfId="2560" xr:uid="{00000000-0005-0000-0000-0000000A0000}"/>
    <cellStyle name="Accent1 3 3 3 3" xfId="2561" xr:uid="{00000000-0005-0000-0000-0000010A0000}"/>
    <cellStyle name="Accent1 3 3 4" xfId="2562" xr:uid="{00000000-0005-0000-0000-0000020A0000}"/>
    <cellStyle name="Accent1 3 4" xfId="2563" xr:uid="{00000000-0005-0000-0000-0000030A0000}"/>
    <cellStyle name="Accent1 3 4 2" xfId="2564" xr:uid="{00000000-0005-0000-0000-0000040A0000}"/>
    <cellStyle name="Accent1 3 4 2 2" xfId="2565" xr:uid="{00000000-0005-0000-0000-0000050A0000}"/>
    <cellStyle name="Accent1 3 4 3" xfId="2566" xr:uid="{00000000-0005-0000-0000-0000060A0000}"/>
    <cellStyle name="Accent1 3 5" xfId="2567" xr:uid="{00000000-0005-0000-0000-0000070A0000}"/>
    <cellStyle name="Accent1 3 5 2" xfId="2568" xr:uid="{00000000-0005-0000-0000-0000080A0000}"/>
    <cellStyle name="Accent1 3 5 2 2" xfId="2569" xr:uid="{00000000-0005-0000-0000-0000090A0000}"/>
    <cellStyle name="Accent1 3 5 3" xfId="2570" xr:uid="{00000000-0005-0000-0000-00000A0A0000}"/>
    <cellStyle name="Accent1 3 5 3 2" xfId="2571" xr:uid="{00000000-0005-0000-0000-00000B0A0000}"/>
    <cellStyle name="Accent1 3 5 3 2 2" xfId="2572" xr:uid="{00000000-0005-0000-0000-00000C0A0000}"/>
    <cellStyle name="Accent1 3 5 3 3" xfId="2573" xr:uid="{00000000-0005-0000-0000-00000D0A0000}"/>
    <cellStyle name="Accent1 3 5 4" xfId="2574" xr:uid="{00000000-0005-0000-0000-00000E0A0000}"/>
    <cellStyle name="Accent1 3 6" xfId="2575" xr:uid="{00000000-0005-0000-0000-00000F0A0000}"/>
    <cellStyle name="Accent1 3 6 2" xfId="2576" xr:uid="{00000000-0005-0000-0000-0000100A0000}"/>
    <cellStyle name="Accent1 3 7" xfId="2577" xr:uid="{00000000-0005-0000-0000-0000110A0000}"/>
    <cellStyle name="Accent1 3 7 2" xfId="2578" xr:uid="{00000000-0005-0000-0000-0000120A0000}"/>
    <cellStyle name="Accent1 3 8" xfId="2579" xr:uid="{00000000-0005-0000-0000-0000130A0000}"/>
    <cellStyle name="Accent1 3 8 2" xfId="2580" xr:uid="{00000000-0005-0000-0000-0000140A0000}"/>
    <cellStyle name="Accent1 3 8 2 2" xfId="2581" xr:uid="{00000000-0005-0000-0000-0000150A0000}"/>
    <cellStyle name="Accent1 3 8 3" xfId="2582" xr:uid="{00000000-0005-0000-0000-0000160A0000}"/>
    <cellStyle name="Accent1 3 9" xfId="2583" xr:uid="{00000000-0005-0000-0000-0000170A0000}"/>
    <cellStyle name="Accent1 3 9 2" xfId="2584" xr:uid="{00000000-0005-0000-0000-0000180A0000}"/>
    <cellStyle name="Accent1 3 9 2 2" xfId="2585" xr:uid="{00000000-0005-0000-0000-0000190A0000}"/>
    <cellStyle name="Accent1 3 9 3" xfId="2586" xr:uid="{00000000-0005-0000-0000-00001A0A0000}"/>
    <cellStyle name="Accent1 30" xfId="2587" xr:uid="{00000000-0005-0000-0000-00001B0A0000}"/>
    <cellStyle name="Accent1 30 2" xfId="2588" xr:uid="{00000000-0005-0000-0000-00001C0A0000}"/>
    <cellStyle name="Accent1 30 2 2" xfId="2589" xr:uid="{00000000-0005-0000-0000-00001D0A0000}"/>
    <cellStyle name="Accent1 30 3" xfId="2590" xr:uid="{00000000-0005-0000-0000-00001E0A0000}"/>
    <cellStyle name="Accent1 31" xfId="2591" xr:uid="{00000000-0005-0000-0000-00001F0A0000}"/>
    <cellStyle name="Accent1 31 2" xfId="2592" xr:uid="{00000000-0005-0000-0000-0000200A0000}"/>
    <cellStyle name="Accent1 31 2 2" xfId="2593" xr:uid="{00000000-0005-0000-0000-0000210A0000}"/>
    <cellStyle name="Accent1 31 3" xfId="2594" xr:uid="{00000000-0005-0000-0000-0000220A0000}"/>
    <cellStyle name="Accent1 32" xfId="2595" xr:uid="{00000000-0005-0000-0000-0000230A0000}"/>
    <cellStyle name="Accent1 32 2" xfId="2596" xr:uid="{00000000-0005-0000-0000-0000240A0000}"/>
    <cellStyle name="Accent1 32 2 2" xfId="2597" xr:uid="{00000000-0005-0000-0000-0000250A0000}"/>
    <cellStyle name="Accent1 32 3" xfId="2598" xr:uid="{00000000-0005-0000-0000-0000260A0000}"/>
    <cellStyle name="Accent1 33" xfId="2599" xr:uid="{00000000-0005-0000-0000-0000270A0000}"/>
    <cellStyle name="Accent1 33 2" xfId="2600" xr:uid="{00000000-0005-0000-0000-0000280A0000}"/>
    <cellStyle name="Accent1 33 2 2" xfId="2601" xr:uid="{00000000-0005-0000-0000-0000290A0000}"/>
    <cellStyle name="Accent1 33 3" xfId="2602" xr:uid="{00000000-0005-0000-0000-00002A0A0000}"/>
    <cellStyle name="Accent1 34" xfId="2603" xr:uid="{00000000-0005-0000-0000-00002B0A0000}"/>
    <cellStyle name="Accent1 34 2" xfId="2604" xr:uid="{00000000-0005-0000-0000-00002C0A0000}"/>
    <cellStyle name="Accent1 34 2 2" xfId="2605" xr:uid="{00000000-0005-0000-0000-00002D0A0000}"/>
    <cellStyle name="Accent1 34 3" xfId="2606" xr:uid="{00000000-0005-0000-0000-00002E0A0000}"/>
    <cellStyle name="Accent1 35" xfId="2607" xr:uid="{00000000-0005-0000-0000-00002F0A0000}"/>
    <cellStyle name="Accent1 35 2" xfId="2608" xr:uid="{00000000-0005-0000-0000-0000300A0000}"/>
    <cellStyle name="Accent1 35 2 2" xfId="2609" xr:uid="{00000000-0005-0000-0000-0000310A0000}"/>
    <cellStyle name="Accent1 35 3" xfId="2610" xr:uid="{00000000-0005-0000-0000-0000320A0000}"/>
    <cellStyle name="Accent1 36" xfId="2611" xr:uid="{00000000-0005-0000-0000-0000330A0000}"/>
    <cellStyle name="Accent1 36 2" xfId="2612" xr:uid="{00000000-0005-0000-0000-0000340A0000}"/>
    <cellStyle name="Accent1 36 2 2" xfId="2613" xr:uid="{00000000-0005-0000-0000-0000350A0000}"/>
    <cellStyle name="Accent1 36 3" xfId="2614" xr:uid="{00000000-0005-0000-0000-0000360A0000}"/>
    <cellStyle name="Accent1 37" xfId="2615" xr:uid="{00000000-0005-0000-0000-0000370A0000}"/>
    <cellStyle name="Accent1 37 2" xfId="2616" xr:uid="{00000000-0005-0000-0000-0000380A0000}"/>
    <cellStyle name="Accent1 37 2 2" xfId="2617" xr:uid="{00000000-0005-0000-0000-0000390A0000}"/>
    <cellStyle name="Accent1 37 3" xfId="2618" xr:uid="{00000000-0005-0000-0000-00003A0A0000}"/>
    <cellStyle name="Accent1 38" xfId="2619" xr:uid="{00000000-0005-0000-0000-00003B0A0000}"/>
    <cellStyle name="Accent1 38 2" xfId="2620" xr:uid="{00000000-0005-0000-0000-00003C0A0000}"/>
    <cellStyle name="Accent1 38 2 2" xfId="2621" xr:uid="{00000000-0005-0000-0000-00003D0A0000}"/>
    <cellStyle name="Accent1 38 3" xfId="2622" xr:uid="{00000000-0005-0000-0000-00003E0A0000}"/>
    <cellStyle name="Accent1 39" xfId="2623" xr:uid="{00000000-0005-0000-0000-00003F0A0000}"/>
    <cellStyle name="Accent1 39 2" xfId="2624" xr:uid="{00000000-0005-0000-0000-0000400A0000}"/>
    <cellStyle name="Accent1 39 2 2" xfId="2625" xr:uid="{00000000-0005-0000-0000-0000410A0000}"/>
    <cellStyle name="Accent1 39 3" xfId="2626" xr:uid="{00000000-0005-0000-0000-0000420A0000}"/>
    <cellStyle name="Accent1 4" xfId="2627" xr:uid="{00000000-0005-0000-0000-0000430A0000}"/>
    <cellStyle name="Accent1 4 2" xfId="2628" xr:uid="{00000000-0005-0000-0000-0000440A0000}"/>
    <cellStyle name="Accent1 4 2 2" xfId="2629" xr:uid="{00000000-0005-0000-0000-0000450A0000}"/>
    <cellStyle name="Accent1 4 2 2 2" xfId="2630" xr:uid="{00000000-0005-0000-0000-0000460A0000}"/>
    <cellStyle name="Accent1 4 2 3" xfId="2631" xr:uid="{00000000-0005-0000-0000-0000470A0000}"/>
    <cellStyle name="Accent1 4 2 3 2" xfId="2632" xr:uid="{00000000-0005-0000-0000-0000480A0000}"/>
    <cellStyle name="Accent1 4 2 3 2 2" xfId="2633" xr:uid="{00000000-0005-0000-0000-0000490A0000}"/>
    <cellStyle name="Accent1 4 2 3 3" xfId="2634" xr:uid="{00000000-0005-0000-0000-00004A0A0000}"/>
    <cellStyle name="Accent1 4 2 4" xfId="2635" xr:uid="{00000000-0005-0000-0000-00004B0A0000}"/>
    <cellStyle name="Accent1 4 3" xfId="2636" xr:uid="{00000000-0005-0000-0000-00004C0A0000}"/>
    <cellStyle name="Accent1 4 3 2" xfId="2637" xr:uid="{00000000-0005-0000-0000-00004D0A0000}"/>
    <cellStyle name="Accent1 4 3 2 2" xfId="2638" xr:uid="{00000000-0005-0000-0000-00004E0A0000}"/>
    <cellStyle name="Accent1 4 3 3" xfId="2639" xr:uid="{00000000-0005-0000-0000-00004F0A0000}"/>
    <cellStyle name="Accent1 4 3 3 2" xfId="2640" xr:uid="{00000000-0005-0000-0000-0000500A0000}"/>
    <cellStyle name="Accent1 4 3 3 2 2" xfId="2641" xr:uid="{00000000-0005-0000-0000-0000510A0000}"/>
    <cellStyle name="Accent1 4 3 3 3" xfId="2642" xr:uid="{00000000-0005-0000-0000-0000520A0000}"/>
    <cellStyle name="Accent1 4 3 4" xfId="2643" xr:uid="{00000000-0005-0000-0000-0000530A0000}"/>
    <cellStyle name="Accent1 4 4" xfId="2644" xr:uid="{00000000-0005-0000-0000-0000540A0000}"/>
    <cellStyle name="Accent1 4 4 2" xfId="2645" xr:uid="{00000000-0005-0000-0000-0000550A0000}"/>
    <cellStyle name="Accent1 4 4 2 2" xfId="2646" xr:uid="{00000000-0005-0000-0000-0000560A0000}"/>
    <cellStyle name="Accent1 4 4 3" xfId="2647" xr:uid="{00000000-0005-0000-0000-0000570A0000}"/>
    <cellStyle name="Accent1 4 5" xfId="2648" xr:uid="{00000000-0005-0000-0000-0000580A0000}"/>
    <cellStyle name="Accent1 4 5 2" xfId="2649" xr:uid="{00000000-0005-0000-0000-0000590A0000}"/>
    <cellStyle name="Accent1 4 6" xfId="2650" xr:uid="{00000000-0005-0000-0000-00005A0A0000}"/>
    <cellStyle name="Accent1 4 6 2" xfId="2651" xr:uid="{00000000-0005-0000-0000-00005B0A0000}"/>
    <cellStyle name="Accent1 4 7" xfId="2652" xr:uid="{00000000-0005-0000-0000-00005C0A0000}"/>
    <cellStyle name="Accent1 40" xfId="2653" xr:uid="{00000000-0005-0000-0000-00005D0A0000}"/>
    <cellStyle name="Accent1 40 2" xfId="2654" xr:uid="{00000000-0005-0000-0000-00005E0A0000}"/>
    <cellStyle name="Accent1 40 2 2" xfId="2655" xr:uid="{00000000-0005-0000-0000-00005F0A0000}"/>
    <cellStyle name="Accent1 40 3" xfId="2656" xr:uid="{00000000-0005-0000-0000-0000600A0000}"/>
    <cellStyle name="Accent1 41" xfId="2657" xr:uid="{00000000-0005-0000-0000-0000610A0000}"/>
    <cellStyle name="Accent1 41 2" xfId="2658" xr:uid="{00000000-0005-0000-0000-0000620A0000}"/>
    <cellStyle name="Accent1 41 2 2" xfId="2659" xr:uid="{00000000-0005-0000-0000-0000630A0000}"/>
    <cellStyle name="Accent1 41 3" xfId="2660" xr:uid="{00000000-0005-0000-0000-0000640A0000}"/>
    <cellStyle name="Accent1 42" xfId="2661" xr:uid="{00000000-0005-0000-0000-0000650A0000}"/>
    <cellStyle name="Accent1 42 2" xfId="2662" xr:uid="{00000000-0005-0000-0000-0000660A0000}"/>
    <cellStyle name="Accent1 42 2 2" xfId="2663" xr:uid="{00000000-0005-0000-0000-0000670A0000}"/>
    <cellStyle name="Accent1 42 3" xfId="2664" xr:uid="{00000000-0005-0000-0000-0000680A0000}"/>
    <cellStyle name="Accent1 43" xfId="2665" xr:uid="{00000000-0005-0000-0000-0000690A0000}"/>
    <cellStyle name="Accent1 43 2" xfId="2666" xr:uid="{00000000-0005-0000-0000-00006A0A0000}"/>
    <cellStyle name="Accent1 43 2 2" xfId="2667" xr:uid="{00000000-0005-0000-0000-00006B0A0000}"/>
    <cellStyle name="Accent1 43 3" xfId="2668" xr:uid="{00000000-0005-0000-0000-00006C0A0000}"/>
    <cellStyle name="Accent1 44" xfId="2669" xr:uid="{00000000-0005-0000-0000-00006D0A0000}"/>
    <cellStyle name="Accent1 44 2" xfId="2670" xr:uid="{00000000-0005-0000-0000-00006E0A0000}"/>
    <cellStyle name="Accent1 44 2 2" xfId="2671" xr:uid="{00000000-0005-0000-0000-00006F0A0000}"/>
    <cellStyle name="Accent1 44 3" xfId="2672" xr:uid="{00000000-0005-0000-0000-0000700A0000}"/>
    <cellStyle name="Accent1 45" xfId="2673" xr:uid="{00000000-0005-0000-0000-0000710A0000}"/>
    <cellStyle name="Accent1 45 2" xfId="2674" xr:uid="{00000000-0005-0000-0000-0000720A0000}"/>
    <cellStyle name="Accent1 45 2 2" xfId="2675" xr:uid="{00000000-0005-0000-0000-0000730A0000}"/>
    <cellStyle name="Accent1 45 3" xfId="2676" xr:uid="{00000000-0005-0000-0000-0000740A0000}"/>
    <cellStyle name="Accent1 46" xfId="2677" xr:uid="{00000000-0005-0000-0000-0000750A0000}"/>
    <cellStyle name="Accent1 46 2" xfId="2678" xr:uid="{00000000-0005-0000-0000-0000760A0000}"/>
    <cellStyle name="Accent1 46 2 2" xfId="2679" xr:uid="{00000000-0005-0000-0000-0000770A0000}"/>
    <cellStyle name="Accent1 46 3" xfId="2680" xr:uid="{00000000-0005-0000-0000-0000780A0000}"/>
    <cellStyle name="Accent1 47" xfId="2681" xr:uid="{00000000-0005-0000-0000-0000790A0000}"/>
    <cellStyle name="Accent1 47 2" xfId="2682" xr:uid="{00000000-0005-0000-0000-00007A0A0000}"/>
    <cellStyle name="Accent1 47 2 2" xfId="2683" xr:uid="{00000000-0005-0000-0000-00007B0A0000}"/>
    <cellStyle name="Accent1 47 3" xfId="2684" xr:uid="{00000000-0005-0000-0000-00007C0A0000}"/>
    <cellStyle name="Accent1 48" xfId="2685" xr:uid="{00000000-0005-0000-0000-00007D0A0000}"/>
    <cellStyle name="Accent1 48 2" xfId="2686" xr:uid="{00000000-0005-0000-0000-00007E0A0000}"/>
    <cellStyle name="Accent1 48 2 2" xfId="2687" xr:uid="{00000000-0005-0000-0000-00007F0A0000}"/>
    <cellStyle name="Accent1 48 3" xfId="2688" xr:uid="{00000000-0005-0000-0000-0000800A0000}"/>
    <cellStyle name="Accent1 48 3 2" xfId="2689" xr:uid="{00000000-0005-0000-0000-0000810A0000}"/>
    <cellStyle name="Accent1 48 3 2 2" xfId="2690" xr:uid="{00000000-0005-0000-0000-0000820A0000}"/>
    <cellStyle name="Accent1 48 3 3" xfId="2691" xr:uid="{00000000-0005-0000-0000-0000830A0000}"/>
    <cellStyle name="Accent1 48 4" xfId="2692" xr:uid="{00000000-0005-0000-0000-0000840A0000}"/>
    <cellStyle name="Accent1 49" xfId="2693" xr:uid="{00000000-0005-0000-0000-0000850A0000}"/>
    <cellStyle name="Accent1 49 2" xfId="2694" xr:uid="{00000000-0005-0000-0000-0000860A0000}"/>
    <cellStyle name="Accent1 49 2 2" xfId="2695" xr:uid="{00000000-0005-0000-0000-0000870A0000}"/>
    <cellStyle name="Accent1 49 3" xfId="2696" xr:uid="{00000000-0005-0000-0000-0000880A0000}"/>
    <cellStyle name="Accent1 49 3 2" xfId="2697" xr:uid="{00000000-0005-0000-0000-0000890A0000}"/>
    <cellStyle name="Accent1 49 3 2 2" xfId="2698" xr:uid="{00000000-0005-0000-0000-00008A0A0000}"/>
    <cellStyle name="Accent1 49 3 3" xfId="2699" xr:uid="{00000000-0005-0000-0000-00008B0A0000}"/>
    <cellStyle name="Accent1 49 4" xfId="2700" xr:uid="{00000000-0005-0000-0000-00008C0A0000}"/>
    <cellStyle name="Accent1 5" xfId="2701" xr:uid="{00000000-0005-0000-0000-00008D0A0000}"/>
    <cellStyle name="Accent1 5 2" xfId="2702" xr:uid="{00000000-0005-0000-0000-00008E0A0000}"/>
    <cellStyle name="Accent1 5 2 2" xfId="2703" xr:uid="{00000000-0005-0000-0000-00008F0A0000}"/>
    <cellStyle name="Accent1 5 2 2 2" xfId="2704" xr:uid="{00000000-0005-0000-0000-0000900A0000}"/>
    <cellStyle name="Accent1 5 2 3" xfId="2705" xr:uid="{00000000-0005-0000-0000-0000910A0000}"/>
    <cellStyle name="Accent1 5 2 3 2" xfId="2706" xr:uid="{00000000-0005-0000-0000-0000920A0000}"/>
    <cellStyle name="Accent1 5 2 3 2 2" xfId="2707" xr:uid="{00000000-0005-0000-0000-0000930A0000}"/>
    <cellStyle name="Accent1 5 2 3 3" xfId="2708" xr:uid="{00000000-0005-0000-0000-0000940A0000}"/>
    <cellStyle name="Accent1 5 2 4" xfId="2709" xr:uid="{00000000-0005-0000-0000-0000950A0000}"/>
    <cellStyle name="Accent1 5 3" xfId="2710" xr:uid="{00000000-0005-0000-0000-0000960A0000}"/>
    <cellStyle name="Accent1 5 3 2" xfId="2711" xr:uid="{00000000-0005-0000-0000-0000970A0000}"/>
    <cellStyle name="Accent1 5 3 2 2" xfId="2712" xr:uid="{00000000-0005-0000-0000-0000980A0000}"/>
    <cellStyle name="Accent1 5 3 3" xfId="2713" xr:uid="{00000000-0005-0000-0000-0000990A0000}"/>
    <cellStyle name="Accent1 5 3 3 2" xfId="2714" xr:uid="{00000000-0005-0000-0000-00009A0A0000}"/>
    <cellStyle name="Accent1 5 3 3 2 2" xfId="2715" xr:uid="{00000000-0005-0000-0000-00009B0A0000}"/>
    <cellStyle name="Accent1 5 3 3 3" xfId="2716" xr:uid="{00000000-0005-0000-0000-00009C0A0000}"/>
    <cellStyle name="Accent1 5 3 4" xfId="2717" xr:uid="{00000000-0005-0000-0000-00009D0A0000}"/>
    <cellStyle name="Accent1 5 4" xfId="2718" xr:uid="{00000000-0005-0000-0000-00009E0A0000}"/>
    <cellStyle name="Accent1 5 4 2" xfId="2719" xr:uid="{00000000-0005-0000-0000-00009F0A0000}"/>
    <cellStyle name="Accent1 5 5" xfId="2720" xr:uid="{00000000-0005-0000-0000-0000A00A0000}"/>
    <cellStyle name="Accent1 5 5 2" xfId="2721" xr:uid="{00000000-0005-0000-0000-0000A10A0000}"/>
    <cellStyle name="Accent1 5 6" xfId="2722" xr:uid="{00000000-0005-0000-0000-0000A20A0000}"/>
    <cellStyle name="Accent1 50" xfId="2723" xr:uid="{00000000-0005-0000-0000-0000A30A0000}"/>
    <cellStyle name="Accent1 50 2" xfId="2724" xr:uid="{00000000-0005-0000-0000-0000A40A0000}"/>
    <cellStyle name="Accent1 50 2 2" xfId="2725" xr:uid="{00000000-0005-0000-0000-0000A50A0000}"/>
    <cellStyle name="Accent1 50 3" xfId="2726" xr:uid="{00000000-0005-0000-0000-0000A60A0000}"/>
    <cellStyle name="Accent1 50 3 2" xfId="2727" xr:uid="{00000000-0005-0000-0000-0000A70A0000}"/>
    <cellStyle name="Accent1 50 3 2 2" xfId="2728" xr:uid="{00000000-0005-0000-0000-0000A80A0000}"/>
    <cellStyle name="Accent1 50 3 3" xfId="2729" xr:uid="{00000000-0005-0000-0000-0000A90A0000}"/>
    <cellStyle name="Accent1 50 4" xfId="2730" xr:uid="{00000000-0005-0000-0000-0000AA0A0000}"/>
    <cellStyle name="Accent1 51" xfId="2731" xr:uid="{00000000-0005-0000-0000-0000AB0A0000}"/>
    <cellStyle name="Accent1 51 2" xfId="2732" xr:uid="{00000000-0005-0000-0000-0000AC0A0000}"/>
    <cellStyle name="Accent1 51 2 2" xfId="2733" xr:uid="{00000000-0005-0000-0000-0000AD0A0000}"/>
    <cellStyle name="Accent1 51 3" xfId="2734" xr:uid="{00000000-0005-0000-0000-0000AE0A0000}"/>
    <cellStyle name="Accent1 51 3 2" xfId="2735" xr:uid="{00000000-0005-0000-0000-0000AF0A0000}"/>
    <cellStyle name="Accent1 51 3 2 2" xfId="2736" xr:uid="{00000000-0005-0000-0000-0000B00A0000}"/>
    <cellStyle name="Accent1 51 3 3" xfId="2737" xr:uid="{00000000-0005-0000-0000-0000B10A0000}"/>
    <cellStyle name="Accent1 51 4" xfId="2738" xr:uid="{00000000-0005-0000-0000-0000B20A0000}"/>
    <cellStyle name="Accent1 52" xfId="2739" xr:uid="{00000000-0005-0000-0000-0000B30A0000}"/>
    <cellStyle name="Accent1 52 2" xfId="2740" xr:uid="{00000000-0005-0000-0000-0000B40A0000}"/>
    <cellStyle name="Accent1 52 2 2" xfId="2741" xr:uid="{00000000-0005-0000-0000-0000B50A0000}"/>
    <cellStyle name="Accent1 52 3" xfId="2742" xr:uid="{00000000-0005-0000-0000-0000B60A0000}"/>
    <cellStyle name="Accent1 53" xfId="2743" xr:uid="{00000000-0005-0000-0000-0000B70A0000}"/>
    <cellStyle name="Accent1 53 2" xfId="2744" xr:uid="{00000000-0005-0000-0000-0000B80A0000}"/>
    <cellStyle name="Accent1 53 2 2" xfId="2745" xr:uid="{00000000-0005-0000-0000-0000B90A0000}"/>
    <cellStyle name="Accent1 53 3" xfId="2746" xr:uid="{00000000-0005-0000-0000-0000BA0A0000}"/>
    <cellStyle name="Accent1 54" xfId="2747" xr:uid="{00000000-0005-0000-0000-0000BB0A0000}"/>
    <cellStyle name="Accent1 54 2" xfId="2748" xr:uid="{00000000-0005-0000-0000-0000BC0A0000}"/>
    <cellStyle name="Accent1 54 2 2" xfId="2749" xr:uid="{00000000-0005-0000-0000-0000BD0A0000}"/>
    <cellStyle name="Accent1 54 3" xfId="2750" xr:uid="{00000000-0005-0000-0000-0000BE0A0000}"/>
    <cellStyle name="Accent1 55" xfId="2751" xr:uid="{00000000-0005-0000-0000-0000BF0A0000}"/>
    <cellStyle name="Accent1 55 2" xfId="2752" xr:uid="{00000000-0005-0000-0000-0000C00A0000}"/>
    <cellStyle name="Accent1 55 2 2" xfId="2753" xr:uid="{00000000-0005-0000-0000-0000C10A0000}"/>
    <cellStyle name="Accent1 55 3" xfId="2754" xr:uid="{00000000-0005-0000-0000-0000C20A0000}"/>
    <cellStyle name="Accent1 56" xfId="2755" xr:uid="{00000000-0005-0000-0000-0000C30A0000}"/>
    <cellStyle name="Accent1 56 2" xfId="2756" xr:uid="{00000000-0005-0000-0000-0000C40A0000}"/>
    <cellStyle name="Accent1 56 2 2" xfId="2757" xr:uid="{00000000-0005-0000-0000-0000C50A0000}"/>
    <cellStyle name="Accent1 56 3" xfId="2758" xr:uid="{00000000-0005-0000-0000-0000C60A0000}"/>
    <cellStyle name="Accent1 57" xfId="2759" xr:uid="{00000000-0005-0000-0000-0000C70A0000}"/>
    <cellStyle name="Accent1 57 2" xfId="2760" xr:uid="{00000000-0005-0000-0000-0000C80A0000}"/>
    <cellStyle name="Accent1 57 2 2" xfId="2761" xr:uid="{00000000-0005-0000-0000-0000C90A0000}"/>
    <cellStyle name="Accent1 57 3" xfId="2762" xr:uid="{00000000-0005-0000-0000-0000CA0A0000}"/>
    <cellStyle name="Accent1 58" xfId="2763" xr:uid="{00000000-0005-0000-0000-0000CB0A0000}"/>
    <cellStyle name="Accent1 58 2" xfId="2764" xr:uid="{00000000-0005-0000-0000-0000CC0A0000}"/>
    <cellStyle name="Accent1 58 2 2" xfId="2765" xr:uid="{00000000-0005-0000-0000-0000CD0A0000}"/>
    <cellStyle name="Accent1 58 3" xfId="2766" xr:uid="{00000000-0005-0000-0000-0000CE0A0000}"/>
    <cellStyle name="Accent1 58 3 2" xfId="2767" xr:uid="{00000000-0005-0000-0000-0000CF0A0000}"/>
    <cellStyle name="Accent1 58 3 2 2" xfId="2768" xr:uid="{00000000-0005-0000-0000-0000D00A0000}"/>
    <cellStyle name="Accent1 58 3 3" xfId="2769" xr:uid="{00000000-0005-0000-0000-0000D10A0000}"/>
    <cellStyle name="Accent1 58 4" xfId="2770" xr:uid="{00000000-0005-0000-0000-0000D20A0000}"/>
    <cellStyle name="Accent1 59" xfId="2771" xr:uid="{00000000-0005-0000-0000-0000D30A0000}"/>
    <cellStyle name="Accent1 59 2" xfId="2772" xr:uid="{00000000-0005-0000-0000-0000D40A0000}"/>
    <cellStyle name="Accent1 59 2 2" xfId="2773" xr:uid="{00000000-0005-0000-0000-0000D50A0000}"/>
    <cellStyle name="Accent1 59 3" xfId="2774" xr:uid="{00000000-0005-0000-0000-0000D60A0000}"/>
    <cellStyle name="Accent1 59 3 2" xfId="2775" xr:uid="{00000000-0005-0000-0000-0000D70A0000}"/>
    <cellStyle name="Accent1 59 3 2 2" xfId="2776" xr:uid="{00000000-0005-0000-0000-0000D80A0000}"/>
    <cellStyle name="Accent1 59 3 3" xfId="2777" xr:uid="{00000000-0005-0000-0000-0000D90A0000}"/>
    <cellStyle name="Accent1 59 4" xfId="2778" xr:uid="{00000000-0005-0000-0000-0000DA0A0000}"/>
    <cellStyle name="Accent1 6" xfId="2779" xr:uid="{00000000-0005-0000-0000-0000DB0A0000}"/>
    <cellStyle name="Accent1 6 2" xfId="2780" xr:uid="{00000000-0005-0000-0000-0000DC0A0000}"/>
    <cellStyle name="Accent1 6 2 2" xfId="2781" xr:uid="{00000000-0005-0000-0000-0000DD0A0000}"/>
    <cellStyle name="Accent1 6 2 2 2" xfId="2782" xr:uid="{00000000-0005-0000-0000-0000DE0A0000}"/>
    <cellStyle name="Accent1 6 2 3" xfId="2783" xr:uid="{00000000-0005-0000-0000-0000DF0A0000}"/>
    <cellStyle name="Accent1 6 2 3 2" xfId="2784" xr:uid="{00000000-0005-0000-0000-0000E00A0000}"/>
    <cellStyle name="Accent1 6 2 3 2 2" xfId="2785" xr:uid="{00000000-0005-0000-0000-0000E10A0000}"/>
    <cellStyle name="Accent1 6 2 3 3" xfId="2786" xr:uid="{00000000-0005-0000-0000-0000E20A0000}"/>
    <cellStyle name="Accent1 6 2 4" xfId="2787" xr:uid="{00000000-0005-0000-0000-0000E30A0000}"/>
    <cellStyle name="Accent1 6 3" xfId="2788" xr:uid="{00000000-0005-0000-0000-0000E40A0000}"/>
    <cellStyle name="Accent1 6 3 2" xfId="2789" xr:uid="{00000000-0005-0000-0000-0000E50A0000}"/>
    <cellStyle name="Accent1 6 4" xfId="2790" xr:uid="{00000000-0005-0000-0000-0000E60A0000}"/>
    <cellStyle name="Accent1 60" xfId="2791" xr:uid="{00000000-0005-0000-0000-0000E70A0000}"/>
    <cellStyle name="Accent1 60 2" xfId="2792" xr:uid="{00000000-0005-0000-0000-0000E80A0000}"/>
    <cellStyle name="Accent1 60 2 2" xfId="2793" xr:uid="{00000000-0005-0000-0000-0000E90A0000}"/>
    <cellStyle name="Accent1 60 3" xfId="2794" xr:uid="{00000000-0005-0000-0000-0000EA0A0000}"/>
    <cellStyle name="Accent1 60 3 2" xfId="2795" xr:uid="{00000000-0005-0000-0000-0000EB0A0000}"/>
    <cellStyle name="Accent1 60 3 2 2" xfId="2796" xr:uid="{00000000-0005-0000-0000-0000EC0A0000}"/>
    <cellStyle name="Accent1 60 3 3" xfId="2797" xr:uid="{00000000-0005-0000-0000-0000ED0A0000}"/>
    <cellStyle name="Accent1 60 4" xfId="2798" xr:uid="{00000000-0005-0000-0000-0000EE0A0000}"/>
    <cellStyle name="Accent1 61" xfId="2799" xr:uid="{00000000-0005-0000-0000-0000EF0A0000}"/>
    <cellStyle name="Accent1 61 2" xfId="2800" xr:uid="{00000000-0005-0000-0000-0000F00A0000}"/>
    <cellStyle name="Accent1 61 2 2" xfId="2801" xr:uid="{00000000-0005-0000-0000-0000F10A0000}"/>
    <cellStyle name="Accent1 61 3" xfId="2802" xr:uid="{00000000-0005-0000-0000-0000F20A0000}"/>
    <cellStyle name="Accent1 61 3 2" xfId="2803" xr:uid="{00000000-0005-0000-0000-0000F30A0000}"/>
    <cellStyle name="Accent1 61 3 2 2" xfId="2804" xr:uid="{00000000-0005-0000-0000-0000F40A0000}"/>
    <cellStyle name="Accent1 61 3 3" xfId="2805" xr:uid="{00000000-0005-0000-0000-0000F50A0000}"/>
    <cellStyle name="Accent1 61 4" xfId="2806" xr:uid="{00000000-0005-0000-0000-0000F60A0000}"/>
    <cellStyle name="Accent1 62" xfId="2807" xr:uid="{00000000-0005-0000-0000-0000F70A0000}"/>
    <cellStyle name="Accent1 62 2" xfId="2808" xr:uid="{00000000-0005-0000-0000-0000F80A0000}"/>
    <cellStyle name="Accent1 62 2 2" xfId="2809" xr:uid="{00000000-0005-0000-0000-0000F90A0000}"/>
    <cellStyle name="Accent1 62 3" xfId="2810" xr:uid="{00000000-0005-0000-0000-0000FA0A0000}"/>
    <cellStyle name="Accent1 62 3 2" xfId="2811" xr:uid="{00000000-0005-0000-0000-0000FB0A0000}"/>
    <cellStyle name="Accent1 62 3 2 2" xfId="2812" xr:uid="{00000000-0005-0000-0000-0000FC0A0000}"/>
    <cellStyle name="Accent1 62 3 3" xfId="2813" xr:uid="{00000000-0005-0000-0000-0000FD0A0000}"/>
    <cellStyle name="Accent1 62 4" xfId="2814" xr:uid="{00000000-0005-0000-0000-0000FE0A0000}"/>
    <cellStyle name="Accent1 63" xfId="2815" xr:uid="{00000000-0005-0000-0000-0000FF0A0000}"/>
    <cellStyle name="Accent1 63 2" xfId="2816" xr:uid="{00000000-0005-0000-0000-0000000B0000}"/>
    <cellStyle name="Accent1 63 2 2" xfId="2817" xr:uid="{00000000-0005-0000-0000-0000010B0000}"/>
    <cellStyle name="Accent1 63 3" xfId="2818" xr:uid="{00000000-0005-0000-0000-0000020B0000}"/>
    <cellStyle name="Accent1 63 3 2" xfId="2819" xr:uid="{00000000-0005-0000-0000-0000030B0000}"/>
    <cellStyle name="Accent1 63 3 2 2" xfId="2820" xr:uid="{00000000-0005-0000-0000-0000040B0000}"/>
    <cellStyle name="Accent1 63 3 3" xfId="2821" xr:uid="{00000000-0005-0000-0000-0000050B0000}"/>
    <cellStyle name="Accent1 63 4" xfId="2822" xr:uid="{00000000-0005-0000-0000-0000060B0000}"/>
    <cellStyle name="Accent1 64" xfId="2823" xr:uid="{00000000-0005-0000-0000-0000070B0000}"/>
    <cellStyle name="Accent1 64 2" xfId="2824" xr:uid="{00000000-0005-0000-0000-0000080B0000}"/>
    <cellStyle name="Accent1 64 2 2" xfId="2825" xr:uid="{00000000-0005-0000-0000-0000090B0000}"/>
    <cellStyle name="Accent1 64 3" xfId="2826" xr:uid="{00000000-0005-0000-0000-00000A0B0000}"/>
    <cellStyle name="Accent1 64 3 2" xfId="2827" xr:uid="{00000000-0005-0000-0000-00000B0B0000}"/>
    <cellStyle name="Accent1 64 3 2 2" xfId="2828" xr:uid="{00000000-0005-0000-0000-00000C0B0000}"/>
    <cellStyle name="Accent1 64 3 3" xfId="2829" xr:uid="{00000000-0005-0000-0000-00000D0B0000}"/>
    <cellStyle name="Accent1 64 4" xfId="2830" xr:uid="{00000000-0005-0000-0000-00000E0B0000}"/>
    <cellStyle name="Accent1 65" xfId="2831" xr:uid="{00000000-0005-0000-0000-00000F0B0000}"/>
    <cellStyle name="Accent1 65 2" xfId="2832" xr:uid="{00000000-0005-0000-0000-0000100B0000}"/>
    <cellStyle name="Accent1 65 2 2" xfId="2833" xr:uid="{00000000-0005-0000-0000-0000110B0000}"/>
    <cellStyle name="Accent1 65 3" xfId="2834" xr:uid="{00000000-0005-0000-0000-0000120B0000}"/>
    <cellStyle name="Accent1 65 3 2" xfId="2835" xr:uid="{00000000-0005-0000-0000-0000130B0000}"/>
    <cellStyle name="Accent1 65 3 2 2" xfId="2836" xr:uid="{00000000-0005-0000-0000-0000140B0000}"/>
    <cellStyle name="Accent1 65 3 3" xfId="2837" xr:uid="{00000000-0005-0000-0000-0000150B0000}"/>
    <cellStyle name="Accent1 65 4" xfId="2838" xr:uid="{00000000-0005-0000-0000-0000160B0000}"/>
    <cellStyle name="Accent1 66" xfId="2839" xr:uid="{00000000-0005-0000-0000-0000170B0000}"/>
    <cellStyle name="Accent1 66 2" xfId="2840" xr:uid="{00000000-0005-0000-0000-0000180B0000}"/>
    <cellStyle name="Accent1 66 2 2" xfId="2841" xr:uid="{00000000-0005-0000-0000-0000190B0000}"/>
    <cellStyle name="Accent1 66 3" xfId="2842" xr:uid="{00000000-0005-0000-0000-00001A0B0000}"/>
    <cellStyle name="Accent1 66 3 2" xfId="2843" xr:uid="{00000000-0005-0000-0000-00001B0B0000}"/>
    <cellStyle name="Accent1 66 3 2 2" xfId="2844" xr:uid="{00000000-0005-0000-0000-00001C0B0000}"/>
    <cellStyle name="Accent1 66 3 3" xfId="2845" xr:uid="{00000000-0005-0000-0000-00001D0B0000}"/>
    <cellStyle name="Accent1 66 4" xfId="2846" xr:uid="{00000000-0005-0000-0000-00001E0B0000}"/>
    <cellStyle name="Accent1 67" xfId="2847" xr:uid="{00000000-0005-0000-0000-00001F0B0000}"/>
    <cellStyle name="Accent1 67 2" xfId="2848" xr:uid="{00000000-0005-0000-0000-0000200B0000}"/>
    <cellStyle name="Accent1 67 2 2" xfId="2849" xr:uid="{00000000-0005-0000-0000-0000210B0000}"/>
    <cellStyle name="Accent1 67 3" xfId="2850" xr:uid="{00000000-0005-0000-0000-0000220B0000}"/>
    <cellStyle name="Accent1 67 3 2" xfId="2851" xr:uid="{00000000-0005-0000-0000-0000230B0000}"/>
    <cellStyle name="Accent1 67 3 2 2" xfId="2852" xr:uid="{00000000-0005-0000-0000-0000240B0000}"/>
    <cellStyle name="Accent1 67 3 3" xfId="2853" xr:uid="{00000000-0005-0000-0000-0000250B0000}"/>
    <cellStyle name="Accent1 67 4" xfId="2854" xr:uid="{00000000-0005-0000-0000-0000260B0000}"/>
    <cellStyle name="Accent1 68" xfId="2855" xr:uid="{00000000-0005-0000-0000-0000270B0000}"/>
    <cellStyle name="Accent1 68 2" xfId="2856" xr:uid="{00000000-0005-0000-0000-0000280B0000}"/>
    <cellStyle name="Accent1 68 2 2" xfId="2857" xr:uid="{00000000-0005-0000-0000-0000290B0000}"/>
    <cellStyle name="Accent1 68 3" xfId="2858" xr:uid="{00000000-0005-0000-0000-00002A0B0000}"/>
    <cellStyle name="Accent1 68 3 2" xfId="2859" xr:uid="{00000000-0005-0000-0000-00002B0B0000}"/>
    <cellStyle name="Accent1 68 3 2 2" xfId="2860" xr:uid="{00000000-0005-0000-0000-00002C0B0000}"/>
    <cellStyle name="Accent1 68 3 3" xfId="2861" xr:uid="{00000000-0005-0000-0000-00002D0B0000}"/>
    <cellStyle name="Accent1 68 4" xfId="2862" xr:uid="{00000000-0005-0000-0000-00002E0B0000}"/>
    <cellStyle name="Accent1 69" xfId="2863" xr:uid="{00000000-0005-0000-0000-00002F0B0000}"/>
    <cellStyle name="Accent1 69 2" xfId="2864" xr:uid="{00000000-0005-0000-0000-0000300B0000}"/>
    <cellStyle name="Accent1 69 2 2" xfId="2865" xr:uid="{00000000-0005-0000-0000-0000310B0000}"/>
    <cellStyle name="Accent1 69 3" xfId="2866" xr:uid="{00000000-0005-0000-0000-0000320B0000}"/>
    <cellStyle name="Accent1 69 3 2" xfId="2867" xr:uid="{00000000-0005-0000-0000-0000330B0000}"/>
    <cellStyle name="Accent1 69 3 2 2" xfId="2868" xr:uid="{00000000-0005-0000-0000-0000340B0000}"/>
    <cellStyle name="Accent1 69 3 3" xfId="2869" xr:uid="{00000000-0005-0000-0000-0000350B0000}"/>
    <cellStyle name="Accent1 69 4" xfId="2870" xr:uid="{00000000-0005-0000-0000-0000360B0000}"/>
    <cellStyle name="Accent1 7" xfId="2871" xr:uid="{00000000-0005-0000-0000-0000370B0000}"/>
    <cellStyle name="Accent1 7 2" xfId="2872" xr:uid="{00000000-0005-0000-0000-0000380B0000}"/>
    <cellStyle name="Accent1 7 2 2" xfId="2873" xr:uid="{00000000-0005-0000-0000-0000390B0000}"/>
    <cellStyle name="Accent1 7 2 2 2" xfId="2874" xr:uid="{00000000-0005-0000-0000-00003A0B0000}"/>
    <cellStyle name="Accent1 7 2 3" xfId="2875" xr:uid="{00000000-0005-0000-0000-00003B0B0000}"/>
    <cellStyle name="Accent1 7 2 3 2" xfId="2876" xr:uid="{00000000-0005-0000-0000-00003C0B0000}"/>
    <cellStyle name="Accent1 7 2 3 2 2" xfId="2877" xr:uid="{00000000-0005-0000-0000-00003D0B0000}"/>
    <cellStyle name="Accent1 7 2 3 3" xfId="2878" xr:uid="{00000000-0005-0000-0000-00003E0B0000}"/>
    <cellStyle name="Accent1 7 2 4" xfId="2879" xr:uid="{00000000-0005-0000-0000-00003F0B0000}"/>
    <cellStyle name="Accent1 7 3" xfId="2880" xr:uid="{00000000-0005-0000-0000-0000400B0000}"/>
    <cellStyle name="Accent1 7 3 2" xfId="2881" xr:uid="{00000000-0005-0000-0000-0000410B0000}"/>
    <cellStyle name="Accent1 7 4" xfId="2882" xr:uid="{00000000-0005-0000-0000-0000420B0000}"/>
    <cellStyle name="Accent1 70" xfId="2883" xr:uid="{00000000-0005-0000-0000-0000430B0000}"/>
    <cellStyle name="Accent1 70 2" xfId="2884" xr:uid="{00000000-0005-0000-0000-0000440B0000}"/>
    <cellStyle name="Accent1 70 2 2" xfId="2885" xr:uid="{00000000-0005-0000-0000-0000450B0000}"/>
    <cellStyle name="Accent1 70 3" xfId="2886" xr:uid="{00000000-0005-0000-0000-0000460B0000}"/>
    <cellStyle name="Accent1 70 3 2" xfId="2887" xr:uid="{00000000-0005-0000-0000-0000470B0000}"/>
    <cellStyle name="Accent1 70 3 2 2" xfId="2888" xr:uid="{00000000-0005-0000-0000-0000480B0000}"/>
    <cellStyle name="Accent1 70 3 3" xfId="2889" xr:uid="{00000000-0005-0000-0000-0000490B0000}"/>
    <cellStyle name="Accent1 70 4" xfId="2890" xr:uid="{00000000-0005-0000-0000-00004A0B0000}"/>
    <cellStyle name="Accent1 71" xfId="2891" xr:uid="{00000000-0005-0000-0000-00004B0B0000}"/>
    <cellStyle name="Accent1 71 2" xfId="2892" xr:uid="{00000000-0005-0000-0000-00004C0B0000}"/>
    <cellStyle name="Accent1 71 2 2" xfId="2893" xr:uid="{00000000-0005-0000-0000-00004D0B0000}"/>
    <cellStyle name="Accent1 71 3" xfId="2894" xr:uid="{00000000-0005-0000-0000-00004E0B0000}"/>
    <cellStyle name="Accent1 71 3 2" xfId="2895" xr:uid="{00000000-0005-0000-0000-00004F0B0000}"/>
    <cellStyle name="Accent1 71 3 2 2" xfId="2896" xr:uid="{00000000-0005-0000-0000-0000500B0000}"/>
    <cellStyle name="Accent1 71 3 3" xfId="2897" xr:uid="{00000000-0005-0000-0000-0000510B0000}"/>
    <cellStyle name="Accent1 71 4" xfId="2898" xr:uid="{00000000-0005-0000-0000-0000520B0000}"/>
    <cellStyle name="Accent1 72" xfId="2899" xr:uid="{00000000-0005-0000-0000-0000530B0000}"/>
    <cellStyle name="Accent1 72 2" xfId="2900" xr:uid="{00000000-0005-0000-0000-0000540B0000}"/>
    <cellStyle name="Accent1 72 2 2" xfId="2901" xr:uid="{00000000-0005-0000-0000-0000550B0000}"/>
    <cellStyle name="Accent1 72 3" xfId="2902" xr:uid="{00000000-0005-0000-0000-0000560B0000}"/>
    <cellStyle name="Accent1 72 3 2" xfId="2903" xr:uid="{00000000-0005-0000-0000-0000570B0000}"/>
    <cellStyle name="Accent1 72 3 2 2" xfId="2904" xr:uid="{00000000-0005-0000-0000-0000580B0000}"/>
    <cellStyle name="Accent1 72 3 3" xfId="2905" xr:uid="{00000000-0005-0000-0000-0000590B0000}"/>
    <cellStyle name="Accent1 72 4" xfId="2906" xr:uid="{00000000-0005-0000-0000-00005A0B0000}"/>
    <cellStyle name="Accent1 73" xfId="2907" xr:uid="{00000000-0005-0000-0000-00005B0B0000}"/>
    <cellStyle name="Accent1 73 2" xfId="2908" xr:uid="{00000000-0005-0000-0000-00005C0B0000}"/>
    <cellStyle name="Accent1 73 2 2" xfId="2909" xr:uid="{00000000-0005-0000-0000-00005D0B0000}"/>
    <cellStyle name="Accent1 73 3" xfId="2910" xr:uid="{00000000-0005-0000-0000-00005E0B0000}"/>
    <cellStyle name="Accent1 73 3 2" xfId="2911" xr:uid="{00000000-0005-0000-0000-00005F0B0000}"/>
    <cellStyle name="Accent1 73 3 2 2" xfId="2912" xr:uid="{00000000-0005-0000-0000-0000600B0000}"/>
    <cellStyle name="Accent1 73 3 3" xfId="2913" xr:uid="{00000000-0005-0000-0000-0000610B0000}"/>
    <cellStyle name="Accent1 73 4" xfId="2914" xr:uid="{00000000-0005-0000-0000-0000620B0000}"/>
    <cellStyle name="Accent1 74" xfId="2915" xr:uid="{00000000-0005-0000-0000-0000630B0000}"/>
    <cellStyle name="Accent1 74 2" xfId="2916" xr:uid="{00000000-0005-0000-0000-0000640B0000}"/>
    <cellStyle name="Accent1 74 2 2" xfId="2917" xr:uid="{00000000-0005-0000-0000-0000650B0000}"/>
    <cellStyle name="Accent1 74 3" xfId="2918" xr:uid="{00000000-0005-0000-0000-0000660B0000}"/>
    <cellStyle name="Accent1 74 3 2" xfId="2919" xr:uid="{00000000-0005-0000-0000-0000670B0000}"/>
    <cellStyle name="Accent1 74 3 2 2" xfId="2920" xr:uid="{00000000-0005-0000-0000-0000680B0000}"/>
    <cellStyle name="Accent1 74 3 3" xfId="2921" xr:uid="{00000000-0005-0000-0000-0000690B0000}"/>
    <cellStyle name="Accent1 74 4" xfId="2922" xr:uid="{00000000-0005-0000-0000-00006A0B0000}"/>
    <cellStyle name="Accent1 75" xfId="2923" xr:uid="{00000000-0005-0000-0000-00006B0B0000}"/>
    <cellStyle name="Accent1 75 2" xfId="2924" xr:uid="{00000000-0005-0000-0000-00006C0B0000}"/>
    <cellStyle name="Accent1 75 2 2" xfId="2925" xr:uid="{00000000-0005-0000-0000-00006D0B0000}"/>
    <cellStyle name="Accent1 75 3" xfId="2926" xr:uid="{00000000-0005-0000-0000-00006E0B0000}"/>
    <cellStyle name="Accent1 75 3 2" xfId="2927" xr:uid="{00000000-0005-0000-0000-00006F0B0000}"/>
    <cellStyle name="Accent1 75 3 2 2" xfId="2928" xr:uid="{00000000-0005-0000-0000-0000700B0000}"/>
    <cellStyle name="Accent1 75 3 3" xfId="2929" xr:uid="{00000000-0005-0000-0000-0000710B0000}"/>
    <cellStyle name="Accent1 75 4" xfId="2930" xr:uid="{00000000-0005-0000-0000-0000720B0000}"/>
    <cellStyle name="Accent1 76" xfId="2931" xr:uid="{00000000-0005-0000-0000-0000730B0000}"/>
    <cellStyle name="Accent1 76 2" xfId="2932" xr:uid="{00000000-0005-0000-0000-0000740B0000}"/>
    <cellStyle name="Accent1 76 2 2" xfId="2933" xr:uid="{00000000-0005-0000-0000-0000750B0000}"/>
    <cellStyle name="Accent1 76 3" xfId="2934" xr:uid="{00000000-0005-0000-0000-0000760B0000}"/>
    <cellStyle name="Accent1 76 3 2" xfId="2935" xr:uid="{00000000-0005-0000-0000-0000770B0000}"/>
    <cellStyle name="Accent1 76 3 2 2" xfId="2936" xr:uid="{00000000-0005-0000-0000-0000780B0000}"/>
    <cellStyle name="Accent1 76 3 3" xfId="2937" xr:uid="{00000000-0005-0000-0000-0000790B0000}"/>
    <cellStyle name="Accent1 76 4" xfId="2938" xr:uid="{00000000-0005-0000-0000-00007A0B0000}"/>
    <cellStyle name="Accent1 77" xfId="2939" xr:uid="{00000000-0005-0000-0000-00007B0B0000}"/>
    <cellStyle name="Accent1 77 2" xfId="2940" xr:uid="{00000000-0005-0000-0000-00007C0B0000}"/>
    <cellStyle name="Accent1 77 2 2" xfId="2941" xr:uid="{00000000-0005-0000-0000-00007D0B0000}"/>
    <cellStyle name="Accent1 77 3" xfId="2942" xr:uid="{00000000-0005-0000-0000-00007E0B0000}"/>
    <cellStyle name="Accent1 77 3 2" xfId="2943" xr:uid="{00000000-0005-0000-0000-00007F0B0000}"/>
    <cellStyle name="Accent1 77 3 2 2" xfId="2944" xr:uid="{00000000-0005-0000-0000-0000800B0000}"/>
    <cellStyle name="Accent1 77 3 3" xfId="2945" xr:uid="{00000000-0005-0000-0000-0000810B0000}"/>
    <cellStyle name="Accent1 77 4" xfId="2946" xr:uid="{00000000-0005-0000-0000-0000820B0000}"/>
    <cellStyle name="Accent1 78" xfId="2947" xr:uid="{00000000-0005-0000-0000-0000830B0000}"/>
    <cellStyle name="Accent1 78 2" xfId="2948" xr:uid="{00000000-0005-0000-0000-0000840B0000}"/>
    <cellStyle name="Accent1 78 2 2" xfId="2949" xr:uid="{00000000-0005-0000-0000-0000850B0000}"/>
    <cellStyle name="Accent1 78 3" xfId="2950" xr:uid="{00000000-0005-0000-0000-0000860B0000}"/>
    <cellStyle name="Accent1 78 3 2" xfId="2951" xr:uid="{00000000-0005-0000-0000-0000870B0000}"/>
    <cellStyle name="Accent1 78 3 2 2" xfId="2952" xr:uid="{00000000-0005-0000-0000-0000880B0000}"/>
    <cellStyle name="Accent1 78 3 3" xfId="2953" xr:uid="{00000000-0005-0000-0000-0000890B0000}"/>
    <cellStyle name="Accent1 78 4" xfId="2954" xr:uid="{00000000-0005-0000-0000-00008A0B0000}"/>
    <cellStyle name="Accent1 79" xfId="2955" xr:uid="{00000000-0005-0000-0000-00008B0B0000}"/>
    <cellStyle name="Accent1 79 2" xfId="2956" xr:uid="{00000000-0005-0000-0000-00008C0B0000}"/>
    <cellStyle name="Accent1 79 2 2" xfId="2957" xr:uid="{00000000-0005-0000-0000-00008D0B0000}"/>
    <cellStyle name="Accent1 79 3" xfId="2958" xr:uid="{00000000-0005-0000-0000-00008E0B0000}"/>
    <cellStyle name="Accent1 79 3 2" xfId="2959" xr:uid="{00000000-0005-0000-0000-00008F0B0000}"/>
    <cellStyle name="Accent1 79 3 2 2" xfId="2960" xr:uid="{00000000-0005-0000-0000-0000900B0000}"/>
    <cellStyle name="Accent1 79 3 3" xfId="2961" xr:uid="{00000000-0005-0000-0000-0000910B0000}"/>
    <cellStyle name="Accent1 79 4" xfId="2962" xr:uid="{00000000-0005-0000-0000-0000920B0000}"/>
    <cellStyle name="Accent1 8" xfId="2963" xr:uid="{00000000-0005-0000-0000-0000930B0000}"/>
    <cellStyle name="Accent1 8 2" xfId="2964" xr:uid="{00000000-0005-0000-0000-0000940B0000}"/>
    <cellStyle name="Accent1 8 2 2" xfId="2965" xr:uid="{00000000-0005-0000-0000-0000950B0000}"/>
    <cellStyle name="Accent1 8 3" xfId="2966" xr:uid="{00000000-0005-0000-0000-0000960B0000}"/>
    <cellStyle name="Accent1 80" xfId="2967" xr:uid="{00000000-0005-0000-0000-0000970B0000}"/>
    <cellStyle name="Accent1 80 2" xfId="2968" xr:uid="{00000000-0005-0000-0000-0000980B0000}"/>
    <cellStyle name="Accent1 80 2 2" xfId="2969" xr:uid="{00000000-0005-0000-0000-0000990B0000}"/>
    <cellStyle name="Accent1 80 3" xfId="2970" xr:uid="{00000000-0005-0000-0000-00009A0B0000}"/>
    <cellStyle name="Accent1 80 3 2" xfId="2971" xr:uid="{00000000-0005-0000-0000-00009B0B0000}"/>
    <cellStyle name="Accent1 80 3 2 2" xfId="2972" xr:uid="{00000000-0005-0000-0000-00009C0B0000}"/>
    <cellStyle name="Accent1 80 3 3" xfId="2973" xr:uid="{00000000-0005-0000-0000-00009D0B0000}"/>
    <cellStyle name="Accent1 80 4" xfId="2974" xr:uid="{00000000-0005-0000-0000-00009E0B0000}"/>
    <cellStyle name="Accent1 81" xfId="2975" xr:uid="{00000000-0005-0000-0000-00009F0B0000}"/>
    <cellStyle name="Accent1 81 2" xfId="2976" xr:uid="{00000000-0005-0000-0000-0000A00B0000}"/>
    <cellStyle name="Accent1 81 2 2" xfId="2977" xr:uid="{00000000-0005-0000-0000-0000A10B0000}"/>
    <cellStyle name="Accent1 81 3" xfId="2978" xr:uid="{00000000-0005-0000-0000-0000A20B0000}"/>
    <cellStyle name="Accent1 81 3 2" xfId="2979" xr:uid="{00000000-0005-0000-0000-0000A30B0000}"/>
    <cellStyle name="Accent1 81 3 2 2" xfId="2980" xr:uid="{00000000-0005-0000-0000-0000A40B0000}"/>
    <cellStyle name="Accent1 81 3 3" xfId="2981" xr:uid="{00000000-0005-0000-0000-0000A50B0000}"/>
    <cellStyle name="Accent1 81 4" xfId="2982" xr:uid="{00000000-0005-0000-0000-0000A60B0000}"/>
    <cellStyle name="Accent1 82" xfId="2983" xr:uid="{00000000-0005-0000-0000-0000A70B0000}"/>
    <cellStyle name="Accent1 82 2" xfId="2984" xr:uid="{00000000-0005-0000-0000-0000A80B0000}"/>
    <cellStyle name="Accent1 82 2 2" xfId="2985" xr:uid="{00000000-0005-0000-0000-0000A90B0000}"/>
    <cellStyle name="Accent1 82 3" xfId="2986" xr:uid="{00000000-0005-0000-0000-0000AA0B0000}"/>
    <cellStyle name="Accent1 82 3 2" xfId="2987" xr:uid="{00000000-0005-0000-0000-0000AB0B0000}"/>
    <cellStyle name="Accent1 82 3 2 2" xfId="2988" xr:uid="{00000000-0005-0000-0000-0000AC0B0000}"/>
    <cellStyle name="Accent1 82 3 3" xfId="2989" xr:uid="{00000000-0005-0000-0000-0000AD0B0000}"/>
    <cellStyle name="Accent1 82 4" xfId="2990" xr:uid="{00000000-0005-0000-0000-0000AE0B0000}"/>
    <cellStyle name="Accent1 83" xfId="2991" xr:uid="{00000000-0005-0000-0000-0000AF0B0000}"/>
    <cellStyle name="Accent1 83 2" xfId="2992" xr:uid="{00000000-0005-0000-0000-0000B00B0000}"/>
    <cellStyle name="Accent1 83 2 2" xfId="2993" xr:uid="{00000000-0005-0000-0000-0000B10B0000}"/>
    <cellStyle name="Accent1 83 3" xfId="2994" xr:uid="{00000000-0005-0000-0000-0000B20B0000}"/>
    <cellStyle name="Accent1 83 3 2" xfId="2995" xr:uid="{00000000-0005-0000-0000-0000B30B0000}"/>
    <cellStyle name="Accent1 83 3 2 2" xfId="2996" xr:uid="{00000000-0005-0000-0000-0000B40B0000}"/>
    <cellStyle name="Accent1 83 3 3" xfId="2997" xr:uid="{00000000-0005-0000-0000-0000B50B0000}"/>
    <cellStyle name="Accent1 83 4" xfId="2998" xr:uid="{00000000-0005-0000-0000-0000B60B0000}"/>
    <cellStyle name="Accent1 84" xfId="2999" xr:uid="{00000000-0005-0000-0000-0000B70B0000}"/>
    <cellStyle name="Accent1 84 2" xfId="3000" xr:uid="{00000000-0005-0000-0000-0000B80B0000}"/>
    <cellStyle name="Accent1 84 2 2" xfId="3001" xr:uid="{00000000-0005-0000-0000-0000B90B0000}"/>
    <cellStyle name="Accent1 84 3" xfId="3002" xr:uid="{00000000-0005-0000-0000-0000BA0B0000}"/>
    <cellStyle name="Accent1 85" xfId="3003" xr:uid="{00000000-0005-0000-0000-0000BB0B0000}"/>
    <cellStyle name="Accent1 85 2" xfId="3004" xr:uid="{00000000-0005-0000-0000-0000BC0B0000}"/>
    <cellStyle name="Accent1 85 2 2" xfId="3005" xr:uid="{00000000-0005-0000-0000-0000BD0B0000}"/>
    <cellStyle name="Accent1 85 3" xfId="3006" xr:uid="{00000000-0005-0000-0000-0000BE0B0000}"/>
    <cellStyle name="Accent1 86" xfId="3007" xr:uid="{00000000-0005-0000-0000-0000BF0B0000}"/>
    <cellStyle name="Accent1 86 2" xfId="3008" xr:uid="{00000000-0005-0000-0000-0000C00B0000}"/>
    <cellStyle name="Accent1 86 2 2" xfId="3009" xr:uid="{00000000-0005-0000-0000-0000C10B0000}"/>
    <cellStyle name="Accent1 86 3" xfId="3010" xr:uid="{00000000-0005-0000-0000-0000C20B0000}"/>
    <cellStyle name="Accent1 87" xfId="3011" xr:uid="{00000000-0005-0000-0000-0000C30B0000}"/>
    <cellStyle name="Accent1 87 2" xfId="3012" xr:uid="{00000000-0005-0000-0000-0000C40B0000}"/>
    <cellStyle name="Accent1 87 2 2" xfId="3013" xr:uid="{00000000-0005-0000-0000-0000C50B0000}"/>
    <cellStyle name="Accent1 87 3" xfId="3014" xr:uid="{00000000-0005-0000-0000-0000C60B0000}"/>
    <cellStyle name="Accent1 88" xfId="3015" xr:uid="{00000000-0005-0000-0000-0000C70B0000}"/>
    <cellStyle name="Accent1 88 2" xfId="3016" xr:uid="{00000000-0005-0000-0000-0000C80B0000}"/>
    <cellStyle name="Accent1 88 2 2" xfId="3017" xr:uid="{00000000-0005-0000-0000-0000C90B0000}"/>
    <cellStyle name="Accent1 88 3" xfId="3018" xr:uid="{00000000-0005-0000-0000-0000CA0B0000}"/>
    <cellStyle name="Accent1 89" xfId="3019" xr:uid="{00000000-0005-0000-0000-0000CB0B0000}"/>
    <cellStyle name="Accent1 89 2" xfId="3020" xr:uid="{00000000-0005-0000-0000-0000CC0B0000}"/>
    <cellStyle name="Accent1 89 2 2" xfId="3021" xr:uid="{00000000-0005-0000-0000-0000CD0B0000}"/>
    <cellStyle name="Accent1 89 3" xfId="3022" xr:uid="{00000000-0005-0000-0000-0000CE0B0000}"/>
    <cellStyle name="Accent1 9" xfId="3023" xr:uid="{00000000-0005-0000-0000-0000CF0B0000}"/>
    <cellStyle name="Accent1 9 2" xfId="3024" xr:uid="{00000000-0005-0000-0000-0000D00B0000}"/>
    <cellStyle name="Accent1 9 2 2" xfId="3025" xr:uid="{00000000-0005-0000-0000-0000D10B0000}"/>
    <cellStyle name="Accent1 9 3" xfId="3026" xr:uid="{00000000-0005-0000-0000-0000D20B0000}"/>
    <cellStyle name="Accent1 90" xfId="3027" xr:uid="{00000000-0005-0000-0000-0000D30B0000}"/>
    <cellStyle name="Accent1 90 2" xfId="3028" xr:uid="{00000000-0005-0000-0000-0000D40B0000}"/>
    <cellStyle name="Accent1 90 2 2" xfId="3029" xr:uid="{00000000-0005-0000-0000-0000D50B0000}"/>
    <cellStyle name="Accent1 90 3" xfId="3030" xr:uid="{00000000-0005-0000-0000-0000D60B0000}"/>
    <cellStyle name="Accent1 91" xfId="3031" xr:uid="{00000000-0005-0000-0000-0000D70B0000}"/>
    <cellStyle name="Accent1 91 2" xfId="3032" xr:uid="{00000000-0005-0000-0000-0000D80B0000}"/>
    <cellStyle name="Accent1 91 2 2" xfId="3033" xr:uid="{00000000-0005-0000-0000-0000D90B0000}"/>
    <cellStyle name="Accent1 91 3" xfId="3034" xr:uid="{00000000-0005-0000-0000-0000DA0B0000}"/>
    <cellStyle name="Accent1 92" xfId="3035" xr:uid="{00000000-0005-0000-0000-0000DB0B0000}"/>
    <cellStyle name="Accent1 92 2" xfId="3036" xr:uid="{00000000-0005-0000-0000-0000DC0B0000}"/>
    <cellStyle name="Accent1 92 2 2" xfId="3037" xr:uid="{00000000-0005-0000-0000-0000DD0B0000}"/>
    <cellStyle name="Accent1 92 3" xfId="3038" xr:uid="{00000000-0005-0000-0000-0000DE0B0000}"/>
    <cellStyle name="Accent1 93" xfId="3039" xr:uid="{00000000-0005-0000-0000-0000DF0B0000}"/>
    <cellStyle name="Accent1 93 2" xfId="3040" xr:uid="{00000000-0005-0000-0000-0000E00B0000}"/>
    <cellStyle name="Accent1 93 2 2" xfId="3041" xr:uid="{00000000-0005-0000-0000-0000E10B0000}"/>
    <cellStyle name="Accent1 93 3" xfId="3042" xr:uid="{00000000-0005-0000-0000-0000E20B0000}"/>
    <cellStyle name="Accent1 94" xfId="3043" xr:uid="{00000000-0005-0000-0000-0000E30B0000}"/>
    <cellStyle name="Accent1 94 2" xfId="3044" xr:uid="{00000000-0005-0000-0000-0000E40B0000}"/>
    <cellStyle name="Accent1 94 2 2" xfId="3045" xr:uid="{00000000-0005-0000-0000-0000E50B0000}"/>
    <cellStyle name="Accent1 94 3" xfId="3046" xr:uid="{00000000-0005-0000-0000-0000E60B0000}"/>
    <cellStyle name="Accent1 95" xfId="3047" xr:uid="{00000000-0005-0000-0000-0000E70B0000}"/>
    <cellStyle name="Accent1 95 2" xfId="3048" xr:uid="{00000000-0005-0000-0000-0000E80B0000}"/>
    <cellStyle name="Accent1 95 2 2" xfId="3049" xr:uid="{00000000-0005-0000-0000-0000E90B0000}"/>
    <cellStyle name="Accent1 95 3" xfId="3050" xr:uid="{00000000-0005-0000-0000-0000EA0B0000}"/>
    <cellStyle name="Accent1 96" xfId="3051" xr:uid="{00000000-0005-0000-0000-0000EB0B0000}"/>
    <cellStyle name="Accent1 96 2" xfId="3052" xr:uid="{00000000-0005-0000-0000-0000EC0B0000}"/>
    <cellStyle name="Accent1 96 2 2" xfId="3053" xr:uid="{00000000-0005-0000-0000-0000ED0B0000}"/>
    <cellStyle name="Accent1 96 3" xfId="3054" xr:uid="{00000000-0005-0000-0000-0000EE0B0000}"/>
    <cellStyle name="Accent1 97" xfId="3055" xr:uid="{00000000-0005-0000-0000-0000EF0B0000}"/>
    <cellStyle name="Accent1 97 2" xfId="3056" xr:uid="{00000000-0005-0000-0000-0000F00B0000}"/>
    <cellStyle name="Accent1 97 2 2" xfId="3057" xr:uid="{00000000-0005-0000-0000-0000F10B0000}"/>
    <cellStyle name="Accent1 97 3" xfId="3058" xr:uid="{00000000-0005-0000-0000-0000F20B0000}"/>
    <cellStyle name="Accent1 98" xfId="3059" xr:uid="{00000000-0005-0000-0000-0000F30B0000}"/>
    <cellStyle name="Accent1 98 2" xfId="3060" xr:uid="{00000000-0005-0000-0000-0000F40B0000}"/>
    <cellStyle name="Accent1 98 2 2" xfId="3061" xr:uid="{00000000-0005-0000-0000-0000F50B0000}"/>
    <cellStyle name="Accent1 98 3" xfId="3062" xr:uid="{00000000-0005-0000-0000-0000F60B0000}"/>
    <cellStyle name="Accent1 99" xfId="3063" xr:uid="{00000000-0005-0000-0000-0000F70B0000}"/>
    <cellStyle name="Accent1 99 2" xfId="3064" xr:uid="{00000000-0005-0000-0000-0000F80B0000}"/>
    <cellStyle name="Accent1 99 2 2" xfId="3065" xr:uid="{00000000-0005-0000-0000-0000F90B0000}"/>
    <cellStyle name="Accent1 99 3" xfId="3066" xr:uid="{00000000-0005-0000-0000-0000FA0B0000}"/>
    <cellStyle name="Accent2 - 20%" xfId="3067" xr:uid="{00000000-0005-0000-0000-0000FB0B0000}"/>
    <cellStyle name="Accent2 - 20% 10" xfId="3068" xr:uid="{00000000-0005-0000-0000-0000FC0B0000}"/>
    <cellStyle name="Accent2 - 20% 11" xfId="3069" xr:uid="{00000000-0005-0000-0000-0000FD0B0000}"/>
    <cellStyle name="Accent2 - 20% 2" xfId="3070" xr:uid="{00000000-0005-0000-0000-0000FE0B0000}"/>
    <cellStyle name="Accent2 - 20% 2 2" xfId="3071" xr:uid="{00000000-0005-0000-0000-0000FF0B0000}"/>
    <cellStyle name="Accent2 - 20% 2 2 2" xfId="3072" xr:uid="{00000000-0005-0000-0000-0000000C0000}"/>
    <cellStyle name="Accent2 - 20% 2 2 2 2" xfId="3073" xr:uid="{00000000-0005-0000-0000-0000010C0000}"/>
    <cellStyle name="Accent2 - 20% 2 2 3" xfId="3074" xr:uid="{00000000-0005-0000-0000-0000020C0000}"/>
    <cellStyle name="Accent2 - 20% 2 3" xfId="3075" xr:uid="{00000000-0005-0000-0000-0000030C0000}"/>
    <cellStyle name="Accent2 - 20% 2 3 2" xfId="3076" xr:uid="{00000000-0005-0000-0000-0000040C0000}"/>
    <cellStyle name="Accent2 - 20% 2 3 2 2" xfId="3077" xr:uid="{00000000-0005-0000-0000-0000050C0000}"/>
    <cellStyle name="Accent2 - 20% 2 3 2 2 2" xfId="3078" xr:uid="{00000000-0005-0000-0000-0000060C0000}"/>
    <cellStyle name="Accent2 - 20% 2 3 2 3" xfId="3079" xr:uid="{00000000-0005-0000-0000-0000070C0000}"/>
    <cellStyle name="Accent2 - 20% 2 3 3" xfId="3080" xr:uid="{00000000-0005-0000-0000-0000080C0000}"/>
    <cellStyle name="Accent2 - 20% 2 3 3 2" xfId="3081" xr:uid="{00000000-0005-0000-0000-0000090C0000}"/>
    <cellStyle name="Accent2 - 20% 2 3 4" xfId="3082" xr:uid="{00000000-0005-0000-0000-00000A0C0000}"/>
    <cellStyle name="Accent2 - 20% 2 4" xfId="3083" xr:uid="{00000000-0005-0000-0000-00000B0C0000}"/>
    <cellStyle name="Accent2 - 20% 2 4 2" xfId="3084" xr:uid="{00000000-0005-0000-0000-00000C0C0000}"/>
    <cellStyle name="Accent2 - 20% 2 4 2 2" xfId="3085" xr:uid="{00000000-0005-0000-0000-00000D0C0000}"/>
    <cellStyle name="Accent2 - 20% 2 4 2 2 2" xfId="3086" xr:uid="{00000000-0005-0000-0000-00000E0C0000}"/>
    <cellStyle name="Accent2 - 20% 2 4 2 3" xfId="3087" xr:uid="{00000000-0005-0000-0000-00000F0C0000}"/>
    <cellStyle name="Accent2 - 20% 2 4 3" xfId="3088" xr:uid="{00000000-0005-0000-0000-0000100C0000}"/>
    <cellStyle name="Accent2 - 20% 2 4 3 2" xfId="3089" xr:uid="{00000000-0005-0000-0000-0000110C0000}"/>
    <cellStyle name="Accent2 - 20% 2 4 4" xfId="3090" xr:uid="{00000000-0005-0000-0000-0000120C0000}"/>
    <cellStyle name="Accent2 - 20% 2 5" xfId="3091" xr:uid="{00000000-0005-0000-0000-0000130C0000}"/>
    <cellStyle name="Accent2 - 20% 2 5 2" xfId="3092" xr:uid="{00000000-0005-0000-0000-0000140C0000}"/>
    <cellStyle name="Accent2 - 20% 2 6" xfId="3093" xr:uid="{00000000-0005-0000-0000-0000150C0000}"/>
    <cellStyle name="Accent2 - 20% 2 6 2" xfId="3094" xr:uid="{00000000-0005-0000-0000-0000160C0000}"/>
    <cellStyle name="Accent2 - 20% 2 7" xfId="3095" xr:uid="{00000000-0005-0000-0000-0000170C0000}"/>
    <cellStyle name="Accent2 - 20% 3" xfId="3096" xr:uid="{00000000-0005-0000-0000-0000180C0000}"/>
    <cellStyle name="Accent2 - 20% 3 2" xfId="3097" xr:uid="{00000000-0005-0000-0000-0000190C0000}"/>
    <cellStyle name="Accent2 - 20% 3 2 2" xfId="3098" xr:uid="{00000000-0005-0000-0000-00001A0C0000}"/>
    <cellStyle name="Accent2 - 20% 3 2 2 2" xfId="3099" xr:uid="{00000000-0005-0000-0000-00001B0C0000}"/>
    <cellStyle name="Accent2 - 20% 3 2 3" xfId="3100" xr:uid="{00000000-0005-0000-0000-00001C0C0000}"/>
    <cellStyle name="Accent2 - 20% 3 3" xfId="3101" xr:uid="{00000000-0005-0000-0000-00001D0C0000}"/>
    <cellStyle name="Accent2 - 20% 3 3 2" xfId="3102" xr:uid="{00000000-0005-0000-0000-00001E0C0000}"/>
    <cellStyle name="Accent2 - 20% 3 4" xfId="3103" xr:uid="{00000000-0005-0000-0000-00001F0C0000}"/>
    <cellStyle name="Accent2 - 20% 4" xfId="3104" xr:uid="{00000000-0005-0000-0000-0000200C0000}"/>
    <cellStyle name="Accent2 - 20% 4 2" xfId="3105" xr:uid="{00000000-0005-0000-0000-0000210C0000}"/>
    <cellStyle name="Accent2 - 20% 4 2 2" xfId="3106" xr:uid="{00000000-0005-0000-0000-0000220C0000}"/>
    <cellStyle name="Accent2 - 20% 4 3" xfId="3107" xr:uid="{00000000-0005-0000-0000-0000230C0000}"/>
    <cellStyle name="Accent2 - 20% 5" xfId="3108" xr:uid="{00000000-0005-0000-0000-0000240C0000}"/>
    <cellStyle name="Accent2 - 20% 5 2" xfId="3109" xr:uid="{00000000-0005-0000-0000-0000250C0000}"/>
    <cellStyle name="Accent2 - 20% 5 2 2" xfId="3110" xr:uid="{00000000-0005-0000-0000-0000260C0000}"/>
    <cellStyle name="Accent2 - 20% 5 3" xfId="3111" xr:uid="{00000000-0005-0000-0000-0000270C0000}"/>
    <cellStyle name="Accent2 - 20% 6" xfId="3112" xr:uid="{00000000-0005-0000-0000-0000280C0000}"/>
    <cellStyle name="Accent2 - 20% 6 2" xfId="3113" xr:uid="{00000000-0005-0000-0000-0000290C0000}"/>
    <cellStyle name="Accent2 - 20% 7" xfId="3114" xr:uid="{00000000-0005-0000-0000-00002A0C0000}"/>
    <cellStyle name="Accent2 - 20% 7 2" xfId="3115" xr:uid="{00000000-0005-0000-0000-00002B0C0000}"/>
    <cellStyle name="Accent2 - 20% 8" xfId="3116" xr:uid="{00000000-0005-0000-0000-00002C0C0000}"/>
    <cellStyle name="Accent2 - 20% 8 2" xfId="3117" xr:uid="{00000000-0005-0000-0000-00002D0C0000}"/>
    <cellStyle name="Accent2 - 20% 9" xfId="3118" xr:uid="{00000000-0005-0000-0000-00002E0C0000}"/>
    <cellStyle name="Accent2 - 20% 9 2" xfId="3119" xr:uid="{00000000-0005-0000-0000-00002F0C0000}"/>
    <cellStyle name="Accent2 - 40%" xfId="3120" xr:uid="{00000000-0005-0000-0000-0000300C0000}"/>
    <cellStyle name="Accent2 - 40% 10" xfId="3121" xr:uid="{00000000-0005-0000-0000-0000310C0000}"/>
    <cellStyle name="Accent2 - 40% 11" xfId="3122" xr:uid="{00000000-0005-0000-0000-0000320C0000}"/>
    <cellStyle name="Accent2 - 40% 2" xfId="3123" xr:uid="{00000000-0005-0000-0000-0000330C0000}"/>
    <cellStyle name="Accent2 - 40% 2 2" xfId="3124" xr:uid="{00000000-0005-0000-0000-0000340C0000}"/>
    <cellStyle name="Accent2 - 40% 2 2 2" xfId="3125" xr:uid="{00000000-0005-0000-0000-0000350C0000}"/>
    <cellStyle name="Accent2 - 40% 2 2 2 2" xfId="3126" xr:uid="{00000000-0005-0000-0000-0000360C0000}"/>
    <cellStyle name="Accent2 - 40% 2 2 3" xfId="3127" xr:uid="{00000000-0005-0000-0000-0000370C0000}"/>
    <cellStyle name="Accent2 - 40% 2 3" xfId="3128" xr:uid="{00000000-0005-0000-0000-0000380C0000}"/>
    <cellStyle name="Accent2 - 40% 2 3 2" xfId="3129" xr:uid="{00000000-0005-0000-0000-0000390C0000}"/>
    <cellStyle name="Accent2 - 40% 2 3 2 2" xfId="3130" xr:uid="{00000000-0005-0000-0000-00003A0C0000}"/>
    <cellStyle name="Accent2 - 40% 2 3 2 2 2" xfId="3131" xr:uid="{00000000-0005-0000-0000-00003B0C0000}"/>
    <cellStyle name="Accent2 - 40% 2 3 2 3" xfId="3132" xr:uid="{00000000-0005-0000-0000-00003C0C0000}"/>
    <cellStyle name="Accent2 - 40% 2 3 3" xfId="3133" xr:uid="{00000000-0005-0000-0000-00003D0C0000}"/>
    <cellStyle name="Accent2 - 40% 2 3 3 2" xfId="3134" xr:uid="{00000000-0005-0000-0000-00003E0C0000}"/>
    <cellStyle name="Accent2 - 40% 2 3 4" xfId="3135" xr:uid="{00000000-0005-0000-0000-00003F0C0000}"/>
    <cellStyle name="Accent2 - 40% 2 4" xfId="3136" xr:uid="{00000000-0005-0000-0000-0000400C0000}"/>
    <cellStyle name="Accent2 - 40% 2 4 2" xfId="3137" xr:uid="{00000000-0005-0000-0000-0000410C0000}"/>
    <cellStyle name="Accent2 - 40% 2 4 2 2" xfId="3138" xr:uid="{00000000-0005-0000-0000-0000420C0000}"/>
    <cellStyle name="Accent2 - 40% 2 4 2 2 2" xfId="3139" xr:uid="{00000000-0005-0000-0000-0000430C0000}"/>
    <cellStyle name="Accent2 - 40% 2 4 2 3" xfId="3140" xr:uid="{00000000-0005-0000-0000-0000440C0000}"/>
    <cellStyle name="Accent2 - 40% 2 4 3" xfId="3141" xr:uid="{00000000-0005-0000-0000-0000450C0000}"/>
    <cellStyle name="Accent2 - 40% 2 4 3 2" xfId="3142" xr:uid="{00000000-0005-0000-0000-0000460C0000}"/>
    <cellStyle name="Accent2 - 40% 2 4 4" xfId="3143" xr:uid="{00000000-0005-0000-0000-0000470C0000}"/>
    <cellStyle name="Accent2 - 40% 2 5" xfId="3144" xr:uid="{00000000-0005-0000-0000-0000480C0000}"/>
    <cellStyle name="Accent2 - 40% 2 5 2" xfId="3145" xr:uid="{00000000-0005-0000-0000-0000490C0000}"/>
    <cellStyle name="Accent2 - 40% 2 6" xfId="3146" xr:uid="{00000000-0005-0000-0000-00004A0C0000}"/>
    <cellStyle name="Accent2 - 40% 2 6 2" xfId="3147" xr:uid="{00000000-0005-0000-0000-00004B0C0000}"/>
    <cellStyle name="Accent2 - 40% 2 7" xfId="3148" xr:uid="{00000000-0005-0000-0000-00004C0C0000}"/>
    <cellStyle name="Accent2 - 40% 3" xfId="3149" xr:uid="{00000000-0005-0000-0000-00004D0C0000}"/>
    <cellStyle name="Accent2 - 40% 3 2" xfId="3150" xr:uid="{00000000-0005-0000-0000-00004E0C0000}"/>
    <cellStyle name="Accent2 - 40% 3 2 2" xfId="3151" xr:uid="{00000000-0005-0000-0000-00004F0C0000}"/>
    <cellStyle name="Accent2 - 40% 3 2 2 2" xfId="3152" xr:uid="{00000000-0005-0000-0000-0000500C0000}"/>
    <cellStyle name="Accent2 - 40% 3 2 3" xfId="3153" xr:uid="{00000000-0005-0000-0000-0000510C0000}"/>
    <cellStyle name="Accent2 - 40% 3 3" xfId="3154" xr:uid="{00000000-0005-0000-0000-0000520C0000}"/>
    <cellStyle name="Accent2 - 40% 3 3 2" xfId="3155" xr:uid="{00000000-0005-0000-0000-0000530C0000}"/>
    <cellStyle name="Accent2 - 40% 3 4" xfId="3156" xr:uid="{00000000-0005-0000-0000-0000540C0000}"/>
    <cellStyle name="Accent2 - 40% 4" xfId="3157" xr:uid="{00000000-0005-0000-0000-0000550C0000}"/>
    <cellStyle name="Accent2 - 40% 4 2" xfId="3158" xr:uid="{00000000-0005-0000-0000-0000560C0000}"/>
    <cellStyle name="Accent2 - 40% 4 2 2" xfId="3159" xr:uid="{00000000-0005-0000-0000-0000570C0000}"/>
    <cellStyle name="Accent2 - 40% 4 3" xfId="3160" xr:uid="{00000000-0005-0000-0000-0000580C0000}"/>
    <cellStyle name="Accent2 - 40% 5" xfId="3161" xr:uid="{00000000-0005-0000-0000-0000590C0000}"/>
    <cellStyle name="Accent2 - 40% 5 2" xfId="3162" xr:uid="{00000000-0005-0000-0000-00005A0C0000}"/>
    <cellStyle name="Accent2 - 40% 5 2 2" xfId="3163" xr:uid="{00000000-0005-0000-0000-00005B0C0000}"/>
    <cellStyle name="Accent2 - 40% 5 3" xfId="3164" xr:uid="{00000000-0005-0000-0000-00005C0C0000}"/>
    <cellStyle name="Accent2 - 40% 6" xfId="3165" xr:uid="{00000000-0005-0000-0000-00005D0C0000}"/>
    <cellStyle name="Accent2 - 40% 6 2" xfId="3166" xr:uid="{00000000-0005-0000-0000-00005E0C0000}"/>
    <cellStyle name="Accent2 - 40% 7" xfId="3167" xr:uid="{00000000-0005-0000-0000-00005F0C0000}"/>
    <cellStyle name="Accent2 - 40% 7 2" xfId="3168" xr:uid="{00000000-0005-0000-0000-0000600C0000}"/>
    <cellStyle name="Accent2 - 40% 8" xfId="3169" xr:uid="{00000000-0005-0000-0000-0000610C0000}"/>
    <cellStyle name="Accent2 - 40% 8 2" xfId="3170" xr:uid="{00000000-0005-0000-0000-0000620C0000}"/>
    <cellStyle name="Accent2 - 40% 9" xfId="3171" xr:uid="{00000000-0005-0000-0000-0000630C0000}"/>
    <cellStyle name="Accent2 - 40% 9 2" xfId="3172" xr:uid="{00000000-0005-0000-0000-0000640C0000}"/>
    <cellStyle name="Accent2 - 60%" xfId="3173" xr:uid="{00000000-0005-0000-0000-0000650C0000}"/>
    <cellStyle name="Accent2 - 60% 10" xfId="3174" xr:uid="{00000000-0005-0000-0000-0000660C0000}"/>
    <cellStyle name="Accent2 - 60% 11" xfId="32882" xr:uid="{42C017BF-1EEE-4FAD-B00C-F255524D508F}"/>
    <cellStyle name="Accent2 - 60% 2" xfId="3175" xr:uid="{00000000-0005-0000-0000-0000670C0000}"/>
    <cellStyle name="Accent2 - 60% 2 2" xfId="3176" xr:uid="{00000000-0005-0000-0000-0000680C0000}"/>
    <cellStyle name="Accent2 - 60% 2 2 2" xfId="3177" xr:uid="{00000000-0005-0000-0000-0000690C0000}"/>
    <cellStyle name="Accent2 - 60% 2 2 2 2" xfId="32885" xr:uid="{E73B5C20-EB75-4B5D-B4C7-E11EAE34FB31}"/>
    <cellStyle name="Accent2 - 60% 2 2 3" xfId="32884" xr:uid="{14DB5761-DD19-46A7-9B28-F692995208EA}"/>
    <cellStyle name="Accent2 - 60% 2 3" xfId="3178" xr:uid="{00000000-0005-0000-0000-00006A0C0000}"/>
    <cellStyle name="Accent2 - 60% 2 3 2" xfId="3179" xr:uid="{00000000-0005-0000-0000-00006B0C0000}"/>
    <cellStyle name="Accent2 - 60% 2 3 2 2" xfId="3180" xr:uid="{00000000-0005-0000-0000-00006C0C0000}"/>
    <cellStyle name="Accent2 - 60% 2 3 2 2 2" xfId="32888" xr:uid="{40337911-A48A-4F55-90EC-E3A3D4594C67}"/>
    <cellStyle name="Accent2 - 60% 2 3 2 3" xfId="32887" xr:uid="{DF174118-0CD9-4666-B37B-FA6124FAA2ED}"/>
    <cellStyle name="Accent2 - 60% 2 3 3" xfId="3181" xr:uid="{00000000-0005-0000-0000-00006D0C0000}"/>
    <cellStyle name="Accent2 - 60% 2 3 3 2" xfId="32889" xr:uid="{61E7DBA6-81DD-4D64-9081-03E348AC5108}"/>
    <cellStyle name="Accent2 - 60% 2 3 4" xfId="32886" xr:uid="{633E71B5-99B3-432D-81B1-6C0C817C2E52}"/>
    <cellStyle name="Accent2 - 60% 2 4" xfId="3182" xr:uid="{00000000-0005-0000-0000-00006E0C0000}"/>
    <cellStyle name="Accent2 - 60% 2 4 2" xfId="3183" xr:uid="{00000000-0005-0000-0000-00006F0C0000}"/>
    <cellStyle name="Accent2 - 60% 2 4 2 2" xfId="3184" xr:uid="{00000000-0005-0000-0000-0000700C0000}"/>
    <cellStyle name="Accent2 - 60% 2 4 3" xfId="3185" xr:uid="{00000000-0005-0000-0000-0000710C0000}"/>
    <cellStyle name="Accent2 - 60% 2 5" xfId="3186" xr:uid="{00000000-0005-0000-0000-0000720C0000}"/>
    <cellStyle name="Accent2 - 60% 2 5 2" xfId="32890" xr:uid="{786BECCF-568D-495C-A533-F3DCB24177E1}"/>
    <cellStyle name="Accent2 - 60% 2 6" xfId="32883" xr:uid="{F7AF4754-8492-47B6-B3FA-D97879F435DD}"/>
    <cellStyle name="Accent2 - 60% 3" xfId="3187" xr:uid="{00000000-0005-0000-0000-0000730C0000}"/>
    <cellStyle name="Accent2 - 60% 3 2" xfId="3188" xr:uid="{00000000-0005-0000-0000-0000740C0000}"/>
    <cellStyle name="Accent2 - 60% 3 2 2" xfId="3189" xr:uid="{00000000-0005-0000-0000-0000750C0000}"/>
    <cellStyle name="Accent2 - 60% 3 2 2 2" xfId="32893" xr:uid="{9672E0C0-0EAD-4EF9-9E11-292BCB79BB4B}"/>
    <cellStyle name="Accent2 - 60% 3 2 3" xfId="32892" xr:uid="{8B41A2E3-0A4A-4ED2-83E9-D781969ED05C}"/>
    <cellStyle name="Accent2 - 60% 3 3" xfId="3190" xr:uid="{00000000-0005-0000-0000-0000760C0000}"/>
    <cellStyle name="Accent2 - 60% 3 3 2" xfId="32894" xr:uid="{280DBA8A-6271-470D-B12D-CF5C9605B0E7}"/>
    <cellStyle name="Accent2 - 60% 3 4" xfId="32891" xr:uid="{F7D38030-B0AB-442E-BB87-7E8A9D1EC4DE}"/>
    <cellStyle name="Accent2 - 60% 4" xfId="3191" xr:uid="{00000000-0005-0000-0000-0000770C0000}"/>
    <cellStyle name="Accent2 - 60% 4 2" xfId="3192" xr:uid="{00000000-0005-0000-0000-0000780C0000}"/>
    <cellStyle name="Accent2 - 60% 4 2 2" xfId="32896" xr:uid="{E4C81A29-11EE-423F-A9F0-836092E3A87E}"/>
    <cellStyle name="Accent2 - 60% 4 3" xfId="32895" xr:uid="{99836BFB-2C24-4D7F-98A1-1D77E913E65F}"/>
    <cellStyle name="Accent2 - 60% 5" xfId="3193" xr:uid="{00000000-0005-0000-0000-0000790C0000}"/>
    <cellStyle name="Accent2 - 60% 5 2" xfId="3194" xr:uid="{00000000-0005-0000-0000-00007A0C0000}"/>
    <cellStyle name="Accent2 - 60% 5 2 2" xfId="32898" xr:uid="{3D429B07-56EC-4FF0-9A8A-7320B636188E}"/>
    <cellStyle name="Accent2 - 60% 5 3" xfId="32897" xr:uid="{084D0628-06CD-49C2-9C5F-75FE41440A4C}"/>
    <cellStyle name="Accent2 - 60% 6" xfId="3195" xr:uid="{00000000-0005-0000-0000-00007B0C0000}"/>
    <cellStyle name="Accent2 - 60% 6 2" xfId="3196" xr:uid="{00000000-0005-0000-0000-00007C0C0000}"/>
    <cellStyle name="Accent2 - 60% 6 2 2" xfId="3197" xr:uid="{00000000-0005-0000-0000-00007D0C0000}"/>
    <cellStyle name="Accent2 - 60% 6 2 2 2" xfId="32901" xr:uid="{7FC3981C-219C-4BF2-93F9-CAD0D62F6BFF}"/>
    <cellStyle name="Accent2 - 60% 6 2 3" xfId="32900" xr:uid="{0C9F1B07-39D6-4C48-9A64-7C57896ECBD6}"/>
    <cellStyle name="Accent2 - 60% 6 3" xfId="3198" xr:uid="{00000000-0005-0000-0000-00007E0C0000}"/>
    <cellStyle name="Accent2 - 60% 6 3 2" xfId="32902" xr:uid="{7E820C85-4B66-43C4-8EAE-B3B862315F4D}"/>
    <cellStyle name="Accent2 - 60% 6 4" xfId="32899" xr:uid="{739B4A44-6E72-4778-9535-25E3F9597F12}"/>
    <cellStyle name="Accent2 - 60% 7" xfId="3199" xr:uid="{00000000-0005-0000-0000-00007F0C0000}"/>
    <cellStyle name="Accent2 - 60% 7 2" xfId="3200" xr:uid="{00000000-0005-0000-0000-0000800C0000}"/>
    <cellStyle name="Accent2 - 60% 7 2 2" xfId="32904" xr:uid="{5E937B3F-EA1A-4EBA-AA44-B8185F7C447E}"/>
    <cellStyle name="Accent2 - 60% 7 3" xfId="32903" xr:uid="{B89789CB-57D0-40F2-B783-3E85B4FBAA4B}"/>
    <cellStyle name="Accent2 - 60% 8" xfId="3201" xr:uid="{00000000-0005-0000-0000-0000810C0000}"/>
    <cellStyle name="Accent2 - 60% 8 2" xfId="3202" xr:uid="{00000000-0005-0000-0000-0000820C0000}"/>
    <cellStyle name="Accent2 - 60% 8 2 2" xfId="32906" xr:uid="{9F0D12A3-0819-4407-9B4C-D3034BF0A99B}"/>
    <cellStyle name="Accent2 - 60% 8 3" xfId="32905" xr:uid="{0978EAD5-C168-4EB9-8126-D504616EC2C9}"/>
    <cellStyle name="Accent2 - 60% 9" xfId="3203" xr:uid="{00000000-0005-0000-0000-0000830C0000}"/>
    <cellStyle name="Accent2 - 60% 9 2" xfId="32907" xr:uid="{9538FF18-6594-42F7-9ED0-770F7EEE4433}"/>
    <cellStyle name="Accent2 10" xfId="3204" xr:uid="{00000000-0005-0000-0000-0000840C0000}"/>
    <cellStyle name="Accent2 10 2" xfId="3205" xr:uid="{00000000-0005-0000-0000-0000850C0000}"/>
    <cellStyle name="Accent2 10 2 2" xfId="3206" xr:uid="{00000000-0005-0000-0000-0000860C0000}"/>
    <cellStyle name="Accent2 10 3" xfId="3207" xr:uid="{00000000-0005-0000-0000-0000870C0000}"/>
    <cellStyle name="Accent2 100" xfId="3208" xr:uid="{00000000-0005-0000-0000-0000880C0000}"/>
    <cellStyle name="Accent2 100 2" xfId="3209" xr:uid="{00000000-0005-0000-0000-0000890C0000}"/>
    <cellStyle name="Accent2 100 2 2" xfId="3210" xr:uid="{00000000-0005-0000-0000-00008A0C0000}"/>
    <cellStyle name="Accent2 100 3" xfId="3211" xr:uid="{00000000-0005-0000-0000-00008B0C0000}"/>
    <cellStyle name="Accent2 101" xfId="3212" xr:uid="{00000000-0005-0000-0000-00008C0C0000}"/>
    <cellStyle name="Accent2 101 2" xfId="3213" xr:uid="{00000000-0005-0000-0000-00008D0C0000}"/>
    <cellStyle name="Accent2 101 2 2" xfId="3214" xr:uid="{00000000-0005-0000-0000-00008E0C0000}"/>
    <cellStyle name="Accent2 101 3" xfId="3215" xr:uid="{00000000-0005-0000-0000-00008F0C0000}"/>
    <cellStyle name="Accent2 102" xfId="3216" xr:uid="{00000000-0005-0000-0000-0000900C0000}"/>
    <cellStyle name="Accent2 102 2" xfId="3217" xr:uid="{00000000-0005-0000-0000-0000910C0000}"/>
    <cellStyle name="Accent2 103" xfId="3218" xr:uid="{00000000-0005-0000-0000-0000920C0000}"/>
    <cellStyle name="Accent2 103 2" xfId="3219" xr:uid="{00000000-0005-0000-0000-0000930C0000}"/>
    <cellStyle name="Accent2 104" xfId="3220" xr:uid="{00000000-0005-0000-0000-0000940C0000}"/>
    <cellStyle name="Accent2 104 2" xfId="3221" xr:uid="{00000000-0005-0000-0000-0000950C0000}"/>
    <cellStyle name="Accent2 104 2 2" xfId="3222" xr:uid="{00000000-0005-0000-0000-0000960C0000}"/>
    <cellStyle name="Accent2 104 3" xfId="3223" xr:uid="{00000000-0005-0000-0000-0000970C0000}"/>
    <cellStyle name="Accent2 105" xfId="3224" xr:uid="{00000000-0005-0000-0000-0000980C0000}"/>
    <cellStyle name="Accent2 105 2" xfId="3225" xr:uid="{00000000-0005-0000-0000-0000990C0000}"/>
    <cellStyle name="Accent2 105 2 2" xfId="3226" xr:uid="{00000000-0005-0000-0000-00009A0C0000}"/>
    <cellStyle name="Accent2 105 3" xfId="3227" xr:uid="{00000000-0005-0000-0000-00009B0C0000}"/>
    <cellStyle name="Accent2 106" xfId="3228" xr:uid="{00000000-0005-0000-0000-00009C0C0000}"/>
    <cellStyle name="Accent2 106 2" xfId="3229" xr:uid="{00000000-0005-0000-0000-00009D0C0000}"/>
    <cellStyle name="Accent2 106 2 2" xfId="3230" xr:uid="{00000000-0005-0000-0000-00009E0C0000}"/>
    <cellStyle name="Accent2 106 3" xfId="3231" xr:uid="{00000000-0005-0000-0000-00009F0C0000}"/>
    <cellStyle name="Accent2 107" xfId="3232" xr:uid="{00000000-0005-0000-0000-0000A00C0000}"/>
    <cellStyle name="Accent2 107 2" xfId="3233" xr:uid="{00000000-0005-0000-0000-0000A10C0000}"/>
    <cellStyle name="Accent2 107 2 2" xfId="3234" xr:uid="{00000000-0005-0000-0000-0000A20C0000}"/>
    <cellStyle name="Accent2 107 3" xfId="3235" xr:uid="{00000000-0005-0000-0000-0000A30C0000}"/>
    <cellStyle name="Accent2 108" xfId="3236" xr:uid="{00000000-0005-0000-0000-0000A40C0000}"/>
    <cellStyle name="Accent2 108 2" xfId="3237" xr:uid="{00000000-0005-0000-0000-0000A50C0000}"/>
    <cellStyle name="Accent2 108 2 2" xfId="3238" xr:uid="{00000000-0005-0000-0000-0000A60C0000}"/>
    <cellStyle name="Accent2 108 3" xfId="3239" xr:uid="{00000000-0005-0000-0000-0000A70C0000}"/>
    <cellStyle name="Accent2 109" xfId="3240" xr:uid="{00000000-0005-0000-0000-0000A80C0000}"/>
    <cellStyle name="Accent2 109 2" xfId="3241" xr:uid="{00000000-0005-0000-0000-0000A90C0000}"/>
    <cellStyle name="Accent2 109 2 2" xfId="3242" xr:uid="{00000000-0005-0000-0000-0000AA0C0000}"/>
    <cellStyle name="Accent2 109 3" xfId="3243" xr:uid="{00000000-0005-0000-0000-0000AB0C0000}"/>
    <cellStyle name="Accent2 11" xfId="3244" xr:uid="{00000000-0005-0000-0000-0000AC0C0000}"/>
    <cellStyle name="Accent2 11 2" xfId="3245" xr:uid="{00000000-0005-0000-0000-0000AD0C0000}"/>
    <cellStyle name="Accent2 11 2 2" xfId="3246" xr:uid="{00000000-0005-0000-0000-0000AE0C0000}"/>
    <cellStyle name="Accent2 11 3" xfId="3247" xr:uid="{00000000-0005-0000-0000-0000AF0C0000}"/>
    <cellStyle name="Accent2 110" xfId="3248" xr:uid="{00000000-0005-0000-0000-0000B00C0000}"/>
    <cellStyle name="Accent2 110 2" xfId="3249" xr:uid="{00000000-0005-0000-0000-0000B10C0000}"/>
    <cellStyle name="Accent2 110 2 2" xfId="3250" xr:uid="{00000000-0005-0000-0000-0000B20C0000}"/>
    <cellStyle name="Accent2 110 3" xfId="3251" xr:uid="{00000000-0005-0000-0000-0000B30C0000}"/>
    <cellStyle name="Accent2 111" xfId="3252" xr:uid="{00000000-0005-0000-0000-0000B40C0000}"/>
    <cellStyle name="Accent2 111 2" xfId="3253" xr:uid="{00000000-0005-0000-0000-0000B50C0000}"/>
    <cellStyle name="Accent2 111 2 2" xfId="3254" xr:uid="{00000000-0005-0000-0000-0000B60C0000}"/>
    <cellStyle name="Accent2 111 3" xfId="3255" xr:uid="{00000000-0005-0000-0000-0000B70C0000}"/>
    <cellStyle name="Accent2 112" xfId="3256" xr:uid="{00000000-0005-0000-0000-0000B80C0000}"/>
    <cellStyle name="Accent2 112 2" xfId="3257" xr:uid="{00000000-0005-0000-0000-0000B90C0000}"/>
    <cellStyle name="Accent2 112 2 2" xfId="3258" xr:uid="{00000000-0005-0000-0000-0000BA0C0000}"/>
    <cellStyle name="Accent2 112 3" xfId="3259" xr:uid="{00000000-0005-0000-0000-0000BB0C0000}"/>
    <cellStyle name="Accent2 113" xfId="3260" xr:uid="{00000000-0005-0000-0000-0000BC0C0000}"/>
    <cellStyle name="Accent2 113 2" xfId="3261" xr:uid="{00000000-0005-0000-0000-0000BD0C0000}"/>
    <cellStyle name="Accent2 113 2 2" xfId="3262" xr:uid="{00000000-0005-0000-0000-0000BE0C0000}"/>
    <cellStyle name="Accent2 113 3" xfId="3263" xr:uid="{00000000-0005-0000-0000-0000BF0C0000}"/>
    <cellStyle name="Accent2 114" xfId="3264" xr:uid="{00000000-0005-0000-0000-0000C00C0000}"/>
    <cellStyle name="Accent2 114 2" xfId="3265" xr:uid="{00000000-0005-0000-0000-0000C10C0000}"/>
    <cellStyle name="Accent2 115" xfId="3266" xr:uid="{00000000-0005-0000-0000-0000C20C0000}"/>
    <cellStyle name="Accent2 115 2" xfId="3267" xr:uid="{00000000-0005-0000-0000-0000C30C0000}"/>
    <cellStyle name="Accent2 116" xfId="3268" xr:uid="{00000000-0005-0000-0000-0000C40C0000}"/>
    <cellStyle name="Accent2 116 2" xfId="3269" xr:uid="{00000000-0005-0000-0000-0000C50C0000}"/>
    <cellStyle name="Accent2 117" xfId="3270" xr:uid="{00000000-0005-0000-0000-0000C60C0000}"/>
    <cellStyle name="Accent2 117 2" xfId="3271" xr:uid="{00000000-0005-0000-0000-0000C70C0000}"/>
    <cellStyle name="Accent2 118" xfId="3272" xr:uid="{00000000-0005-0000-0000-0000C80C0000}"/>
    <cellStyle name="Accent2 118 2" xfId="3273" xr:uid="{00000000-0005-0000-0000-0000C90C0000}"/>
    <cellStyle name="Accent2 119" xfId="3274" xr:uid="{00000000-0005-0000-0000-0000CA0C0000}"/>
    <cellStyle name="Accent2 119 2" xfId="3275" xr:uid="{00000000-0005-0000-0000-0000CB0C0000}"/>
    <cellStyle name="Accent2 12" xfId="3276" xr:uid="{00000000-0005-0000-0000-0000CC0C0000}"/>
    <cellStyle name="Accent2 12 2" xfId="3277" xr:uid="{00000000-0005-0000-0000-0000CD0C0000}"/>
    <cellStyle name="Accent2 12 2 2" xfId="3278" xr:uid="{00000000-0005-0000-0000-0000CE0C0000}"/>
    <cellStyle name="Accent2 12 3" xfId="3279" xr:uid="{00000000-0005-0000-0000-0000CF0C0000}"/>
    <cellStyle name="Accent2 120" xfId="3280" xr:uid="{00000000-0005-0000-0000-0000D00C0000}"/>
    <cellStyle name="Accent2 120 2" xfId="3281" xr:uid="{00000000-0005-0000-0000-0000D10C0000}"/>
    <cellStyle name="Accent2 121" xfId="3282" xr:uid="{00000000-0005-0000-0000-0000D20C0000}"/>
    <cellStyle name="Accent2 121 2" xfId="3283" xr:uid="{00000000-0005-0000-0000-0000D30C0000}"/>
    <cellStyle name="Accent2 122" xfId="3284" xr:uid="{00000000-0005-0000-0000-0000D40C0000}"/>
    <cellStyle name="Accent2 122 2" xfId="3285" xr:uid="{00000000-0005-0000-0000-0000D50C0000}"/>
    <cellStyle name="Accent2 123" xfId="3286" xr:uid="{00000000-0005-0000-0000-0000D60C0000}"/>
    <cellStyle name="Accent2 123 2" xfId="3287" xr:uid="{00000000-0005-0000-0000-0000D70C0000}"/>
    <cellStyle name="Accent2 124" xfId="3288" xr:uid="{00000000-0005-0000-0000-0000D80C0000}"/>
    <cellStyle name="Accent2 124 2" xfId="3289" xr:uid="{00000000-0005-0000-0000-0000D90C0000}"/>
    <cellStyle name="Accent2 125" xfId="3290" xr:uid="{00000000-0005-0000-0000-0000DA0C0000}"/>
    <cellStyle name="Accent2 125 2" xfId="3291" xr:uid="{00000000-0005-0000-0000-0000DB0C0000}"/>
    <cellStyle name="Accent2 126" xfId="3292" xr:uid="{00000000-0005-0000-0000-0000DC0C0000}"/>
    <cellStyle name="Accent2 127" xfId="3293" xr:uid="{00000000-0005-0000-0000-0000DD0C0000}"/>
    <cellStyle name="Accent2 128" xfId="3294" xr:uid="{00000000-0005-0000-0000-0000DE0C0000}"/>
    <cellStyle name="Accent2 129" xfId="3295" xr:uid="{00000000-0005-0000-0000-0000DF0C0000}"/>
    <cellStyle name="Accent2 13" xfId="3296" xr:uid="{00000000-0005-0000-0000-0000E00C0000}"/>
    <cellStyle name="Accent2 13 2" xfId="3297" xr:uid="{00000000-0005-0000-0000-0000E10C0000}"/>
    <cellStyle name="Accent2 13 2 2" xfId="3298" xr:uid="{00000000-0005-0000-0000-0000E20C0000}"/>
    <cellStyle name="Accent2 13 3" xfId="3299" xr:uid="{00000000-0005-0000-0000-0000E30C0000}"/>
    <cellStyle name="Accent2 130" xfId="3300" xr:uid="{00000000-0005-0000-0000-0000E40C0000}"/>
    <cellStyle name="Accent2 131" xfId="3301" xr:uid="{00000000-0005-0000-0000-0000E50C0000}"/>
    <cellStyle name="Accent2 132" xfId="3302" xr:uid="{00000000-0005-0000-0000-0000E60C0000}"/>
    <cellStyle name="Accent2 133" xfId="3303" xr:uid="{00000000-0005-0000-0000-0000E70C0000}"/>
    <cellStyle name="Accent2 134" xfId="3304" xr:uid="{00000000-0005-0000-0000-0000E80C0000}"/>
    <cellStyle name="Accent2 135" xfId="3305" xr:uid="{00000000-0005-0000-0000-0000E90C0000}"/>
    <cellStyle name="Accent2 136" xfId="3306" xr:uid="{00000000-0005-0000-0000-0000EA0C0000}"/>
    <cellStyle name="Accent2 137" xfId="3307" xr:uid="{00000000-0005-0000-0000-0000EB0C0000}"/>
    <cellStyle name="Accent2 138" xfId="3308" xr:uid="{00000000-0005-0000-0000-0000EC0C0000}"/>
    <cellStyle name="Accent2 139" xfId="3309" xr:uid="{00000000-0005-0000-0000-0000ED0C0000}"/>
    <cellStyle name="Accent2 14" xfId="3310" xr:uid="{00000000-0005-0000-0000-0000EE0C0000}"/>
    <cellStyle name="Accent2 14 2" xfId="3311" xr:uid="{00000000-0005-0000-0000-0000EF0C0000}"/>
    <cellStyle name="Accent2 14 2 2" xfId="3312" xr:uid="{00000000-0005-0000-0000-0000F00C0000}"/>
    <cellStyle name="Accent2 14 3" xfId="3313" xr:uid="{00000000-0005-0000-0000-0000F10C0000}"/>
    <cellStyle name="Accent2 140" xfId="3314" xr:uid="{00000000-0005-0000-0000-0000F20C0000}"/>
    <cellStyle name="Accent2 141" xfId="3315" xr:uid="{00000000-0005-0000-0000-0000F30C0000}"/>
    <cellStyle name="Accent2 142" xfId="3316" xr:uid="{00000000-0005-0000-0000-0000F40C0000}"/>
    <cellStyle name="Accent2 143" xfId="3317" xr:uid="{00000000-0005-0000-0000-0000F50C0000}"/>
    <cellStyle name="Accent2 144" xfId="3318" xr:uid="{00000000-0005-0000-0000-0000F60C0000}"/>
    <cellStyle name="Accent2 145" xfId="3319" xr:uid="{00000000-0005-0000-0000-0000F70C0000}"/>
    <cellStyle name="Accent2 146" xfId="3320" xr:uid="{00000000-0005-0000-0000-0000F80C0000}"/>
    <cellStyle name="Accent2 147" xfId="3321" xr:uid="{00000000-0005-0000-0000-0000F90C0000}"/>
    <cellStyle name="Accent2 148" xfId="3322" xr:uid="{00000000-0005-0000-0000-0000FA0C0000}"/>
    <cellStyle name="Accent2 149" xfId="3323" xr:uid="{00000000-0005-0000-0000-0000FB0C0000}"/>
    <cellStyle name="Accent2 15" xfId="3324" xr:uid="{00000000-0005-0000-0000-0000FC0C0000}"/>
    <cellStyle name="Accent2 15 2" xfId="3325" xr:uid="{00000000-0005-0000-0000-0000FD0C0000}"/>
    <cellStyle name="Accent2 15 2 2" xfId="3326" xr:uid="{00000000-0005-0000-0000-0000FE0C0000}"/>
    <cellStyle name="Accent2 15 3" xfId="3327" xr:uid="{00000000-0005-0000-0000-0000FF0C0000}"/>
    <cellStyle name="Accent2 150" xfId="3328" xr:uid="{00000000-0005-0000-0000-0000000D0000}"/>
    <cellStyle name="Accent2 151" xfId="3329" xr:uid="{00000000-0005-0000-0000-0000010D0000}"/>
    <cellStyle name="Accent2 152" xfId="3330" xr:uid="{00000000-0005-0000-0000-0000020D0000}"/>
    <cellStyle name="Accent2 153" xfId="3331" xr:uid="{00000000-0005-0000-0000-0000030D0000}"/>
    <cellStyle name="Accent2 154" xfId="3332" xr:uid="{00000000-0005-0000-0000-0000040D0000}"/>
    <cellStyle name="Accent2 155" xfId="3333" xr:uid="{00000000-0005-0000-0000-0000050D0000}"/>
    <cellStyle name="Accent2 156" xfId="3334" xr:uid="{00000000-0005-0000-0000-0000060D0000}"/>
    <cellStyle name="Accent2 157" xfId="3335" xr:uid="{00000000-0005-0000-0000-0000070D0000}"/>
    <cellStyle name="Accent2 158" xfId="3336" xr:uid="{00000000-0005-0000-0000-0000080D0000}"/>
    <cellStyle name="Accent2 159" xfId="3337" xr:uid="{00000000-0005-0000-0000-0000090D0000}"/>
    <cellStyle name="Accent2 16" xfId="3338" xr:uid="{00000000-0005-0000-0000-00000A0D0000}"/>
    <cellStyle name="Accent2 16 2" xfId="3339" xr:uid="{00000000-0005-0000-0000-00000B0D0000}"/>
    <cellStyle name="Accent2 16 2 2" xfId="3340" xr:uid="{00000000-0005-0000-0000-00000C0D0000}"/>
    <cellStyle name="Accent2 16 3" xfId="3341" xr:uid="{00000000-0005-0000-0000-00000D0D0000}"/>
    <cellStyle name="Accent2 160" xfId="3342" xr:uid="{00000000-0005-0000-0000-00000E0D0000}"/>
    <cellStyle name="Accent2 161" xfId="3343" xr:uid="{00000000-0005-0000-0000-00000F0D0000}"/>
    <cellStyle name="Accent2 162" xfId="3344" xr:uid="{00000000-0005-0000-0000-0000100D0000}"/>
    <cellStyle name="Accent2 163" xfId="3345" xr:uid="{00000000-0005-0000-0000-0000110D0000}"/>
    <cellStyle name="Accent2 164" xfId="3346" xr:uid="{00000000-0005-0000-0000-0000120D0000}"/>
    <cellStyle name="Accent2 165" xfId="3347" xr:uid="{00000000-0005-0000-0000-0000130D0000}"/>
    <cellStyle name="Accent2 166" xfId="3348" xr:uid="{00000000-0005-0000-0000-0000140D0000}"/>
    <cellStyle name="Accent2 167" xfId="3349" xr:uid="{00000000-0005-0000-0000-0000150D0000}"/>
    <cellStyle name="Accent2 168" xfId="3350" xr:uid="{00000000-0005-0000-0000-0000160D0000}"/>
    <cellStyle name="Accent2 169" xfId="3351" xr:uid="{00000000-0005-0000-0000-0000170D0000}"/>
    <cellStyle name="Accent2 17" xfId="3352" xr:uid="{00000000-0005-0000-0000-0000180D0000}"/>
    <cellStyle name="Accent2 17 2" xfId="3353" xr:uid="{00000000-0005-0000-0000-0000190D0000}"/>
    <cellStyle name="Accent2 17 2 2" xfId="3354" xr:uid="{00000000-0005-0000-0000-00001A0D0000}"/>
    <cellStyle name="Accent2 17 3" xfId="3355" xr:uid="{00000000-0005-0000-0000-00001B0D0000}"/>
    <cellStyle name="Accent2 170" xfId="3356" xr:uid="{00000000-0005-0000-0000-00001C0D0000}"/>
    <cellStyle name="Accent2 171" xfId="3357" xr:uid="{00000000-0005-0000-0000-00001D0D0000}"/>
    <cellStyle name="Accent2 172" xfId="3358" xr:uid="{00000000-0005-0000-0000-00001E0D0000}"/>
    <cellStyle name="Accent2 173" xfId="3359" xr:uid="{00000000-0005-0000-0000-00001F0D0000}"/>
    <cellStyle name="Accent2 174" xfId="3360" xr:uid="{00000000-0005-0000-0000-0000200D0000}"/>
    <cellStyle name="Accent2 175" xfId="3361" xr:uid="{00000000-0005-0000-0000-0000210D0000}"/>
    <cellStyle name="Accent2 176" xfId="3362" xr:uid="{00000000-0005-0000-0000-0000220D0000}"/>
    <cellStyle name="Accent2 177" xfId="3363" xr:uid="{00000000-0005-0000-0000-0000230D0000}"/>
    <cellStyle name="Accent2 178" xfId="3364" xr:uid="{00000000-0005-0000-0000-0000240D0000}"/>
    <cellStyle name="Accent2 179" xfId="3365" xr:uid="{00000000-0005-0000-0000-0000250D0000}"/>
    <cellStyle name="Accent2 18" xfId="3366" xr:uid="{00000000-0005-0000-0000-0000260D0000}"/>
    <cellStyle name="Accent2 18 2" xfId="3367" xr:uid="{00000000-0005-0000-0000-0000270D0000}"/>
    <cellStyle name="Accent2 18 2 2" xfId="3368" xr:uid="{00000000-0005-0000-0000-0000280D0000}"/>
    <cellStyle name="Accent2 18 3" xfId="3369" xr:uid="{00000000-0005-0000-0000-0000290D0000}"/>
    <cellStyle name="Accent2 19" xfId="3370" xr:uid="{00000000-0005-0000-0000-00002A0D0000}"/>
    <cellStyle name="Accent2 19 2" xfId="3371" xr:uid="{00000000-0005-0000-0000-00002B0D0000}"/>
    <cellStyle name="Accent2 19 2 2" xfId="3372" xr:uid="{00000000-0005-0000-0000-00002C0D0000}"/>
    <cellStyle name="Accent2 19 3" xfId="3373" xr:uid="{00000000-0005-0000-0000-00002D0D0000}"/>
    <cellStyle name="Accent2 2" xfId="3374" xr:uid="{00000000-0005-0000-0000-00002E0D0000}"/>
    <cellStyle name="Accent2 2 10" xfId="3375" xr:uid="{00000000-0005-0000-0000-00002F0D0000}"/>
    <cellStyle name="Accent2 2 10 2" xfId="3376" xr:uid="{00000000-0005-0000-0000-0000300D0000}"/>
    <cellStyle name="Accent2 2 11" xfId="3377" xr:uid="{00000000-0005-0000-0000-0000310D0000}"/>
    <cellStyle name="Accent2 2 12" xfId="3378" xr:uid="{00000000-0005-0000-0000-0000320D0000}"/>
    <cellStyle name="Accent2 2 2" xfId="3379" xr:uid="{00000000-0005-0000-0000-0000330D0000}"/>
    <cellStyle name="Accent2 2 2 2" xfId="3380" xr:uid="{00000000-0005-0000-0000-0000340D0000}"/>
    <cellStyle name="Accent2 2 2 2 2" xfId="3381" xr:uid="{00000000-0005-0000-0000-0000350D0000}"/>
    <cellStyle name="Accent2 2 2 3" xfId="3382" xr:uid="{00000000-0005-0000-0000-0000360D0000}"/>
    <cellStyle name="Accent2 2 2 3 2" xfId="3383" xr:uid="{00000000-0005-0000-0000-0000370D0000}"/>
    <cellStyle name="Accent2 2 2 3 2 2" xfId="3384" xr:uid="{00000000-0005-0000-0000-0000380D0000}"/>
    <cellStyle name="Accent2 2 2 3 3" xfId="3385" xr:uid="{00000000-0005-0000-0000-0000390D0000}"/>
    <cellStyle name="Accent2 2 2 4" xfId="3386" xr:uid="{00000000-0005-0000-0000-00003A0D0000}"/>
    <cellStyle name="Accent2 2 3" xfId="3387" xr:uid="{00000000-0005-0000-0000-00003B0D0000}"/>
    <cellStyle name="Accent2 2 3 2" xfId="3388" xr:uid="{00000000-0005-0000-0000-00003C0D0000}"/>
    <cellStyle name="Accent2 2 3 2 2" xfId="3389" xr:uid="{00000000-0005-0000-0000-00003D0D0000}"/>
    <cellStyle name="Accent2 2 3 3" xfId="3390" xr:uid="{00000000-0005-0000-0000-00003E0D0000}"/>
    <cellStyle name="Accent2 2 3 3 2" xfId="3391" xr:uid="{00000000-0005-0000-0000-00003F0D0000}"/>
    <cellStyle name="Accent2 2 3 3 2 2" xfId="3392" xr:uid="{00000000-0005-0000-0000-0000400D0000}"/>
    <cellStyle name="Accent2 2 3 3 3" xfId="3393" xr:uid="{00000000-0005-0000-0000-0000410D0000}"/>
    <cellStyle name="Accent2 2 3 4" xfId="3394" xr:uid="{00000000-0005-0000-0000-0000420D0000}"/>
    <cellStyle name="Accent2 2 4" xfId="3395" xr:uid="{00000000-0005-0000-0000-0000430D0000}"/>
    <cellStyle name="Accent2 2 4 2" xfId="3396" xr:uid="{00000000-0005-0000-0000-0000440D0000}"/>
    <cellStyle name="Accent2 2 4 2 2" xfId="3397" xr:uid="{00000000-0005-0000-0000-0000450D0000}"/>
    <cellStyle name="Accent2 2 4 3" xfId="3398" xr:uid="{00000000-0005-0000-0000-0000460D0000}"/>
    <cellStyle name="Accent2 2 5" xfId="3399" xr:uid="{00000000-0005-0000-0000-0000470D0000}"/>
    <cellStyle name="Accent2 2 5 2" xfId="3400" xr:uid="{00000000-0005-0000-0000-0000480D0000}"/>
    <cellStyle name="Accent2 2 5 2 2" xfId="3401" xr:uid="{00000000-0005-0000-0000-0000490D0000}"/>
    <cellStyle name="Accent2 2 5 3" xfId="3402" xr:uid="{00000000-0005-0000-0000-00004A0D0000}"/>
    <cellStyle name="Accent2 2 5 3 2" xfId="3403" xr:uid="{00000000-0005-0000-0000-00004B0D0000}"/>
    <cellStyle name="Accent2 2 5 3 2 2" xfId="3404" xr:uid="{00000000-0005-0000-0000-00004C0D0000}"/>
    <cellStyle name="Accent2 2 5 3 3" xfId="3405" xr:uid="{00000000-0005-0000-0000-00004D0D0000}"/>
    <cellStyle name="Accent2 2 5 4" xfId="3406" xr:uid="{00000000-0005-0000-0000-00004E0D0000}"/>
    <cellStyle name="Accent2 2 6" xfId="3407" xr:uid="{00000000-0005-0000-0000-00004F0D0000}"/>
    <cellStyle name="Accent2 2 6 2" xfId="3408" xr:uid="{00000000-0005-0000-0000-0000500D0000}"/>
    <cellStyle name="Accent2 2 7" xfId="3409" xr:uid="{00000000-0005-0000-0000-0000510D0000}"/>
    <cellStyle name="Accent2 2 7 2" xfId="3410" xr:uid="{00000000-0005-0000-0000-0000520D0000}"/>
    <cellStyle name="Accent2 2 8" xfId="3411" xr:uid="{00000000-0005-0000-0000-0000530D0000}"/>
    <cellStyle name="Accent2 2 8 2" xfId="3412" xr:uid="{00000000-0005-0000-0000-0000540D0000}"/>
    <cellStyle name="Accent2 2 8 2 2" xfId="3413" xr:uid="{00000000-0005-0000-0000-0000550D0000}"/>
    <cellStyle name="Accent2 2 8 3" xfId="3414" xr:uid="{00000000-0005-0000-0000-0000560D0000}"/>
    <cellStyle name="Accent2 2 9" xfId="3415" xr:uid="{00000000-0005-0000-0000-0000570D0000}"/>
    <cellStyle name="Accent2 2 9 2" xfId="3416" xr:uid="{00000000-0005-0000-0000-0000580D0000}"/>
    <cellStyle name="Accent2 2 9 2 2" xfId="3417" xr:uid="{00000000-0005-0000-0000-0000590D0000}"/>
    <cellStyle name="Accent2 2 9 3" xfId="3418" xr:uid="{00000000-0005-0000-0000-00005A0D0000}"/>
    <cellStyle name="Accent2 20" xfId="3419" xr:uid="{00000000-0005-0000-0000-00005B0D0000}"/>
    <cellStyle name="Accent2 20 2" xfId="3420" xr:uid="{00000000-0005-0000-0000-00005C0D0000}"/>
    <cellStyle name="Accent2 20 2 2" xfId="3421" xr:uid="{00000000-0005-0000-0000-00005D0D0000}"/>
    <cellStyle name="Accent2 20 3" xfId="3422" xr:uid="{00000000-0005-0000-0000-00005E0D0000}"/>
    <cellStyle name="Accent2 21" xfId="3423" xr:uid="{00000000-0005-0000-0000-00005F0D0000}"/>
    <cellStyle name="Accent2 21 2" xfId="3424" xr:uid="{00000000-0005-0000-0000-0000600D0000}"/>
    <cellStyle name="Accent2 21 2 2" xfId="3425" xr:uid="{00000000-0005-0000-0000-0000610D0000}"/>
    <cellStyle name="Accent2 21 3" xfId="3426" xr:uid="{00000000-0005-0000-0000-0000620D0000}"/>
    <cellStyle name="Accent2 22" xfId="3427" xr:uid="{00000000-0005-0000-0000-0000630D0000}"/>
    <cellStyle name="Accent2 22 2" xfId="3428" xr:uid="{00000000-0005-0000-0000-0000640D0000}"/>
    <cellStyle name="Accent2 22 2 2" xfId="3429" xr:uid="{00000000-0005-0000-0000-0000650D0000}"/>
    <cellStyle name="Accent2 22 3" xfId="3430" xr:uid="{00000000-0005-0000-0000-0000660D0000}"/>
    <cellStyle name="Accent2 23" xfId="3431" xr:uid="{00000000-0005-0000-0000-0000670D0000}"/>
    <cellStyle name="Accent2 23 2" xfId="3432" xr:uid="{00000000-0005-0000-0000-0000680D0000}"/>
    <cellStyle name="Accent2 23 2 2" xfId="3433" xr:uid="{00000000-0005-0000-0000-0000690D0000}"/>
    <cellStyle name="Accent2 23 3" xfId="3434" xr:uid="{00000000-0005-0000-0000-00006A0D0000}"/>
    <cellStyle name="Accent2 24" xfId="3435" xr:uid="{00000000-0005-0000-0000-00006B0D0000}"/>
    <cellStyle name="Accent2 24 2" xfId="3436" xr:uid="{00000000-0005-0000-0000-00006C0D0000}"/>
    <cellStyle name="Accent2 24 2 2" xfId="3437" xr:uid="{00000000-0005-0000-0000-00006D0D0000}"/>
    <cellStyle name="Accent2 24 3" xfId="3438" xr:uid="{00000000-0005-0000-0000-00006E0D0000}"/>
    <cellStyle name="Accent2 25" xfId="3439" xr:uid="{00000000-0005-0000-0000-00006F0D0000}"/>
    <cellStyle name="Accent2 25 2" xfId="3440" xr:uid="{00000000-0005-0000-0000-0000700D0000}"/>
    <cellStyle name="Accent2 25 2 2" xfId="3441" xr:uid="{00000000-0005-0000-0000-0000710D0000}"/>
    <cellStyle name="Accent2 25 3" xfId="3442" xr:uid="{00000000-0005-0000-0000-0000720D0000}"/>
    <cellStyle name="Accent2 26" xfId="3443" xr:uid="{00000000-0005-0000-0000-0000730D0000}"/>
    <cellStyle name="Accent2 26 2" xfId="3444" xr:uid="{00000000-0005-0000-0000-0000740D0000}"/>
    <cellStyle name="Accent2 26 2 2" xfId="3445" xr:uid="{00000000-0005-0000-0000-0000750D0000}"/>
    <cellStyle name="Accent2 26 3" xfId="3446" xr:uid="{00000000-0005-0000-0000-0000760D0000}"/>
    <cellStyle name="Accent2 27" xfId="3447" xr:uid="{00000000-0005-0000-0000-0000770D0000}"/>
    <cellStyle name="Accent2 27 2" xfId="3448" xr:uid="{00000000-0005-0000-0000-0000780D0000}"/>
    <cellStyle name="Accent2 27 2 2" xfId="3449" xr:uid="{00000000-0005-0000-0000-0000790D0000}"/>
    <cellStyle name="Accent2 27 3" xfId="3450" xr:uid="{00000000-0005-0000-0000-00007A0D0000}"/>
    <cellStyle name="Accent2 28" xfId="3451" xr:uid="{00000000-0005-0000-0000-00007B0D0000}"/>
    <cellStyle name="Accent2 28 2" xfId="3452" xr:uid="{00000000-0005-0000-0000-00007C0D0000}"/>
    <cellStyle name="Accent2 28 2 2" xfId="3453" xr:uid="{00000000-0005-0000-0000-00007D0D0000}"/>
    <cellStyle name="Accent2 28 3" xfId="3454" xr:uid="{00000000-0005-0000-0000-00007E0D0000}"/>
    <cellStyle name="Accent2 29" xfId="3455" xr:uid="{00000000-0005-0000-0000-00007F0D0000}"/>
    <cellStyle name="Accent2 29 2" xfId="3456" xr:uid="{00000000-0005-0000-0000-0000800D0000}"/>
    <cellStyle name="Accent2 29 2 2" xfId="3457" xr:uid="{00000000-0005-0000-0000-0000810D0000}"/>
    <cellStyle name="Accent2 29 3" xfId="3458" xr:uid="{00000000-0005-0000-0000-0000820D0000}"/>
    <cellStyle name="Accent2 3" xfId="3459" xr:uid="{00000000-0005-0000-0000-0000830D0000}"/>
    <cellStyle name="Accent2 3 10" xfId="3460" xr:uid="{00000000-0005-0000-0000-0000840D0000}"/>
    <cellStyle name="Accent2 3 10 2" xfId="3461" xr:uid="{00000000-0005-0000-0000-0000850D0000}"/>
    <cellStyle name="Accent2 3 11" xfId="3462" xr:uid="{00000000-0005-0000-0000-0000860D0000}"/>
    <cellStyle name="Accent2 3 2" xfId="3463" xr:uid="{00000000-0005-0000-0000-0000870D0000}"/>
    <cellStyle name="Accent2 3 2 2" xfId="3464" xr:uid="{00000000-0005-0000-0000-0000880D0000}"/>
    <cellStyle name="Accent2 3 2 2 2" xfId="3465" xr:uid="{00000000-0005-0000-0000-0000890D0000}"/>
    <cellStyle name="Accent2 3 2 3" xfId="3466" xr:uid="{00000000-0005-0000-0000-00008A0D0000}"/>
    <cellStyle name="Accent2 3 2 3 2" xfId="3467" xr:uid="{00000000-0005-0000-0000-00008B0D0000}"/>
    <cellStyle name="Accent2 3 2 3 2 2" xfId="3468" xr:uid="{00000000-0005-0000-0000-00008C0D0000}"/>
    <cellStyle name="Accent2 3 2 3 3" xfId="3469" xr:uid="{00000000-0005-0000-0000-00008D0D0000}"/>
    <cellStyle name="Accent2 3 2 4" xfId="3470" xr:uid="{00000000-0005-0000-0000-00008E0D0000}"/>
    <cellStyle name="Accent2 3 3" xfId="3471" xr:uid="{00000000-0005-0000-0000-00008F0D0000}"/>
    <cellStyle name="Accent2 3 3 2" xfId="3472" xr:uid="{00000000-0005-0000-0000-0000900D0000}"/>
    <cellStyle name="Accent2 3 3 2 2" xfId="3473" xr:uid="{00000000-0005-0000-0000-0000910D0000}"/>
    <cellStyle name="Accent2 3 3 3" xfId="3474" xr:uid="{00000000-0005-0000-0000-0000920D0000}"/>
    <cellStyle name="Accent2 3 3 3 2" xfId="3475" xr:uid="{00000000-0005-0000-0000-0000930D0000}"/>
    <cellStyle name="Accent2 3 3 3 2 2" xfId="3476" xr:uid="{00000000-0005-0000-0000-0000940D0000}"/>
    <cellStyle name="Accent2 3 3 3 3" xfId="3477" xr:uid="{00000000-0005-0000-0000-0000950D0000}"/>
    <cellStyle name="Accent2 3 3 4" xfId="3478" xr:uid="{00000000-0005-0000-0000-0000960D0000}"/>
    <cellStyle name="Accent2 3 4" xfId="3479" xr:uid="{00000000-0005-0000-0000-0000970D0000}"/>
    <cellStyle name="Accent2 3 4 2" xfId="3480" xr:uid="{00000000-0005-0000-0000-0000980D0000}"/>
    <cellStyle name="Accent2 3 4 2 2" xfId="3481" xr:uid="{00000000-0005-0000-0000-0000990D0000}"/>
    <cellStyle name="Accent2 3 4 3" xfId="3482" xr:uid="{00000000-0005-0000-0000-00009A0D0000}"/>
    <cellStyle name="Accent2 3 5" xfId="3483" xr:uid="{00000000-0005-0000-0000-00009B0D0000}"/>
    <cellStyle name="Accent2 3 5 2" xfId="3484" xr:uid="{00000000-0005-0000-0000-00009C0D0000}"/>
    <cellStyle name="Accent2 3 5 2 2" xfId="3485" xr:uid="{00000000-0005-0000-0000-00009D0D0000}"/>
    <cellStyle name="Accent2 3 5 3" xfId="3486" xr:uid="{00000000-0005-0000-0000-00009E0D0000}"/>
    <cellStyle name="Accent2 3 5 3 2" xfId="3487" xr:uid="{00000000-0005-0000-0000-00009F0D0000}"/>
    <cellStyle name="Accent2 3 5 3 2 2" xfId="3488" xr:uid="{00000000-0005-0000-0000-0000A00D0000}"/>
    <cellStyle name="Accent2 3 5 3 3" xfId="3489" xr:uid="{00000000-0005-0000-0000-0000A10D0000}"/>
    <cellStyle name="Accent2 3 5 4" xfId="3490" xr:uid="{00000000-0005-0000-0000-0000A20D0000}"/>
    <cellStyle name="Accent2 3 6" xfId="3491" xr:uid="{00000000-0005-0000-0000-0000A30D0000}"/>
    <cellStyle name="Accent2 3 6 2" xfId="3492" xr:uid="{00000000-0005-0000-0000-0000A40D0000}"/>
    <cellStyle name="Accent2 3 7" xfId="3493" xr:uid="{00000000-0005-0000-0000-0000A50D0000}"/>
    <cellStyle name="Accent2 3 7 2" xfId="3494" xr:uid="{00000000-0005-0000-0000-0000A60D0000}"/>
    <cellStyle name="Accent2 3 8" xfId="3495" xr:uid="{00000000-0005-0000-0000-0000A70D0000}"/>
    <cellStyle name="Accent2 3 8 2" xfId="3496" xr:uid="{00000000-0005-0000-0000-0000A80D0000}"/>
    <cellStyle name="Accent2 3 8 2 2" xfId="3497" xr:uid="{00000000-0005-0000-0000-0000A90D0000}"/>
    <cellStyle name="Accent2 3 8 3" xfId="3498" xr:uid="{00000000-0005-0000-0000-0000AA0D0000}"/>
    <cellStyle name="Accent2 3 9" xfId="3499" xr:uid="{00000000-0005-0000-0000-0000AB0D0000}"/>
    <cellStyle name="Accent2 3 9 2" xfId="3500" xr:uid="{00000000-0005-0000-0000-0000AC0D0000}"/>
    <cellStyle name="Accent2 3 9 2 2" xfId="3501" xr:uid="{00000000-0005-0000-0000-0000AD0D0000}"/>
    <cellStyle name="Accent2 3 9 3" xfId="3502" xr:uid="{00000000-0005-0000-0000-0000AE0D0000}"/>
    <cellStyle name="Accent2 30" xfId="3503" xr:uid="{00000000-0005-0000-0000-0000AF0D0000}"/>
    <cellStyle name="Accent2 30 2" xfId="3504" xr:uid="{00000000-0005-0000-0000-0000B00D0000}"/>
    <cellStyle name="Accent2 30 2 2" xfId="3505" xr:uid="{00000000-0005-0000-0000-0000B10D0000}"/>
    <cellStyle name="Accent2 30 3" xfId="3506" xr:uid="{00000000-0005-0000-0000-0000B20D0000}"/>
    <cellStyle name="Accent2 31" xfId="3507" xr:uid="{00000000-0005-0000-0000-0000B30D0000}"/>
    <cellStyle name="Accent2 31 2" xfId="3508" xr:uid="{00000000-0005-0000-0000-0000B40D0000}"/>
    <cellStyle name="Accent2 31 2 2" xfId="3509" xr:uid="{00000000-0005-0000-0000-0000B50D0000}"/>
    <cellStyle name="Accent2 31 3" xfId="3510" xr:uid="{00000000-0005-0000-0000-0000B60D0000}"/>
    <cellStyle name="Accent2 32" xfId="3511" xr:uid="{00000000-0005-0000-0000-0000B70D0000}"/>
    <cellStyle name="Accent2 32 2" xfId="3512" xr:uid="{00000000-0005-0000-0000-0000B80D0000}"/>
    <cellStyle name="Accent2 32 2 2" xfId="3513" xr:uid="{00000000-0005-0000-0000-0000B90D0000}"/>
    <cellStyle name="Accent2 32 3" xfId="3514" xr:uid="{00000000-0005-0000-0000-0000BA0D0000}"/>
    <cellStyle name="Accent2 33" xfId="3515" xr:uid="{00000000-0005-0000-0000-0000BB0D0000}"/>
    <cellStyle name="Accent2 33 2" xfId="3516" xr:uid="{00000000-0005-0000-0000-0000BC0D0000}"/>
    <cellStyle name="Accent2 33 2 2" xfId="3517" xr:uid="{00000000-0005-0000-0000-0000BD0D0000}"/>
    <cellStyle name="Accent2 33 3" xfId="3518" xr:uid="{00000000-0005-0000-0000-0000BE0D0000}"/>
    <cellStyle name="Accent2 34" xfId="3519" xr:uid="{00000000-0005-0000-0000-0000BF0D0000}"/>
    <cellStyle name="Accent2 34 2" xfId="3520" xr:uid="{00000000-0005-0000-0000-0000C00D0000}"/>
    <cellStyle name="Accent2 34 2 2" xfId="3521" xr:uid="{00000000-0005-0000-0000-0000C10D0000}"/>
    <cellStyle name="Accent2 34 3" xfId="3522" xr:uid="{00000000-0005-0000-0000-0000C20D0000}"/>
    <cellStyle name="Accent2 35" xfId="3523" xr:uid="{00000000-0005-0000-0000-0000C30D0000}"/>
    <cellStyle name="Accent2 35 2" xfId="3524" xr:uid="{00000000-0005-0000-0000-0000C40D0000}"/>
    <cellStyle name="Accent2 35 2 2" xfId="3525" xr:uid="{00000000-0005-0000-0000-0000C50D0000}"/>
    <cellStyle name="Accent2 35 3" xfId="3526" xr:uid="{00000000-0005-0000-0000-0000C60D0000}"/>
    <cellStyle name="Accent2 36" xfId="3527" xr:uid="{00000000-0005-0000-0000-0000C70D0000}"/>
    <cellStyle name="Accent2 36 2" xfId="3528" xr:uid="{00000000-0005-0000-0000-0000C80D0000}"/>
    <cellStyle name="Accent2 36 2 2" xfId="3529" xr:uid="{00000000-0005-0000-0000-0000C90D0000}"/>
    <cellStyle name="Accent2 36 3" xfId="3530" xr:uid="{00000000-0005-0000-0000-0000CA0D0000}"/>
    <cellStyle name="Accent2 37" xfId="3531" xr:uid="{00000000-0005-0000-0000-0000CB0D0000}"/>
    <cellStyle name="Accent2 37 2" xfId="3532" xr:uid="{00000000-0005-0000-0000-0000CC0D0000}"/>
    <cellStyle name="Accent2 37 2 2" xfId="3533" xr:uid="{00000000-0005-0000-0000-0000CD0D0000}"/>
    <cellStyle name="Accent2 37 3" xfId="3534" xr:uid="{00000000-0005-0000-0000-0000CE0D0000}"/>
    <cellStyle name="Accent2 38" xfId="3535" xr:uid="{00000000-0005-0000-0000-0000CF0D0000}"/>
    <cellStyle name="Accent2 38 2" xfId="3536" xr:uid="{00000000-0005-0000-0000-0000D00D0000}"/>
    <cellStyle name="Accent2 38 2 2" xfId="3537" xr:uid="{00000000-0005-0000-0000-0000D10D0000}"/>
    <cellStyle name="Accent2 38 3" xfId="3538" xr:uid="{00000000-0005-0000-0000-0000D20D0000}"/>
    <cellStyle name="Accent2 39" xfId="3539" xr:uid="{00000000-0005-0000-0000-0000D30D0000}"/>
    <cellStyle name="Accent2 39 2" xfId="3540" xr:uid="{00000000-0005-0000-0000-0000D40D0000}"/>
    <cellStyle name="Accent2 39 2 2" xfId="3541" xr:uid="{00000000-0005-0000-0000-0000D50D0000}"/>
    <cellStyle name="Accent2 39 3" xfId="3542" xr:uid="{00000000-0005-0000-0000-0000D60D0000}"/>
    <cellStyle name="Accent2 4" xfId="3543" xr:uid="{00000000-0005-0000-0000-0000D70D0000}"/>
    <cellStyle name="Accent2 4 2" xfId="3544" xr:uid="{00000000-0005-0000-0000-0000D80D0000}"/>
    <cellStyle name="Accent2 4 2 2" xfId="3545" xr:uid="{00000000-0005-0000-0000-0000D90D0000}"/>
    <cellStyle name="Accent2 4 2 2 2" xfId="3546" xr:uid="{00000000-0005-0000-0000-0000DA0D0000}"/>
    <cellStyle name="Accent2 4 2 3" xfId="3547" xr:uid="{00000000-0005-0000-0000-0000DB0D0000}"/>
    <cellStyle name="Accent2 4 2 3 2" xfId="3548" xr:uid="{00000000-0005-0000-0000-0000DC0D0000}"/>
    <cellStyle name="Accent2 4 2 3 2 2" xfId="3549" xr:uid="{00000000-0005-0000-0000-0000DD0D0000}"/>
    <cellStyle name="Accent2 4 2 3 3" xfId="3550" xr:uid="{00000000-0005-0000-0000-0000DE0D0000}"/>
    <cellStyle name="Accent2 4 2 4" xfId="3551" xr:uid="{00000000-0005-0000-0000-0000DF0D0000}"/>
    <cellStyle name="Accent2 4 3" xfId="3552" xr:uid="{00000000-0005-0000-0000-0000E00D0000}"/>
    <cellStyle name="Accent2 4 3 2" xfId="3553" xr:uid="{00000000-0005-0000-0000-0000E10D0000}"/>
    <cellStyle name="Accent2 4 3 2 2" xfId="3554" xr:uid="{00000000-0005-0000-0000-0000E20D0000}"/>
    <cellStyle name="Accent2 4 3 3" xfId="3555" xr:uid="{00000000-0005-0000-0000-0000E30D0000}"/>
    <cellStyle name="Accent2 4 3 3 2" xfId="3556" xr:uid="{00000000-0005-0000-0000-0000E40D0000}"/>
    <cellStyle name="Accent2 4 3 3 2 2" xfId="3557" xr:uid="{00000000-0005-0000-0000-0000E50D0000}"/>
    <cellStyle name="Accent2 4 3 3 3" xfId="3558" xr:uid="{00000000-0005-0000-0000-0000E60D0000}"/>
    <cellStyle name="Accent2 4 3 4" xfId="3559" xr:uid="{00000000-0005-0000-0000-0000E70D0000}"/>
    <cellStyle name="Accent2 4 4" xfId="3560" xr:uid="{00000000-0005-0000-0000-0000E80D0000}"/>
    <cellStyle name="Accent2 4 4 2" xfId="3561" xr:uid="{00000000-0005-0000-0000-0000E90D0000}"/>
    <cellStyle name="Accent2 4 4 2 2" xfId="3562" xr:uid="{00000000-0005-0000-0000-0000EA0D0000}"/>
    <cellStyle name="Accent2 4 4 3" xfId="3563" xr:uid="{00000000-0005-0000-0000-0000EB0D0000}"/>
    <cellStyle name="Accent2 4 5" xfId="3564" xr:uid="{00000000-0005-0000-0000-0000EC0D0000}"/>
    <cellStyle name="Accent2 4 5 2" xfId="3565" xr:uid="{00000000-0005-0000-0000-0000ED0D0000}"/>
    <cellStyle name="Accent2 4 6" xfId="3566" xr:uid="{00000000-0005-0000-0000-0000EE0D0000}"/>
    <cellStyle name="Accent2 4 6 2" xfId="3567" xr:uid="{00000000-0005-0000-0000-0000EF0D0000}"/>
    <cellStyle name="Accent2 4 7" xfId="3568" xr:uid="{00000000-0005-0000-0000-0000F00D0000}"/>
    <cellStyle name="Accent2 40" xfId="3569" xr:uid="{00000000-0005-0000-0000-0000F10D0000}"/>
    <cellStyle name="Accent2 40 2" xfId="3570" xr:uid="{00000000-0005-0000-0000-0000F20D0000}"/>
    <cellStyle name="Accent2 40 2 2" xfId="3571" xr:uid="{00000000-0005-0000-0000-0000F30D0000}"/>
    <cellStyle name="Accent2 40 3" xfId="3572" xr:uid="{00000000-0005-0000-0000-0000F40D0000}"/>
    <cellStyle name="Accent2 41" xfId="3573" xr:uid="{00000000-0005-0000-0000-0000F50D0000}"/>
    <cellStyle name="Accent2 41 2" xfId="3574" xr:uid="{00000000-0005-0000-0000-0000F60D0000}"/>
    <cellStyle name="Accent2 41 2 2" xfId="3575" xr:uid="{00000000-0005-0000-0000-0000F70D0000}"/>
    <cellStyle name="Accent2 41 3" xfId="3576" xr:uid="{00000000-0005-0000-0000-0000F80D0000}"/>
    <cellStyle name="Accent2 42" xfId="3577" xr:uid="{00000000-0005-0000-0000-0000F90D0000}"/>
    <cellStyle name="Accent2 42 2" xfId="3578" xr:uid="{00000000-0005-0000-0000-0000FA0D0000}"/>
    <cellStyle name="Accent2 42 2 2" xfId="3579" xr:uid="{00000000-0005-0000-0000-0000FB0D0000}"/>
    <cellStyle name="Accent2 42 3" xfId="3580" xr:uid="{00000000-0005-0000-0000-0000FC0D0000}"/>
    <cellStyle name="Accent2 43" xfId="3581" xr:uid="{00000000-0005-0000-0000-0000FD0D0000}"/>
    <cellStyle name="Accent2 43 2" xfId="3582" xr:uid="{00000000-0005-0000-0000-0000FE0D0000}"/>
    <cellStyle name="Accent2 43 2 2" xfId="3583" xr:uid="{00000000-0005-0000-0000-0000FF0D0000}"/>
    <cellStyle name="Accent2 43 3" xfId="3584" xr:uid="{00000000-0005-0000-0000-0000000E0000}"/>
    <cellStyle name="Accent2 44" xfId="3585" xr:uid="{00000000-0005-0000-0000-0000010E0000}"/>
    <cellStyle name="Accent2 44 2" xfId="3586" xr:uid="{00000000-0005-0000-0000-0000020E0000}"/>
    <cellStyle name="Accent2 44 2 2" xfId="3587" xr:uid="{00000000-0005-0000-0000-0000030E0000}"/>
    <cellStyle name="Accent2 44 3" xfId="3588" xr:uid="{00000000-0005-0000-0000-0000040E0000}"/>
    <cellStyle name="Accent2 45" xfId="3589" xr:uid="{00000000-0005-0000-0000-0000050E0000}"/>
    <cellStyle name="Accent2 45 2" xfId="3590" xr:uid="{00000000-0005-0000-0000-0000060E0000}"/>
    <cellStyle name="Accent2 45 2 2" xfId="3591" xr:uid="{00000000-0005-0000-0000-0000070E0000}"/>
    <cellStyle name="Accent2 45 3" xfId="3592" xr:uid="{00000000-0005-0000-0000-0000080E0000}"/>
    <cellStyle name="Accent2 46" xfId="3593" xr:uid="{00000000-0005-0000-0000-0000090E0000}"/>
    <cellStyle name="Accent2 46 2" xfId="3594" xr:uid="{00000000-0005-0000-0000-00000A0E0000}"/>
    <cellStyle name="Accent2 46 2 2" xfId="3595" xr:uid="{00000000-0005-0000-0000-00000B0E0000}"/>
    <cellStyle name="Accent2 46 3" xfId="3596" xr:uid="{00000000-0005-0000-0000-00000C0E0000}"/>
    <cellStyle name="Accent2 47" xfId="3597" xr:uid="{00000000-0005-0000-0000-00000D0E0000}"/>
    <cellStyle name="Accent2 47 2" xfId="3598" xr:uid="{00000000-0005-0000-0000-00000E0E0000}"/>
    <cellStyle name="Accent2 47 2 2" xfId="3599" xr:uid="{00000000-0005-0000-0000-00000F0E0000}"/>
    <cellStyle name="Accent2 47 3" xfId="3600" xr:uid="{00000000-0005-0000-0000-0000100E0000}"/>
    <cellStyle name="Accent2 48" xfId="3601" xr:uid="{00000000-0005-0000-0000-0000110E0000}"/>
    <cellStyle name="Accent2 48 2" xfId="3602" xr:uid="{00000000-0005-0000-0000-0000120E0000}"/>
    <cellStyle name="Accent2 48 2 2" xfId="3603" xr:uid="{00000000-0005-0000-0000-0000130E0000}"/>
    <cellStyle name="Accent2 48 3" xfId="3604" xr:uid="{00000000-0005-0000-0000-0000140E0000}"/>
    <cellStyle name="Accent2 48 3 2" xfId="3605" xr:uid="{00000000-0005-0000-0000-0000150E0000}"/>
    <cellStyle name="Accent2 48 3 2 2" xfId="3606" xr:uid="{00000000-0005-0000-0000-0000160E0000}"/>
    <cellStyle name="Accent2 48 3 3" xfId="3607" xr:uid="{00000000-0005-0000-0000-0000170E0000}"/>
    <cellStyle name="Accent2 48 4" xfId="3608" xr:uid="{00000000-0005-0000-0000-0000180E0000}"/>
    <cellStyle name="Accent2 49" xfId="3609" xr:uid="{00000000-0005-0000-0000-0000190E0000}"/>
    <cellStyle name="Accent2 49 2" xfId="3610" xr:uid="{00000000-0005-0000-0000-00001A0E0000}"/>
    <cellStyle name="Accent2 49 2 2" xfId="3611" xr:uid="{00000000-0005-0000-0000-00001B0E0000}"/>
    <cellStyle name="Accent2 49 3" xfId="3612" xr:uid="{00000000-0005-0000-0000-00001C0E0000}"/>
    <cellStyle name="Accent2 49 3 2" xfId="3613" xr:uid="{00000000-0005-0000-0000-00001D0E0000}"/>
    <cellStyle name="Accent2 49 3 2 2" xfId="3614" xr:uid="{00000000-0005-0000-0000-00001E0E0000}"/>
    <cellStyle name="Accent2 49 3 3" xfId="3615" xr:uid="{00000000-0005-0000-0000-00001F0E0000}"/>
    <cellStyle name="Accent2 49 4" xfId="3616" xr:uid="{00000000-0005-0000-0000-0000200E0000}"/>
    <cellStyle name="Accent2 5" xfId="3617" xr:uid="{00000000-0005-0000-0000-0000210E0000}"/>
    <cellStyle name="Accent2 5 2" xfId="3618" xr:uid="{00000000-0005-0000-0000-0000220E0000}"/>
    <cellStyle name="Accent2 5 2 2" xfId="3619" xr:uid="{00000000-0005-0000-0000-0000230E0000}"/>
    <cellStyle name="Accent2 5 2 2 2" xfId="3620" xr:uid="{00000000-0005-0000-0000-0000240E0000}"/>
    <cellStyle name="Accent2 5 2 3" xfId="3621" xr:uid="{00000000-0005-0000-0000-0000250E0000}"/>
    <cellStyle name="Accent2 5 2 3 2" xfId="3622" xr:uid="{00000000-0005-0000-0000-0000260E0000}"/>
    <cellStyle name="Accent2 5 2 3 2 2" xfId="3623" xr:uid="{00000000-0005-0000-0000-0000270E0000}"/>
    <cellStyle name="Accent2 5 2 3 3" xfId="3624" xr:uid="{00000000-0005-0000-0000-0000280E0000}"/>
    <cellStyle name="Accent2 5 2 4" xfId="3625" xr:uid="{00000000-0005-0000-0000-0000290E0000}"/>
    <cellStyle name="Accent2 5 3" xfId="3626" xr:uid="{00000000-0005-0000-0000-00002A0E0000}"/>
    <cellStyle name="Accent2 5 3 2" xfId="3627" xr:uid="{00000000-0005-0000-0000-00002B0E0000}"/>
    <cellStyle name="Accent2 5 3 2 2" xfId="3628" xr:uid="{00000000-0005-0000-0000-00002C0E0000}"/>
    <cellStyle name="Accent2 5 3 3" xfId="3629" xr:uid="{00000000-0005-0000-0000-00002D0E0000}"/>
    <cellStyle name="Accent2 5 3 3 2" xfId="3630" xr:uid="{00000000-0005-0000-0000-00002E0E0000}"/>
    <cellStyle name="Accent2 5 3 3 2 2" xfId="3631" xr:uid="{00000000-0005-0000-0000-00002F0E0000}"/>
    <cellStyle name="Accent2 5 3 3 3" xfId="3632" xr:uid="{00000000-0005-0000-0000-0000300E0000}"/>
    <cellStyle name="Accent2 5 3 4" xfId="3633" xr:uid="{00000000-0005-0000-0000-0000310E0000}"/>
    <cellStyle name="Accent2 5 4" xfId="3634" xr:uid="{00000000-0005-0000-0000-0000320E0000}"/>
    <cellStyle name="Accent2 5 4 2" xfId="3635" xr:uid="{00000000-0005-0000-0000-0000330E0000}"/>
    <cellStyle name="Accent2 5 5" xfId="3636" xr:uid="{00000000-0005-0000-0000-0000340E0000}"/>
    <cellStyle name="Accent2 5 5 2" xfId="3637" xr:uid="{00000000-0005-0000-0000-0000350E0000}"/>
    <cellStyle name="Accent2 5 6" xfId="3638" xr:uid="{00000000-0005-0000-0000-0000360E0000}"/>
    <cellStyle name="Accent2 50" xfId="3639" xr:uid="{00000000-0005-0000-0000-0000370E0000}"/>
    <cellStyle name="Accent2 50 2" xfId="3640" xr:uid="{00000000-0005-0000-0000-0000380E0000}"/>
    <cellStyle name="Accent2 50 2 2" xfId="3641" xr:uid="{00000000-0005-0000-0000-0000390E0000}"/>
    <cellStyle name="Accent2 50 3" xfId="3642" xr:uid="{00000000-0005-0000-0000-00003A0E0000}"/>
    <cellStyle name="Accent2 50 3 2" xfId="3643" xr:uid="{00000000-0005-0000-0000-00003B0E0000}"/>
    <cellStyle name="Accent2 50 3 2 2" xfId="3644" xr:uid="{00000000-0005-0000-0000-00003C0E0000}"/>
    <cellStyle name="Accent2 50 3 3" xfId="3645" xr:uid="{00000000-0005-0000-0000-00003D0E0000}"/>
    <cellStyle name="Accent2 50 4" xfId="3646" xr:uid="{00000000-0005-0000-0000-00003E0E0000}"/>
    <cellStyle name="Accent2 51" xfId="3647" xr:uid="{00000000-0005-0000-0000-00003F0E0000}"/>
    <cellStyle name="Accent2 51 2" xfId="3648" xr:uid="{00000000-0005-0000-0000-0000400E0000}"/>
    <cellStyle name="Accent2 51 2 2" xfId="3649" xr:uid="{00000000-0005-0000-0000-0000410E0000}"/>
    <cellStyle name="Accent2 51 3" xfId="3650" xr:uid="{00000000-0005-0000-0000-0000420E0000}"/>
    <cellStyle name="Accent2 51 3 2" xfId="3651" xr:uid="{00000000-0005-0000-0000-0000430E0000}"/>
    <cellStyle name="Accent2 51 3 2 2" xfId="3652" xr:uid="{00000000-0005-0000-0000-0000440E0000}"/>
    <cellStyle name="Accent2 51 3 3" xfId="3653" xr:uid="{00000000-0005-0000-0000-0000450E0000}"/>
    <cellStyle name="Accent2 51 4" xfId="3654" xr:uid="{00000000-0005-0000-0000-0000460E0000}"/>
    <cellStyle name="Accent2 52" xfId="3655" xr:uid="{00000000-0005-0000-0000-0000470E0000}"/>
    <cellStyle name="Accent2 52 2" xfId="3656" xr:uid="{00000000-0005-0000-0000-0000480E0000}"/>
    <cellStyle name="Accent2 52 2 2" xfId="3657" xr:uid="{00000000-0005-0000-0000-0000490E0000}"/>
    <cellStyle name="Accent2 52 3" xfId="3658" xr:uid="{00000000-0005-0000-0000-00004A0E0000}"/>
    <cellStyle name="Accent2 53" xfId="3659" xr:uid="{00000000-0005-0000-0000-00004B0E0000}"/>
    <cellStyle name="Accent2 53 2" xfId="3660" xr:uid="{00000000-0005-0000-0000-00004C0E0000}"/>
    <cellStyle name="Accent2 53 2 2" xfId="3661" xr:uid="{00000000-0005-0000-0000-00004D0E0000}"/>
    <cellStyle name="Accent2 53 3" xfId="3662" xr:uid="{00000000-0005-0000-0000-00004E0E0000}"/>
    <cellStyle name="Accent2 54" xfId="3663" xr:uid="{00000000-0005-0000-0000-00004F0E0000}"/>
    <cellStyle name="Accent2 54 2" xfId="3664" xr:uid="{00000000-0005-0000-0000-0000500E0000}"/>
    <cellStyle name="Accent2 54 2 2" xfId="3665" xr:uid="{00000000-0005-0000-0000-0000510E0000}"/>
    <cellStyle name="Accent2 54 3" xfId="3666" xr:uid="{00000000-0005-0000-0000-0000520E0000}"/>
    <cellStyle name="Accent2 55" xfId="3667" xr:uid="{00000000-0005-0000-0000-0000530E0000}"/>
    <cellStyle name="Accent2 55 2" xfId="3668" xr:uid="{00000000-0005-0000-0000-0000540E0000}"/>
    <cellStyle name="Accent2 55 2 2" xfId="3669" xr:uid="{00000000-0005-0000-0000-0000550E0000}"/>
    <cellStyle name="Accent2 55 3" xfId="3670" xr:uid="{00000000-0005-0000-0000-0000560E0000}"/>
    <cellStyle name="Accent2 56" xfId="3671" xr:uid="{00000000-0005-0000-0000-0000570E0000}"/>
    <cellStyle name="Accent2 56 2" xfId="3672" xr:uid="{00000000-0005-0000-0000-0000580E0000}"/>
    <cellStyle name="Accent2 56 2 2" xfId="3673" xr:uid="{00000000-0005-0000-0000-0000590E0000}"/>
    <cellStyle name="Accent2 56 3" xfId="3674" xr:uid="{00000000-0005-0000-0000-00005A0E0000}"/>
    <cellStyle name="Accent2 57" xfId="3675" xr:uid="{00000000-0005-0000-0000-00005B0E0000}"/>
    <cellStyle name="Accent2 57 2" xfId="3676" xr:uid="{00000000-0005-0000-0000-00005C0E0000}"/>
    <cellStyle name="Accent2 57 2 2" xfId="3677" xr:uid="{00000000-0005-0000-0000-00005D0E0000}"/>
    <cellStyle name="Accent2 57 3" xfId="3678" xr:uid="{00000000-0005-0000-0000-00005E0E0000}"/>
    <cellStyle name="Accent2 58" xfId="3679" xr:uid="{00000000-0005-0000-0000-00005F0E0000}"/>
    <cellStyle name="Accent2 58 2" xfId="3680" xr:uid="{00000000-0005-0000-0000-0000600E0000}"/>
    <cellStyle name="Accent2 58 2 2" xfId="3681" xr:uid="{00000000-0005-0000-0000-0000610E0000}"/>
    <cellStyle name="Accent2 58 3" xfId="3682" xr:uid="{00000000-0005-0000-0000-0000620E0000}"/>
    <cellStyle name="Accent2 58 3 2" xfId="3683" xr:uid="{00000000-0005-0000-0000-0000630E0000}"/>
    <cellStyle name="Accent2 58 3 2 2" xfId="3684" xr:uid="{00000000-0005-0000-0000-0000640E0000}"/>
    <cellStyle name="Accent2 58 3 3" xfId="3685" xr:uid="{00000000-0005-0000-0000-0000650E0000}"/>
    <cellStyle name="Accent2 58 4" xfId="3686" xr:uid="{00000000-0005-0000-0000-0000660E0000}"/>
    <cellStyle name="Accent2 59" xfId="3687" xr:uid="{00000000-0005-0000-0000-0000670E0000}"/>
    <cellStyle name="Accent2 59 2" xfId="3688" xr:uid="{00000000-0005-0000-0000-0000680E0000}"/>
    <cellStyle name="Accent2 59 2 2" xfId="3689" xr:uid="{00000000-0005-0000-0000-0000690E0000}"/>
    <cellStyle name="Accent2 59 3" xfId="3690" xr:uid="{00000000-0005-0000-0000-00006A0E0000}"/>
    <cellStyle name="Accent2 59 3 2" xfId="3691" xr:uid="{00000000-0005-0000-0000-00006B0E0000}"/>
    <cellStyle name="Accent2 59 3 2 2" xfId="3692" xr:uid="{00000000-0005-0000-0000-00006C0E0000}"/>
    <cellStyle name="Accent2 59 3 3" xfId="3693" xr:uid="{00000000-0005-0000-0000-00006D0E0000}"/>
    <cellStyle name="Accent2 59 4" xfId="3694" xr:uid="{00000000-0005-0000-0000-00006E0E0000}"/>
    <cellStyle name="Accent2 6" xfId="3695" xr:uid="{00000000-0005-0000-0000-00006F0E0000}"/>
    <cellStyle name="Accent2 6 2" xfId="3696" xr:uid="{00000000-0005-0000-0000-0000700E0000}"/>
    <cellStyle name="Accent2 6 2 2" xfId="3697" xr:uid="{00000000-0005-0000-0000-0000710E0000}"/>
    <cellStyle name="Accent2 6 2 2 2" xfId="3698" xr:uid="{00000000-0005-0000-0000-0000720E0000}"/>
    <cellStyle name="Accent2 6 2 3" xfId="3699" xr:uid="{00000000-0005-0000-0000-0000730E0000}"/>
    <cellStyle name="Accent2 6 2 3 2" xfId="3700" xr:uid="{00000000-0005-0000-0000-0000740E0000}"/>
    <cellStyle name="Accent2 6 2 3 2 2" xfId="3701" xr:uid="{00000000-0005-0000-0000-0000750E0000}"/>
    <cellStyle name="Accent2 6 2 3 3" xfId="3702" xr:uid="{00000000-0005-0000-0000-0000760E0000}"/>
    <cellStyle name="Accent2 6 2 4" xfId="3703" xr:uid="{00000000-0005-0000-0000-0000770E0000}"/>
    <cellStyle name="Accent2 6 3" xfId="3704" xr:uid="{00000000-0005-0000-0000-0000780E0000}"/>
    <cellStyle name="Accent2 6 3 2" xfId="3705" xr:uid="{00000000-0005-0000-0000-0000790E0000}"/>
    <cellStyle name="Accent2 6 4" xfId="3706" xr:uid="{00000000-0005-0000-0000-00007A0E0000}"/>
    <cellStyle name="Accent2 60" xfId="3707" xr:uid="{00000000-0005-0000-0000-00007B0E0000}"/>
    <cellStyle name="Accent2 60 2" xfId="3708" xr:uid="{00000000-0005-0000-0000-00007C0E0000}"/>
    <cellStyle name="Accent2 60 2 2" xfId="3709" xr:uid="{00000000-0005-0000-0000-00007D0E0000}"/>
    <cellStyle name="Accent2 60 3" xfId="3710" xr:uid="{00000000-0005-0000-0000-00007E0E0000}"/>
    <cellStyle name="Accent2 60 3 2" xfId="3711" xr:uid="{00000000-0005-0000-0000-00007F0E0000}"/>
    <cellStyle name="Accent2 60 3 2 2" xfId="3712" xr:uid="{00000000-0005-0000-0000-0000800E0000}"/>
    <cellStyle name="Accent2 60 3 3" xfId="3713" xr:uid="{00000000-0005-0000-0000-0000810E0000}"/>
    <cellStyle name="Accent2 60 4" xfId="3714" xr:uid="{00000000-0005-0000-0000-0000820E0000}"/>
    <cellStyle name="Accent2 61" xfId="3715" xr:uid="{00000000-0005-0000-0000-0000830E0000}"/>
    <cellStyle name="Accent2 61 2" xfId="3716" xr:uid="{00000000-0005-0000-0000-0000840E0000}"/>
    <cellStyle name="Accent2 61 2 2" xfId="3717" xr:uid="{00000000-0005-0000-0000-0000850E0000}"/>
    <cellStyle name="Accent2 61 3" xfId="3718" xr:uid="{00000000-0005-0000-0000-0000860E0000}"/>
    <cellStyle name="Accent2 61 3 2" xfId="3719" xr:uid="{00000000-0005-0000-0000-0000870E0000}"/>
    <cellStyle name="Accent2 61 3 2 2" xfId="3720" xr:uid="{00000000-0005-0000-0000-0000880E0000}"/>
    <cellStyle name="Accent2 61 3 3" xfId="3721" xr:uid="{00000000-0005-0000-0000-0000890E0000}"/>
    <cellStyle name="Accent2 61 4" xfId="3722" xr:uid="{00000000-0005-0000-0000-00008A0E0000}"/>
    <cellStyle name="Accent2 62" xfId="3723" xr:uid="{00000000-0005-0000-0000-00008B0E0000}"/>
    <cellStyle name="Accent2 62 2" xfId="3724" xr:uid="{00000000-0005-0000-0000-00008C0E0000}"/>
    <cellStyle name="Accent2 62 2 2" xfId="3725" xr:uid="{00000000-0005-0000-0000-00008D0E0000}"/>
    <cellStyle name="Accent2 62 3" xfId="3726" xr:uid="{00000000-0005-0000-0000-00008E0E0000}"/>
    <cellStyle name="Accent2 62 3 2" xfId="3727" xr:uid="{00000000-0005-0000-0000-00008F0E0000}"/>
    <cellStyle name="Accent2 62 3 2 2" xfId="3728" xr:uid="{00000000-0005-0000-0000-0000900E0000}"/>
    <cellStyle name="Accent2 62 3 3" xfId="3729" xr:uid="{00000000-0005-0000-0000-0000910E0000}"/>
    <cellStyle name="Accent2 62 4" xfId="3730" xr:uid="{00000000-0005-0000-0000-0000920E0000}"/>
    <cellStyle name="Accent2 63" xfId="3731" xr:uid="{00000000-0005-0000-0000-0000930E0000}"/>
    <cellStyle name="Accent2 63 2" xfId="3732" xr:uid="{00000000-0005-0000-0000-0000940E0000}"/>
    <cellStyle name="Accent2 63 2 2" xfId="3733" xr:uid="{00000000-0005-0000-0000-0000950E0000}"/>
    <cellStyle name="Accent2 63 3" xfId="3734" xr:uid="{00000000-0005-0000-0000-0000960E0000}"/>
    <cellStyle name="Accent2 63 3 2" xfId="3735" xr:uid="{00000000-0005-0000-0000-0000970E0000}"/>
    <cellStyle name="Accent2 63 3 2 2" xfId="3736" xr:uid="{00000000-0005-0000-0000-0000980E0000}"/>
    <cellStyle name="Accent2 63 3 3" xfId="3737" xr:uid="{00000000-0005-0000-0000-0000990E0000}"/>
    <cellStyle name="Accent2 63 4" xfId="3738" xr:uid="{00000000-0005-0000-0000-00009A0E0000}"/>
    <cellStyle name="Accent2 64" xfId="3739" xr:uid="{00000000-0005-0000-0000-00009B0E0000}"/>
    <cellStyle name="Accent2 64 2" xfId="3740" xr:uid="{00000000-0005-0000-0000-00009C0E0000}"/>
    <cellStyle name="Accent2 64 2 2" xfId="3741" xr:uid="{00000000-0005-0000-0000-00009D0E0000}"/>
    <cellStyle name="Accent2 64 3" xfId="3742" xr:uid="{00000000-0005-0000-0000-00009E0E0000}"/>
    <cellStyle name="Accent2 64 3 2" xfId="3743" xr:uid="{00000000-0005-0000-0000-00009F0E0000}"/>
    <cellStyle name="Accent2 64 3 2 2" xfId="3744" xr:uid="{00000000-0005-0000-0000-0000A00E0000}"/>
    <cellStyle name="Accent2 64 3 3" xfId="3745" xr:uid="{00000000-0005-0000-0000-0000A10E0000}"/>
    <cellStyle name="Accent2 64 4" xfId="3746" xr:uid="{00000000-0005-0000-0000-0000A20E0000}"/>
    <cellStyle name="Accent2 65" xfId="3747" xr:uid="{00000000-0005-0000-0000-0000A30E0000}"/>
    <cellStyle name="Accent2 65 2" xfId="3748" xr:uid="{00000000-0005-0000-0000-0000A40E0000}"/>
    <cellStyle name="Accent2 65 2 2" xfId="3749" xr:uid="{00000000-0005-0000-0000-0000A50E0000}"/>
    <cellStyle name="Accent2 65 3" xfId="3750" xr:uid="{00000000-0005-0000-0000-0000A60E0000}"/>
    <cellStyle name="Accent2 65 3 2" xfId="3751" xr:uid="{00000000-0005-0000-0000-0000A70E0000}"/>
    <cellStyle name="Accent2 65 3 2 2" xfId="3752" xr:uid="{00000000-0005-0000-0000-0000A80E0000}"/>
    <cellStyle name="Accent2 65 3 3" xfId="3753" xr:uid="{00000000-0005-0000-0000-0000A90E0000}"/>
    <cellStyle name="Accent2 65 4" xfId="3754" xr:uid="{00000000-0005-0000-0000-0000AA0E0000}"/>
    <cellStyle name="Accent2 66" xfId="3755" xr:uid="{00000000-0005-0000-0000-0000AB0E0000}"/>
    <cellStyle name="Accent2 66 2" xfId="3756" xr:uid="{00000000-0005-0000-0000-0000AC0E0000}"/>
    <cellStyle name="Accent2 66 2 2" xfId="3757" xr:uid="{00000000-0005-0000-0000-0000AD0E0000}"/>
    <cellStyle name="Accent2 66 3" xfId="3758" xr:uid="{00000000-0005-0000-0000-0000AE0E0000}"/>
    <cellStyle name="Accent2 66 3 2" xfId="3759" xr:uid="{00000000-0005-0000-0000-0000AF0E0000}"/>
    <cellStyle name="Accent2 66 3 2 2" xfId="3760" xr:uid="{00000000-0005-0000-0000-0000B00E0000}"/>
    <cellStyle name="Accent2 66 3 3" xfId="3761" xr:uid="{00000000-0005-0000-0000-0000B10E0000}"/>
    <cellStyle name="Accent2 66 4" xfId="3762" xr:uid="{00000000-0005-0000-0000-0000B20E0000}"/>
    <cellStyle name="Accent2 67" xfId="3763" xr:uid="{00000000-0005-0000-0000-0000B30E0000}"/>
    <cellStyle name="Accent2 67 2" xfId="3764" xr:uid="{00000000-0005-0000-0000-0000B40E0000}"/>
    <cellStyle name="Accent2 67 2 2" xfId="3765" xr:uid="{00000000-0005-0000-0000-0000B50E0000}"/>
    <cellStyle name="Accent2 67 3" xfId="3766" xr:uid="{00000000-0005-0000-0000-0000B60E0000}"/>
    <cellStyle name="Accent2 67 3 2" xfId="3767" xr:uid="{00000000-0005-0000-0000-0000B70E0000}"/>
    <cellStyle name="Accent2 67 3 2 2" xfId="3768" xr:uid="{00000000-0005-0000-0000-0000B80E0000}"/>
    <cellStyle name="Accent2 67 3 3" xfId="3769" xr:uid="{00000000-0005-0000-0000-0000B90E0000}"/>
    <cellStyle name="Accent2 67 4" xfId="3770" xr:uid="{00000000-0005-0000-0000-0000BA0E0000}"/>
    <cellStyle name="Accent2 68" xfId="3771" xr:uid="{00000000-0005-0000-0000-0000BB0E0000}"/>
    <cellStyle name="Accent2 68 2" xfId="3772" xr:uid="{00000000-0005-0000-0000-0000BC0E0000}"/>
    <cellStyle name="Accent2 68 2 2" xfId="3773" xr:uid="{00000000-0005-0000-0000-0000BD0E0000}"/>
    <cellStyle name="Accent2 68 3" xfId="3774" xr:uid="{00000000-0005-0000-0000-0000BE0E0000}"/>
    <cellStyle name="Accent2 68 3 2" xfId="3775" xr:uid="{00000000-0005-0000-0000-0000BF0E0000}"/>
    <cellStyle name="Accent2 68 3 2 2" xfId="3776" xr:uid="{00000000-0005-0000-0000-0000C00E0000}"/>
    <cellStyle name="Accent2 68 3 3" xfId="3777" xr:uid="{00000000-0005-0000-0000-0000C10E0000}"/>
    <cellStyle name="Accent2 68 4" xfId="3778" xr:uid="{00000000-0005-0000-0000-0000C20E0000}"/>
    <cellStyle name="Accent2 69" xfId="3779" xr:uid="{00000000-0005-0000-0000-0000C30E0000}"/>
    <cellStyle name="Accent2 69 2" xfId="3780" xr:uid="{00000000-0005-0000-0000-0000C40E0000}"/>
    <cellStyle name="Accent2 69 2 2" xfId="3781" xr:uid="{00000000-0005-0000-0000-0000C50E0000}"/>
    <cellStyle name="Accent2 69 3" xfId="3782" xr:uid="{00000000-0005-0000-0000-0000C60E0000}"/>
    <cellStyle name="Accent2 69 3 2" xfId="3783" xr:uid="{00000000-0005-0000-0000-0000C70E0000}"/>
    <cellStyle name="Accent2 69 3 2 2" xfId="3784" xr:uid="{00000000-0005-0000-0000-0000C80E0000}"/>
    <cellStyle name="Accent2 69 3 3" xfId="3785" xr:uid="{00000000-0005-0000-0000-0000C90E0000}"/>
    <cellStyle name="Accent2 69 4" xfId="3786" xr:uid="{00000000-0005-0000-0000-0000CA0E0000}"/>
    <cellStyle name="Accent2 7" xfId="3787" xr:uid="{00000000-0005-0000-0000-0000CB0E0000}"/>
    <cellStyle name="Accent2 7 2" xfId="3788" xr:uid="{00000000-0005-0000-0000-0000CC0E0000}"/>
    <cellStyle name="Accent2 7 2 2" xfId="3789" xr:uid="{00000000-0005-0000-0000-0000CD0E0000}"/>
    <cellStyle name="Accent2 7 2 2 2" xfId="3790" xr:uid="{00000000-0005-0000-0000-0000CE0E0000}"/>
    <cellStyle name="Accent2 7 2 3" xfId="3791" xr:uid="{00000000-0005-0000-0000-0000CF0E0000}"/>
    <cellStyle name="Accent2 7 2 3 2" xfId="3792" xr:uid="{00000000-0005-0000-0000-0000D00E0000}"/>
    <cellStyle name="Accent2 7 2 3 2 2" xfId="3793" xr:uid="{00000000-0005-0000-0000-0000D10E0000}"/>
    <cellStyle name="Accent2 7 2 3 3" xfId="3794" xr:uid="{00000000-0005-0000-0000-0000D20E0000}"/>
    <cellStyle name="Accent2 7 2 4" xfId="3795" xr:uid="{00000000-0005-0000-0000-0000D30E0000}"/>
    <cellStyle name="Accent2 7 3" xfId="3796" xr:uid="{00000000-0005-0000-0000-0000D40E0000}"/>
    <cellStyle name="Accent2 7 3 2" xfId="3797" xr:uid="{00000000-0005-0000-0000-0000D50E0000}"/>
    <cellStyle name="Accent2 7 4" xfId="3798" xr:uid="{00000000-0005-0000-0000-0000D60E0000}"/>
    <cellStyle name="Accent2 70" xfId="3799" xr:uid="{00000000-0005-0000-0000-0000D70E0000}"/>
    <cellStyle name="Accent2 70 2" xfId="3800" xr:uid="{00000000-0005-0000-0000-0000D80E0000}"/>
    <cellStyle name="Accent2 70 2 2" xfId="3801" xr:uid="{00000000-0005-0000-0000-0000D90E0000}"/>
    <cellStyle name="Accent2 70 3" xfId="3802" xr:uid="{00000000-0005-0000-0000-0000DA0E0000}"/>
    <cellStyle name="Accent2 70 3 2" xfId="3803" xr:uid="{00000000-0005-0000-0000-0000DB0E0000}"/>
    <cellStyle name="Accent2 70 3 2 2" xfId="3804" xr:uid="{00000000-0005-0000-0000-0000DC0E0000}"/>
    <cellStyle name="Accent2 70 3 3" xfId="3805" xr:uid="{00000000-0005-0000-0000-0000DD0E0000}"/>
    <cellStyle name="Accent2 70 4" xfId="3806" xr:uid="{00000000-0005-0000-0000-0000DE0E0000}"/>
    <cellStyle name="Accent2 71" xfId="3807" xr:uid="{00000000-0005-0000-0000-0000DF0E0000}"/>
    <cellStyle name="Accent2 71 2" xfId="3808" xr:uid="{00000000-0005-0000-0000-0000E00E0000}"/>
    <cellStyle name="Accent2 71 2 2" xfId="3809" xr:uid="{00000000-0005-0000-0000-0000E10E0000}"/>
    <cellStyle name="Accent2 71 3" xfId="3810" xr:uid="{00000000-0005-0000-0000-0000E20E0000}"/>
    <cellStyle name="Accent2 71 3 2" xfId="3811" xr:uid="{00000000-0005-0000-0000-0000E30E0000}"/>
    <cellStyle name="Accent2 71 3 2 2" xfId="3812" xr:uid="{00000000-0005-0000-0000-0000E40E0000}"/>
    <cellStyle name="Accent2 71 3 3" xfId="3813" xr:uid="{00000000-0005-0000-0000-0000E50E0000}"/>
    <cellStyle name="Accent2 71 4" xfId="3814" xr:uid="{00000000-0005-0000-0000-0000E60E0000}"/>
    <cellStyle name="Accent2 72" xfId="3815" xr:uid="{00000000-0005-0000-0000-0000E70E0000}"/>
    <cellStyle name="Accent2 72 2" xfId="3816" xr:uid="{00000000-0005-0000-0000-0000E80E0000}"/>
    <cellStyle name="Accent2 72 2 2" xfId="3817" xr:uid="{00000000-0005-0000-0000-0000E90E0000}"/>
    <cellStyle name="Accent2 72 3" xfId="3818" xr:uid="{00000000-0005-0000-0000-0000EA0E0000}"/>
    <cellStyle name="Accent2 72 3 2" xfId="3819" xr:uid="{00000000-0005-0000-0000-0000EB0E0000}"/>
    <cellStyle name="Accent2 72 3 2 2" xfId="3820" xr:uid="{00000000-0005-0000-0000-0000EC0E0000}"/>
    <cellStyle name="Accent2 72 3 3" xfId="3821" xr:uid="{00000000-0005-0000-0000-0000ED0E0000}"/>
    <cellStyle name="Accent2 72 4" xfId="3822" xr:uid="{00000000-0005-0000-0000-0000EE0E0000}"/>
    <cellStyle name="Accent2 73" xfId="3823" xr:uid="{00000000-0005-0000-0000-0000EF0E0000}"/>
    <cellStyle name="Accent2 73 2" xfId="3824" xr:uid="{00000000-0005-0000-0000-0000F00E0000}"/>
    <cellStyle name="Accent2 73 2 2" xfId="3825" xr:uid="{00000000-0005-0000-0000-0000F10E0000}"/>
    <cellStyle name="Accent2 73 3" xfId="3826" xr:uid="{00000000-0005-0000-0000-0000F20E0000}"/>
    <cellStyle name="Accent2 73 3 2" xfId="3827" xr:uid="{00000000-0005-0000-0000-0000F30E0000}"/>
    <cellStyle name="Accent2 73 3 2 2" xfId="3828" xr:uid="{00000000-0005-0000-0000-0000F40E0000}"/>
    <cellStyle name="Accent2 73 3 3" xfId="3829" xr:uid="{00000000-0005-0000-0000-0000F50E0000}"/>
    <cellStyle name="Accent2 73 4" xfId="3830" xr:uid="{00000000-0005-0000-0000-0000F60E0000}"/>
    <cellStyle name="Accent2 74" xfId="3831" xr:uid="{00000000-0005-0000-0000-0000F70E0000}"/>
    <cellStyle name="Accent2 74 2" xfId="3832" xr:uid="{00000000-0005-0000-0000-0000F80E0000}"/>
    <cellStyle name="Accent2 74 2 2" xfId="3833" xr:uid="{00000000-0005-0000-0000-0000F90E0000}"/>
    <cellStyle name="Accent2 74 3" xfId="3834" xr:uid="{00000000-0005-0000-0000-0000FA0E0000}"/>
    <cellStyle name="Accent2 74 3 2" xfId="3835" xr:uid="{00000000-0005-0000-0000-0000FB0E0000}"/>
    <cellStyle name="Accent2 74 3 2 2" xfId="3836" xr:uid="{00000000-0005-0000-0000-0000FC0E0000}"/>
    <cellStyle name="Accent2 74 3 3" xfId="3837" xr:uid="{00000000-0005-0000-0000-0000FD0E0000}"/>
    <cellStyle name="Accent2 74 4" xfId="3838" xr:uid="{00000000-0005-0000-0000-0000FE0E0000}"/>
    <cellStyle name="Accent2 75" xfId="3839" xr:uid="{00000000-0005-0000-0000-0000FF0E0000}"/>
    <cellStyle name="Accent2 75 2" xfId="3840" xr:uid="{00000000-0005-0000-0000-0000000F0000}"/>
    <cellStyle name="Accent2 75 2 2" xfId="3841" xr:uid="{00000000-0005-0000-0000-0000010F0000}"/>
    <cellStyle name="Accent2 75 3" xfId="3842" xr:uid="{00000000-0005-0000-0000-0000020F0000}"/>
    <cellStyle name="Accent2 75 3 2" xfId="3843" xr:uid="{00000000-0005-0000-0000-0000030F0000}"/>
    <cellStyle name="Accent2 75 3 2 2" xfId="3844" xr:uid="{00000000-0005-0000-0000-0000040F0000}"/>
    <cellStyle name="Accent2 75 3 3" xfId="3845" xr:uid="{00000000-0005-0000-0000-0000050F0000}"/>
    <cellStyle name="Accent2 75 4" xfId="3846" xr:uid="{00000000-0005-0000-0000-0000060F0000}"/>
    <cellStyle name="Accent2 76" xfId="3847" xr:uid="{00000000-0005-0000-0000-0000070F0000}"/>
    <cellStyle name="Accent2 76 2" xfId="3848" xr:uid="{00000000-0005-0000-0000-0000080F0000}"/>
    <cellStyle name="Accent2 76 2 2" xfId="3849" xr:uid="{00000000-0005-0000-0000-0000090F0000}"/>
    <cellStyle name="Accent2 76 3" xfId="3850" xr:uid="{00000000-0005-0000-0000-00000A0F0000}"/>
    <cellStyle name="Accent2 76 3 2" xfId="3851" xr:uid="{00000000-0005-0000-0000-00000B0F0000}"/>
    <cellStyle name="Accent2 76 3 2 2" xfId="3852" xr:uid="{00000000-0005-0000-0000-00000C0F0000}"/>
    <cellStyle name="Accent2 76 3 3" xfId="3853" xr:uid="{00000000-0005-0000-0000-00000D0F0000}"/>
    <cellStyle name="Accent2 76 4" xfId="3854" xr:uid="{00000000-0005-0000-0000-00000E0F0000}"/>
    <cellStyle name="Accent2 77" xfId="3855" xr:uid="{00000000-0005-0000-0000-00000F0F0000}"/>
    <cellStyle name="Accent2 77 2" xfId="3856" xr:uid="{00000000-0005-0000-0000-0000100F0000}"/>
    <cellStyle name="Accent2 77 2 2" xfId="3857" xr:uid="{00000000-0005-0000-0000-0000110F0000}"/>
    <cellStyle name="Accent2 77 3" xfId="3858" xr:uid="{00000000-0005-0000-0000-0000120F0000}"/>
    <cellStyle name="Accent2 77 3 2" xfId="3859" xr:uid="{00000000-0005-0000-0000-0000130F0000}"/>
    <cellStyle name="Accent2 77 3 2 2" xfId="3860" xr:uid="{00000000-0005-0000-0000-0000140F0000}"/>
    <cellStyle name="Accent2 77 3 3" xfId="3861" xr:uid="{00000000-0005-0000-0000-0000150F0000}"/>
    <cellStyle name="Accent2 77 4" xfId="3862" xr:uid="{00000000-0005-0000-0000-0000160F0000}"/>
    <cellStyle name="Accent2 78" xfId="3863" xr:uid="{00000000-0005-0000-0000-0000170F0000}"/>
    <cellStyle name="Accent2 78 2" xfId="3864" xr:uid="{00000000-0005-0000-0000-0000180F0000}"/>
    <cellStyle name="Accent2 78 2 2" xfId="3865" xr:uid="{00000000-0005-0000-0000-0000190F0000}"/>
    <cellStyle name="Accent2 78 3" xfId="3866" xr:uid="{00000000-0005-0000-0000-00001A0F0000}"/>
    <cellStyle name="Accent2 78 3 2" xfId="3867" xr:uid="{00000000-0005-0000-0000-00001B0F0000}"/>
    <cellStyle name="Accent2 78 3 2 2" xfId="3868" xr:uid="{00000000-0005-0000-0000-00001C0F0000}"/>
    <cellStyle name="Accent2 78 3 3" xfId="3869" xr:uid="{00000000-0005-0000-0000-00001D0F0000}"/>
    <cellStyle name="Accent2 78 4" xfId="3870" xr:uid="{00000000-0005-0000-0000-00001E0F0000}"/>
    <cellStyle name="Accent2 79" xfId="3871" xr:uid="{00000000-0005-0000-0000-00001F0F0000}"/>
    <cellStyle name="Accent2 79 2" xfId="3872" xr:uid="{00000000-0005-0000-0000-0000200F0000}"/>
    <cellStyle name="Accent2 79 2 2" xfId="3873" xr:uid="{00000000-0005-0000-0000-0000210F0000}"/>
    <cellStyle name="Accent2 79 3" xfId="3874" xr:uid="{00000000-0005-0000-0000-0000220F0000}"/>
    <cellStyle name="Accent2 79 3 2" xfId="3875" xr:uid="{00000000-0005-0000-0000-0000230F0000}"/>
    <cellStyle name="Accent2 79 3 2 2" xfId="3876" xr:uid="{00000000-0005-0000-0000-0000240F0000}"/>
    <cellStyle name="Accent2 79 3 3" xfId="3877" xr:uid="{00000000-0005-0000-0000-0000250F0000}"/>
    <cellStyle name="Accent2 79 4" xfId="3878" xr:uid="{00000000-0005-0000-0000-0000260F0000}"/>
    <cellStyle name="Accent2 8" xfId="3879" xr:uid="{00000000-0005-0000-0000-0000270F0000}"/>
    <cellStyle name="Accent2 8 2" xfId="3880" xr:uid="{00000000-0005-0000-0000-0000280F0000}"/>
    <cellStyle name="Accent2 8 2 2" xfId="3881" xr:uid="{00000000-0005-0000-0000-0000290F0000}"/>
    <cellStyle name="Accent2 8 3" xfId="3882" xr:uid="{00000000-0005-0000-0000-00002A0F0000}"/>
    <cellStyle name="Accent2 80" xfId="3883" xr:uid="{00000000-0005-0000-0000-00002B0F0000}"/>
    <cellStyle name="Accent2 80 2" xfId="3884" xr:uid="{00000000-0005-0000-0000-00002C0F0000}"/>
    <cellStyle name="Accent2 80 2 2" xfId="3885" xr:uid="{00000000-0005-0000-0000-00002D0F0000}"/>
    <cellStyle name="Accent2 80 3" xfId="3886" xr:uid="{00000000-0005-0000-0000-00002E0F0000}"/>
    <cellStyle name="Accent2 80 3 2" xfId="3887" xr:uid="{00000000-0005-0000-0000-00002F0F0000}"/>
    <cellStyle name="Accent2 80 3 2 2" xfId="3888" xr:uid="{00000000-0005-0000-0000-0000300F0000}"/>
    <cellStyle name="Accent2 80 3 3" xfId="3889" xr:uid="{00000000-0005-0000-0000-0000310F0000}"/>
    <cellStyle name="Accent2 80 4" xfId="3890" xr:uid="{00000000-0005-0000-0000-0000320F0000}"/>
    <cellStyle name="Accent2 81" xfId="3891" xr:uid="{00000000-0005-0000-0000-0000330F0000}"/>
    <cellStyle name="Accent2 81 2" xfId="3892" xr:uid="{00000000-0005-0000-0000-0000340F0000}"/>
    <cellStyle name="Accent2 81 2 2" xfId="3893" xr:uid="{00000000-0005-0000-0000-0000350F0000}"/>
    <cellStyle name="Accent2 81 3" xfId="3894" xr:uid="{00000000-0005-0000-0000-0000360F0000}"/>
    <cellStyle name="Accent2 81 3 2" xfId="3895" xr:uid="{00000000-0005-0000-0000-0000370F0000}"/>
    <cellStyle name="Accent2 81 3 2 2" xfId="3896" xr:uid="{00000000-0005-0000-0000-0000380F0000}"/>
    <cellStyle name="Accent2 81 3 3" xfId="3897" xr:uid="{00000000-0005-0000-0000-0000390F0000}"/>
    <cellStyle name="Accent2 81 4" xfId="3898" xr:uid="{00000000-0005-0000-0000-00003A0F0000}"/>
    <cellStyle name="Accent2 82" xfId="3899" xr:uid="{00000000-0005-0000-0000-00003B0F0000}"/>
    <cellStyle name="Accent2 82 2" xfId="3900" xr:uid="{00000000-0005-0000-0000-00003C0F0000}"/>
    <cellStyle name="Accent2 82 2 2" xfId="3901" xr:uid="{00000000-0005-0000-0000-00003D0F0000}"/>
    <cellStyle name="Accent2 82 3" xfId="3902" xr:uid="{00000000-0005-0000-0000-00003E0F0000}"/>
    <cellStyle name="Accent2 82 3 2" xfId="3903" xr:uid="{00000000-0005-0000-0000-00003F0F0000}"/>
    <cellStyle name="Accent2 82 3 2 2" xfId="3904" xr:uid="{00000000-0005-0000-0000-0000400F0000}"/>
    <cellStyle name="Accent2 82 3 3" xfId="3905" xr:uid="{00000000-0005-0000-0000-0000410F0000}"/>
    <cellStyle name="Accent2 82 4" xfId="3906" xr:uid="{00000000-0005-0000-0000-0000420F0000}"/>
    <cellStyle name="Accent2 83" xfId="3907" xr:uid="{00000000-0005-0000-0000-0000430F0000}"/>
    <cellStyle name="Accent2 83 2" xfId="3908" xr:uid="{00000000-0005-0000-0000-0000440F0000}"/>
    <cellStyle name="Accent2 83 2 2" xfId="3909" xr:uid="{00000000-0005-0000-0000-0000450F0000}"/>
    <cellStyle name="Accent2 83 3" xfId="3910" xr:uid="{00000000-0005-0000-0000-0000460F0000}"/>
    <cellStyle name="Accent2 83 3 2" xfId="3911" xr:uid="{00000000-0005-0000-0000-0000470F0000}"/>
    <cellStyle name="Accent2 83 3 2 2" xfId="3912" xr:uid="{00000000-0005-0000-0000-0000480F0000}"/>
    <cellStyle name="Accent2 83 3 3" xfId="3913" xr:uid="{00000000-0005-0000-0000-0000490F0000}"/>
    <cellStyle name="Accent2 83 4" xfId="3914" xr:uid="{00000000-0005-0000-0000-00004A0F0000}"/>
    <cellStyle name="Accent2 84" xfId="3915" xr:uid="{00000000-0005-0000-0000-00004B0F0000}"/>
    <cellStyle name="Accent2 84 2" xfId="3916" xr:uid="{00000000-0005-0000-0000-00004C0F0000}"/>
    <cellStyle name="Accent2 84 2 2" xfId="3917" xr:uid="{00000000-0005-0000-0000-00004D0F0000}"/>
    <cellStyle name="Accent2 84 3" xfId="3918" xr:uid="{00000000-0005-0000-0000-00004E0F0000}"/>
    <cellStyle name="Accent2 85" xfId="3919" xr:uid="{00000000-0005-0000-0000-00004F0F0000}"/>
    <cellStyle name="Accent2 85 2" xfId="3920" xr:uid="{00000000-0005-0000-0000-0000500F0000}"/>
    <cellStyle name="Accent2 85 2 2" xfId="3921" xr:uid="{00000000-0005-0000-0000-0000510F0000}"/>
    <cellStyle name="Accent2 85 3" xfId="3922" xr:uid="{00000000-0005-0000-0000-0000520F0000}"/>
    <cellStyle name="Accent2 86" xfId="3923" xr:uid="{00000000-0005-0000-0000-0000530F0000}"/>
    <cellStyle name="Accent2 86 2" xfId="3924" xr:uid="{00000000-0005-0000-0000-0000540F0000}"/>
    <cellStyle name="Accent2 86 2 2" xfId="3925" xr:uid="{00000000-0005-0000-0000-0000550F0000}"/>
    <cellStyle name="Accent2 86 3" xfId="3926" xr:uid="{00000000-0005-0000-0000-0000560F0000}"/>
    <cellStyle name="Accent2 87" xfId="3927" xr:uid="{00000000-0005-0000-0000-0000570F0000}"/>
    <cellStyle name="Accent2 87 2" xfId="3928" xr:uid="{00000000-0005-0000-0000-0000580F0000}"/>
    <cellStyle name="Accent2 87 2 2" xfId="3929" xr:uid="{00000000-0005-0000-0000-0000590F0000}"/>
    <cellStyle name="Accent2 87 3" xfId="3930" xr:uid="{00000000-0005-0000-0000-00005A0F0000}"/>
    <cellStyle name="Accent2 88" xfId="3931" xr:uid="{00000000-0005-0000-0000-00005B0F0000}"/>
    <cellStyle name="Accent2 88 2" xfId="3932" xr:uid="{00000000-0005-0000-0000-00005C0F0000}"/>
    <cellStyle name="Accent2 88 2 2" xfId="3933" xr:uid="{00000000-0005-0000-0000-00005D0F0000}"/>
    <cellStyle name="Accent2 88 3" xfId="3934" xr:uid="{00000000-0005-0000-0000-00005E0F0000}"/>
    <cellStyle name="Accent2 89" xfId="3935" xr:uid="{00000000-0005-0000-0000-00005F0F0000}"/>
    <cellStyle name="Accent2 89 2" xfId="3936" xr:uid="{00000000-0005-0000-0000-0000600F0000}"/>
    <cellStyle name="Accent2 89 2 2" xfId="3937" xr:uid="{00000000-0005-0000-0000-0000610F0000}"/>
    <cellStyle name="Accent2 89 3" xfId="3938" xr:uid="{00000000-0005-0000-0000-0000620F0000}"/>
    <cellStyle name="Accent2 9" xfId="3939" xr:uid="{00000000-0005-0000-0000-0000630F0000}"/>
    <cellStyle name="Accent2 9 2" xfId="3940" xr:uid="{00000000-0005-0000-0000-0000640F0000}"/>
    <cellStyle name="Accent2 9 2 2" xfId="3941" xr:uid="{00000000-0005-0000-0000-0000650F0000}"/>
    <cellStyle name="Accent2 9 3" xfId="3942" xr:uid="{00000000-0005-0000-0000-0000660F0000}"/>
    <cellStyle name="Accent2 90" xfId="3943" xr:uid="{00000000-0005-0000-0000-0000670F0000}"/>
    <cellStyle name="Accent2 90 2" xfId="3944" xr:uid="{00000000-0005-0000-0000-0000680F0000}"/>
    <cellStyle name="Accent2 90 2 2" xfId="3945" xr:uid="{00000000-0005-0000-0000-0000690F0000}"/>
    <cellStyle name="Accent2 90 3" xfId="3946" xr:uid="{00000000-0005-0000-0000-00006A0F0000}"/>
    <cellStyle name="Accent2 91" xfId="3947" xr:uid="{00000000-0005-0000-0000-00006B0F0000}"/>
    <cellStyle name="Accent2 91 2" xfId="3948" xr:uid="{00000000-0005-0000-0000-00006C0F0000}"/>
    <cellStyle name="Accent2 91 2 2" xfId="3949" xr:uid="{00000000-0005-0000-0000-00006D0F0000}"/>
    <cellStyle name="Accent2 91 3" xfId="3950" xr:uid="{00000000-0005-0000-0000-00006E0F0000}"/>
    <cellStyle name="Accent2 92" xfId="3951" xr:uid="{00000000-0005-0000-0000-00006F0F0000}"/>
    <cellStyle name="Accent2 92 2" xfId="3952" xr:uid="{00000000-0005-0000-0000-0000700F0000}"/>
    <cellStyle name="Accent2 92 2 2" xfId="3953" xr:uid="{00000000-0005-0000-0000-0000710F0000}"/>
    <cellStyle name="Accent2 92 3" xfId="3954" xr:uid="{00000000-0005-0000-0000-0000720F0000}"/>
    <cellStyle name="Accent2 93" xfId="3955" xr:uid="{00000000-0005-0000-0000-0000730F0000}"/>
    <cellStyle name="Accent2 93 2" xfId="3956" xr:uid="{00000000-0005-0000-0000-0000740F0000}"/>
    <cellStyle name="Accent2 93 2 2" xfId="3957" xr:uid="{00000000-0005-0000-0000-0000750F0000}"/>
    <cellStyle name="Accent2 93 3" xfId="3958" xr:uid="{00000000-0005-0000-0000-0000760F0000}"/>
    <cellStyle name="Accent2 94" xfId="3959" xr:uid="{00000000-0005-0000-0000-0000770F0000}"/>
    <cellStyle name="Accent2 94 2" xfId="3960" xr:uid="{00000000-0005-0000-0000-0000780F0000}"/>
    <cellStyle name="Accent2 94 2 2" xfId="3961" xr:uid="{00000000-0005-0000-0000-0000790F0000}"/>
    <cellStyle name="Accent2 94 3" xfId="3962" xr:uid="{00000000-0005-0000-0000-00007A0F0000}"/>
    <cellStyle name="Accent2 95" xfId="3963" xr:uid="{00000000-0005-0000-0000-00007B0F0000}"/>
    <cellStyle name="Accent2 95 2" xfId="3964" xr:uid="{00000000-0005-0000-0000-00007C0F0000}"/>
    <cellStyle name="Accent2 95 2 2" xfId="3965" xr:uid="{00000000-0005-0000-0000-00007D0F0000}"/>
    <cellStyle name="Accent2 95 3" xfId="3966" xr:uid="{00000000-0005-0000-0000-00007E0F0000}"/>
    <cellStyle name="Accent2 96" xfId="3967" xr:uid="{00000000-0005-0000-0000-00007F0F0000}"/>
    <cellStyle name="Accent2 96 2" xfId="3968" xr:uid="{00000000-0005-0000-0000-0000800F0000}"/>
    <cellStyle name="Accent2 96 2 2" xfId="3969" xr:uid="{00000000-0005-0000-0000-0000810F0000}"/>
    <cellStyle name="Accent2 96 3" xfId="3970" xr:uid="{00000000-0005-0000-0000-0000820F0000}"/>
    <cellStyle name="Accent2 97" xfId="3971" xr:uid="{00000000-0005-0000-0000-0000830F0000}"/>
    <cellStyle name="Accent2 97 2" xfId="3972" xr:uid="{00000000-0005-0000-0000-0000840F0000}"/>
    <cellStyle name="Accent2 97 2 2" xfId="3973" xr:uid="{00000000-0005-0000-0000-0000850F0000}"/>
    <cellStyle name="Accent2 97 3" xfId="3974" xr:uid="{00000000-0005-0000-0000-0000860F0000}"/>
    <cellStyle name="Accent2 98" xfId="3975" xr:uid="{00000000-0005-0000-0000-0000870F0000}"/>
    <cellStyle name="Accent2 98 2" xfId="3976" xr:uid="{00000000-0005-0000-0000-0000880F0000}"/>
    <cellStyle name="Accent2 98 2 2" xfId="3977" xr:uid="{00000000-0005-0000-0000-0000890F0000}"/>
    <cellStyle name="Accent2 98 3" xfId="3978" xr:uid="{00000000-0005-0000-0000-00008A0F0000}"/>
    <cellStyle name="Accent2 99" xfId="3979" xr:uid="{00000000-0005-0000-0000-00008B0F0000}"/>
    <cellStyle name="Accent2 99 2" xfId="3980" xr:uid="{00000000-0005-0000-0000-00008C0F0000}"/>
    <cellStyle name="Accent2 99 2 2" xfId="3981" xr:uid="{00000000-0005-0000-0000-00008D0F0000}"/>
    <cellStyle name="Accent2 99 3" xfId="3982" xr:uid="{00000000-0005-0000-0000-00008E0F0000}"/>
    <cellStyle name="Accent3 - 20%" xfId="3983" xr:uid="{00000000-0005-0000-0000-00008F0F0000}"/>
    <cellStyle name="Accent3 - 20% 10" xfId="3984" xr:uid="{00000000-0005-0000-0000-0000900F0000}"/>
    <cellStyle name="Accent3 - 20% 11" xfId="3985" xr:uid="{00000000-0005-0000-0000-0000910F0000}"/>
    <cellStyle name="Accent3 - 20% 11 2" xfId="32908" xr:uid="{AE9ADD2C-71BA-49F8-930E-7D3FAE4631B8}"/>
    <cellStyle name="Accent3 - 20% 2" xfId="3986" xr:uid="{00000000-0005-0000-0000-0000920F0000}"/>
    <cellStyle name="Accent3 - 20% 2 2" xfId="3987" xr:uid="{00000000-0005-0000-0000-0000930F0000}"/>
    <cellStyle name="Accent3 - 20% 2 2 2" xfId="3988" xr:uid="{00000000-0005-0000-0000-0000940F0000}"/>
    <cellStyle name="Accent3 - 20% 2 2 2 2" xfId="3989" xr:uid="{00000000-0005-0000-0000-0000950F0000}"/>
    <cellStyle name="Accent3 - 20% 2 2 3" xfId="3990" xr:uid="{00000000-0005-0000-0000-0000960F0000}"/>
    <cellStyle name="Accent3 - 20% 2 3" xfId="3991" xr:uid="{00000000-0005-0000-0000-0000970F0000}"/>
    <cellStyle name="Accent3 - 20% 2 3 2" xfId="3992" xr:uid="{00000000-0005-0000-0000-0000980F0000}"/>
    <cellStyle name="Accent3 - 20% 2 3 2 2" xfId="3993" xr:uid="{00000000-0005-0000-0000-0000990F0000}"/>
    <cellStyle name="Accent3 - 20% 2 3 2 2 2" xfId="3994" xr:uid="{00000000-0005-0000-0000-00009A0F0000}"/>
    <cellStyle name="Accent3 - 20% 2 3 2 3" xfId="3995" xr:uid="{00000000-0005-0000-0000-00009B0F0000}"/>
    <cellStyle name="Accent3 - 20% 2 3 3" xfId="3996" xr:uid="{00000000-0005-0000-0000-00009C0F0000}"/>
    <cellStyle name="Accent3 - 20% 2 3 3 2" xfId="3997" xr:uid="{00000000-0005-0000-0000-00009D0F0000}"/>
    <cellStyle name="Accent3 - 20% 2 3 4" xfId="3998" xr:uid="{00000000-0005-0000-0000-00009E0F0000}"/>
    <cellStyle name="Accent3 - 20% 2 4" xfId="3999" xr:uid="{00000000-0005-0000-0000-00009F0F0000}"/>
    <cellStyle name="Accent3 - 20% 2 4 2" xfId="4000" xr:uid="{00000000-0005-0000-0000-0000A00F0000}"/>
    <cellStyle name="Accent3 - 20% 2 4 2 2" xfId="4001" xr:uid="{00000000-0005-0000-0000-0000A10F0000}"/>
    <cellStyle name="Accent3 - 20% 2 4 2 2 2" xfId="4002" xr:uid="{00000000-0005-0000-0000-0000A20F0000}"/>
    <cellStyle name="Accent3 - 20% 2 4 2 2 2 2" xfId="32912" xr:uid="{A72AAE53-4F3D-481D-9467-DF6A72FB1AB5}"/>
    <cellStyle name="Accent3 - 20% 2 4 2 2 3" xfId="32911" xr:uid="{E3DEFBEE-0274-47A2-AF53-03EB09259867}"/>
    <cellStyle name="Accent3 - 20% 2 4 2 3" xfId="4003" xr:uid="{00000000-0005-0000-0000-0000A30F0000}"/>
    <cellStyle name="Accent3 - 20% 2 4 2 3 2" xfId="32913" xr:uid="{341FB366-988B-4057-9A54-4FB0C6067DFF}"/>
    <cellStyle name="Accent3 - 20% 2 4 2 4" xfId="32910" xr:uid="{E383F731-7966-46BB-90D5-B4C5FC029A02}"/>
    <cellStyle name="Accent3 - 20% 2 4 3" xfId="4004" xr:uid="{00000000-0005-0000-0000-0000A40F0000}"/>
    <cellStyle name="Accent3 - 20% 2 4 3 2" xfId="4005" xr:uid="{00000000-0005-0000-0000-0000A50F0000}"/>
    <cellStyle name="Accent3 - 20% 2 4 3 2 2" xfId="32915" xr:uid="{008B9655-D567-4EFC-9929-95768225AB7C}"/>
    <cellStyle name="Accent3 - 20% 2 4 3 3" xfId="32914" xr:uid="{597F6179-190C-416D-BC93-26E7670C4B1F}"/>
    <cellStyle name="Accent3 - 20% 2 4 4" xfId="4006" xr:uid="{00000000-0005-0000-0000-0000A60F0000}"/>
    <cellStyle name="Accent3 - 20% 2 4 4 2" xfId="32916" xr:uid="{435B69D8-4E44-4557-8A17-68C36C9F40D9}"/>
    <cellStyle name="Accent3 - 20% 2 4 5" xfId="32909" xr:uid="{DC3FAC19-5230-4522-98F1-924C39EC0BFE}"/>
    <cellStyle name="Accent3 - 20% 2 5" xfId="4007" xr:uid="{00000000-0005-0000-0000-0000A70F0000}"/>
    <cellStyle name="Accent3 - 20% 2 5 2" xfId="4008" xr:uid="{00000000-0005-0000-0000-0000A80F0000}"/>
    <cellStyle name="Accent3 - 20% 2 6" xfId="4009" xr:uid="{00000000-0005-0000-0000-0000A90F0000}"/>
    <cellStyle name="Accent3 - 20% 2 6 2" xfId="4010" xr:uid="{00000000-0005-0000-0000-0000AA0F0000}"/>
    <cellStyle name="Accent3 - 20% 2 7" xfId="4011" xr:uid="{00000000-0005-0000-0000-0000AB0F0000}"/>
    <cellStyle name="Accent3 - 20% 3" xfId="4012" xr:uid="{00000000-0005-0000-0000-0000AC0F0000}"/>
    <cellStyle name="Accent3 - 20% 3 2" xfId="4013" xr:uid="{00000000-0005-0000-0000-0000AD0F0000}"/>
    <cellStyle name="Accent3 - 20% 3 2 2" xfId="4014" xr:uid="{00000000-0005-0000-0000-0000AE0F0000}"/>
    <cellStyle name="Accent3 - 20% 3 2 2 2" xfId="4015" xr:uid="{00000000-0005-0000-0000-0000AF0F0000}"/>
    <cellStyle name="Accent3 - 20% 3 2 3" xfId="4016" xr:uid="{00000000-0005-0000-0000-0000B00F0000}"/>
    <cellStyle name="Accent3 - 20% 3 3" xfId="4017" xr:uid="{00000000-0005-0000-0000-0000B10F0000}"/>
    <cellStyle name="Accent3 - 20% 3 3 2" xfId="4018" xr:uid="{00000000-0005-0000-0000-0000B20F0000}"/>
    <cellStyle name="Accent3 - 20% 3 4" xfId="4019" xr:uid="{00000000-0005-0000-0000-0000B30F0000}"/>
    <cellStyle name="Accent3 - 20% 4" xfId="4020" xr:uid="{00000000-0005-0000-0000-0000B40F0000}"/>
    <cellStyle name="Accent3 - 20% 4 2" xfId="4021" xr:uid="{00000000-0005-0000-0000-0000B50F0000}"/>
    <cellStyle name="Accent3 - 20% 4 2 2" xfId="4022" xr:uid="{00000000-0005-0000-0000-0000B60F0000}"/>
    <cellStyle name="Accent3 - 20% 4 3" xfId="4023" xr:uid="{00000000-0005-0000-0000-0000B70F0000}"/>
    <cellStyle name="Accent3 - 20% 5" xfId="4024" xr:uid="{00000000-0005-0000-0000-0000B80F0000}"/>
    <cellStyle name="Accent3 - 20% 5 2" xfId="4025" xr:uid="{00000000-0005-0000-0000-0000B90F0000}"/>
    <cellStyle name="Accent3 - 20% 5 2 2" xfId="4026" xr:uid="{00000000-0005-0000-0000-0000BA0F0000}"/>
    <cellStyle name="Accent3 - 20% 5 3" xfId="4027" xr:uid="{00000000-0005-0000-0000-0000BB0F0000}"/>
    <cellStyle name="Accent3 - 20% 6" xfId="4028" xr:uid="{00000000-0005-0000-0000-0000BC0F0000}"/>
    <cellStyle name="Accent3 - 20% 6 2" xfId="4029" xr:uid="{00000000-0005-0000-0000-0000BD0F0000}"/>
    <cellStyle name="Accent3 - 20% 7" xfId="4030" xr:uid="{00000000-0005-0000-0000-0000BE0F0000}"/>
    <cellStyle name="Accent3 - 20% 7 2" xfId="4031" xr:uid="{00000000-0005-0000-0000-0000BF0F0000}"/>
    <cellStyle name="Accent3 - 20% 8" xfId="4032" xr:uid="{00000000-0005-0000-0000-0000C00F0000}"/>
    <cellStyle name="Accent3 - 20% 8 2" xfId="4033" xr:uid="{00000000-0005-0000-0000-0000C10F0000}"/>
    <cellStyle name="Accent3 - 20% 9" xfId="4034" xr:uid="{00000000-0005-0000-0000-0000C20F0000}"/>
    <cellStyle name="Accent3 - 20% 9 2" xfId="4035" xr:uid="{00000000-0005-0000-0000-0000C30F0000}"/>
    <cellStyle name="Accent3 - 40%" xfId="4036" xr:uid="{00000000-0005-0000-0000-0000C40F0000}"/>
    <cellStyle name="Accent3 - 40% 10" xfId="4037" xr:uid="{00000000-0005-0000-0000-0000C50F0000}"/>
    <cellStyle name="Accent3 - 40% 11" xfId="4038" xr:uid="{00000000-0005-0000-0000-0000C60F0000}"/>
    <cellStyle name="Accent3 - 40% 2" xfId="4039" xr:uid="{00000000-0005-0000-0000-0000C70F0000}"/>
    <cellStyle name="Accent3 - 40% 2 2" xfId="4040" xr:uid="{00000000-0005-0000-0000-0000C80F0000}"/>
    <cellStyle name="Accent3 - 40% 2 2 2" xfId="4041" xr:uid="{00000000-0005-0000-0000-0000C90F0000}"/>
    <cellStyle name="Accent3 - 40% 2 2 2 2" xfId="4042" xr:uid="{00000000-0005-0000-0000-0000CA0F0000}"/>
    <cellStyle name="Accent3 - 40% 2 2 3" xfId="4043" xr:uid="{00000000-0005-0000-0000-0000CB0F0000}"/>
    <cellStyle name="Accent3 - 40% 2 3" xfId="4044" xr:uid="{00000000-0005-0000-0000-0000CC0F0000}"/>
    <cellStyle name="Accent3 - 40% 2 3 2" xfId="4045" xr:uid="{00000000-0005-0000-0000-0000CD0F0000}"/>
    <cellStyle name="Accent3 - 40% 2 3 2 2" xfId="4046" xr:uid="{00000000-0005-0000-0000-0000CE0F0000}"/>
    <cellStyle name="Accent3 - 40% 2 3 2 2 2" xfId="4047" xr:uid="{00000000-0005-0000-0000-0000CF0F0000}"/>
    <cellStyle name="Accent3 - 40% 2 3 2 3" xfId="4048" xr:uid="{00000000-0005-0000-0000-0000D00F0000}"/>
    <cellStyle name="Accent3 - 40% 2 3 3" xfId="4049" xr:uid="{00000000-0005-0000-0000-0000D10F0000}"/>
    <cellStyle name="Accent3 - 40% 2 3 3 2" xfId="4050" xr:uid="{00000000-0005-0000-0000-0000D20F0000}"/>
    <cellStyle name="Accent3 - 40% 2 3 4" xfId="4051" xr:uid="{00000000-0005-0000-0000-0000D30F0000}"/>
    <cellStyle name="Accent3 - 40% 2 4" xfId="4052" xr:uid="{00000000-0005-0000-0000-0000D40F0000}"/>
    <cellStyle name="Accent3 - 40% 2 4 2" xfId="4053" xr:uid="{00000000-0005-0000-0000-0000D50F0000}"/>
    <cellStyle name="Accent3 - 40% 2 4 2 2" xfId="4054" xr:uid="{00000000-0005-0000-0000-0000D60F0000}"/>
    <cellStyle name="Accent3 - 40% 2 4 2 2 2" xfId="4055" xr:uid="{00000000-0005-0000-0000-0000D70F0000}"/>
    <cellStyle name="Accent3 - 40% 2 4 2 3" xfId="4056" xr:uid="{00000000-0005-0000-0000-0000D80F0000}"/>
    <cellStyle name="Accent3 - 40% 2 4 3" xfId="4057" xr:uid="{00000000-0005-0000-0000-0000D90F0000}"/>
    <cellStyle name="Accent3 - 40% 2 4 3 2" xfId="4058" xr:uid="{00000000-0005-0000-0000-0000DA0F0000}"/>
    <cellStyle name="Accent3 - 40% 2 4 4" xfId="4059" xr:uid="{00000000-0005-0000-0000-0000DB0F0000}"/>
    <cellStyle name="Accent3 - 40% 2 5" xfId="4060" xr:uid="{00000000-0005-0000-0000-0000DC0F0000}"/>
    <cellStyle name="Accent3 - 40% 2 5 2" xfId="4061" xr:uid="{00000000-0005-0000-0000-0000DD0F0000}"/>
    <cellStyle name="Accent3 - 40% 2 6" xfId="4062" xr:uid="{00000000-0005-0000-0000-0000DE0F0000}"/>
    <cellStyle name="Accent3 - 40% 2 6 2" xfId="4063" xr:uid="{00000000-0005-0000-0000-0000DF0F0000}"/>
    <cellStyle name="Accent3 - 40% 2 7" xfId="4064" xr:uid="{00000000-0005-0000-0000-0000E00F0000}"/>
    <cellStyle name="Accent3 - 40% 3" xfId="4065" xr:uid="{00000000-0005-0000-0000-0000E10F0000}"/>
    <cellStyle name="Accent3 - 40% 3 2" xfId="4066" xr:uid="{00000000-0005-0000-0000-0000E20F0000}"/>
    <cellStyle name="Accent3 - 40% 3 2 2" xfId="4067" xr:uid="{00000000-0005-0000-0000-0000E30F0000}"/>
    <cellStyle name="Accent3 - 40% 3 2 2 2" xfId="4068" xr:uid="{00000000-0005-0000-0000-0000E40F0000}"/>
    <cellStyle name="Accent3 - 40% 3 2 3" xfId="4069" xr:uid="{00000000-0005-0000-0000-0000E50F0000}"/>
    <cellStyle name="Accent3 - 40% 3 3" xfId="4070" xr:uid="{00000000-0005-0000-0000-0000E60F0000}"/>
    <cellStyle name="Accent3 - 40% 3 3 2" xfId="4071" xr:uid="{00000000-0005-0000-0000-0000E70F0000}"/>
    <cellStyle name="Accent3 - 40% 3 4" xfId="4072" xr:uid="{00000000-0005-0000-0000-0000E80F0000}"/>
    <cellStyle name="Accent3 - 40% 4" xfId="4073" xr:uid="{00000000-0005-0000-0000-0000E90F0000}"/>
    <cellStyle name="Accent3 - 40% 4 2" xfId="4074" xr:uid="{00000000-0005-0000-0000-0000EA0F0000}"/>
    <cellStyle name="Accent3 - 40% 4 2 2" xfId="4075" xr:uid="{00000000-0005-0000-0000-0000EB0F0000}"/>
    <cellStyle name="Accent3 - 40% 4 3" xfId="4076" xr:uid="{00000000-0005-0000-0000-0000EC0F0000}"/>
    <cellStyle name="Accent3 - 40% 5" xfId="4077" xr:uid="{00000000-0005-0000-0000-0000ED0F0000}"/>
    <cellStyle name="Accent3 - 40% 5 2" xfId="4078" xr:uid="{00000000-0005-0000-0000-0000EE0F0000}"/>
    <cellStyle name="Accent3 - 40% 5 2 2" xfId="4079" xr:uid="{00000000-0005-0000-0000-0000EF0F0000}"/>
    <cellStyle name="Accent3 - 40% 5 3" xfId="4080" xr:uid="{00000000-0005-0000-0000-0000F00F0000}"/>
    <cellStyle name="Accent3 - 40% 6" xfId="4081" xr:uid="{00000000-0005-0000-0000-0000F10F0000}"/>
    <cellStyle name="Accent3 - 40% 6 2" xfId="4082" xr:uid="{00000000-0005-0000-0000-0000F20F0000}"/>
    <cellStyle name="Accent3 - 40% 7" xfId="4083" xr:uid="{00000000-0005-0000-0000-0000F30F0000}"/>
    <cellStyle name="Accent3 - 40% 7 2" xfId="4084" xr:uid="{00000000-0005-0000-0000-0000F40F0000}"/>
    <cellStyle name="Accent3 - 40% 8" xfId="4085" xr:uid="{00000000-0005-0000-0000-0000F50F0000}"/>
    <cellStyle name="Accent3 - 40% 8 2" xfId="4086" xr:uid="{00000000-0005-0000-0000-0000F60F0000}"/>
    <cellStyle name="Accent3 - 40% 9" xfId="4087" xr:uid="{00000000-0005-0000-0000-0000F70F0000}"/>
    <cellStyle name="Accent3 - 40% 9 2" xfId="4088" xr:uid="{00000000-0005-0000-0000-0000F80F0000}"/>
    <cellStyle name="Accent3 - 60%" xfId="4089" xr:uid="{00000000-0005-0000-0000-0000F90F0000}"/>
    <cellStyle name="Accent3 - 60% 10" xfId="4090" xr:uid="{00000000-0005-0000-0000-0000FA0F0000}"/>
    <cellStyle name="Accent3 - 60% 2" xfId="4091" xr:uid="{00000000-0005-0000-0000-0000FB0F0000}"/>
    <cellStyle name="Accent3 - 60% 2 2" xfId="4092" xr:uid="{00000000-0005-0000-0000-0000FC0F0000}"/>
    <cellStyle name="Accent3 - 60% 2 2 2" xfId="4093" xr:uid="{00000000-0005-0000-0000-0000FD0F0000}"/>
    <cellStyle name="Accent3 - 60% 2 3" xfId="4094" xr:uid="{00000000-0005-0000-0000-0000FE0F0000}"/>
    <cellStyle name="Accent3 - 60% 2 3 2" xfId="4095" xr:uid="{00000000-0005-0000-0000-0000FF0F0000}"/>
    <cellStyle name="Accent3 - 60% 2 3 2 2" xfId="4096" xr:uid="{00000000-0005-0000-0000-000000100000}"/>
    <cellStyle name="Accent3 - 60% 2 3 3" xfId="4097" xr:uid="{00000000-0005-0000-0000-000001100000}"/>
    <cellStyle name="Accent3 - 60% 2 4" xfId="4098" xr:uid="{00000000-0005-0000-0000-000002100000}"/>
    <cellStyle name="Accent3 - 60% 2 4 2" xfId="4099" xr:uid="{00000000-0005-0000-0000-000003100000}"/>
    <cellStyle name="Accent3 - 60% 2 4 2 2" xfId="4100" xr:uid="{00000000-0005-0000-0000-000004100000}"/>
    <cellStyle name="Accent3 - 60% 2 4 3" xfId="4101" xr:uid="{00000000-0005-0000-0000-000005100000}"/>
    <cellStyle name="Accent3 - 60% 2 5" xfId="4102" xr:uid="{00000000-0005-0000-0000-000006100000}"/>
    <cellStyle name="Accent3 - 60% 3" xfId="4103" xr:uid="{00000000-0005-0000-0000-000007100000}"/>
    <cellStyle name="Accent3 - 60% 3 2" xfId="4104" xr:uid="{00000000-0005-0000-0000-000008100000}"/>
    <cellStyle name="Accent3 - 60% 3 2 2" xfId="4105" xr:uid="{00000000-0005-0000-0000-000009100000}"/>
    <cellStyle name="Accent3 - 60% 3 3" xfId="4106" xr:uid="{00000000-0005-0000-0000-00000A100000}"/>
    <cellStyle name="Accent3 - 60% 4" xfId="4107" xr:uid="{00000000-0005-0000-0000-00000B100000}"/>
    <cellStyle name="Accent3 - 60% 4 2" xfId="4108" xr:uid="{00000000-0005-0000-0000-00000C100000}"/>
    <cellStyle name="Accent3 - 60% 5" xfId="4109" xr:uid="{00000000-0005-0000-0000-00000D100000}"/>
    <cellStyle name="Accent3 - 60% 5 2" xfId="4110" xr:uid="{00000000-0005-0000-0000-00000E100000}"/>
    <cellStyle name="Accent3 - 60% 6" xfId="4111" xr:uid="{00000000-0005-0000-0000-00000F100000}"/>
    <cellStyle name="Accent3 - 60% 6 2" xfId="4112" xr:uid="{00000000-0005-0000-0000-000010100000}"/>
    <cellStyle name="Accent3 - 60% 6 2 2" xfId="4113" xr:uid="{00000000-0005-0000-0000-000011100000}"/>
    <cellStyle name="Accent3 - 60% 6 3" xfId="4114" xr:uid="{00000000-0005-0000-0000-000012100000}"/>
    <cellStyle name="Accent3 - 60% 7" xfId="4115" xr:uid="{00000000-0005-0000-0000-000013100000}"/>
    <cellStyle name="Accent3 - 60% 7 2" xfId="4116" xr:uid="{00000000-0005-0000-0000-000014100000}"/>
    <cellStyle name="Accent3 - 60% 8" xfId="4117" xr:uid="{00000000-0005-0000-0000-000015100000}"/>
    <cellStyle name="Accent3 - 60% 8 2" xfId="4118" xr:uid="{00000000-0005-0000-0000-000016100000}"/>
    <cellStyle name="Accent3 - 60% 9" xfId="4119" xr:uid="{00000000-0005-0000-0000-000017100000}"/>
    <cellStyle name="Accent3 10" xfId="4120" xr:uid="{00000000-0005-0000-0000-000018100000}"/>
    <cellStyle name="Accent3 10 2" xfId="4121" xr:uid="{00000000-0005-0000-0000-000019100000}"/>
    <cellStyle name="Accent3 10 2 2" xfId="4122" xr:uid="{00000000-0005-0000-0000-00001A100000}"/>
    <cellStyle name="Accent3 10 2 2 2" xfId="32919" xr:uid="{020EB222-973F-4000-9D98-344733A7AD85}"/>
    <cellStyle name="Accent3 10 2 3" xfId="32918" xr:uid="{B52E297E-275E-48F0-9629-45AB22C90554}"/>
    <cellStyle name="Accent3 10 3" xfId="4123" xr:uid="{00000000-0005-0000-0000-00001B100000}"/>
    <cellStyle name="Accent3 10 3 2" xfId="32920" xr:uid="{D195D4A4-392D-4AB4-AD8A-372B54A929FC}"/>
    <cellStyle name="Accent3 10 4" xfId="32917" xr:uid="{421121C2-13D0-428B-B197-12DB286D50F2}"/>
    <cellStyle name="Accent3 100" xfId="4124" xr:uid="{00000000-0005-0000-0000-00001C100000}"/>
    <cellStyle name="Accent3 100 2" xfId="4125" xr:uid="{00000000-0005-0000-0000-00001D100000}"/>
    <cellStyle name="Accent3 100 2 2" xfId="4126" xr:uid="{00000000-0005-0000-0000-00001E100000}"/>
    <cellStyle name="Accent3 100 2 2 2" xfId="32923" xr:uid="{C368BCD7-3E9F-4C2A-83C1-5C94627073CA}"/>
    <cellStyle name="Accent3 100 2 3" xfId="32922" xr:uid="{2B49BCD9-5BF3-42AB-A10E-0E61B278A27D}"/>
    <cellStyle name="Accent3 100 3" xfId="4127" xr:uid="{00000000-0005-0000-0000-00001F100000}"/>
    <cellStyle name="Accent3 100 3 2" xfId="32924" xr:uid="{031587ED-7A8F-43DB-B965-8E6A0F0CAB47}"/>
    <cellStyle name="Accent3 100 4" xfId="32921" xr:uid="{EF69CB51-1B06-4272-8941-F79D33D106CC}"/>
    <cellStyle name="Accent3 101" xfId="4128" xr:uid="{00000000-0005-0000-0000-000020100000}"/>
    <cellStyle name="Accent3 101 2" xfId="4129" xr:uid="{00000000-0005-0000-0000-000021100000}"/>
    <cellStyle name="Accent3 101 2 2" xfId="4130" xr:uid="{00000000-0005-0000-0000-000022100000}"/>
    <cellStyle name="Accent3 101 2 2 2" xfId="32927" xr:uid="{4CC69079-BD45-455E-A9EE-C1F0D9B559FC}"/>
    <cellStyle name="Accent3 101 2 3" xfId="32926" xr:uid="{62E8A52C-1795-42B7-9A20-9C33FE57ECAE}"/>
    <cellStyle name="Accent3 101 3" xfId="4131" xr:uid="{00000000-0005-0000-0000-000023100000}"/>
    <cellStyle name="Accent3 101 3 2" xfId="32928" xr:uid="{AA9D27BC-EAFF-4511-8D74-A79DDAC9460E}"/>
    <cellStyle name="Accent3 101 4" xfId="32925" xr:uid="{EA129C37-70ED-4090-B3C2-5F99D5D5C418}"/>
    <cellStyle name="Accent3 102" xfId="4132" xr:uid="{00000000-0005-0000-0000-000024100000}"/>
    <cellStyle name="Accent3 102 2" xfId="4133" xr:uid="{00000000-0005-0000-0000-000025100000}"/>
    <cellStyle name="Accent3 103" xfId="4134" xr:uid="{00000000-0005-0000-0000-000026100000}"/>
    <cellStyle name="Accent3 103 2" xfId="4135" xr:uid="{00000000-0005-0000-0000-000027100000}"/>
    <cellStyle name="Accent3 104" xfId="4136" xr:uid="{00000000-0005-0000-0000-000028100000}"/>
    <cellStyle name="Accent3 104 2" xfId="4137" xr:uid="{00000000-0005-0000-0000-000029100000}"/>
    <cellStyle name="Accent3 104 2 2" xfId="4138" xr:uid="{00000000-0005-0000-0000-00002A100000}"/>
    <cellStyle name="Accent3 104 3" xfId="4139" xr:uid="{00000000-0005-0000-0000-00002B100000}"/>
    <cellStyle name="Accent3 105" xfId="4140" xr:uid="{00000000-0005-0000-0000-00002C100000}"/>
    <cellStyle name="Accent3 105 2" xfId="4141" xr:uid="{00000000-0005-0000-0000-00002D100000}"/>
    <cellStyle name="Accent3 105 2 2" xfId="4142" xr:uid="{00000000-0005-0000-0000-00002E100000}"/>
    <cellStyle name="Accent3 105 2 2 2" xfId="32931" xr:uid="{15459E9B-295A-48C0-9485-9675EC18B58F}"/>
    <cellStyle name="Accent3 105 2 3" xfId="32930" xr:uid="{59509171-0773-45ED-B356-F36A45247266}"/>
    <cellStyle name="Accent3 105 3" xfId="4143" xr:uid="{00000000-0005-0000-0000-00002F100000}"/>
    <cellStyle name="Accent3 105 3 2" xfId="32932" xr:uid="{09123585-AC44-40EC-B77E-1434F157628E}"/>
    <cellStyle name="Accent3 105 4" xfId="32929" xr:uid="{8ABA6AA0-398D-47EE-A55E-66CF1D3D8861}"/>
    <cellStyle name="Accent3 106" xfId="4144" xr:uid="{00000000-0005-0000-0000-000030100000}"/>
    <cellStyle name="Accent3 106 2" xfId="4145" xr:uid="{00000000-0005-0000-0000-000031100000}"/>
    <cellStyle name="Accent3 106 2 2" xfId="4146" xr:uid="{00000000-0005-0000-0000-000032100000}"/>
    <cellStyle name="Accent3 106 2 2 2" xfId="32935" xr:uid="{CEE9B794-EFB2-45BF-BAA1-D4741B52D348}"/>
    <cellStyle name="Accent3 106 2 3" xfId="32934" xr:uid="{AA04E3A4-8277-44B5-B553-40A185F689D2}"/>
    <cellStyle name="Accent3 106 3" xfId="4147" xr:uid="{00000000-0005-0000-0000-000033100000}"/>
    <cellStyle name="Accent3 106 3 2" xfId="32936" xr:uid="{5CE8FF1A-88F6-4AA2-BB02-72E8616BFD0B}"/>
    <cellStyle name="Accent3 106 4" xfId="32933" xr:uid="{8CA57BC8-DE15-4161-BBED-B7891D2F6F1C}"/>
    <cellStyle name="Accent3 107" xfId="4148" xr:uid="{00000000-0005-0000-0000-000034100000}"/>
    <cellStyle name="Accent3 107 2" xfId="4149" xr:uid="{00000000-0005-0000-0000-000035100000}"/>
    <cellStyle name="Accent3 107 2 2" xfId="4150" xr:uid="{00000000-0005-0000-0000-000036100000}"/>
    <cellStyle name="Accent3 107 2 2 2" xfId="32939" xr:uid="{15888E9F-03D9-48FE-88AC-ADEA6A7CB871}"/>
    <cellStyle name="Accent3 107 2 3" xfId="32938" xr:uid="{343F04CE-9ED0-4438-BDC2-A4D2688D51E1}"/>
    <cellStyle name="Accent3 107 3" xfId="4151" xr:uid="{00000000-0005-0000-0000-000037100000}"/>
    <cellStyle name="Accent3 107 3 2" xfId="32940" xr:uid="{89A41A67-6324-412C-B652-C1A1863EE7AA}"/>
    <cellStyle name="Accent3 107 4" xfId="32937" xr:uid="{FC7C0F9E-320C-4DB5-82A3-2F50318A5FAC}"/>
    <cellStyle name="Accent3 108" xfId="4152" xr:uid="{00000000-0005-0000-0000-000038100000}"/>
    <cellStyle name="Accent3 108 2" xfId="4153" xr:uid="{00000000-0005-0000-0000-000039100000}"/>
    <cellStyle name="Accent3 108 2 2" xfId="4154" xr:uid="{00000000-0005-0000-0000-00003A100000}"/>
    <cellStyle name="Accent3 108 3" xfId="4155" xr:uid="{00000000-0005-0000-0000-00003B100000}"/>
    <cellStyle name="Accent3 109" xfId="4156" xr:uid="{00000000-0005-0000-0000-00003C100000}"/>
    <cellStyle name="Accent3 109 2" xfId="4157" xr:uid="{00000000-0005-0000-0000-00003D100000}"/>
    <cellStyle name="Accent3 109 2 2" xfId="4158" xr:uid="{00000000-0005-0000-0000-00003E100000}"/>
    <cellStyle name="Accent3 109 3" xfId="4159" xr:uid="{00000000-0005-0000-0000-00003F100000}"/>
    <cellStyle name="Accent3 11" xfId="4160" xr:uid="{00000000-0005-0000-0000-000040100000}"/>
    <cellStyle name="Accent3 11 2" xfId="4161" xr:uid="{00000000-0005-0000-0000-000041100000}"/>
    <cellStyle name="Accent3 11 2 2" xfId="4162" xr:uid="{00000000-0005-0000-0000-000042100000}"/>
    <cellStyle name="Accent3 11 2 2 2" xfId="32943" xr:uid="{AB839F9E-F69D-4719-A188-B1C89EC8B670}"/>
    <cellStyle name="Accent3 11 2 3" xfId="32942" xr:uid="{2ACF3387-7C19-44A1-B102-9676ED2A6820}"/>
    <cellStyle name="Accent3 11 3" xfId="4163" xr:uid="{00000000-0005-0000-0000-000043100000}"/>
    <cellStyle name="Accent3 11 3 2" xfId="32944" xr:uid="{B19BA582-CCA4-42FC-8FBD-C29251B7A938}"/>
    <cellStyle name="Accent3 11 4" xfId="32941" xr:uid="{70F97AEA-39F2-4AAE-9293-8CFFB6CB91D2}"/>
    <cellStyle name="Accent3 110" xfId="4164" xr:uid="{00000000-0005-0000-0000-000044100000}"/>
    <cellStyle name="Accent3 110 2" xfId="4165" xr:uid="{00000000-0005-0000-0000-000045100000}"/>
    <cellStyle name="Accent3 110 2 2" xfId="4166" xr:uid="{00000000-0005-0000-0000-000046100000}"/>
    <cellStyle name="Accent3 110 3" xfId="4167" xr:uid="{00000000-0005-0000-0000-000047100000}"/>
    <cellStyle name="Accent3 111" xfId="4168" xr:uid="{00000000-0005-0000-0000-000048100000}"/>
    <cellStyle name="Accent3 111 2" xfId="4169" xr:uid="{00000000-0005-0000-0000-000049100000}"/>
    <cellStyle name="Accent3 111 2 2" xfId="4170" xr:uid="{00000000-0005-0000-0000-00004A100000}"/>
    <cellStyle name="Accent3 111 3" xfId="4171" xr:uid="{00000000-0005-0000-0000-00004B100000}"/>
    <cellStyle name="Accent3 112" xfId="4172" xr:uid="{00000000-0005-0000-0000-00004C100000}"/>
    <cellStyle name="Accent3 112 2" xfId="4173" xr:uid="{00000000-0005-0000-0000-00004D100000}"/>
    <cellStyle name="Accent3 112 2 2" xfId="4174" xr:uid="{00000000-0005-0000-0000-00004E100000}"/>
    <cellStyle name="Accent3 112 3" xfId="4175" xr:uid="{00000000-0005-0000-0000-00004F100000}"/>
    <cellStyle name="Accent3 113" xfId="4176" xr:uid="{00000000-0005-0000-0000-000050100000}"/>
    <cellStyle name="Accent3 113 2" xfId="4177" xr:uid="{00000000-0005-0000-0000-000051100000}"/>
    <cellStyle name="Accent3 113 2 2" xfId="4178" xr:uid="{00000000-0005-0000-0000-000052100000}"/>
    <cellStyle name="Accent3 113 3" xfId="4179" xr:uid="{00000000-0005-0000-0000-000053100000}"/>
    <cellStyle name="Accent3 114" xfId="4180" xr:uid="{00000000-0005-0000-0000-000054100000}"/>
    <cellStyle name="Accent3 114 2" xfId="4181" xr:uid="{00000000-0005-0000-0000-000055100000}"/>
    <cellStyle name="Accent3 115" xfId="4182" xr:uid="{00000000-0005-0000-0000-000056100000}"/>
    <cellStyle name="Accent3 115 2" xfId="4183" xr:uid="{00000000-0005-0000-0000-000057100000}"/>
    <cellStyle name="Accent3 116" xfId="4184" xr:uid="{00000000-0005-0000-0000-000058100000}"/>
    <cellStyle name="Accent3 116 2" xfId="4185" xr:uid="{00000000-0005-0000-0000-000059100000}"/>
    <cellStyle name="Accent3 117" xfId="4186" xr:uid="{00000000-0005-0000-0000-00005A100000}"/>
    <cellStyle name="Accent3 117 2" xfId="4187" xr:uid="{00000000-0005-0000-0000-00005B100000}"/>
    <cellStyle name="Accent3 118" xfId="4188" xr:uid="{00000000-0005-0000-0000-00005C100000}"/>
    <cellStyle name="Accent3 118 2" xfId="4189" xr:uid="{00000000-0005-0000-0000-00005D100000}"/>
    <cellStyle name="Accent3 119" xfId="4190" xr:uid="{00000000-0005-0000-0000-00005E100000}"/>
    <cellStyle name="Accent3 119 2" xfId="4191" xr:uid="{00000000-0005-0000-0000-00005F100000}"/>
    <cellStyle name="Accent3 12" xfId="4192" xr:uid="{00000000-0005-0000-0000-000060100000}"/>
    <cellStyle name="Accent3 12 2" xfId="4193" xr:uid="{00000000-0005-0000-0000-000061100000}"/>
    <cellStyle name="Accent3 12 2 2" xfId="4194" xr:uid="{00000000-0005-0000-0000-000062100000}"/>
    <cellStyle name="Accent3 12 2 2 2" xfId="32947" xr:uid="{F4D6BCB5-B9C0-4632-BA31-D3DB94E60A08}"/>
    <cellStyle name="Accent3 12 2 3" xfId="32946" xr:uid="{AA5C184A-FDD3-4A06-B5AE-8869B535445F}"/>
    <cellStyle name="Accent3 12 3" xfId="4195" xr:uid="{00000000-0005-0000-0000-000063100000}"/>
    <cellStyle name="Accent3 12 3 2" xfId="32948" xr:uid="{0B36506B-5C1A-4C9A-8773-E8724AC060BF}"/>
    <cellStyle name="Accent3 12 4" xfId="32945" xr:uid="{5C8498DC-3355-4B8C-9B68-646BA4554D86}"/>
    <cellStyle name="Accent3 120" xfId="4196" xr:uid="{00000000-0005-0000-0000-000064100000}"/>
    <cellStyle name="Accent3 120 2" xfId="4197" xr:uid="{00000000-0005-0000-0000-000065100000}"/>
    <cellStyle name="Accent3 121" xfId="4198" xr:uid="{00000000-0005-0000-0000-000066100000}"/>
    <cellStyle name="Accent3 121 2" xfId="4199" xr:uid="{00000000-0005-0000-0000-000067100000}"/>
    <cellStyle name="Accent3 122" xfId="4200" xr:uid="{00000000-0005-0000-0000-000068100000}"/>
    <cellStyle name="Accent3 122 2" xfId="4201" xr:uid="{00000000-0005-0000-0000-000069100000}"/>
    <cellStyle name="Accent3 123" xfId="4202" xr:uid="{00000000-0005-0000-0000-00006A100000}"/>
    <cellStyle name="Accent3 123 2" xfId="4203" xr:uid="{00000000-0005-0000-0000-00006B100000}"/>
    <cellStyle name="Accent3 124" xfId="4204" xr:uid="{00000000-0005-0000-0000-00006C100000}"/>
    <cellStyle name="Accent3 124 2" xfId="4205" xr:uid="{00000000-0005-0000-0000-00006D100000}"/>
    <cellStyle name="Accent3 125" xfId="4206" xr:uid="{00000000-0005-0000-0000-00006E100000}"/>
    <cellStyle name="Accent3 125 2" xfId="4207" xr:uid="{00000000-0005-0000-0000-00006F100000}"/>
    <cellStyle name="Accent3 126" xfId="4208" xr:uid="{00000000-0005-0000-0000-000070100000}"/>
    <cellStyle name="Accent3 127" xfId="4209" xr:uid="{00000000-0005-0000-0000-000071100000}"/>
    <cellStyle name="Accent3 128" xfId="4210" xr:uid="{00000000-0005-0000-0000-000072100000}"/>
    <cellStyle name="Accent3 129" xfId="4211" xr:uid="{00000000-0005-0000-0000-000073100000}"/>
    <cellStyle name="Accent3 13" xfId="4212" xr:uid="{00000000-0005-0000-0000-000074100000}"/>
    <cellStyle name="Accent3 13 2" xfId="4213" xr:uid="{00000000-0005-0000-0000-000075100000}"/>
    <cellStyle name="Accent3 13 2 2" xfId="4214" xr:uid="{00000000-0005-0000-0000-000076100000}"/>
    <cellStyle name="Accent3 13 2 2 2" xfId="32951" xr:uid="{6600C957-47FF-492B-8C21-B783815564DB}"/>
    <cellStyle name="Accent3 13 2 3" xfId="32950" xr:uid="{FB62956E-C95D-40E3-A547-693CA99BF76F}"/>
    <cellStyle name="Accent3 13 3" xfId="4215" xr:uid="{00000000-0005-0000-0000-000077100000}"/>
    <cellStyle name="Accent3 13 3 2" xfId="32952" xr:uid="{6B0757C5-A6E5-41B6-965D-67896A8B670C}"/>
    <cellStyle name="Accent3 13 4" xfId="32949" xr:uid="{768D5C92-2378-4740-9594-9A9DFF67F101}"/>
    <cellStyle name="Accent3 130" xfId="4216" xr:uid="{00000000-0005-0000-0000-000078100000}"/>
    <cellStyle name="Accent3 131" xfId="4217" xr:uid="{00000000-0005-0000-0000-000079100000}"/>
    <cellStyle name="Accent3 132" xfId="4218" xr:uid="{00000000-0005-0000-0000-00007A100000}"/>
    <cellStyle name="Accent3 133" xfId="4219" xr:uid="{00000000-0005-0000-0000-00007B100000}"/>
    <cellStyle name="Accent3 134" xfId="4220" xr:uid="{00000000-0005-0000-0000-00007C100000}"/>
    <cellStyle name="Accent3 135" xfId="4221" xr:uid="{00000000-0005-0000-0000-00007D100000}"/>
    <cellStyle name="Accent3 136" xfId="4222" xr:uid="{00000000-0005-0000-0000-00007E100000}"/>
    <cellStyle name="Accent3 137" xfId="4223" xr:uid="{00000000-0005-0000-0000-00007F100000}"/>
    <cellStyle name="Accent3 138" xfId="4224" xr:uid="{00000000-0005-0000-0000-000080100000}"/>
    <cellStyle name="Accent3 139" xfId="4225" xr:uid="{00000000-0005-0000-0000-000081100000}"/>
    <cellStyle name="Accent3 14" xfId="4226" xr:uid="{00000000-0005-0000-0000-000082100000}"/>
    <cellStyle name="Accent3 14 2" xfId="4227" xr:uid="{00000000-0005-0000-0000-000083100000}"/>
    <cellStyle name="Accent3 14 2 2" xfId="4228" xr:uid="{00000000-0005-0000-0000-000084100000}"/>
    <cellStyle name="Accent3 14 2 2 2" xfId="32955" xr:uid="{0F7E197F-4E3A-4C46-865C-C97D03767B78}"/>
    <cellStyle name="Accent3 14 2 3" xfId="32954" xr:uid="{CD286CB1-455D-4647-B010-BE4681E7A9B6}"/>
    <cellStyle name="Accent3 14 3" xfId="4229" xr:uid="{00000000-0005-0000-0000-000085100000}"/>
    <cellStyle name="Accent3 14 3 2" xfId="32956" xr:uid="{63153C6E-2A95-4AA8-AA83-A905AF0FF33F}"/>
    <cellStyle name="Accent3 14 4" xfId="32953" xr:uid="{9CD87704-F9D2-4D4A-B6F5-9FD557B79932}"/>
    <cellStyle name="Accent3 140" xfId="4230" xr:uid="{00000000-0005-0000-0000-000086100000}"/>
    <cellStyle name="Accent3 141" xfId="4231" xr:uid="{00000000-0005-0000-0000-000087100000}"/>
    <cellStyle name="Accent3 142" xfId="4232" xr:uid="{00000000-0005-0000-0000-000088100000}"/>
    <cellStyle name="Accent3 143" xfId="4233" xr:uid="{00000000-0005-0000-0000-000089100000}"/>
    <cellStyle name="Accent3 144" xfId="4234" xr:uid="{00000000-0005-0000-0000-00008A100000}"/>
    <cellStyle name="Accent3 145" xfId="4235" xr:uid="{00000000-0005-0000-0000-00008B100000}"/>
    <cellStyle name="Accent3 146" xfId="4236" xr:uid="{00000000-0005-0000-0000-00008C100000}"/>
    <cellStyle name="Accent3 147" xfId="4237" xr:uid="{00000000-0005-0000-0000-00008D100000}"/>
    <cellStyle name="Accent3 148" xfId="4238" xr:uid="{00000000-0005-0000-0000-00008E100000}"/>
    <cellStyle name="Accent3 149" xfId="4239" xr:uid="{00000000-0005-0000-0000-00008F100000}"/>
    <cellStyle name="Accent3 15" xfId="4240" xr:uid="{00000000-0005-0000-0000-000090100000}"/>
    <cellStyle name="Accent3 15 2" xfId="4241" xr:uid="{00000000-0005-0000-0000-000091100000}"/>
    <cellStyle name="Accent3 15 2 2" xfId="4242" xr:uid="{00000000-0005-0000-0000-000092100000}"/>
    <cellStyle name="Accent3 15 2 2 2" xfId="32959" xr:uid="{6731B12D-3EED-4BEC-847F-A47BA52AFBD8}"/>
    <cellStyle name="Accent3 15 2 3" xfId="32958" xr:uid="{C0DE2E49-D8EA-439F-A126-68361C9F84D3}"/>
    <cellStyle name="Accent3 15 3" xfId="4243" xr:uid="{00000000-0005-0000-0000-000093100000}"/>
    <cellStyle name="Accent3 15 3 2" xfId="32960" xr:uid="{C2A1E412-3B8F-46D6-A0F7-5DC91DC1ABD7}"/>
    <cellStyle name="Accent3 15 4" xfId="32957" xr:uid="{BA10A66F-984D-472D-B548-709C45F29693}"/>
    <cellStyle name="Accent3 150" xfId="4244" xr:uid="{00000000-0005-0000-0000-000094100000}"/>
    <cellStyle name="Accent3 151" xfId="4245" xr:uid="{00000000-0005-0000-0000-000095100000}"/>
    <cellStyle name="Accent3 152" xfId="4246" xr:uid="{00000000-0005-0000-0000-000096100000}"/>
    <cellStyle name="Accent3 153" xfId="4247" xr:uid="{00000000-0005-0000-0000-000097100000}"/>
    <cellStyle name="Accent3 154" xfId="4248" xr:uid="{00000000-0005-0000-0000-000098100000}"/>
    <cellStyle name="Accent3 155" xfId="4249" xr:uid="{00000000-0005-0000-0000-000099100000}"/>
    <cellStyle name="Accent3 156" xfId="4250" xr:uid="{00000000-0005-0000-0000-00009A100000}"/>
    <cellStyle name="Accent3 157" xfId="4251" xr:uid="{00000000-0005-0000-0000-00009B100000}"/>
    <cellStyle name="Accent3 158" xfId="4252" xr:uid="{00000000-0005-0000-0000-00009C100000}"/>
    <cellStyle name="Accent3 159" xfId="4253" xr:uid="{00000000-0005-0000-0000-00009D100000}"/>
    <cellStyle name="Accent3 16" xfId="4254" xr:uid="{00000000-0005-0000-0000-00009E100000}"/>
    <cellStyle name="Accent3 16 2" xfId="4255" xr:uid="{00000000-0005-0000-0000-00009F100000}"/>
    <cellStyle name="Accent3 16 2 2" xfId="4256" xr:uid="{00000000-0005-0000-0000-0000A0100000}"/>
    <cellStyle name="Accent3 16 2 2 2" xfId="32963" xr:uid="{5149DBC1-85FC-417E-A042-81C51B2D26E0}"/>
    <cellStyle name="Accent3 16 2 3" xfId="32962" xr:uid="{ED7052D2-6106-4762-A0AD-ED17AA5D6E95}"/>
    <cellStyle name="Accent3 16 3" xfId="4257" xr:uid="{00000000-0005-0000-0000-0000A1100000}"/>
    <cellStyle name="Accent3 16 3 2" xfId="32964" xr:uid="{693199BB-5F46-47DD-8B2C-31E3CE00E9C3}"/>
    <cellStyle name="Accent3 16 4" xfId="32961" xr:uid="{DF7D20F8-5A48-44D1-8C99-BDF8E4C80CB1}"/>
    <cellStyle name="Accent3 160" xfId="4258" xr:uid="{00000000-0005-0000-0000-0000A2100000}"/>
    <cellStyle name="Accent3 161" xfId="4259" xr:uid="{00000000-0005-0000-0000-0000A3100000}"/>
    <cellStyle name="Accent3 162" xfId="4260" xr:uid="{00000000-0005-0000-0000-0000A4100000}"/>
    <cellStyle name="Accent3 163" xfId="4261" xr:uid="{00000000-0005-0000-0000-0000A5100000}"/>
    <cellStyle name="Accent3 164" xfId="4262" xr:uid="{00000000-0005-0000-0000-0000A6100000}"/>
    <cellStyle name="Accent3 165" xfId="4263" xr:uid="{00000000-0005-0000-0000-0000A7100000}"/>
    <cellStyle name="Accent3 166" xfId="4264" xr:uid="{00000000-0005-0000-0000-0000A8100000}"/>
    <cellStyle name="Accent3 167" xfId="4265" xr:uid="{00000000-0005-0000-0000-0000A9100000}"/>
    <cellStyle name="Accent3 168" xfId="4266" xr:uid="{00000000-0005-0000-0000-0000AA100000}"/>
    <cellStyle name="Accent3 169" xfId="4267" xr:uid="{00000000-0005-0000-0000-0000AB100000}"/>
    <cellStyle name="Accent3 17" xfId="4268" xr:uid="{00000000-0005-0000-0000-0000AC100000}"/>
    <cellStyle name="Accent3 17 2" xfId="4269" xr:uid="{00000000-0005-0000-0000-0000AD100000}"/>
    <cellStyle name="Accent3 17 2 2" xfId="4270" xr:uid="{00000000-0005-0000-0000-0000AE100000}"/>
    <cellStyle name="Accent3 17 2 2 2" xfId="32967" xr:uid="{3DBB9A5E-C6E4-458B-9D22-332C67BD6E42}"/>
    <cellStyle name="Accent3 17 2 3" xfId="32966" xr:uid="{DE8A14CD-D751-41B4-872A-71BB447677F0}"/>
    <cellStyle name="Accent3 17 3" xfId="4271" xr:uid="{00000000-0005-0000-0000-0000AF100000}"/>
    <cellStyle name="Accent3 17 3 2" xfId="32968" xr:uid="{B1DE6063-6315-4636-B9B7-D4ED290E03A7}"/>
    <cellStyle name="Accent3 17 4" xfId="32965" xr:uid="{CF780172-0092-4CCC-A8A2-0DB2F5F50E6D}"/>
    <cellStyle name="Accent3 170" xfId="4272" xr:uid="{00000000-0005-0000-0000-0000B0100000}"/>
    <cellStyle name="Accent3 171" xfId="4273" xr:uid="{00000000-0005-0000-0000-0000B1100000}"/>
    <cellStyle name="Accent3 172" xfId="4274" xr:uid="{00000000-0005-0000-0000-0000B2100000}"/>
    <cellStyle name="Accent3 173" xfId="4275" xr:uid="{00000000-0005-0000-0000-0000B3100000}"/>
    <cellStyle name="Accent3 174" xfId="4276" xr:uid="{00000000-0005-0000-0000-0000B4100000}"/>
    <cellStyle name="Accent3 175" xfId="4277" xr:uid="{00000000-0005-0000-0000-0000B5100000}"/>
    <cellStyle name="Accent3 176" xfId="4278" xr:uid="{00000000-0005-0000-0000-0000B6100000}"/>
    <cellStyle name="Accent3 177" xfId="4279" xr:uid="{00000000-0005-0000-0000-0000B7100000}"/>
    <cellStyle name="Accent3 178" xfId="4280" xr:uid="{00000000-0005-0000-0000-0000B8100000}"/>
    <cellStyle name="Accent3 179" xfId="4281" xr:uid="{00000000-0005-0000-0000-0000B9100000}"/>
    <cellStyle name="Accent3 18" xfId="4282" xr:uid="{00000000-0005-0000-0000-0000BA100000}"/>
    <cellStyle name="Accent3 18 2" xfId="4283" xr:uid="{00000000-0005-0000-0000-0000BB100000}"/>
    <cellStyle name="Accent3 18 2 2" xfId="4284" xr:uid="{00000000-0005-0000-0000-0000BC100000}"/>
    <cellStyle name="Accent3 18 2 2 2" xfId="32971" xr:uid="{C1E616B9-6410-4F21-9E12-DF7109FEC79D}"/>
    <cellStyle name="Accent3 18 2 3" xfId="32970" xr:uid="{B4BCA9BC-6C57-4CBA-BC56-5F4FC0462096}"/>
    <cellStyle name="Accent3 18 3" xfId="4285" xr:uid="{00000000-0005-0000-0000-0000BD100000}"/>
    <cellStyle name="Accent3 18 3 2" xfId="32972" xr:uid="{88EC6521-906E-4891-8755-CF701A5ED6C8}"/>
    <cellStyle name="Accent3 18 4" xfId="32969" xr:uid="{54855D7D-C9AE-4624-BAB6-4F18A00CDEF2}"/>
    <cellStyle name="Accent3 19" xfId="4286" xr:uid="{00000000-0005-0000-0000-0000BE100000}"/>
    <cellStyle name="Accent3 19 2" xfId="4287" xr:uid="{00000000-0005-0000-0000-0000BF100000}"/>
    <cellStyle name="Accent3 19 2 2" xfId="4288" xr:uid="{00000000-0005-0000-0000-0000C0100000}"/>
    <cellStyle name="Accent3 19 2 2 2" xfId="32975" xr:uid="{AE047618-9F39-44EF-9312-B1D17EA56677}"/>
    <cellStyle name="Accent3 19 2 3" xfId="32974" xr:uid="{D5054BFD-FA47-4E3A-A6B4-2E685A0D3440}"/>
    <cellStyle name="Accent3 19 3" xfId="4289" xr:uid="{00000000-0005-0000-0000-0000C1100000}"/>
    <cellStyle name="Accent3 19 3 2" xfId="32976" xr:uid="{00F1F32B-1C6A-4F88-96F6-691485C62D0B}"/>
    <cellStyle name="Accent3 19 4" xfId="32973" xr:uid="{A3D710D3-2D30-4D20-99FB-E0D6079D0D79}"/>
    <cellStyle name="Accent3 2" xfId="4290" xr:uid="{00000000-0005-0000-0000-0000C2100000}"/>
    <cellStyle name="Accent3 2 10" xfId="4291" xr:uid="{00000000-0005-0000-0000-0000C3100000}"/>
    <cellStyle name="Accent3 2 10 2" xfId="4292" xr:uid="{00000000-0005-0000-0000-0000C4100000}"/>
    <cellStyle name="Accent3 2 10 2 2" xfId="32978" xr:uid="{3D3FC668-E8E1-4CAC-BAB5-DF91ECAA1302}"/>
    <cellStyle name="Accent3 2 10 3" xfId="32977" xr:uid="{BA620E95-D5BC-4C5B-A9C5-F7653091E487}"/>
    <cellStyle name="Accent3 2 11" xfId="4293" xr:uid="{00000000-0005-0000-0000-0000C5100000}"/>
    <cellStyle name="Accent3 2 11 2" xfId="32979" xr:uid="{C6AE3A2C-0346-4EF5-968F-E3998A8951FE}"/>
    <cellStyle name="Accent3 2 12" xfId="4294" xr:uid="{00000000-0005-0000-0000-0000C6100000}"/>
    <cellStyle name="Accent3 2 2" xfId="4295" xr:uid="{00000000-0005-0000-0000-0000C7100000}"/>
    <cellStyle name="Accent3 2 2 2" xfId="4296" xr:uid="{00000000-0005-0000-0000-0000C8100000}"/>
    <cellStyle name="Accent3 2 2 2 2" xfId="4297" xr:uid="{00000000-0005-0000-0000-0000C9100000}"/>
    <cellStyle name="Accent3 2 2 3" xfId="4298" xr:uid="{00000000-0005-0000-0000-0000CA100000}"/>
    <cellStyle name="Accent3 2 2 3 2" xfId="4299" xr:uid="{00000000-0005-0000-0000-0000CB100000}"/>
    <cellStyle name="Accent3 2 2 3 2 2" xfId="4300" xr:uid="{00000000-0005-0000-0000-0000CC100000}"/>
    <cellStyle name="Accent3 2 2 3 3" xfId="4301" xr:uid="{00000000-0005-0000-0000-0000CD100000}"/>
    <cellStyle name="Accent3 2 2 4" xfId="4302" xr:uid="{00000000-0005-0000-0000-0000CE100000}"/>
    <cellStyle name="Accent3 2 3" xfId="4303" xr:uid="{00000000-0005-0000-0000-0000CF100000}"/>
    <cellStyle name="Accent3 2 3 2" xfId="4304" xr:uid="{00000000-0005-0000-0000-0000D0100000}"/>
    <cellStyle name="Accent3 2 3 2 2" xfId="4305" xr:uid="{00000000-0005-0000-0000-0000D1100000}"/>
    <cellStyle name="Accent3 2 3 2 2 2" xfId="32982" xr:uid="{04BC5915-19DC-4969-BCFF-F5521F0817C7}"/>
    <cellStyle name="Accent3 2 3 2 3" xfId="32981" xr:uid="{A2EAA3FE-67BB-4D5F-8700-C243CB6B674C}"/>
    <cellStyle name="Accent3 2 3 3" xfId="4306" xr:uid="{00000000-0005-0000-0000-0000D2100000}"/>
    <cellStyle name="Accent3 2 3 3 2" xfId="4307" xr:uid="{00000000-0005-0000-0000-0000D3100000}"/>
    <cellStyle name="Accent3 2 3 3 2 2" xfId="4308" xr:uid="{00000000-0005-0000-0000-0000D4100000}"/>
    <cellStyle name="Accent3 2 3 3 2 2 2" xfId="32985" xr:uid="{C3E96C4E-5A3A-487A-ACE1-977CC1C5E094}"/>
    <cellStyle name="Accent3 2 3 3 2 3" xfId="32984" xr:uid="{D87A0C10-340D-48A5-9B5C-377654930C60}"/>
    <cellStyle name="Accent3 2 3 3 3" xfId="4309" xr:uid="{00000000-0005-0000-0000-0000D5100000}"/>
    <cellStyle name="Accent3 2 3 3 3 2" xfId="32986" xr:uid="{3E089B3B-CB1A-482E-9C0F-F0EE6BF27785}"/>
    <cellStyle name="Accent3 2 3 3 4" xfId="32983" xr:uid="{CF73F5FC-1B2C-456E-A519-98E35E7E354F}"/>
    <cellStyle name="Accent3 2 3 4" xfId="4310" xr:uid="{00000000-0005-0000-0000-0000D6100000}"/>
    <cellStyle name="Accent3 2 3 4 2" xfId="32987" xr:uid="{56B59C42-FC84-48A2-9415-135D18EEF4DA}"/>
    <cellStyle name="Accent3 2 3 5" xfId="32980" xr:uid="{96EF76EC-F5BD-42E3-8E33-36CDF1C1D781}"/>
    <cellStyle name="Accent3 2 4" xfId="4311" xr:uid="{00000000-0005-0000-0000-0000D7100000}"/>
    <cellStyle name="Accent3 2 4 2" xfId="4312" xr:uid="{00000000-0005-0000-0000-0000D8100000}"/>
    <cellStyle name="Accent3 2 4 2 2" xfId="4313" xr:uid="{00000000-0005-0000-0000-0000D9100000}"/>
    <cellStyle name="Accent3 2 4 2 2 2" xfId="32990" xr:uid="{5881CB10-32A9-4AEA-A370-3C9AE4DB6F3B}"/>
    <cellStyle name="Accent3 2 4 2 3" xfId="32989" xr:uid="{95522CEA-DA84-4637-AA30-5D85FBB6817B}"/>
    <cellStyle name="Accent3 2 4 3" xfId="4314" xr:uid="{00000000-0005-0000-0000-0000DA100000}"/>
    <cellStyle name="Accent3 2 4 3 2" xfId="32991" xr:uid="{33A5918A-3993-4A6F-A78E-8AFAB90F0238}"/>
    <cellStyle name="Accent3 2 4 4" xfId="32988" xr:uid="{516D4ABE-9D4D-4F28-BABF-5A8B7EC51D30}"/>
    <cellStyle name="Accent3 2 5" xfId="4315" xr:uid="{00000000-0005-0000-0000-0000DB100000}"/>
    <cellStyle name="Accent3 2 5 2" xfId="4316" xr:uid="{00000000-0005-0000-0000-0000DC100000}"/>
    <cellStyle name="Accent3 2 5 2 2" xfId="4317" xr:uid="{00000000-0005-0000-0000-0000DD100000}"/>
    <cellStyle name="Accent3 2 5 2 2 2" xfId="32994" xr:uid="{E9972D7C-3A0F-4F97-807C-F6D02915D533}"/>
    <cellStyle name="Accent3 2 5 2 3" xfId="32993" xr:uid="{AEC8F976-489B-4B13-882A-12982C5E78CC}"/>
    <cellStyle name="Accent3 2 5 3" xfId="4318" xr:uid="{00000000-0005-0000-0000-0000DE100000}"/>
    <cellStyle name="Accent3 2 5 3 2" xfId="4319" xr:uid="{00000000-0005-0000-0000-0000DF100000}"/>
    <cellStyle name="Accent3 2 5 3 2 2" xfId="4320" xr:uid="{00000000-0005-0000-0000-0000E0100000}"/>
    <cellStyle name="Accent3 2 5 3 2 2 2" xfId="32997" xr:uid="{856E9AC5-8D65-4970-B5BF-43FB22040CB6}"/>
    <cellStyle name="Accent3 2 5 3 2 3" xfId="32996" xr:uid="{62A4A8C0-3988-4D88-B0CD-661C2DE1A931}"/>
    <cellStyle name="Accent3 2 5 3 3" xfId="4321" xr:uid="{00000000-0005-0000-0000-0000E1100000}"/>
    <cellStyle name="Accent3 2 5 3 3 2" xfId="32998" xr:uid="{4B6277D6-C98C-45D8-882E-E3758F10A445}"/>
    <cellStyle name="Accent3 2 5 3 4" xfId="32995" xr:uid="{6F113BE2-6E5E-480E-9DBE-0F6CD0EE43BD}"/>
    <cellStyle name="Accent3 2 5 4" xfId="4322" xr:uid="{00000000-0005-0000-0000-0000E2100000}"/>
    <cellStyle name="Accent3 2 5 4 2" xfId="32999" xr:uid="{BAAF443C-4DB9-4454-9D1A-96716DEAA221}"/>
    <cellStyle name="Accent3 2 5 5" xfId="32992" xr:uid="{363A0C84-A250-47F2-BC87-CD7AABC3A688}"/>
    <cellStyle name="Accent3 2 6" xfId="4323" xr:uid="{00000000-0005-0000-0000-0000E3100000}"/>
    <cellStyle name="Accent3 2 6 2" xfId="4324" xr:uid="{00000000-0005-0000-0000-0000E4100000}"/>
    <cellStyle name="Accent3 2 6 2 2" xfId="4325" xr:uid="{00000000-0005-0000-0000-0000E5100000}"/>
    <cellStyle name="Accent3 2 6 2 2 2" xfId="33001" xr:uid="{1B6859BC-B21D-4664-A172-007B599FDB97}"/>
    <cellStyle name="Accent3 2 6 2 3" xfId="33000" xr:uid="{A16626BE-4757-47BA-8BCB-5C8897551A04}"/>
    <cellStyle name="Accent3 2 6 3" xfId="4326" xr:uid="{00000000-0005-0000-0000-0000E6100000}"/>
    <cellStyle name="Accent3 2 6 3 2" xfId="4327" xr:uid="{00000000-0005-0000-0000-0000E7100000}"/>
    <cellStyle name="Accent3 2 6 4" xfId="4328" xr:uid="{00000000-0005-0000-0000-0000E8100000}"/>
    <cellStyle name="Accent3 2 7" xfId="4329" xr:uid="{00000000-0005-0000-0000-0000E9100000}"/>
    <cellStyle name="Accent3 2 7 2" xfId="4330" xr:uid="{00000000-0005-0000-0000-0000EA100000}"/>
    <cellStyle name="Accent3 2 7 2 2" xfId="33003" xr:uid="{511F7E4D-8DDF-4D71-A9C3-5863F8A7FD99}"/>
    <cellStyle name="Accent3 2 7 3" xfId="33002" xr:uid="{597A5F44-D901-4954-81CF-1F506E300CB1}"/>
    <cellStyle name="Accent3 2 8" xfId="4331" xr:uid="{00000000-0005-0000-0000-0000EB100000}"/>
    <cellStyle name="Accent3 2 8 2" xfId="4332" xr:uid="{00000000-0005-0000-0000-0000EC100000}"/>
    <cellStyle name="Accent3 2 8 2 2" xfId="4333" xr:uid="{00000000-0005-0000-0000-0000ED100000}"/>
    <cellStyle name="Accent3 2 8 2 2 2" xfId="33006" xr:uid="{1A7E899B-3265-42BA-836B-D0D3E5A68286}"/>
    <cellStyle name="Accent3 2 8 2 3" xfId="33005" xr:uid="{3B8F2E23-92C4-4688-B34B-0EE3A649CD3C}"/>
    <cellStyle name="Accent3 2 8 3" xfId="4334" xr:uid="{00000000-0005-0000-0000-0000EE100000}"/>
    <cellStyle name="Accent3 2 8 3 2" xfId="33007" xr:uid="{B5806D57-EE9E-4182-9B03-3D090A566129}"/>
    <cellStyle name="Accent3 2 8 4" xfId="33004" xr:uid="{57C09951-76AA-4EAB-A86D-DB514FAAA111}"/>
    <cellStyle name="Accent3 2 9" xfId="4335" xr:uid="{00000000-0005-0000-0000-0000EF100000}"/>
    <cellStyle name="Accent3 2 9 2" xfId="4336" xr:uid="{00000000-0005-0000-0000-0000F0100000}"/>
    <cellStyle name="Accent3 2 9 2 2" xfId="4337" xr:uid="{00000000-0005-0000-0000-0000F1100000}"/>
    <cellStyle name="Accent3 2 9 2 2 2" xfId="33010" xr:uid="{44BFEBBC-5763-417D-B254-F97C39EBC65B}"/>
    <cellStyle name="Accent3 2 9 2 3" xfId="33009" xr:uid="{1AC4E028-7440-46FE-BE0D-D61B7E77DA13}"/>
    <cellStyle name="Accent3 2 9 3" xfId="4338" xr:uid="{00000000-0005-0000-0000-0000F2100000}"/>
    <cellStyle name="Accent3 2 9 3 2" xfId="33011" xr:uid="{4068F1F1-FA5A-48D0-9745-B3A02E2F48A8}"/>
    <cellStyle name="Accent3 2 9 4" xfId="33008" xr:uid="{ABFCD15D-AFF0-4F26-BB4F-FE18C88265D6}"/>
    <cellStyle name="Accent3 20" xfId="4339" xr:uid="{00000000-0005-0000-0000-0000F3100000}"/>
    <cellStyle name="Accent3 20 2" xfId="4340" xr:uid="{00000000-0005-0000-0000-0000F4100000}"/>
    <cellStyle name="Accent3 20 2 2" xfId="4341" xr:uid="{00000000-0005-0000-0000-0000F5100000}"/>
    <cellStyle name="Accent3 20 2 2 2" xfId="33014" xr:uid="{44525625-639D-4EF8-A4AE-586BEC70190A}"/>
    <cellStyle name="Accent3 20 2 3" xfId="33013" xr:uid="{BDE1E50D-9999-4787-8B3B-F540A92FF4FA}"/>
    <cellStyle name="Accent3 20 3" xfId="4342" xr:uid="{00000000-0005-0000-0000-0000F6100000}"/>
    <cellStyle name="Accent3 20 3 2" xfId="33015" xr:uid="{4614D8B8-AB3E-41F9-8162-EFBEE80B81FD}"/>
    <cellStyle name="Accent3 20 4" xfId="33012" xr:uid="{879CB686-581C-42C3-9569-5CF8B07BF3CD}"/>
    <cellStyle name="Accent3 21" xfId="4343" xr:uid="{00000000-0005-0000-0000-0000F7100000}"/>
    <cellStyle name="Accent3 21 2" xfId="4344" xr:uid="{00000000-0005-0000-0000-0000F8100000}"/>
    <cellStyle name="Accent3 21 2 2" xfId="4345" xr:uid="{00000000-0005-0000-0000-0000F9100000}"/>
    <cellStyle name="Accent3 21 2 2 2" xfId="33018" xr:uid="{0CDE62C5-D97C-494A-810B-C43D65DAAA0A}"/>
    <cellStyle name="Accent3 21 2 3" xfId="33017" xr:uid="{30A2B2D7-2A76-4CFF-9A85-D6BA69FEDAEF}"/>
    <cellStyle name="Accent3 21 3" xfId="4346" xr:uid="{00000000-0005-0000-0000-0000FA100000}"/>
    <cellStyle name="Accent3 21 3 2" xfId="33019" xr:uid="{E8707911-F8C0-46E2-92FD-D3E6B98D96C7}"/>
    <cellStyle name="Accent3 21 4" xfId="33016" xr:uid="{4A3883F5-0F53-4ECA-9E93-8D1126A6B57D}"/>
    <cellStyle name="Accent3 22" xfId="4347" xr:uid="{00000000-0005-0000-0000-0000FB100000}"/>
    <cellStyle name="Accent3 22 2" xfId="4348" xr:uid="{00000000-0005-0000-0000-0000FC100000}"/>
    <cellStyle name="Accent3 22 2 2" xfId="4349" xr:uid="{00000000-0005-0000-0000-0000FD100000}"/>
    <cellStyle name="Accent3 22 2 2 2" xfId="33022" xr:uid="{33D3ECB7-E136-4745-ACFA-2634B2D8E126}"/>
    <cellStyle name="Accent3 22 2 3" xfId="33021" xr:uid="{EA7BE15C-19C2-45A6-B195-14FF2E3456BC}"/>
    <cellStyle name="Accent3 22 3" xfId="4350" xr:uid="{00000000-0005-0000-0000-0000FE100000}"/>
    <cellStyle name="Accent3 22 3 2" xfId="33023" xr:uid="{DA72BB43-584B-4A91-8336-4C141EEBA98D}"/>
    <cellStyle name="Accent3 22 4" xfId="33020" xr:uid="{2587063C-56FF-4E9B-9749-FEB9F3CEBD9A}"/>
    <cellStyle name="Accent3 23" xfId="4351" xr:uid="{00000000-0005-0000-0000-0000FF100000}"/>
    <cellStyle name="Accent3 23 2" xfId="4352" xr:uid="{00000000-0005-0000-0000-000000110000}"/>
    <cellStyle name="Accent3 23 2 2" xfId="4353" xr:uid="{00000000-0005-0000-0000-000001110000}"/>
    <cellStyle name="Accent3 23 2 2 2" xfId="33026" xr:uid="{1E044AF4-2E1F-4B0D-9489-C8CB18D9F1EA}"/>
    <cellStyle name="Accent3 23 2 3" xfId="33025" xr:uid="{546CC130-ADF6-4273-ABAD-66E32879A5AB}"/>
    <cellStyle name="Accent3 23 3" xfId="4354" xr:uid="{00000000-0005-0000-0000-000002110000}"/>
    <cellStyle name="Accent3 23 3 2" xfId="33027" xr:uid="{53C7F8FC-1754-45AC-A3D7-49CA92897A45}"/>
    <cellStyle name="Accent3 23 4" xfId="33024" xr:uid="{DE9379B1-7CFC-42BC-AEA9-E87550E33036}"/>
    <cellStyle name="Accent3 24" xfId="4355" xr:uid="{00000000-0005-0000-0000-000003110000}"/>
    <cellStyle name="Accent3 24 2" xfId="4356" xr:uid="{00000000-0005-0000-0000-000004110000}"/>
    <cellStyle name="Accent3 24 2 2" xfId="4357" xr:uid="{00000000-0005-0000-0000-000005110000}"/>
    <cellStyle name="Accent3 24 2 2 2" xfId="33030" xr:uid="{E59A0E27-46F5-43EC-966F-E763E33556F5}"/>
    <cellStyle name="Accent3 24 2 3" xfId="33029" xr:uid="{7E7C7C4A-AE38-4E46-ACCD-42001323A330}"/>
    <cellStyle name="Accent3 24 3" xfId="4358" xr:uid="{00000000-0005-0000-0000-000006110000}"/>
    <cellStyle name="Accent3 24 3 2" xfId="33031" xr:uid="{44592262-2781-46B3-8E35-3EC86668D9AC}"/>
    <cellStyle name="Accent3 24 4" xfId="33028" xr:uid="{34C8C1A9-F7D7-4FAF-B4C2-14BF63AE3984}"/>
    <cellStyle name="Accent3 25" xfId="4359" xr:uid="{00000000-0005-0000-0000-000007110000}"/>
    <cellStyle name="Accent3 25 2" xfId="4360" xr:uid="{00000000-0005-0000-0000-000008110000}"/>
    <cellStyle name="Accent3 25 2 2" xfId="4361" xr:uid="{00000000-0005-0000-0000-000009110000}"/>
    <cellStyle name="Accent3 25 2 2 2" xfId="33034" xr:uid="{687FE546-3ABE-41CF-AEB4-EC5901B1666C}"/>
    <cellStyle name="Accent3 25 2 3" xfId="33033" xr:uid="{75C792AF-310E-45B8-B4B5-F08F285EF221}"/>
    <cellStyle name="Accent3 25 3" xfId="4362" xr:uid="{00000000-0005-0000-0000-00000A110000}"/>
    <cellStyle name="Accent3 25 3 2" xfId="33035" xr:uid="{5FDB1837-7645-4E34-8A0F-C1AC75E447A4}"/>
    <cellStyle name="Accent3 25 4" xfId="33032" xr:uid="{3C65BC92-B83C-4507-BAE9-12311AC6C039}"/>
    <cellStyle name="Accent3 26" xfId="4363" xr:uid="{00000000-0005-0000-0000-00000B110000}"/>
    <cellStyle name="Accent3 26 2" xfId="4364" xr:uid="{00000000-0005-0000-0000-00000C110000}"/>
    <cellStyle name="Accent3 26 2 2" xfId="4365" xr:uid="{00000000-0005-0000-0000-00000D110000}"/>
    <cellStyle name="Accent3 26 2 2 2" xfId="33038" xr:uid="{88F5723A-D7B4-4978-BBFA-F3630CE130F9}"/>
    <cellStyle name="Accent3 26 2 3" xfId="33037" xr:uid="{F9429AC2-8A97-4203-A099-1FE20E760BB3}"/>
    <cellStyle name="Accent3 26 3" xfId="4366" xr:uid="{00000000-0005-0000-0000-00000E110000}"/>
    <cellStyle name="Accent3 26 3 2" xfId="33039" xr:uid="{E6A50822-E22A-4A52-AA5D-A51E69A06A88}"/>
    <cellStyle name="Accent3 26 4" xfId="33036" xr:uid="{A4FFB12C-EB6A-4B33-A7BA-625AE37F32CE}"/>
    <cellStyle name="Accent3 27" xfId="4367" xr:uid="{00000000-0005-0000-0000-00000F110000}"/>
    <cellStyle name="Accent3 27 2" xfId="4368" xr:uid="{00000000-0005-0000-0000-000010110000}"/>
    <cellStyle name="Accent3 27 2 2" xfId="4369" xr:uid="{00000000-0005-0000-0000-000011110000}"/>
    <cellStyle name="Accent3 27 2 2 2" xfId="33042" xr:uid="{39B7190F-FE48-495C-97F5-4AA6D1B9829E}"/>
    <cellStyle name="Accent3 27 2 3" xfId="33041" xr:uid="{9AC7B551-C515-40CC-83FE-C3F3C7618C73}"/>
    <cellStyle name="Accent3 27 3" xfId="4370" xr:uid="{00000000-0005-0000-0000-000012110000}"/>
    <cellStyle name="Accent3 27 3 2" xfId="33043" xr:uid="{9E5142E4-DF23-4EF3-A9F8-91779D031E47}"/>
    <cellStyle name="Accent3 27 4" xfId="33040" xr:uid="{7383D8BF-061B-481A-81D3-B9FA099657F8}"/>
    <cellStyle name="Accent3 28" xfId="4371" xr:uid="{00000000-0005-0000-0000-000013110000}"/>
    <cellStyle name="Accent3 28 2" xfId="4372" xr:uid="{00000000-0005-0000-0000-000014110000}"/>
    <cellStyle name="Accent3 28 2 2" xfId="4373" xr:uid="{00000000-0005-0000-0000-000015110000}"/>
    <cellStyle name="Accent3 28 2 2 2" xfId="33046" xr:uid="{2F971E05-A7E9-4C83-9D04-957F3EC27E45}"/>
    <cellStyle name="Accent3 28 2 3" xfId="33045" xr:uid="{016461BC-244F-4CA6-AD4D-46CA276013D1}"/>
    <cellStyle name="Accent3 28 3" xfId="4374" xr:uid="{00000000-0005-0000-0000-000016110000}"/>
    <cellStyle name="Accent3 28 3 2" xfId="33047" xr:uid="{F35A8DBA-F2CC-4CF1-89FA-77A9B7415D34}"/>
    <cellStyle name="Accent3 28 4" xfId="33044" xr:uid="{6553ED99-D517-47B4-AF01-78B8E8A2A4E6}"/>
    <cellStyle name="Accent3 29" xfId="4375" xr:uid="{00000000-0005-0000-0000-000017110000}"/>
    <cellStyle name="Accent3 29 2" xfId="4376" xr:uid="{00000000-0005-0000-0000-000018110000}"/>
    <cellStyle name="Accent3 29 2 2" xfId="4377" xr:uid="{00000000-0005-0000-0000-000019110000}"/>
    <cellStyle name="Accent3 29 2 2 2" xfId="33050" xr:uid="{63A2CB80-631D-42CF-BB18-69E821CEDA66}"/>
    <cellStyle name="Accent3 29 2 3" xfId="33049" xr:uid="{D30BE95C-7E5B-4594-B682-60DAE8FCED25}"/>
    <cellStyle name="Accent3 29 3" xfId="4378" xr:uid="{00000000-0005-0000-0000-00001A110000}"/>
    <cellStyle name="Accent3 29 3 2" xfId="33051" xr:uid="{4AC09669-C6A6-4FC9-A63F-BE95B29874DA}"/>
    <cellStyle name="Accent3 29 4" xfId="33048" xr:uid="{B5AC6F11-3EE7-462E-B04B-A39C4CAF6018}"/>
    <cellStyle name="Accent3 3" xfId="4379" xr:uid="{00000000-0005-0000-0000-00001B110000}"/>
    <cellStyle name="Accent3 3 10" xfId="4380" xr:uid="{00000000-0005-0000-0000-00001C110000}"/>
    <cellStyle name="Accent3 3 10 2" xfId="4381" xr:uid="{00000000-0005-0000-0000-00001D110000}"/>
    <cellStyle name="Accent3 3 10 2 2" xfId="4382" xr:uid="{00000000-0005-0000-0000-00001E110000}"/>
    <cellStyle name="Accent3 3 10 2 2 2" xfId="33054" xr:uid="{3436AC02-B4C7-4D05-80EA-4E3503A0C48F}"/>
    <cellStyle name="Accent3 3 10 2 3" xfId="33053" xr:uid="{DD8D3708-3F7C-467F-BFD3-295FC5DCF975}"/>
    <cellStyle name="Accent3 3 10 3" xfId="4383" xr:uid="{00000000-0005-0000-0000-00001F110000}"/>
    <cellStyle name="Accent3 3 10 3 2" xfId="33055" xr:uid="{E7E35222-81B0-44F1-BF24-33453B246181}"/>
    <cellStyle name="Accent3 3 10 4" xfId="33052" xr:uid="{B0612939-6AC4-4B43-AFA3-B5C312E6513A}"/>
    <cellStyle name="Accent3 3 11" xfId="4384" xr:uid="{00000000-0005-0000-0000-000020110000}"/>
    <cellStyle name="Accent3 3 11 2" xfId="4385" xr:uid="{00000000-0005-0000-0000-000021110000}"/>
    <cellStyle name="Accent3 3 11 2 2" xfId="33057" xr:uid="{9015A3EB-5498-4171-ADD8-14212CD8E3BC}"/>
    <cellStyle name="Accent3 3 11 3" xfId="33056" xr:uid="{97DD5993-4D00-425C-BC5E-EFDF7F7E3CAF}"/>
    <cellStyle name="Accent3 3 12" xfId="4386" xr:uid="{00000000-0005-0000-0000-000022110000}"/>
    <cellStyle name="Accent3 3 12 2" xfId="33058" xr:uid="{B8DDD69A-3574-4BFA-8E52-1D02AF652B60}"/>
    <cellStyle name="Accent3 3 2" xfId="4387" xr:uid="{00000000-0005-0000-0000-000023110000}"/>
    <cellStyle name="Accent3 3 2 2" xfId="4388" xr:uid="{00000000-0005-0000-0000-000024110000}"/>
    <cellStyle name="Accent3 3 2 2 2" xfId="4389" xr:uid="{00000000-0005-0000-0000-000025110000}"/>
    <cellStyle name="Accent3 3 2 3" xfId="4390" xr:uid="{00000000-0005-0000-0000-000026110000}"/>
    <cellStyle name="Accent3 3 2 3 2" xfId="4391" xr:uid="{00000000-0005-0000-0000-000027110000}"/>
    <cellStyle name="Accent3 3 2 3 2 2" xfId="4392" xr:uid="{00000000-0005-0000-0000-000028110000}"/>
    <cellStyle name="Accent3 3 2 3 3" xfId="4393" xr:uid="{00000000-0005-0000-0000-000029110000}"/>
    <cellStyle name="Accent3 3 2 4" xfId="4394" xr:uid="{00000000-0005-0000-0000-00002A110000}"/>
    <cellStyle name="Accent3 3 3" xfId="4395" xr:uid="{00000000-0005-0000-0000-00002B110000}"/>
    <cellStyle name="Accent3 3 3 2" xfId="4396" xr:uid="{00000000-0005-0000-0000-00002C110000}"/>
    <cellStyle name="Accent3 3 3 2 2" xfId="4397" xr:uid="{00000000-0005-0000-0000-00002D110000}"/>
    <cellStyle name="Accent3 3 3 2 2 2" xfId="33061" xr:uid="{218D3695-A607-4EB4-8275-393197B33574}"/>
    <cellStyle name="Accent3 3 3 2 3" xfId="33060" xr:uid="{0296DBDC-3460-4CB3-AF34-BEEF0384E1C4}"/>
    <cellStyle name="Accent3 3 3 3" xfId="4398" xr:uid="{00000000-0005-0000-0000-00002E110000}"/>
    <cellStyle name="Accent3 3 3 3 2" xfId="4399" xr:uid="{00000000-0005-0000-0000-00002F110000}"/>
    <cellStyle name="Accent3 3 3 3 2 2" xfId="4400" xr:uid="{00000000-0005-0000-0000-000030110000}"/>
    <cellStyle name="Accent3 3 3 3 2 2 2" xfId="33064" xr:uid="{7B477272-00FE-4932-988A-0C45329C7C4E}"/>
    <cellStyle name="Accent3 3 3 3 2 3" xfId="33063" xr:uid="{884BC5D1-2ADD-46F6-96CD-158011A7DA40}"/>
    <cellStyle name="Accent3 3 3 3 3" xfId="4401" xr:uid="{00000000-0005-0000-0000-000031110000}"/>
    <cellStyle name="Accent3 3 3 3 3 2" xfId="33065" xr:uid="{3587D6E8-6D22-4BFE-8EC5-BB00DB2ACF86}"/>
    <cellStyle name="Accent3 3 3 3 4" xfId="33062" xr:uid="{C38350FD-5541-4A09-8F0E-00F0E68C8FBD}"/>
    <cellStyle name="Accent3 3 3 4" xfId="4402" xr:uid="{00000000-0005-0000-0000-000032110000}"/>
    <cellStyle name="Accent3 3 3 4 2" xfId="33066" xr:uid="{6B8ECC34-7D40-4567-B197-6CAD983DDF3F}"/>
    <cellStyle name="Accent3 3 3 5" xfId="33059" xr:uid="{16CCE6AB-BE56-486E-AB07-212B5839D832}"/>
    <cellStyle name="Accent3 3 4" xfId="4403" xr:uid="{00000000-0005-0000-0000-000033110000}"/>
    <cellStyle name="Accent3 3 4 2" xfId="4404" xr:uid="{00000000-0005-0000-0000-000034110000}"/>
    <cellStyle name="Accent3 3 4 2 2" xfId="4405" xr:uid="{00000000-0005-0000-0000-000035110000}"/>
    <cellStyle name="Accent3 3 4 2 2 2" xfId="33069" xr:uid="{2A9B35A6-EA5A-47C5-8A43-F7B183C6B09F}"/>
    <cellStyle name="Accent3 3 4 2 3" xfId="33068" xr:uid="{FB0CDEAC-826B-4E37-A925-D4C4B024005E}"/>
    <cellStyle name="Accent3 3 4 3" xfId="4406" xr:uid="{00000000-0005-0000-0000-000036110000}"/>
    <cellStyle name="Accent3 3 4 3 2" xfId="33070" xr:uid="{E5E8DBF0-62DC-4E73-96C5-0B3E5C2E0F5B}"/>
    <cellStyle name="Accent3 3 4 4" xfId="33067" xr:uid="{62C84AAB-6F8C-4752-843D-A8A8B09BA5F2}"/>
    <cellStyle name="Accent3 3 5" xfId="4407" xr:uid="{00000000-0005-0000-0000-000037110000}"/>
    <cellStyle name="Accent3 3 5 2" xfId="4408" xr:uid="{00000000-0005-0000-0000-000038110000}"/>
    <cellStyle name="Accent3 3 5 2 2" xfId="4409" xr:uid="{00000000-0005-0000-0000-000039110000}"/>
    <cellStyle name="Accent3 3 5 2 2 2" xfId="33073" xr:uid="{95FBDD94-6E84-4D46-BE70-5A5B1C669C6C}"/>
    <cellStyle name="Accent3 3 5 2 3" xfId="33072" xr:uid="{0D6C37D8-5650-4806-AD79-7206B90C227B}"/>
    <cellStyle name="Accent3 3 5 3" xfId="4410" xr:uid="{00000000-0005-0000-0000-00003A110000}"/>
    <cellStyle name="Accent3 3 5 3 2" xfId="4411" xr:uid="{00000000-0005-0000-0000-00003B110000}"/>
    <cellStyle name="Accent3 3 5 3 2 2" xfId="4412" xr:uid="{00000000-0005-0000-0000-00003C110000}"/>
    <cellStyle name="Accent3 3 5 3 2 2 2" xfId="33076" xr:uid="{84266A1F-DFCE-4351-AE5C-1DA525E002A5}"/>
    <cellStyle name="Accent3 3 5 3 2 3" xfId="33075" xr:uid="{7068D47C-DDE6-49D8-96B3-979EA2087F22}"/>
    <cellStyle name="Accent3 3 5 3 3" xfId="4413" xr:uid="{00000000-0005-0000-0000-00003D110000}"/>
    <cellStyle name="Accent3 3 5 3 3 2" xfId="33077" xr:uid="{2BC2C8D3-2926-41E6-96E2-26ED6CAE5682}"/>
    <cellStyle name="Accent3 3 5 3 4" xfId="33074" xr:uid="{F9A020E5-D432-483F-B654-9E143C75D7D5}"/>
    <cellStyle name="Accent3 3 5 4" xfId="4414" xr:uid="{00000000-0005-0000-0000-00003E110000}"/>
    <cellStyle name="Accent3 3 5 4 2" xfId="33078" xr:uid="{6E05818B-D906-4235-BFE5-5491C3BE35C0}"/>
    <cellStyle name="Accent3 3 5 5" xfId="33071" xr:uid="{BF2CEAA2-B4B8-4AA7-BD91-AA1CCBB7C488}"/>
    <cellStyle name="Accent3 3 6" xfId="4415" xr:uid="{00000000-0005-0000-0000-00003F110000}"/>
    <cellStyle name="Accent3 3 6 2" xfId="4416" xr:uid="{00000000-0005-0000-0000-000040110000}"/>
    <cellStyle name="Accent3 3 6 2 2" xfId="33080" xr:uid="{11294F44-AFC4-49C8-92F3-30DDCE727E7E}"/>
    <cellStyle name="Accent3 3 6 3" xfId="33079" xr:uid="{33CC4934-A6F4-4C29-90F2-A5E4A3E7AED1}"/>
    <cellStyle name="Accent3 3 7" xfId="4417" xr:uid="{00000000-0005-0000-0000-000041110000}"/>
    <cellStyle name="Accent3 3 7 2" xfId="4418" xr:uid="{00000000-0005-0000-0000-000042110000}"/>
    <cellStyle name="Accent3 3 7 2 2" xfId="33082" xr:uid="{0DE96F2A-BA49-4E62-91D0-8FCDF9C6A952}"/>
    <cellStyle name="Accent3 3 7 3" xfId="33081" xr:uid="{FC79032A-AA6A-45DE-BE79-C563678BE161}"/>
    <cellStyle name="Accent3 3 8" xfId="4419" xr:uid="{00000000-0005-0000-0000-000043110000}"/>
    <cellStyle name="Accent3 3 8 2" xfId="4420" xr:uid="{00000000-0005-0000-0000-000044110000}"/>
    <cellStyle name="Accent3 3 8 2 2" xfId="4421" xr:uid="{00000000-0005-0000-0000-000045110000}"/>
    <cellStyle name="Accent3 3 8 2 2 2" xfId="33085" xr:uid="{E52AA747-D236-4D69-9CFE-914DA0FEF101}"/>
    <cellStyle name="Accent3 3 8 2 3" xfId="33084" xr:uid="{F4751838-019A-41CB-B81B-ECC117CB14B6}"/>
    <cellStyle name="Accent3 3 8 3" xfId="4422" xr:uid="{00000000-0005-0000-0000-000046110000}"/>
    <cellStyle name="Accent3 3 8 3 2" xfId="33086" xr:uid="{ACD452FA-0259-4C9F-B87B-62C8274E8B1F}"/>
    <cellStyle name="Accent3 3 8 4" xfId="33083" xr:uid="{8084F7E4-3A68-4C7C-A79F-E640623FF489}"/>
    <cellStyle name="Accent3 3 9" xfId="4423" xr:uid="{00000000-0005-0000-0000-000047110000}"/>
    <cellStyle name="Accent3 3 9 2" xfId="4424" xr:uid="{00000000-0005-0000-0000-000048110000}"/>
    <cellStyle name="Accent3 3 9 2 2" xfId="4425" xr:uid="{00000000-0005-0000-0000-000049110000}"/>
    <cellStyle name="Accent3 3 9 3" xfId="4426" xr:uid="{00000000-0005-0000-0000-00004A110000}"/>
    <cellStyle name="Accent3 30" xfId="4427" xr:uid="{00000000-0005-0000-0000-00004B110000}"/>
    <cellStyle name="Accent3 30 2" xfId="4428" xr:uid="{00000000-0005-0000-0000-00004C110000}"/>
    <cellStyle name="Accent3 30 2 2" xfId="4429" xr:uid="{00000000-0005-0000-0000-00004D110000}"/>
    <cellStyle name="Accent3 30 2 2 2" xfId="33089" xr:uid="{93B1825B-4364-42D0-9C6F-6351CA085101}"/>
    <cellStyle name="Accent3 30 2 3" xfId="33088" xr:uid="{33942667-C77C-45F1-8CA5-69E620A88961}"/>
    <cellStyle name="Accent3 30 3" xfId="4430" xr:uid="{00000000-0005-0000-0000-00004E110000}"/>
    <cellStyle name="Accent3 30 3 2" xfId="33090" xr:uid="{CBF844B8-A362-4D6C-BB2F-1A547F77A45F}"/>
    <cellStyle name="Accent3 30 4" xfId="33087" xr:uid="{5AF69358-F7AD-4D7D-A7C1-C63C9852970A}"/>
    <cellStyle name="Accent3 31" xfId="4431" xr:uid="{00000000-0005-0000-0000-00004F110000}"/>
    <cellStyle name="Accent3 31 2" xfId="4432" xr:uid="{00000000-0005-0000-0000-000050110000}"/>
    <cellStyle name="Accent3 31 2 2" xfId="4433" xr:uid="{00000000-0005-0000-0000-000051110000}"/>
    <cellStyle name="Accent3 31 2 2 2" xfId="33093" xr:uid="{D5A6AF39-CD27-487F-9D31-0EF76863EF59}"/>
    <cellStyle name="Accent3 31 2 3" xfId="33092" xr:uid="{344907CA-EEDA-4025-B8C3-610A75335C47}"/>
    <cellStyle name="Accent3 31 3" xfId="4434" xr:uid="{00000000-0005-0000-0000-000052110000}"/>
    <cellStyle name="Accent3 31 3 2" xfId="33094" xr:uid="{26C7D85F-A9AF-46F8-82CC-1ED8787C2C15}"/>
    <cellStyle name="Accent3 31 4" xfId="33091" xr:uid="{347B1A4F-5547-47E6-8BF2-CB0472D39F96}"/>
    <cellStyle name="Accent3 32" xfId="4435" xr:uid="{00000000-0005-0000-0000-000053110000}"/>
    <cellStyle name="Accent3 32 2" xfId="4436" xr:uid="{00000000-0005-0000-0000-000054110000}"/>
    <cellStyle name="Accent3 32 2 2" xfId="4437" xr:uid="{00000000-0005-0000-0000-000055110000}"/>
    <cellStyle name="Accent3 32 2 2 2" xfId="33097" xr:uid="{60A914C1-00F6-49B6-9E20-576A4393C023}"/>
    <cellStyle name="Accent3 32 2 3" xfId="33096" xr:uid="{C0F3CCDC-98D6-410D-9F37-7E1567A55DFA}"/>
    <cellStyle name="Accent3 32 3" xfId="4438" xr:uid="{00000000-0005-0000-0000-000056110000}"/>
    <cellStyle name="Accent3 32 3 2" xfId="33098" xr:uid="{AC8E3164-2B18-4FDA-AAB8-16A517C8DBDC}"/>
    <cellStyle name="Accent3 32 4" xfId="33095" xr:uid="{06838810-79E1-4483-A588-5E94AE377EF3}"/>
    <cellStyle name="Accent3 33" xfId="4439" xr:uid="{00000000-0005-0000-0000-000057110000}"/>
    <cellStyle name="Accent3 33 2" xfId="4440" xr:uid="{00000000-0005-0000-0000-000058110000}"/>
    <cellStyle name="Accent3 33 2 2" xfId="4441" xr:uid="{00000000-0005-0000-0000-000059110000}"/>
    <cellStyle name="Accent3 33 2 2 2" xfId="33101" xr:uid="{E00083DE-544E-4D9C-8487-FF8AADFD81AF}"/>
    <cellStyle name="Accent3 33 2 3" xfId="33100" xr:uid="{76630820-4C2A-4988-94FD-F3B5163ED4DE}"/>
    <cellStyle name="Accent3 33 3" xfId="4442" xr:uid="{00000000-0005-0000-0000-00005A110000}"/>
    <cellStyle name="Accent3 33 3 2" xfId="33102" xr:uid="{B8E4EE8A-61FA-46BB-B748-14B0F60CBF50}"/>
    <cellStyle name="Accent3 33 4" xfId="33099" xr:uid="{50B529E1-3DD4-42BC-8DD7-AA5E939D8397}"/>
    <cellStyle name="Accent3 34" xfId="4443" xr:uid="{00000000-0005-0000-0000-00005B110000}"/>
    <cellStyle name="Accent3 34 2" xfId="4444" xr:uid="{00000000-0005-0000-0000-00005C110000}"/>
    <cellStyle name="Accent3 34 2 2" xfId="4445" xr:uid="{00000000-0005-0000-0000-00005D110000}"/>
    <cellStyle name="Accent3 34 2 2 2" xfId="33105" xr:uid="{3AA15698-EA42-4F96-9F8F-94430B383ABD}"/>
    <cellStyle name="Accent3 34 2 3" xfId="33104" xr:uid="{8C00B345-41FC-475B-9F73-CDA2A31DAFB1}"/>
    <cellStyle name="Accent3 34 3" xfId="4446" xr:uid="{00000000-0005-0000-0000-00005E110000}"/>
    <cellStyle name="Accent3 34 3 2" xfId="33106" xr:uid="{53862302-C87F-4F1E-9731-CBC5D5F428CB}"/>
    <cellStyle name="Accent3 34 4" xfId="33103" xr:uid="{E78D5DB8-4376-44DE-A446-F03F84DFA8FF}"/>
    <cellStyle name="Accent3 35" xfId="4447" xr:uid="{00000000-0005-0000-0000-00005F110000}"/>
    <cellStyle name="Accent3 35 2" xfId="4448" xr:uid="{00000000-0005-0000-0000-000060110000}"/>
    <cellStyle name="Accent3 35 2 2" xfId="4449" xr:uid="{00000000-0005-0000-0000-000061110000}"/>
    <cellStyle name="Accent3 35 2 2 2" xfId="33109" xr:uid="{FF5E172E-7FC6-4BD2-8981-B568A1998668}"/>
    <cellStyle name="Accent3 35 2 3" xfId="33108" xr:uid="{75C1B85B-F751-480B-8BA1-9882169B2A9E}"/>
    <cellStyle name="Accent3 35 3" xfId="4450" xr:uid="{00000000-0005-0000-0000-000062110000}"/>
    <cellStyle name="Accent3 35 3 2" xfId="33110" xr:uid="{90AD1022-798E-4001-8D51-B445E9BE98ED}"/>
    <cellStyle name="Accent3 35 4" xfId="33107" xr:uid="{B47C5DD6-012D-44CD-BDFA-E5BAABD96241}"/>
    <cellStyle name="Accent3 36" xfId="4451" xr:uid="{00000000-0005-0000-0000-000063110000}"/>
    <cellStyle name="Accent3 36 2" xfId="4452" xr:uid="{00000000-0005-0000-0000-000064110000}"/>
    <cellStyle name="Accent3 36 2 2" xfId="4453" xr:uid="{00000000-0005-0000-0000-000065110000}"/>
    <cellStyle name="Accent3 36 2 2 2" xfId="33113" xr:uid="{76C9F661-852E-4CF5-8530-B0666D51F0D2}"/>
    <cellStyle name="Accent3 36 2 3" xfId="33112" xr:uid="{F2F0F93B-0206-4A60-9D73-F411FD2302DB}"/>
    <cellStyle name="Accent3 36 3" xfId="4454" xr:uid="{00000000-0005-0000-0000-000066110000}"/>
    <cellStyle name="Accent3 36 3 2" xfId="33114" xr:uid="{49F4CA9E-9728-4C43-9E7A-F38D19740074}"/>
    <cellStyle name="Accent3 36 4" xfId="33111" xr:uid="{B307956B-32CE-49F4-9ED3-7B667FE60B8D}"/>
    <cellStyle name="Accent3 37" xfId="4455" xr:uid="{00000000-0005-0000-0000-000067110000}"/>
    <cellStyle name="Accent3 37 2" xfId="4456" xr:uid="{00000000-0005-0000-0000-000068110000}"/>
    <cellStyle name="Accent3 37 2 2" xfId="4457" xr:uid="{00000000-0005-0000-0000-000069110000}"/>
    <cellStyle name="Accent3 37 2 2 2" xfId="33117" xr:uid="{5C819F67-43AF-44E3-A191-02CED386272D}"/>
    <cellStyle name="Accent3 37 2 3" xfId="33116" xr:uid="{95012B77-95A5-4A0A-B88F-A7E079F38B1B}"/>
    <cellStyle name="Accent3 37 3" xfId="4458" xr:uid="{00000000-0005-0000-0000-00006A110000}"/>
    <cellStyle name="Accent3 37 3 2" xfId="33118" xr:uid="{3CC21EE5-9AB3-4098-A1DB-3B7EC4DD115E}"/>
    <cellStyle name="Accent3 37 4" xfId="33115" xr:uid="{1C001B60-175D-4741-8F8F-D8FFBFA08A1C}"/>
    <cellStyle name="Accent3 38" xfId="4459" xr:uid="{00000000-0005-0000-0000-00006B110000}"/>
    <cellStyle name="Accent3 38 2" xfId="4460" xr:uid="{00000000-0005-0000-0000-00006C110000}"/>
    <cellStyle name="Accent3 38 2 2" xfId="4461" xr:uid="{00000000-0005-0000-0000-00006D110000}"/>
    <cellStyle name="Accent3 38 2 2 2" xfId="33121" xr:uid="{94B734A6-B2D7-43CB-93F7-3A392C0F3D97}"/>
    <cellStyle name="Accent3 38 2 3" xfId="33120" xr:uid="{E9151817-BAB9-469A-869A-88BACEF60A2F}"/>
    <cellStyle name="Accent3 38 3" xfId="4462" xr:uid="{00000000-0005-0000-0000-00006E110000}"/>
    <cellStyle name="Accent3 38 3 2" xfId="33122" xr:uid="{4DFEFB19-D676-409A-A90E-84C90C50EFB4}"/>
    <cellStyle name="Accent3 38 4" xfId="33119" xr:uid="{86E6F207-2455-4A4F-B613-876300528B0C}"/>
    <cellStyle name="Accent3 39" xfId="4463" xr:uid="{00000000-0005-0000-0000-00006F110000}"/>
    <cellStyle name="Accent3 39 2" xfId="4464" xr:uid="{00000000-0005-0000-0000-000070110000}"/>
    <cellStyle name="Accent3 39 2 2" xfId="4465" xr:uid="{00000000-0005-0000-0000-000071110000}"/>
    <cellStyle name="Accent3 39 2 2 2" xfId="33125" xr:uid="{C793606F-36A5-4D5F-9C4F-B3C6E70D24A5}"/>
    <cellStyle name="Accent3 39 2 3" xfId="33124" xr:uid="{42787E97-4903-4B89-8870-5224D53C6AC6}"/>
    <cellStyle name="Accent3 39 3" xfId="4466" xr:uid="{00000000-0005-0000-0000-000072110000}"/>
    <cellStyle name="Accent3 39 3 2" xfId="33126" xr:uid="{B07E95A3-AE99-410B-8FE0-50C411B1027A}"/>
    <cellStyle name="Accent3 39 4" xfId="33123" xr:uid="{7408C4DC-0862-45A9-8002-B67CD668C8B5}"/>
    <cellStyle name="Accent3 4" xfId="4467" xr:uid="{00000000-0005-0000-0000-000073110000}"/>
    <cellStyle name="Accent3 4 2" xfId="4468" xr:uid="{00000000-0005-0000-0000-000074110000}"/>
    <cellStyle name="Accent3 4 2 2" xfId="4469" xr:uid="{00000000-0005-0000-0000-000075110000}"/>
    <cellStyle name="Accent3 4 2 2 2" xfId="4470" xr:uid="{00000000-0005-0000-0000-000076110000}"/>
    <cellStyle name="Accent3 4 2 3" xfId="4471" xr:uid="{00000000-0005-0000-0000-000077110000}"/>
    <cellStyle name="Accent3 4 2 3 2" xfId="4472" xr:uid="{00000000-0005-0000-0000-000078110000}"/>
    <cellStyle name="Accent3 4 2 3 2 2" xfId="4473" xr:uid="{00000000-0005-0000-0000-000079110000}"/>
    <cellStyle name="Accent3 4 2 3 3" xfId="4474" xr:uid="{00000000-0005-0000-0000-00007A110000}"/>
    <cellStyle name="Accent3 4 2 4" xfId="4475" xr:uid="{00000000-0005-0000-0000-00007B110000}"/>
    <cellStyle name="Accent3 4 3" xfId="4476" xr:uid="{00000000-0005-0000-0000-00007C110000}"/>
    <cellStyle name="Accent3 4 3 2" xfId="4477" xr:uid="{00000000-0005-0000-0000-00007D110000}"/>
    <cellStyle name="Accent3 4 3 2 2" xfId="4478" xr:uid="{00000000-0005-0000-0000-00007E110000}"/>
    <cellStyle name="Accent3 4 3 2 2 2" xfId="33129" xr:uid="{EF441528-D5DC-4CB0-865F-9DCF706457AE}"/>
    <cellStyle name="Accent3 4 3 2 3" xfId="33128" xr:uid="{6082D580-5C38-466F-B6DC-A3BC5F5A3EE2}"/>
    <cellStyle name="Accent3 4 3 3" xfId="4479" xr:uid="{00000000-0005-0000-0000-00007F110000}"/>
    <cellStyle name="Accent3 4 3 3 2" xfId="4480" xr:uid="{00000000-0005-0000-0000-000080110000}"/>
    <cellStyle name="Accent3 4 3 3 2 2" xfId="4481" xr:uid="{00000000-0005-0000-0000-000081110000}"/>
    <cellStyle name="Accent3 4 3 3 2 2 2" xfId="33132" xr:uid="{03BF415C-90DE-41B3-92A4-9C9CB638668D}"/>
    <cellStyle name="Accent3 4 3 3 2 3" xfId="33131" xr:uid="{6EB924E3-94B1-4EAF-ABFE-3C85F12A69E3}"/>
    <cellStyle name="Accent3 4 3 3 3" xfId="4482" xr:uid="{00000000-0005-0000-0000-000082110000}"/>
    <cellStyle name="Accent3 4 3 3 3 2" xfId="33133" xr:uid="{A8DA4B84-29EC-40AF-8312-C713FC6465D0}"/>
    <cellStyle name="Accent3 4 3 3 4" xfId="33130" xr:uid="{EA3F1581-5F73-4857-B68C-9FE6CFF207B3}"/>
    <cellStyle name="Accent3 4 3 4" xfId="4483" xr:uid="{00000000-0005-0000-0000-000083110000}"/>
    <cellStyle name="Accent3 4 3 4 2" xfId="33134" xr:uid="{6FB213BC-3F5C-41F2-B4BC-5744579D357C}"/>
    <cellStyle name="Accent3 4 3 5" xfId="33127" xr:uid="{4EB901F3-9173-47CB-A56F-CF3064A4B5DA}"/>
    <cellStyle name="Accent3 4 4" xfId="4484" xr:uid="{00000000-0005-0000-0000-000084110000}"/>
    <cellStyle name="Accent3 4 4 2" xfId="4485" xr:uid="{00000000-0005-0000-0000-000085110000}"/>
    <cellStyle name="Accent3 4 4 2 2" xfId="4486" xr:uid="{00000000-0005-0000-0000-000086110000}"/>
    <cellStyle name="Accent3 4 4 2 2 2" xfId="33137" xr:uid="{94356819-BA21-4E0D-A6DD-B8811227A8F9}"/>
    <cellStyle name="Accent3 4 4 2 3" xfId="33136" xr:uid="{3D74EE34-0664-47A3-BC69-445FDB8FE17D}"/>
    <cellStyle name="Accent3 4 4 3" xfId="4487" xr:uid="{00000000-0005-0000-0000-000087110000}"/>
    <cellStyle name="Accent3 4 4 3 2" xfId="33138" xr:uid="{4E94C1CA-6592-4E31-9A8C-8BBF5C7ABC5D}"/>
    <cellStyle name="Accent3 4 4 4" xfId="33135" xr:uid="{8DCE220E-3EAE-4F42-9C71-229D766F54CB}"/>
    <cellStyle name="Accent3 4 5" xfId="4488" xr:uid="{00000000-0005-0000-0000-000088110000}"/>
    <cellStyle name="Accent3 4 5 2" xfId="4489" xr:uid="{00000000-0005-0000-0000-000089110000}"/>
    <cellStyle name="Accent3 4 5 2 2" xfId="33140" xr:uid="{2311E713-A3B8-464A-8083-13631A80D3B8}"/>
    <cellStyle name="Accent3 4 5 3" xfId="33139" xr:uid="{F0F8E096-FCC4-4B71-9B32-9F1BE1828928}"/>
    <cellStyle name="Accent3 4 6" xfId="4490" xr:uid="{00000000-0005-0000-0000-00008A110000}"/>
    <cellStyle name="Accent3 4 6 2" xfId="4491" xr:uid="{00000000-0005-0000-0000-00008B110000}"/>
    <cellStyle name="Accent3 4 6 2 2" xfId="4492" xr:uid="{00000000-0005-0000-0000-00008C110000}"/>
    <cellStyle name="Accent3 4 6 3" xfId="4493" xr:uid="{00000000-0005-0000-0000-00008D110000}"/>
    <cellStyle name="Accent3 4 7" xfId="4494" xr:uid="{00000000-0005-0000-0000-00008E110000}"/>
    <cellStyle name="Accent3 4 7 2" xfId="4495" xr:uid="{00000000-0005-0000-0000-00008F110000}"/>
    <cellStyle name="Accent3 4 7 2 2" xfId="4496" xr:uid="{00000000-0005-0000-0000-000090110000}"/>
    <cellStyle name="Accent3 4 7 2 2 2" xfId="33143" xr:uid="{752B4245-CA4C-4EFA-BCAB-C11FB58E7005}"/>
    <cellStyle name="Accent3 4 7 2 3" xfId="33142" xr:uid="{8A96310D-0F7D-40E0-9FC7-0C67637F8DFD}"/>
    <cellStyle name="Accent3 4 7 3" xfId="4497" xr:uid="{00000000-0005-0000-0000-000091110000}"/>
    <cellStyle name="Accent3 4 7 3 2" xfId="33144" xr:uid="{AAC1496F-08A1-4DDE-9053-13B73636E89D}"/>
    <cellStyle name="Accent3 4 7 4" xfId="33141" xr:uid="{987F370E-2711-4247-861A-E1E72A0538B4}"/>
    <cellStyle name="Accent3 4 8" xfId="4498" xr:uid="{00000000-0005-0000-0000-000092110000}"/>
    <cellStyle name="Accent3 4 8 2" xfId="33145" xr:uid="{46A182BE-98D5-401C-B4B2-A5FE622F23BC}"/>
    <cellStyle name="Accent3 40" xfId="4499" xr:uid="{00000000-0005-0000-0000-000093110000}"/>
    <cellStyle name="Accent3 40 2" xfId="4500" xr:uid="{00000000-0005-0000-0000-000094110000}"/>
    <cellStyle name="Accent3 40 2 2" xfId="4501" xr:uid="{00000000-0005-0000-0000-000095110000}"/>
    <cellStyle name="Accent3 40 2 2 2" xfId="33148" xr:uid="{8432CD58-2D3A-4CB7-BDCB-9311667D4028}"/>
    <cellStyle name="Accent3 40 2 3" xfId="33147" xr:uid="{4A4ADF24-FDA1-4E98-BF0A-A06B07DE54D2}"/>
    <cellStyle name="Accent3 40 3" xfId="4502" xr:uid="{00000000-0005-0000-0000-000096110000}"/>
    <cellStyle name="Accent3 40 3 2" xfId="33149" xr:uid="{1EFE91E9-0BBE-409C-B9EC-790B19F04F8A}"/>
    <cellStyle name="Accent3 40 4" xfId="33146" xr:uid="{BF015862-5D6C-426D-B8C9-92A645D0AE79}"/>
    <cellStyle name="Accent3 41" xfId="4503" xr:uid="{00000000-0005-0000-0000-000097110000}"/>
    <cellStyle name="Accent3 41 2" xfId="4504" xr:uid="{00000000-0005-0000-0000-000098110000}"/>
    <cellStyle name="Accent3 41 2 2" xfId="4505" xr:uid="{00000000-0005-0000-0000-000099110000}"/>
    <cellStyle name="Accent3 41 2 2 2" xfId="33152" xr:uid="{19BFB27B-D3F9-4814-BB33-44586B34D614}"/>
    <cellStyle name="Accent3 41 2 3" xfId="33151" xr:uid="{B2CC5A5F-900B-479B-9A56-857E76E7B20B}"/>
    <cellStyle name="Accent3 41 3" xfId="4506" xr:uid="{00000000-0005-0000-0000-00009A110000}"/>
    <cellStyle name="Accent3 41 3 2" xfId="33153" xr:uid="{4DFAD1C7-131C-408B-BE79-D170FFF82381}"/>
    <cellStyle name="Accent3 41 4" xfId="33150" xr:uid="{CA53EB3C-63BA-4B7A-BFA1-1C89804A153F}"/>
    <cellStyle name="Accent3 42" xfId="4507" xr:uid="{00000000-0005-0000-0000-00009B110000}"/>
    <cellStyle name="Accent3 42 2" xfId="4508" xr:uid="{00000000-0005-0000-0000-00009C110000}"/>
    <cellStyle name="Accent3 42 2 2" xfId="4509" xr:uid="{00000000-0005-0000-0000-00009D110000}"/>
    <cellStyle name="Accent3 42 2 2 2" xfId="33156" xr:uid="{33E611BC-33F0-432E-82FD-BECCD4F38F9D}"/>
    <cellStyle name="Accent3 42 2 3" xfId="33155" xr:uid="{E105A87F-749C-42A5-B500-3B33D2EFEB89}"/>
    <cellStyle name="Accent3 42 3" xfId="4510" xr:uid="{00000000-0005-0000-0000-00009E110000}"/>
    <cellStyle name="Accent3 42 3 2" xfId="33157" xr:uid="{815F4F16-9859-4F26-80DA-0E30694D17B8}"/>
    <cellStyle name="Accent3 42 4" xfId="33154" xr:uid="{9FBD334B-F6F7-49DC-B344-F7A0903CF961}"/>
    <cellStyle name="Accent3 43" xfId="4511" xr:uid="{00000000-0005-0000-0000-00009F110000}"/>
    <cellStyle name="Accent3 43 2" xfId="4512" xr:uid="{00000000-0005-0000-0000-0000A0110000}"/>
    <cellStyle name="Accent3 43 2 2" xfId="4513" xr:uid="{00000000-0005-0000-0000-0000A1110000}"/>
    <cellStyle name="Accent3 43 2 2 2" xfId="33160" xr:uid="{3E3E05CB-0C98-43B6-ACF6-AF6B80F5185F}"/>
    <cellStyle name="Accent3 43 2 3" xfId="33159" xr:uid="{CF5A3DFB-849A-4032-B122-0F224E69C0F3}"/>
    <cellStyle name="Accent3 43 3" xfId="4514" xr:uid="{00000000-0005-0000-0000-0000A2110000}"/>
    <cellStyle name="Accent3 43 3 2" xfId="33161" xr:uid="{4F5D2FB3-9746-4029-B9FD-03A73B579571}"/>
    <cellStyle name="Accent3 43 4" xfId="33158" xr:uid="{C93126C6-7792-4F97-ABF6-EE2DFEC836B8}"/>
    <cellStyle name="Accent3 44" xfId="4515" xr:uid="{00000000-0005-0000-0000-0000A3110000}"/>
    <cellStyle name="Accent3 44 2" xfId="4516" xr:uid="{00000000-0005-0000-0000-0000A4110000}"/>
    <cellStyle name="Accent3 44 2 2" xfId="4517" xr:uid="{00000000-0005-0000-0000-0000A5110000}"/>
    <cellStyle name="Accent3 44 2 2 2" xfId="33164" xr:uid="{355BFBB0-29F4-4E19-8F54-967E7B7AD9EF}"/>
    <cellStyle name="Accent3 44 2 3" xfId="33163" xr:uid="{29F033FA-F750-4E12-8D32-7327CDED2C72}"/>
    <cellStyle name="Accent3 44 3" xfId="4518" xr:uid="{00000000-0005-0000-0000-0000A6110000}"/>
    <cellStyle name="Accent3 44 3 2" xfId="33165" xr:uid="{12E6276D-735E-4EC0-BBBE-67FBEC0BBF0C}"/>
    <cellStyle name="Accent3 44 4" xfId="33162" xr:uid="{4E6D7E9E-FA7E-49A5-8653-46EDDE8D20BB}"/>
    <cellStyle name="Accent3 45" xfId="4519" xr:uid="{00000000-0005-0000-0000-0000A7110000}"/>
    <cellStyle name="Accent3 45 2" xfId="4520" xr:uid="{00000000-0005-0000-0000-0000A8110000}"/>
    <cellStyle name="Accent3 45 2 2" xfId="4521" xr:uid="{00000000-0005-0000-0000-0000A9110000}"/>
    <cellStyle name="Accent3 45 2 2 2" xfId="33168" xr:uid="{F0E2BFF8-68D6-495F-BE52-9121C828C55B}"/>
    <cellStyle name="Accent3 45 2 3" xfId="33167" xr:uid="{A83A8854-5F7F-42C4-85BE-882D99E9ACF3}"/>
    <cellStyle name="Accent3 45 3" xfId="4522" xr:uid="{00000000-0005-0000-0000-0000AA110000}"/>
    <cellStyle name="Accent3 45 3 2" xfId="33169" xr:uid="{4727855F-486C-4197-8452-6EA2D25C343C}"/>
    <cellStyle name="Accent3 45 4" xfId="33166" xr:uid="{1E500C43-A276-4496-A61F-25AC7B33F296}"/>
    <cellStyle name="Accent3 46" xfId="4523" xr:uid="{00000000-0005-0000-0000-0000AB110000}"/>
    <cellStyle name="Accent3 46 2" xfId="4524" xr:uid="{00000000-0005-0000-0000-0000AC110000}"/>
    <cellStyle name="Accent3 46 2 2" xfId="4525" xr:uid="{00000000-0005-0000-0000-0000AD110000}"/>
    <cellStyle name="Accent3 46 2 2 2" xfId="33172" xr:uid="{27874E44-FCEE-45E2-B481-D20400EB20F9}"/>
    <cellStyle name="Accent3 46 2 3" xfId="33171" xr:uid="{255286C6-3053-459C-BAD2-0ADC41B38A21}"/>
    <cellStyle name="Accent3 46 3" xfId="4526" xr:uid="{00000000-0005-0000-0000-0000AE110000}"/>
    <cellStyle name="Accent3 46 3 2" xfId="33173" xr:uid="{CFDDA671-6139-4436-A1A1-8242EC72D860}"/>
    <cellStyle name="Accent3 46 4" xfId="33170" xr:uid="{347B4D9C-43C1-4041-8AE7-768B78DB69E1}"/>
    <cellStyle name="Accent3 47" xfId="4527" xr:uid="{00000000-0005-0000-0000-0000AF110000}"/>
    <cellStyle name="Accent3 47 2" xfId="4528" xr:uid="{00000000-0005-0000-0000-0000B0110000}"/>
    <cellStyle name="Accent3 47 2 2" xfId="4529" xr:uid="{00000000-0005-0000-0000-0000B1110000}"/>
    <cellStyle name="Accent3 47 2 2 2" xfId="33176" xr:uid="{A40D967C-ABB6-4F58-B306-C645C5DE360D}"/>
    <cellStyle name="Accent3 47 2 3" xfId="33175" xr:uid="{8ECC3902-159F-4D37-93C6-F9BD313B7815}"/>
    <cellStyle name="Accent3 47 3" xfId="4530" xr:uid="{00000000-0005-0000-0000-0000B2110000}"/>
    <cellStyle name="Accent3 47 3 2" xfId="33177" xr:uid="{D1ECE49D-C311-4083-A214-1F04D55EB67A}"/>
    <cellStyle name="Accent3 47 4" xfId="33174" xr:uid="{B69B3BED-A6AE-4DFB-8B14-0142C088463E}"/>
    <cellStyle name="Accent3 48" xfId="4531" xr:uid="{00000000-0005-0000-0000-0000B3110000}"/>
    <cellStyle name="Accent3 48 2" xfId="4532" xr:uid="{00000000-0005-0000-0000-0000B4110000}"/>
    <cellStyle name="Accent3 48 2 2" xfId="4533" xr:uid="{00000000-0005-0000-0000-0000B5110000}"/>
    <cellStyle name="Accent3 48 2 2 2" xfId="33180" xr:uid="{3131BF9B-3682-4B6D-95E7-FE20650AFDED}"/>
    <cellStyle name="Accent3 48 2 3" xfId="33179" xr:uid="{32A972FB-2A11-42F2-AF5C-119515482E73}"/>
    <cellStyle name="Accent3 48 3" xfId="4534" xr:uid="{00000000-0005-0000-0000-0000B6110000}"/>
    <cellStyle name="Accent3 48 3 2" xfId="4535" xr:uid="{00000000-0005-0000-0000-0000B7110000}"/>
    <cellStyle name="Accent3 48 3 2 2" xfId="4536" xr:uid="{00000000-0005-0000-0000-0000B8110000}"/>
    <cellStyle name="Accent3 48 3 2 2 2" xfId="33183" xr:uid="{6041B6BD-D92A-4A4C-9A22-F582D51BA995}"/>
    <cellStyle name="Accent3 48 3 2 3" xfId="33182" xr:uid="{9AEC3BB9-2CF5-49CC-8E2A-E4C3DC816A1B}"/>
    <cellStyle name="Accent3 48 3 3" xfId="4537" xr:uid="{00000000-0005-0000-0000-0000B9110000}"/>
    <cellStyle name="Accent3 48 3 3 2" xfId="33184" xr:uid="{BA9587FB-FAA7-4D73-B8F3-C0FE4D9FA4D0}"/>
    <cellStyle name="Accent3 48 3 4" xfId="33181" xr:uid="{0F4804B7-ABBF-472E-9716-96E147FBF94E}"/>
    <cellStyle name="Accent3 48 4" xfId="4538" xr:uid="{00000000-0005-0000-0000-0000BA110000}"/>
    <cellStyle name="Accent3 48 4 2" xfId="33185" xr:uid="{1038168C-82DC-4EF4-B87D-0E0AE8DD9336}"/>
    <cellStyle name="Accent3 48 5" xfId="33178" xr:uid="{C595A870-6FFD-40D1-9386-43E5F591843E}"/>
    <cellStyle name="Accent3 49" xfId="4539" xr:uid="{00000000-0005-0000-0000-0000BB110000}"/>
    <cellStyle name="Accent3 49 2" xfId="4540" xr:uid="{00000000-0005-0000-0000-0000BC110000}"/>
    <cellStyle name="Accent3 49 2 2" xfId="4541" xr:uid="{00000000-0005-0000-0000-0000BD110000}"/>
    <cellStyle name="Accent3 49 2 2 2" xfId="33188" xr:uid="{9F95BCA9-2221-471E-8BEC-6F05731E9B68}"/>
    <cellStyle name="Accent3 49 2 3" xfId="33187" xr:uid="{DC10ACC5-C029-4521-96EA-20649EA4F26E}"/>
    <cellStyle name="Accent3 49 3" xfId="4542" xr:uid="{00000000-0005-0000-0000-0000BE110000}"/>
    <cellStyle name="Accent3 49 3 2" xfId="4543" xr:uid="{00000000-0005-0000-0000-0000BF110000}"/>
    <cellStyle name="Accent3 49 3 2 2" xfId="4544" xr:uid="{00000000-0005-0000-0000-0000C0110000}"/>
    <cellStyle name="Accent3 49 3 2 2 2" xfId="33191" xr:uid="{B0AC733E-ECF3-4981-9824-202A0372EEBE}"/>
    <cellStyle name="Accent3 49 3 2 3" xfId="33190" xr:uid="{9BBC6959-10E2-4CB2-905E-B84C5A735E83}"/>
    <cellStyle name="Accent3 49 3 3" xfId="4545" xr:uid="{00000000-0005-0000-0000-0000C1110000}"/>
    <cellStyle name="Accent3 49 3 3 2" xfId="33192" xr:uid="{68700BE7-6238-4063-B687-B9457AF2C1C9}"/>
    <cellStyle name="Accent3 49 3 4" xfId="33189" xr:uid="{550F2A74-F971-4175-AC0C-7ECA0E5EC1BE}"/>
    <cellStyle name="Accent3 49 4" xfId="4546" xr:uid="{00000000-0005-0000-0000-0000C2110000}"/>
    <cellStyle name="Accent3 49 4 2" xfId="33193" xr:uid="{F2673E05-C123-497D-A1B9-15B68FC1CE2C}"/>
    <cellStyle name="Accent3 49 5" xfId="33186" xr:uid="{1C80CF4C-54C4-4C47-B0EF-C45DE481922A}"/>
    <cellStyle name="Accent3 5" xfId="4547" xr:uid="{00000000-0005-0000-0000-0000C3110000}"/>
    <cellStyle name="Accent3 5 2" xfId="4548" xr:uid="{00000000-0005-0000-0000-0000C4110000}"/>
    <cellStyle name="Accent3 5 2 2" xfId="4549" xr:uid="{00000000-0005-0000-0000-0000C5110000}"/>
    <cellStyle name="Accent3 5 2 2 2" xfId="4550" xr:uid="{00000000-0005-0000-0000-0000C6110000}"/>
    <cellStyle name="Accent3 5 2 2 2 2" xfId="33196" xr:uid="{F1EDB970-5F88-4C76-A2E3-C3A3D237B6CC}"/>
    <cellStyle name="Accent3 5 2 2 3" xfId="33195" xr:uid="{6E6D6171-2E7F-4E9E-945D-FFABF5D85373}"/>
    <cellStyle name="Accent3 5 2 3" xfId="4551" xr:uid="{00000000-0005-0000-0000-0000C7110000}"/>
    <cellStyle name="Accent3 5 2 3 2" xfId="4552" xr:uid="{00000000-0005-0000-0000-0000C8110000}"/>
    <cellStyle name="Accent3 5 2 3 2 2" xfId="4553" xr:uid="{00000000-0005-0000-0000-0000C9110000}"/>
    <cellStyle name="Accent3 5 2 3 2 2 2" xfId="33199" xr:uid="{344962D5-1033-47DC-B0CC-372A3D898269}"/>
    <cellStyle name="Accent3 5 2 3 2 3" xfId="33198" xr:uid="{F43914D8-DDD3-4E1B-8811-B881669A3272}"/>
    <cellStyle name="Accent3 5 2 3 3" xfId="4554" xr:uid="{00000000-0005-0000-0000-0000CA110000}"/>
    <cellStyle name="Accent3 5 2 3 3 2" xfId="33200" xr:uid="{CE2970DE-4A89-4B74-82C5-ACD091682182}"/>
    <cellStyle name="Accent3 5 2 3 4" xfId="33197" xr:uid="{B77A103F-78B6-4E9D-97A6-55D80BA38BF6}"/>
    <cellStyle name="Accent3 5 2 4" xfId="4555" xr:uid="{00000000-0005-0000-0000-0000CB110000}"/>
    <cellStyle name="Accent3 5 2 4 2" xfId="33201" xr:uid="{701E96FD-8A40-400B-8FEE-5307E84DE72E}"/>
    <cellStyle name="Accent3 5 2 5" xfId="33194" xr:uid="{6BC3C89A-7292-42A3-ACD3-315638912C42}"/>
    <cellStyle name="Accent3 5 3" xfId="4556" xr:uid="{00000000-0005-0000-0000-0000CC110000}"/>
    <cellStyle name="Accent3 5 3 2" xfId="4557" xr:uid="{00000000-0005-0000-0000-0000CD110000}"/>
    <cellStyle name="Accent3 5 3 2 2" xfId="4558" xr:uid="{00000000-0005-0000-0000-0000CE110000}"/>
    <cellStyle name="Accent3 5 3 2 2 2" xfId="33204" xr:uid="{45F94691-FB7A-478D-830D-75840DC3646F}"/>
    <cellStyle name="Accent3 5 3 2 3" xfId="33203" xr:uid="{2E09DA10-90F2-410F-8DD8-B3EEF5B21312}"/>
    <cellStyle name="Accent3 5 3 3" xfId="4559" xr:uid="{00000000-0005-0000-0000-0000CF110000}"/>
    <cellStyle name="Accent3 5 3 3 2" xfId="4560" xr:uid="{00000000-0005-0000-0000-0000D0110000}"/>
    <cellStyle name="Accent3 5 3 3 2 2" xfId="4561" xr:uid="{00000000-0005-0000-0000-0000D1110000}"/>
    <cellStyle name="Accent3 5 3 3 2 2 2" xfId="33207" xr:uid="{F8271B2C-23C4-4806-9575-F44C6611B444}"/>
    <cellStyle name="Accent3 5 3 3 2 3" xfId="33206" xr:uid="{7C62C962-0F68-4D7E-8568-FDE44F16170D}"/>
    <cellStyle name="Accent3 5 3 3 3" xfId="4562" xr:uid="{00000000-0005-0000-0000-0000D2110000}"/>
    <cellStyle name="Accent3 5 3 3 3 2" xfId="33208" xr:uid="{657B4450-3C27-4E5C-BB1E-C1B7CF7D2E95}"/>
    <cellStyle name="Accent3 5 3 3 4" xfId="33205" xr:uid="{91571DFD-7EA6-4F22-B411-E3661848D0BE}"/>
    <cellStyle name="Accent3 5 3 4" xfId="4563" xr:uid="{00000000-0005-0000-0000-0000D3110000}"/>
    <cellStyle name="Accent3 5 3 4 2" xfId="33209" xr:uid="{2B13CD4C-1604-46CD-B79C-6B0A5A036D71}"/>
    <cellStyle name="Accent3 5 3 5" xfId="33202" xr:uid="{DACF554A-4C68-4C1A-A89F-E90C5E0D8A79}"/>
    <cellStyle name="Accent3 5 4" xfId="4564" xr:uid="{00000000-0005-0000-0000-0000D4110000}"/>
    <cellStyle name="Accent3 5 4 2" xfId="4565" xr:uid="{00000000-0005-0000-0000-0000D5110000}"/>
    <cellStyle name="Accent3 5 4 2 2" xfId="33211" xr:uid="{6C5F9795-6AEA-4CBC-9074-81104E72FBB9}"/>
    <cellStyle name="Accent3 5 4 3" xfId="33210" xr:uid="{146127B5-1AF1-4CCA-9400-32C23A87F7D3}"/>
    <cellStyle name="Accent3 5 5" xfId="4566" xr:uid="{00000000-0005-0000-0000-0000D6110000}"/>
    <cellStyle name="Accent3 5 5 2" xfId="4567" xr:uid="{00000000-0005-0000-0000-0000D7110000}"/>
    <cellStyle name="Accent3 5 5 2 2" xfId="4568" xr:uid="{00000000-0005-0000-0000-0000D8110000}"/>
    <cellStyle name="Accent3 5 5 3" xfId="4569" xr:uid="{00000000-0005-0000-0000-0000D9110000}"/>
    <cellStyle name="Accent3 5 6" xfId="4570" xr:uid="{00000000-0005-0000-0000-0000DA110000}"/>
    <cellStyle name="Accent3 5 6 2" xfId="4571" xr:uid="{00000000-0005-0000-0000-0000DB110000}"/>
    <cellStyle name="Accent3 5 6 2 2" xfId="33213" xr:uid="{89742319-89AA-4420-9BE5-169E322EBFB9}"/>
    <cellStyle name="Accent3 5 6 3" xfId="33212" xr:uid="{0006D11D-64C9-44C7-91EB-608ABD246E46}"/>
    <cellStyle name="Accent3 5 7" xfId="4572" xr:uid="{00000000-0005-0000-0000-0000DC110000}"/>
    <cellStyle name="Accent3 5 7 2" xfId="33214" xr:uid="{BA7D7AB8-B4E1-44C9-B1EE-4BC6370BF9A4}"/>
    <cellStyle name="Accent3 50" xfId="4573" xr:uid="{00000000-0005-0000-0000-0000DD110000}"/>
    <cellStyle name="Accent3 50 2" xfId="4574" xr:uid="{00000000-0005-0000-0000-0000DE110000}"/>
    <cellStyle name="Accent3 50 2 2" xfId="4575" xr:uid="{00000000-0005-0000-0000-0000DF110000}"/>
    <cellStyle name="Accent3 50 2 2 2" xfId="33217" xr:uid="{4DDE9A39-F029-4F11-B76E-189CFFD25B17}"/>
    <cellStyle name="Accent3 50 2 3" xfId="33216" xr:uid="{1DC5142A-55A9-4123-85C7-176E55E173BD}"/>
    <cellStyle name="Accent3 50 3" xfId="4576" xr:uid="{00000000-0005-0000-0000-0000E0110000}"/>
    <cellStyle name="Accent3 50 3 2" xfId="4577" xr:uid="{00000000-0005-0000-0000-0000E1110000}"/>
    <cellStyle name="Accent3 50 3 2 2" xfId="4578" xr:uid="{00000000-0005-0000-0000-0000E2110000}"/>
    <cellStyle name="Accent3 50 3 2 2 2" xfId="33220" xr:uid="{47F87242-2AB2-424F-9545-A182958E1897}"/>
    <cellStyle name="Accent3 50 3 2 3" xfId="33219" xr:uid="{6C24F69A-7A40-4E97-BBEE-7F5C157E3AF8}"/>
    <cellStyle name="Accent3 50 3 3" xfId="4579" xr:uid="{00000000-0005-0000-0000-0000E3110000}"/>
    <cellStyle name="Accent3 50 3 3 2" xfId="33221" xr:uid="{D16C06D5-C4A1-469B-854F-419138D15436}"/>
    <cellStyle name="Accent3 50 3 4" xfId="33218" xr:uid="{95AD2330-9B26-4AD2-9BD4-3B1CCA9DEABC}"/>
    <cellStyle name="Accent3 50 4" xfId="4580" xr:uid="{00000000-0005-0000-0000-0000E4110000}"/>
    <cellStyle name="Accent3 50 4 2" xfId="33222" xr:uid="{322350E6-022A-4394-A81E-A415727D7445}"/>
    <cellStyle name="Accent3 50 5" xfId="33215" xr:uid="{AA24B4E1-4946-4400-B23F-753F4988191B}"/>
    <cellStyle name="Accent3 51" xfId="4581" xr:uid="{00000000-0005-0000-0000-0000E5110000}"/>
    <cellStyle name="Accent3 51 2" xfId="4582" xr:uid="{00000000-0005-0000-0000-0000E6110000}"/>
    <cellStyle name="Accent3 51 2 2" xfId="4583" xr:uid="{00000000-0005-0000-0000-0000E7110000}"/>
    <cellStyle name="Accent3 51 2 2 2" xfId="33225" xr:uid="{99AF468A-716B-4815-BAD6-8BA593678B75}"/>
    <cellStyle name="Accent3 51 2 3" xfId="33224" xr:uid="{4EBC926A-75C5-4060-89CC-8CDB71E1702A}"/>
    <cellStyle name="Accent3 51 3" xfId="4584" xr:uid="{00000000-0005-0000-0000-0000E8110000}"/>
    <cellStyle name="Accent3 51 3 2" xfId="4585" xr:uid="{00000000-0005-0000-0000-0000E9110000}"/>
    <cellStyle name="Accent3 51 3 2 2" xfId="4586" xr:uid="{00000000-0005-0000-0000-0000EA110000}"/>
    <cellStyle name="Accent3 51 3 2 2 2" xfId="33228" xr:uid="{1AF1B406-B3F6-40C0-BC3E-35857DBEFC5C}"/>
    <cellStyle name="Accent3 51 3 2 3" xfId="33227" xr:uid="{D9A2613E-83FE-4FD3-9549-521A4835D0C0}"/>
    <cellStyle name="Accent3 51 3 3" xfId="4587" xr:uid="{00000000-0005-0000-0000-0000EB110000}"/>
    <cellStyle name="Accent3 51 3 3 2" xfId="33229" xr:uid="{A511B7CD-47D3-462F-BDCC-7B89CE1A2369}"/>
    <cellStyle name="Accent3 51 3 4" xfId="33226" xr:uid="{AB00EC2E-3773-4C02-BE1D-0D60C6F82945}"/>
    <cellStyle name="Accent3 51 4" xfId="4588" xr:uid="{00000000-0005-0000-0000-0000EC110000}"/>
    <cellStyle name="Accent3 51 4 2" xfId="33230" xr:uid="{5B0C1C8A-97C3-465A-AF42-9980368654FC}"/>
    <cellStyle name="Accent3 51 5" xfId="33223" xr:uid="{15CD24D8-6EA3-4B97-8A6C-9BC7FF1E3992}"/>
    <cellStyle name="Accent3 52" xfId="4589" xr:uid="{00000000-0005-0000-0000-0000ED110000}"/>
    <cellStyle name="Accent3 52 2" xfId="4590" xr:uid="{00000000-0005-0000-0000-0000EE110000}"/>
    <cellStyle name="Accent3 52 2 2" xfId="4591" xr:uid="{00000000-0005-0000-0000-0000EF110000}"/>
    <cellStyle name="Accent3 52 2 2 2" xfId="33233" xr:uid="{8F4B5FC7-22B2-41CE-9C59-82DDA2ECF7C8}"/>
    <cellStyle name="Accent3 52 2 3" xfId="33232" xr:uid="{78914D8E-7250-4F50-B825-DC7F9C6360DB}"/>
    <cellStyle name="Accent3 52 3" xfId="4592" xr:uid="{00000000-0005-0000-0000-0000F0110000}"/>
    <cellStyle name="Accent3 52 3 2" xfId="33234" xr:uid="{6DBF5DE4-C9F5-492C-9AAA-DEAF3948B178}"/>
    <cellStyle name="Accent3 52 4" xfId="33231" xr:uid="{A5A77DAE-72C2-4398-89AA-7B83796F73AE}"/>
    <cellStyle name="Accent3 53" xfId="4593" xr:uid="{00000000-0005-0000-0000-0000F1110000}"/>
    <cellStyle name="Accent3 53 2" xfId="4594" xr:uid="{00000000-0005-0000-0000-0000F2110000}"/>
    <cellStyle name="Accent3 53 2 2" xfId="4595" xr:uid="{00000000-0005-0000-0000-0000F3110000}"/>
    <cellStyle name="Accent3 53 2 2 2" xfId="33237" xr:uid="{40491696-5082-4371-8346-9E5691365246}"/>
    <cellStyle name="Accent3 53 2 3" xfId="33236" xr:uid="{68AC4E86-1A28-4451-BF9F-E50E7070F429}"/>
    <cellStyle name="Accent3 53 3" xfId="4596" xr:uid="{00000000-0005-0000-0000-0000F4110000}"/>
    <cellStyle name="Accent3 53 3 2" xfId="33238" xr:uid="{6C84538C-9894-4EF7-A0F1-A38C091C93E3}"/>
    <cellStyle name="Accent3 53 4" xfId="33235" xr:uid="{452009CE-4E86-4964-8E4E-031E47A1FF45}"/>
    <cellStyle name="Accent3 54" xfId="4597" xr:uid="{00000000-0005-0000-0000-0000F5110000}"/>
    <cellStyle name="Accent3 54 2" xfId="4598" xr:uid="{00000000-0005-0000-0000-0000F6110000}"/>
    <cellStyle name="Accent3 54 2 2" xfId="4599" xr:uid="{00000000-0005-0000-0000-0000F7110000}"/>
    <cellStyle name="Accent3 54 2 2 2" xfId="33241" xr:uid="{EFA7CA80-4D34-4B3D-BF2A-D8FD6CADD9B3}"/>
    <cellStyle name="Accent3 54 2 3" xfId="33240" xr:uid="{06537373-091B-430B-9EA9-ED61F707645F}"/>
    <cellStyle name="Accent3 54 3" xfId="4600" xr:uid="{00000000-0005-0000-0000-0000F8110000}"/>
    <cellStyle name="Accent3 54 3 2" xfId="33242" xr:uid="{51EBC60E-2EE7-4CB8-9499-5C665FE245E7}"/>
    <cellStyle name="Accent3 54 4" xfId="33239" xr:uid="{EEC53268-1508-434A-A7B4-D7B1197BDBA1}"/>
    <cellStyle name="Accent3 55" xfId="4601" xr:uid="{00000000-0005-0000-0000-0000F9110000}"/>
    <cellStyle name="Accent3 55 2" xfId="4602" xr:uid="{00000000-0005-0000-0000-0000FA110000}"/>
    <cellStyle name="Accent3 55 2 2" xfId="4603" xr:uid="{00000000-0005-0000-0000-0000FB110000}"/>
    <cellStyle name="Accent3 55 2 2 2" xfId="33245" xr:uid="{FE6119D8-CAD2-4AFB-A1CB-2B3A92C290FA}"/>
    <cellStyle name="Accent3 55 2 3" xfId="33244" xr:uid="{1C38B4F9-3781-41CF-AC16-8A8B8CD28E21}"/>
    <cellStyle name="Accent3 55 3" xfId="4604" xr:uid="{00000000-0005-0000-0000-0000FC110000}"/>
    <cellStyle name="Accent3 55 3 2" xfId="33246" xr:uid="{F40084EF-F427-43BB-AE9A-618FE553D649}"/>
    <cellStyle name="Accent3 55 4" xfId="33243" xr:uid="{914A12FD-6657-46C8-9110-BF3466CBBC4E}"/>
    <cellStyle name="Accent3 56" xfId="4605" xr:uid="{00000000-0005-0000-0000-0000FD110000}"/>
    <cellStyle name="Accent3 56 2" xfId="4606" xr:uid="{00000000-0005-0000-0000-0000FE110000}"/>
    <cellStyle name="Accent3 56 2 2" xfId="4607" xr:uid="{00000000-0005-0000-0000-0000FF110000}"/>
    <cellStyle name="Accent3 56 2 2 2" xfId="33249" xr:uid="{E6AFA297-9B15-4652-8434-7CED32EEA573}"/>
    <cellStyle name="Accent3 56 2 3" xfId="33248" xr:uid="{8ACFD35E-484A-4B00-BE1C-BC7B6EC07948}"/>
    <cellStyle name="Accent3 56 3" xfId="4608" xr:uid="{00000000-0005-0000-0000-000000120000}"/>
    <cellStyle name="Accent3 56 3 2" xfId="33250" xr:uid="{1CD197AA-68DB-404E-8435-B98D39124632}"/>
    <cellStyle name="Accent3 56 4" xfId="33247" xr:uid="{075745A9-0874-406F-8FA7-417E68EBB9D9}"/>
    <cellStyle name="Accent3 57" xfId="4609" xr:uid="{00000000-0005-0000-0000-000001120000}"/>
    <cellStyle name="Accent3 57 2" xfId="4610" xr:uid="{00000000-0005-0000-0000-000002120000}"/>
    <cellStyle name="Accent3 57 2 2" xfId="4611" xr:uid="{00000000-0005-0000-0000-000003120000}"/>
    <cellStyle name="Accent3 57 2 2 2" xfId="33253" xr:uid="{5E6B72FF-1CFC-4469-83C1-859623B101FF}"/>
    <cellStyle name="Accent3 57 2 3" xfId="33252" xr:uid="{273ED987-C347-4D73-B64D-78DF9CE6737A}"/>
    <cellStyle name="Accent3 57 3" xfId="4612" xr:uid="{00000000-0005-0000-0000-000004120000}"/>
    <cellStyle name="Accent3 57 3 2" xfId="33254" xr:uid="{301363D5-FF1C-4237-BB01-48059E66E347}"/>
    <cellStyle name="Accent3 57 4" xfId="33251" xr:uid="{4186A3AA-DE3A-4481-AC04-4F89DD3ED135}"/>
    <cellStyle name="Accent3 58" xfId="4613" xr:uid="{00000000-0005-0000-0000-000005120000}"/>
    <cellStyle name="Accent3 58 2" xfId="4614" xr:uid="{00000000-0005-0000-0000-000006120000}"/>
    <cellStyle name="Accent3 58 2 2" xfId="4615" xr:uid="{00000000-0005-0000-0000-000007120000}"/>
    <cellStyle name="Accent3 58 2 2 2" xfId="33257" xr:uid="{324BF228-27DB-4383-9926-F87EE0FE3DC8}"/>
    <cellStyle name="Accent3 58 2 3" xfId="33256" xr:uid="{04133540-019A-471F-AFBC-D0B268417822}"/>
    <cellStyle name="Accent3 58 3" xfId="4616" xr:uid="{00000000-0005-0000-0000-000008120000}"/>
    <cellStyle name="Accent3 58 3 2" xfId="4617" xr:uid="{00000000-0005-0000-0000-000009120000}"/>
    <cellStyle name="Accent3 58 3 2 2" xfId="4618" xr:uid="{00000000-0005-0000-0000-00000A120000}"/>
    <cellStyle name="Accent3 58 3 2 2 2" xfId="33260" xr:uid="{5D123636-CC6C-42DB-BE17-B918626F6490}"/>
    <cellStyle name="Accent3 58 3 2 3" xfId="33259" xr:uid="{34A02A44-74F3-43B3-BCF9-29B23E1680DA}"/>
    <cellStyle name="Accent3 58 3 3" xfId="4619" xr:uid="{00000000-0005-0000-0000-00000B120000}"/>
    <cellStyle name="Accent3 58 3 3 2" xfId="33261" xr:uid="{9C6D3990-FB38-4DF0-8F6B-56B051F49399}"/>
    <cellStyle name="Accent3 58 3 4" xfId="33258" xr:uid="{394EE5C5-7B7B-4C9E-8722-8F5D0979E240}"/>
    <cellStyle name="Accent3 58 4" xfId="4620" xr:uid="{00000000-0005-0000-0000-00000C120000}"/>
    <cellStyle name="Accent3 58 4 2" xfId="33262" xr:uid="{BD9BFCA7-E069-45C5-BD9E-AA5641235F42}"/>
    <cellStyle name="Accent3 58 5" xfId="33255" xr:uid="{FAB87B99-0ED3-43C4-BA35-3991E26F7E62}"/>
    <cellStyle name="Accent3 59" xfId="4621" xr:uid="{00000000-0005-0000-0000-00000D120000}"/>
    <cellStyle name="Accent3 59 2" xfId="4622" xr:uid="{00000000-0005-0000-0000-00000E120000}"/>
    <cellStyle name="Accent3 59 2 2" xfId="4623" xr:uid="{00000000-0005-0000-0000-00000F120000}"/>
    <cellStyle name="Accent3 59 2 2 2" xfId="33265" xr:uid="{AF9169AA-8675-42B0-9DC7-33C18DAA1143}"/>
    <cellStyle name="Accent3 59 2 3" xfId="33264" xr:uid="{38866AF8-B04D-4F16-AC02-51FFB9DFC0AD}"/>
    <cellStyle name="Accent3 59 3" xfId="4624" xr:uid="{00000000-0005-0000-0000-000010120000}"/>
    <cellStyle name="Accent3 59 3 2" xfId="4625" xr:uid="{00000000-0005-0000-0000-000011120000}"/>
    <cellStyle name="Accent3 59 3 2 2" xfId="4626" xr:uid="{00000000-0005-0000-0000-000012120000}"/>
    <cellStyle name="Accent3 59 3 2 2 2" xfId="33268" xr:uid="{2559479E-BCF9-4F18-932E-6C0592AD5874}"/>
    <cellStyle name="Accent3 59 3 2 3" xfId="33267" xr:uid="{247D0C0B-64F2-423A-9AAF-A85CD858CCFA}"/>
    <cellStyle name="Accent3 59 3 3" xfId="4627" xr:uid="{00000000-0005-0000-0000-000013120000}"/>
    <cellStyle name="Accent3 59 3 3 2" xfId="33269" xr:uid="{EEA7E0B8-AD69-443F-BE99-A0C3F637EBE1}"/>
    <cellStyle name="Accent3 59 3 4" xfId="33266" xr:uid="{B6FF5286-CC76-429E-B1D9-842AAEF12689}"/>
    <cellStyle name="Accent3 59 4" xfId="4628" xr:uid="{00000000-0005-0000-0000-000014120000}"/>
    <cellStyle name="Accent3 59 4 2" xfId="33270" xr:uid="{33320CE1-FDA2-4F78-92CF-0E3C9961AFA2}"/>
    <cellStyle name="Accent3 59 5" xfId="33263" xr:uid="{ADA7657C-D0C7-4CD5-B076-8B8B9C3E71EE}"/>
    <cellStyle name="Accent3 6" xfId="4629" xr:uid="{00000000-0005-0000-0000-000015120000}"/>
    <cellStyle name="Accent3 6 2" xfId="4630" xr:uid="{00000000-0005-0000-0000-000016120000}"/>
    <cellStyle name="Accent3 6 2 2" xfId="4631" xr:uid="{00000000-0005-0000-0000-000017120000}"/>
    <cellStyle name="Accent3 6 2 2 2" xfId="4632" xr:uid="{00000000-0005-0000-0000-000018120000}"/>
    <cellStyle name="Accent3 6 2 2 2 2" xfId="33274" xr:uid="{16AE16EC-3C02-4FB3-8368-6B2770F54F08}"/>
    <cellStyle name="Accent3 6 2 2 3" xfId="33273" xr:uid="{ADA1D5F6-B8DB-47D8-A806-3FFD08C6B216}"/>
    <cellStyle name="Accent3 6 2 3" xfId="4633" xr:uid="{00000000-0005-0000-0000-000019120000}"/>
    <cellStyle name="Accent3 6 2 3 2" xfId="4634" xr:uid="{00000000-0005-0000-0000-00001A120000}"/>
    <cellStyle name="Accent3 6 2 3 2 2" xfId="4635" xr:uid="{00000000-0005-0000-0000-00001B120000}"/>
    <cellStyle name="Accent3 6 2 3 2 2 2" xfId="33277" xr:uid="{7A258EA9-2F7C-4D6B-9B5B-4D891FC229A0}"/>
    <cellStyle name="Accent3 6 2 3 2 3" xfId="33276" xr:uid="{CA144317-DBDB-476E-B5E5-C9342637C5CA}"/>
    <cellStyle name="Accent3 6 2 3 3" xfId="4636" xr:uid="{00000000-0005-0000-0000-00001C120000}"/>
    <cellStyle name="Accent3 6 2 3 3 2" xfId="33278" xr:uid="{BF33D87A-C620-4C1E-A524-C10B8DF06073}"/>
    <cellStyle name="Accent3 6 2 3 4" xfId="33275" xr:uid="{3AD139DE-0997-4C7E-960F-98736E5E0D1C}"/>
    <cellStyle name="Accent3 6 2 4" xfId="4637" xr:uid="{00000000-0005-0000-0000-00001D120000}"/>
    <cellStyle name="Accent3 6 2 4 2" xfId="33279" xr:uid="{BBE091A5-BF98-4C5C-AC2A-89AF4B13340A}"/>
    <cellStyle name="Accent3 6 2 5" xfId="33272" xr:uid="{D140BF08-70F9-407C-ACC9-98D3445B4C77}"/>
    <cellStyle name="Accent3 6 3" xfId="4638" xr:uid="{00000000-0005-0000-0000-00001E120000}"/>
    <cellStyle name="Accent3 6 3 2" xfId="4639" xr:uid="{00000000-0005-0000-0000-00001F120000}"/>
    <cellStyle name="Accent3 6 3 2 2" xfId="33281" xr:uid="{70D9EE66-5C76-43E9-A626-76091B00166D}"/>
    <cellStyle name="Accent3 6 3 3" xfId="33280" xr:uid="{BFB3DE22-08CE-4C25-804F-DB822B71B8B2}"/>
    <cellStyle name="Accent3 6 4" xfId="4640" xr:uid="{00000000-0005-0000-0000-000020120000}"/>
    <cellStyle name="Accent3 6 4 2" xfId="4641" xr:uid="{00000000-0005-0000-0000-000021120000}"/>
    <cellStyle name="Accent3 6 4 2 2" xfId="4642" xr:uid="{00000000-0005-0000-0000-000022120000}"/>
    <cellStyle name="Accent3 6 4 3" xfId="4643" xr:uid="{00000000-0005-0000-0000-000023120000}"/>
    <cellStyle name="Accent3 6 5" xfId="4644" xr:uid="{00000000-0005-0000-0000-000024120000}"/>
    <cellStyle name="Accent3 6 5 2" xfId="33282" xr:uid="{631F0AE7-BB16-439B-8BA3-59E31E9F49BE}"/>
    <cellStyle name="Accent3 6 6" xfId="33271" xr:uid="{3A2C1214-8626-49DF-B428-87EE2142F3D5}"/>
    <cellStyle name="Accent3 60" xfId="4645" xr:uid="{00000000-0005-0000-0000-000025120000}"/>
    <cellStyle name="Accent3 60 2" xfId="4646" xr:uid="{00000000-0005-0000-0000-000026120000}"/>
    <cellStyle name="Accent3 60 2 2" xfId="4647" xr:uid="{00000000-0005-0000-0000-000027120000}"/>
    <cellStyle name="Accent3 60 2 2 2" xfId="33285" xr:uid="{DB749AC2-665F-412E-8129-E20DAC313F0A}"/>
    <cellStyle name="Accent3 60 2 3" xfId="33284" xr:uid="{A6AE1CE1-3E8A-4AD2-9A2F-18284EA0B42E}"/>
    <cellStyle name="Accent3 60 3" xfId="4648" xr:uid="{00000000-0005-0000-0000-000028120000}"/>
    <cellStyle name="Accent3 60 3 2" xfId="4649" xr:uid="{00000000-0005-0000-0000-000029120000}"/>
    <cellStyle name="Accent3 60 3 2 2" xfId="4650" xr:uid="{00000000-0005-0000-0000-00002A120000}"/>
    <cellStyle name="Accent3 60 3 2 2 2" xfId="33288" xr:uid="{993E9A1B-51DD-42B6-9743-9A805166274A}"/>
    <cellStyle name="Accent3 60 3 2 3" xfId="33287" xr:uid="{A5FE32D9-6D17-43A8-8AB2-BC3C449ADFE1}"/>
    <cellStyle name="Accent3 60 3 3" xfId="4651" xr:uid="{00000000-0005-0000-0000-00002B120000}"/>
    <cellStyle name="Accent3 60 3 3 2" xfId="33289" xr:uid="{2A3C712B-D49A-49E9-B504-645B0539CE33}"/>
    <cellStyle name="Accent3 60 3 4" xfId="33286" xr:uid="{96A5A730-906D-4EED-B37B-615656C1F563}"/>
    <cellStyle name="Accent3 60 4" xfId="4652" xr:uid="{00000000-0005-0000-0000-00002C120000}"/>
    <cellStyle name="Accent3 60 4 2" xfId="33290" xr:uid="{EEA4396B-B845-48A5-B208-508B119117E9}"/>
    <cellStyle name="Accent3 60 5" xfId="33283" xr:uid="{E4A81C4F-1185-436C-ADA0-590139BF6833}"/>
    <cellStyle name="Accent3 61" xfId="4653" xr:uid="{00000000-0005-0000-0000-00002D120000}"/>
    <cellStyle name="Accent3 61 2" xfId="4654" xr:uid="{00000000-0005-0000-0000-00002E120000}"/>
    <cellStyle name="Accent3 61 2 2" xfId="4655" xr:uid="{00000000-0005-0000-0000-00002F120000}"/>
    <cellStyle name="Accent3 61 2 2 2" xfId="33293" xr:uid="{6C95AC3D-2916-4864-9173-0916EC46AEF7}"/>
    <cellStyle name="Accent3 61 2 3" xfId="33292" xr:uid="{A30FB818-FB58-4B0D-8361-05133D8F01DC}"/>
    <cellStyle name="Accent3 61 3" xfId="4656" xr:uid="{00000000-0005-0000-0000-000030120000}"/>
    <cellStyle name="Accent3 61 3 2" xfId="4657" xr:uid="{00000000-0005-0000-0000-000031120000}"/>
    <cellStyle name="Accent3 61 3 2 2" xfId="4658" xr:uid="{00000000-0005-0000-0000-000032120000}"/>
    <cellStyle name="Accent3 61 3 2 2 2" xfId="33296" xr:uid="{75C6DA48-23A7-4933-8326-28373DAEFC50}"/>
    <cellStyle name="Accent3 61 3 2 3" xfId="33295" xr:uid="{214EAE3D-6A7F-44AB-852D-4F18075A5369}"/>
    <cellStyle name="Accent3 61 3 3" xfId="4659" xr:uid="{00000000-0005-0000-0000-000033120000}"/>
    <cellStyle name="Accent3 61 3 3 2" xfId="33297" xr:uid="{40673C9E-9360-48A7-9211-D65A6531B03F}"/>
    <cellStyle name="Accent3 61 3 4" xfId="33294" xr:uid="{5D044E99-2C5D-4D39-A0AA-084B85EB7D6D}"/>
    <cellStyle name="Accent3 61 4" xfId="4660" xr:uid="{00000000-0005-0000-0000-000034120000}"/>
    <cellStyle name="Accent3 61 4 2" xfId="33298" xr:uid="{48CF8A1F-7DF3-4328-A7DD-AE3C35F3C5BF}"/>
    <cellStyle name="Accent3 61 5" xfId="33291" xr:uid="{78AE7E2F-70C2-4A06-99D3-A2D34D847D7A}"/>
    <cellStyle name="Accent3 62" xfId="4661" xr:uid="{00000000-0005-0000-0000-000035120000}"/>
    <cellStyle name="Accent3 62 2" xfId="4662" xr:uid="{00000000-0005-0000-0000-000036120000}"/>
    <cellStyle name="Accent3 62 2 2" xfId="4663" xr:uid="{00000000-0005-0000-0000-000037120000}"/>
    <cellStyle name="Accent3 62 2 2 2" xfId="33301" xr:uid="{55C9B59F-15B8-48DA-8DCB-B353425E1087}"/>
    <cellStyle name="Accent3 62 2 3" xfId="33300" xr:uid="{B6979C85-BA65-4CE6-97F0-5A338C7596F3}"/>
    <cellStyle name="Accent3 62 3" xfId="4664" xr:uid="{00000000-0005-0000-0000-000038120000}"/>
    <cellStyle name="Accent3 62 3 2" xfId="4665" xr:uid="{00000000-0005-0000-0000-000039120000}"/>
    <cellStyle name="Accent3 62 3 2 2" xfId="4666" xr:uid="{00000000-0005-0000-0000-00003A120000}"/>
    <cellStyle name="Accent3 62 3 2 2 2" xfId="33304" xr:uid="{828BE6FB-8773-4A74-8184-FED6EE658A0C}"/>
    <cellStyle name="Accent3 62 3 2 3" xfId="33303" xr:uid="{B552BDAF-E42E-4DB0-8930-6172A1B42264}"/>
    <cellStyle name="Accent3 62 3 3" xfId="4667" xr:uid="{00000000-0005-0000-0000-00003B120000}"/>
    <cellStyle name="Accent3 62 3 3 2" xfId="33305" xr:uid="{88E4986D-0E75-4C85-929B-F437F6980FD6}"/>
    <cellStyle name="Accent3 62 3 4" xfId="33302" xr:uid="{66C4174C-6C53-4370-92A8-A6EA7C995F29}"/>
    <cellStyle name="Accent3 62 4" xfId="4668" xr:uid="{00000000-0005-0000-0000-00003C120000}"/>
    <cellStyle name="Accent3 62 4 2" xfId="33306" xr:uid="{3F6D7581-8E1E-4596-8B7B-119FEAE09532}"/>
    <cellStyle name="Accent3 62 5" xfId="33299" xr:uid="{F2872115-9F11-4534-AE06-15064092A652}"/>
    <cellStyle name="Accent3 63" xfId="4669" xr:uid="{00000000-0005-0000-0000-00003D120000}"/>
    <cellStyle name="Accent3 63 2" xfId="4670" xr:uid="{00000000-0005-0000-0000-00003E120000}"/>
    <cellStyle name="Accent3 63 2 2" xfId="4671" xr:uid="{00000000-0005-0000-0000-00003F120000}"/>
    <cellStyle name="Accent3 63 2 2 2" xfId="33309" xr:uid="{0099955A-29D7-42E6-BF19-1A8B5009D77E}"/>
    <cellStyle name="Accent3 63 2 3" xfId="33308" xr:uid="{27E41565-7B46-480D-89F2-744CE91B41AD}"/>
    <cellStyle name="Accent3 63 3" xfId="4672" xr:uid="{00000000-0005-0000-0000-000040120000}"/>
    <cellStyle name="Accent3 63 3 2" xfId="4673" xr:uid="{00000000-0005-0000-0000-000041120000}"/>
    <cellStyle name="Accent3 63 3 2 2" xfId="4674" xr:uid="{00000000-0005-0000-0000-000042120000}"/>
    <cellStyle name="Accent3 63 3 2 2 2" xfId="33312" xr:uid="{AB2D1F68-01FC-4FBC-9853-3EC36ED84911}"/>
    <cellStyle name="Accent3 63 3 2 3" xfId="33311" xr:uid="{E0DD4FDD-CFB5-4A2B-9C98-58A5FE687B4E}"/>
    <cellStyle name="Accent3 63 3 3" xfId="4675" xr:uid="{00000000-0005-0000-0000-000043120000}"/>
    <cellStyle name="Accent3 63 3 3 2" xfId="33313" xr:uid="{91B57F03-7B78-4A96-B083-A066847C900B}"/>
    <cellStyle name="Accent3 63 3 4" xfId="33310" xr:uid="{C58E867E-9882-46B0-BD55-9C1D79C0B2C2}"/>
    <cellStyle name="Accent3 63 4" xfId="4676" xr:uid="{00000000-0005-0000-0000-000044120000}"/>
    <cellStyle name="Accent3 63 4 2" xfId="33314" xr:uid="{3D76F6E3-5251-4734-A090-E713AF35956A}"/>
    <cellStyle name="Accent3 63 5" xfId="33307" xr:uid="{3BEA898F-5695-461C-8D66-74486574108C}"/>
    <cellStyle name="Accent3 64" xfId="4677" xr:uid="{00000000-0005-0000-0000-000045120000}"/>
    <cellStyle name="Accent3 64 2" xfId="4678" xr:uid="{00000000-0005-0000-0000-000046120000}"/>
    <cellStyle name="Accent3 64 2 2" xfId="4679" xr:uid="{00000000-0005-0000-0000-000047120000}"/>
    <cellStyle name="Accent3 64 2 2 2" xfId="33317" xr:uid="{EAB4CE29-967E-40A7-85D4-0337AA2C5216}"/>
    <cellStyle name="Accent3 64 2 3" xfId="33316" xr:uid="{C59EA869-9184-4456-B937-64DA2B067D22}"/>
    <cellStyle name="Accent3 64 3" xfId="4680" xr:uid="{00000000-0005-0000-0000-000048120000}"/>
    <cellStyle name="Accent3 64 3 2" xfId="4681" xr:uid="{00000000-0005-0000-0000-000049120000}"/>
    <cellStyle name="Accent3 64 3 2 2" xfId="4682" xr:uid="{00000000-0005-0000-0000-00004A120000}"/>
    <cellStyle name="Accent3 64 3 2 2 2" xfId="33320" xr:uid="{623E05B0-74EE-4C3C-A3D4-709C5D42C498}"/>
    <cellStyle name="Accent3 64 3 2 3" xfId="33319" xr:uid="{BEC5135B-C1B0-45BF-983B-593565CD6214}"/>
    <cellStyle name="Accent3 64 3 3" xfId="4683" xr:uid="{00000000-0005-0000-0000-00004B120000}"/>
    <cellStyle name="Accent3 64 3 3 2" xfId="33321" xr:uid="{8C51F283-2B46-4E4B-9DDE-E5717F31B760}"/>
    <cellStyle name="Accent3 64 3 4" xfId="33318" xr:uid="{5C9CCB08-3B80-41A2-B6B1-E836E7557D05}"/>
    <cellStyle name="Accent3 64 4" xfId="4684" xr:uid="{00000000-0005-0000-0000-00004C120000}"/>
    <cellStyle name="Accent3 64 4 2" xfId="33322" xr:uid="{5504E505-52A2-4BC9-A040-9A49153F5C3A}"/>
    <cellStyle name="Accent3 64 5" xfId="33315" xr:uid="{B0A0C886-0DDA-4BE2-9101-C6BFC8511043}"/>
    <cellStyle name="Accent3 65" xfId="4685" xr:uid="{00000000-0005-0000-0000-00004D120000}"/>
    <cellStyle name="Accent3 65 2" xfId="4686" xr:uid="{00000000-0005-0000-0000-00004E120000}"/>
    <cellStyle name="Accent3 65 2 2" xfId="4687" xr:uid="{00000000-0005-0000-0000-00004F120000}"/>
    <cellStyle name="Accent3 65 2 2 2" xfId="33325" xr:uid="{D354A92F-1049-4872-A602-E9FB9817D5D9}"/>
    <cellStyle name="Accent3 65 2 3" xfId="33324" xr:uid="{19919D9D-529E-48A4-BB1C-8DE8B1BA24EC}"/>
    <cellStyle name="Accent3 65 3" xfId="4688" xr:uid="{00000000-0005-0000-0000-000050120000}"/>
    <cellStyle name="Accent3 65 3 2" xfId="4689" xr:uid="{00000000-0005-0000-0000-000051120000}"/>
    <cellStyle name="Accent3 65 3 2 2" xfId="4690" xr:uid="{00000000-0005-0000-0000-000052120000}"/>
    <cellStyle name="Accent3 65 3 2 2 2" xfId="33328" xr:uid="{64DF453A-9E53-4BD1-84F0-0BE26AC298E4}"/>
    <cellStyle name="Accent3 65 3 2 3" xfId="33327" xr:uid="{C6290422-3262-40C0-8F72-9579BD0D57D8}"/>
    <cellStyle name="Accent3 65 3 3" xfId="4691" xr:uid="{00000000-0005-0000-0000-000053120000}"/>
    <cellStyle name="Accent3 65 3 3 2" xfId="33329" xr:uid="{A7BBA456-3EC4-4D0A-8F73-6D3C48224368}"/>
    <cellStyle name="Accent3 65 3 4" xfId="33326" xr:uid="{ADD56F2C-7400-4D24-9D59-2FFEEDED1270}"/>
    <cellStyle name="Accent3 65 4" xfId="4692" xr:uid="{00000000-0005-0000-0000-000054120000}"/>
    <cellStyle name="Accent3 65 4 2" xfId="33330" xr:uid="{37CB480C-535A-4E0A-A146-1F1ADA1EDCF6}"/>
    <cellStyle name="Accent3 65 5" xfId="33323" xr:uid="{CE5B6C4C-6AC6-456F-8DFB-F1BC427EF87D}"/>
    <cellStyle name="Accent3 66" xfId="4693" xr:uid="{00000000-0005-0000-0000-000055120000}"/>
    <cellStyle name="Accent3 66 2" xfId="4694" xr:uid="{00000000-0005-0000-0000-000056120000}"/>
    <cellStyle name="Accent3 66 2 2" xfId="4695" xr:uid="{00000000-0005-0000-0000-000057120000}"/>
    <cellStyle name="Accent3 66 2 2 2" xfId="33333" xr:uid="{5F9DA991-DF54-4D61-B99A-DDE62941367C}"/>
    <cellStyle name="Accent3 66 2 3" xfId="33332" xr:uid="{234DBC37-926E-400A-886A-661DE0EF5974}"/>
    <cellStyle name="Accent3 66 3" xfId="4696" xr:uid="{00000000-0005-0000-0000-000058120000}"/>
    <cellStyle name="Accent3 66 3 2" xfId="4697" xr:uid="{00000000-0005-0000-0000-000059120000}"/>
    <cellStyle name="Accent3 66 3 2 2" xfId="4698" xr:uid="{00000000-0005-0000-0000-00005A120000}"/>
    <cellStyle name="Accent3 66 3 2 2 2" xfId="33336" xr:uid="{2F1C11EC-4070-46A2-9F8C-10EAB87A91BD}"/>
    <cellStyle name="Accent3 66 3 2 3" xfId="33335" xr:uid="{6B7DC76C-37CD-4ABA-B71F-92A96CA57EC0}"/>
    <cellStyle name="Accent3 66 3 3" xfId="4699" xr:uid="{00000000-0005-0000-0000-00005B120000}"/>
    <cellStyle name="Accent3 66 3 3 2" xfId="33337" xr:uid="{151812CD-0ECC-495B-A14F-E20405EC3355}"/>
    <cellStyle name="Accent3 66 3 4" xfId="33334" xr:uid="{17EB6E9E-05B2-46C4-AADF-7D4ACFD90692}"/>
    <cellStyle name="Accent3 66 4" xfId="4700" xr:uid="{00000000-0005-0000-0000-00005C120000}"/>
    <cellStyle name="Accent3 66 4 2" xfId="33338" xr:uid="{57F72E2A-6D19-4B7F-9490-94F154A16C6E}"/>
    <cellStyle name="Accent3 66 5" xfId="33331" xr:uid="{0ED1B67C-ACAA-4D3A-A746-1B5A3D1E85FB}"/>
    <cellStyle name="Accent3 67" xfId="4701" xr:uid="{00000000-0005-0000-0000-00005D120000}"/>
    <cellStyle name="Accent3 67 2" xfId="4702" xr:uid="{00000000-0005-0000-0000-00005E120000}"/>
    <cellStyle name="Accent3 67 2 2" xfId="4703" xr:uid="{00000000-0005-0000-0000-00005F120000}"/>
    <cellStyle name="Accent3 67 2 2 2" xfId="33341" xr:uid="{737C4DB9-410A-4C9E-871C-E8C235B62F21}"/>
    <cellStyle name="Accent3 67 2 3" xfId="33340" xr:uid="{96C7EDBB-81DA-486C-B711-844F0BEC85AA}"/>
    <cellStyle name="Accent3 67 3" xfId="4704" xr:uid="{00000000-0005-0000-0000-000060120000}"/>
    <cellStyle name="Accent3 67 3 2" xfId="4705" xr:uid="{00000000-0005-0000-0000-000061120000}"/>
    <cellStyle name="Accent3 67 3 2 2" xfId="4706" xr:uid="{00000000-0005-0000-0000-000062120000}"/>
    <cellStyle name="Accent3 67 3 2 2 2" xfId="33344" xr:uid="{D4456795-CB9E-4F67-BE5C-7C112FC5BC1B}"/>
    <cellStyle name="Accent3 67 3 2 3" xfId="33343" xr:uid="{82604B86-A8CB-4B85-8975-D0BE2246EC14}"/>
    <cellStyle name="Accent3 67 3 3" xfId="4707" xr:uid="{00000000-0005-0000-0000-000063120000}"/>
    <cellStyle name="Accent3 67 3 3 2" xfId="33345" xr:uid="{8022DA47-4E0F-45CA-9DAD-0233D2279561}"/>
    <cellStyle name="Accent3 67 3 4" xfId="33342" xr:uid="{FABBCD01-66B9-4376-9557-F45C227DEFF7}"/>
    <cellStyle name="Accent3 67 4" xfId="4708" xr:uid="{00000000-0005-0000-0000-000064120000}"/>
    <cellStyle name="Accent3 67 4 2" xfId="33346" xr:uid="{8527C7A8-C928-49B3-9268-45BB662CE205}"/>
    <cellStyle name="Accent3 67 5" xfId="33339" xr:uid="{52491B97-A79E-4D62-A776-A24A26FA398F}"/>
    <cellStyle name="Accent3 68" xfId="4709" xr:uid="{00000000-0005-0000-0000-000065120000}"/>
    <cellStyle name="Accent3 68 2" xfId="4710" xr:uid="{00000000-0005-0000-0000-000066120000}"/>
    <cellStyle name="Accent3 68 2 2" xfId="4711" xr:uid="{00000000-0005-0000-0000-000067120000}"/>
    <cellStyle name="Accent3 68 2 2 2" xfId="33349" xr:uid="{924559E2-12A0-4033-B7DD-B51633C6ABA9}"/>
    <cellStyle name="Accent3 68 2 3" xfId="33348" xr:uid="{5644BF46-D06A-483B-9FCE-A228009BA638}"/>
    <cellStyle name="Accent3 68 3" xfId="4712" xr:uid="{00000000-0005-0000-0000-000068120000}"/>
    <cellStyle name="Accent3 68 3 2" xfId="4713" xr:uid="{00000000-0005-0000-0000-000069120000}"/>
    <cellStyle name="Accent3 68 3 2 2" xfId="4714" xr:uid="{00000000-0005-0000-0000-00006A120000}"/>
    <cellStyle name="Accent3 68 3 2 2 2" xfId="33352" xr:uid="{A6CC83C2-F348-4DBB-95DE-7E666DFDCEC7}"/>
    <cellStyle name="Accent3 68 3 2 3" xfId="33351" xr:uid="{5FFD102F-CA75-4EC3-82F2-F290323E4EFF}"/>
    <cellStyle name="Accent3 68 3 3" xfId="4715" xr:uid="{00000000-0005-0000-0000-00006B120000}"/>
    <cellStyle name="Accent3 68 3 3 2" xfId="33353" xr:uid="{0D738D1E-7DDF-4D8C-86BF-0B72CBAAEFB9}"/>
    <cellStyle name="Accent3 68 3 4" xfId="33350" xr:uid="{422983E3-924E-44D7-BE96-3925F4114056}"/>
    <cellStyle name="Accent3 68 4" xfId="4716" xr:uid="{00000000-0005-0000-0000-00006C120000}"/>
    <cellStyle name="Accent3 68 4 2" xfId="33354" xr:uid="{D002BBAE-164C-44DA-9F96-9068E2244CF8}"/>
    <cellStyle name="Accent3 68 5" xfId="33347" xr:uid="{2C2051E3-45EC-4FDB-B9E4-069F08566CA4}"/>
    <cellStyle name="Accent3 69" xfId="4717" xr:uid="{00000000-0005-0000-0000-00006D120000}"/>
    <cellStyle name="Accent3 69 2" xfId="4718" xr:uid="{00000000-0005-0000-0000-00006E120000}"/>
    <cellStyle name="Accent3 69 2 2" xfId="4719" xr:uid="{00000000-0005-0000-0000-00006F120000}"/>
    <cellStyle name="Accent3 69 2 2 2" xfId="33357" xr:uid="{114D742D-D719-40B9-A477-E6F797B615A2}"/>
    <cellStyle name="Accent3 69 2 3" xfId="33356" xr:uid="{2F042076-C4CA-4588-A02B-A721D0F0D6D7}"/>
    <cellStyle name="Accent3 69 3" xfId="4720" xr:uid="{00000000-0005-0000-0000-000070120000}"/>
    <cellStyle name="Accent3 69 3 2" xfId="4721" xr:uid="{00000000-0005-0000-0000-000071120000}"/>
    <cellStyle name="Accent3 69 3 2 2" xfId="4722" xr:uid="{00000000-0005-0000-0000-000072120000}"/>
    <cellStyle name="Accent3 69 3 2 2 2" xfId="33360" xr:uid="{3ECE4DF8-BBC8-4428-8EAE-B5CF1F3AE785}"/>
    <cellStyle name="Accent3 69 3 2 3" xfId="33359" xr:uid="{3D8EC8BD-8D15-410F-928E-3BD9770B5844}"/>
    <cellStyle name="Accent3 69 3 3" xfId="4723" xr:uid="{00000000-0005-0000-0000-000073120000}"/>
    <cellStyle name="Accent3 69 3 3 2" xfId="33361" xr:uid="{E445951A-72A8-4FC4-B337-F1E1FA186FC4}"/>
    <cellStyle name="Accent3 69 3 4" xfId="33358" xr:uid="{247FA4CE-22BE-437D-9159-493EC6486036}"/>
    <cellStyle name="Accent3 69 4" xfId="4724" xr:uid="{00000000-0005-0000-0000-000074120000}"/>
    <cellStyle name="Accent3 69 4 2" xfId="33362" xr:uid="{26851608-110E-41C4-ABD7-C9A4D89297E8}"/>
    <cellStyle name="Accent3 69 5" xfId="33355" xr:uid="{F1DBF358-1AC2-44ED-9FBB-5FFB0DA8436E}"/>
    <cellStyle name="Accent3 7" xfId="4725" xr:uid="{00000000-0005-0000-0000-000075120000}"/>
    <cellStyle name="Accent3 7 2" xfId="4726" xr:uid="{00000000-0005-0000-0000-000076120000}"/>
    <cellStyle name="Accent3 7 2 2" xfId="4727" xr:uid="{00000000-0005-0000-0000-000077120000}"/>
    <cellStyle name="Accent3 7 2 2 2" xfId="4728" xr:uid="{00000000-0005-0000-0000-000078120000}"/>
    <cellStyle name="Accent3 7 2 2 2 2" xfId="33366" xr:uid="{A3172466-BC90-4409-B2CE-D03203BCDF84}"/>
    <cellStyle name="Accent3 7 2 2 3" xfId="33365" xr:uid="{AB2040AE-97E9-40E5-B99A-11D365EC30C3}"/>
    <cellStyle name="Accent3 7 2 3" xfId="4729" xr:uid="{00000000-0005-0000-0000-000079120000}"/>
    <cellStyle name="Accent3 7 2 3 2" xfId="4730" xr:uid="{00000000-0005-0000-0000-00007A120000}"/>
    <cellStyle name="Accent3 7 2 3 2 2" xfId="4731" xr:uid="{00000000-0005-0000-0000-00007B120000}"/>
    <cellStyle name="Accent3 7 2 3 2 2 2" xfId="33369" xr:uid="{3C223A9C-AF09-4210-A502-B8BC29D97581}"/>
    <cellStyle name="Accent3 7 2 3 2 3" xfId="33368" xr:uid="{4EB777C2-1671-4418-8E19-2A49846C3CF9}"/>
    <cellStyle name="Accent3 7 2 3 3" xfId="4732" xr:uid="{00000000-0005-0000-0000-00007C120000}"/>
    <cellStyle name="Accent3 7 2 3 3 2" xfId="33370" xr:uid="{BE1BE8AD-16D1-4A6B-9F37-BF85C773D1C9}"/>
    <cellStyle name="Accent3 7 2 3 4" xfId="33367" xr:uid="{609F23E5-113A-449F-AED2-15EB5D49C806}"/>
    <cellStyle name="Accent3 7 2 4" xfId="4733" xr:uid="{00000000-0005-0000-0000-00007D120000}"/>
    <cellStyle name="Accent3 7 2 4 2" xfId="33371" xr:uid="{1CF68510-AAB7-4D72-92BE-87F9180430FA}"/>
    <cellStyle name="Accent3 7 2 5" xfId="33364" xr:uid="{10EC2F17-DF0C-4943-A2E1-546DAA138919}"/>
    <cellStyle name="Accent3 7 3" xfId="4734" xr:uid="{00000000-0005-0000-0000-00007E120000}"/>
    <cellStyle name="Accent3 7 3 2" xfId="4735" xr:uid="{00000000-0005-0000-0000-00007F120000}"/>
    <cellStyle name="Accent3 7 3 2 2" xfId="33373" xr:uid="{A1A23449-AC0E-47F5-8062-D8E9BD165995}"/>
    <cellStyle name="Accent3 7 3 3" xfId="33372" xr:uid="{8DDC13F4-1ACA-4352-B9C0-D129D6EE04EA}"/>
    <cellStyle name="Accent3 7 4" xfId="4736" xr:uid="{00000000-0005-0000-0000-000080120000}"/>
    <cellStyle name="Accent3 7 4 2" xfId="4737" xr:uid="{00000000-0005-0000-0000-000081120000}"/>
    <cellStyle name="Accent3 7 4 2 2" xfId="4738" xr:uid="{00000000-0005-0000-0000-000082120000}"/>
    <cellStyle name="Accent3 7 4 3" xfId="4739" xr:uid="{00000000-0005-0000-0000-000083120000}"/>
    <cellStyle name="Accent3 7 5" xfId="4740" xr:uid="{00000000-0005-0000-0000-000084120000}"/>
    <cellStyle name="Accent3 7 5 2" xfId="33374" xr:uid="{C2053FE7-C4D0-42E2-BA1F-EEC0475C49CC}"/>
    <cellStyle name="Accent3 7 6" xfId="33363" xr:uid="{BEE4C215-4599-4DF7-BC13-A91D52586D4E}"/>
    <cellStyle name="Accent3 70" xfId="4741" xr:uid="{00000000-0005-0000-0000-000085120000}"/>
    <cellStyle name="Accent3 70 2" xfId="4742" xr:uid="{00000000-0005-0000-0000-000086120000}"/>
    <cellStyle name="Accent3 70 2 2" xfId="4743" xr:uid="{00000000-0005-0000-0000-000087120000}"/>
    <cellStyle name="Accent3 70 2 2 2" xfId="33377" xr:uid="{3F96129D-7CBB-41BB-B6E5-46280C6A58E0}"/>
    <cellStyle name="Accent3 70 2 3" xfId="33376" xr:uid="{BBE3CD57-5049-4CF8-AA18-8DC2D569DC11}"/>
    <cellStyle name="Accent3 70 3" xfId="4744" xr:uid="{00000000-0005-0000-0000-000088120000}"/>
    <cellStyle name="Accent3 70 3 2" xfId="4745" xr:uid="{00000000-0005-0000-0000-000089120000}"/>
    <cellStyle name="Accent3 70 3 2 2" xfId="4746" xr:uid="{00000000-0005-0000-0000-00008A120000}"/>
    <cellStyle name="Accent3 70 3 2 2 2" xfId="33380" xr:uid="{E4589402-785B-4250-93F1-55D9319F12FD}"/>
    <cellStyle name="Accent3 70 3 2 3" xfId="33379" xr:uid="{FC357CB7-6CAF-4185-9BDC-59070F1B224C}"/>
    <cellStyle name="Accent3 70 3 3" xfId="4747" xr:uid="{00000000-0005-0000-0000-00008B120000}"/>
    <cellStyle name="Accent3 70 3 3 2" xfId="33381" xr:uid="{C8E5528B-418D-4B53-9DB2-4233FCD9CCE2}"/>
    <cellStyle name="Accent3 70 3 4" xfId="33378" xr:uid="{FE030C39-C906-4C26-BF83-999C7360241E}"/>
    <cellStyle name="Accent3 70 4" xfId="4748" xr:uid="{00000000-0005-0000-0000-00008C120000}"/>
    <cellStyle name="Accent3 70 4 2" xfId="33382" xr:uid="{BC64A27E-9569-4F4D-A78D-1AA77B167F53}"/>
    <cellStyle name="Accent3 70 5" xfId="33375" xr:uid="{7A8FA054-BB6A-4FDE-8D51-7E59961BA767}"/>
    <cellStyle name="Accent3 71" xfId="4749" xr:uid="{00000000-0005-0000-0000-00008D120000}"/>
    <cellStyle name="Accent3 71 2" xfId="4750" xr:uid="{00000000-0005-0000-0000-00008E120000}"/>
    <cellStyle name="Accent3 71 2 2" xfId="4751" xr:uid="{00000000-0005-0000-0000-00008F120000}"/>
    <cellStyle name="Accent3 71 2 2 2" xfId="33385" xr:uid="{97A5838E-0562-4C80-A047-1052EF4E033B}"/>
    <cellStyle name="Accent3 71 2 3" xfId="33384" xr:uid="{6CF70CE8-6D3E-42EC-932F-B0C91C56204B}"/>
    <cellStyle name="Accent3 71 3" xfId="4752" xr:uid="{00000000-0005-0000-0000-000090120000}"/>
    <cellStyle name="Accent3 71 3 2" xfId="4753" xr:uid="{00000000-0005-0000-0000-000091120000}"/>
    <cellStyle name="Accent3 71 3 2 2" xfId="4754" xr:uid="{00000000-0005-0000-0000-000092120000}"/>
    <cellStyle name="Accent3 71 3 2 2 2" xfId="33388" xr:uid="{4E3AC93E-4876-497F-A10D-2A899F9ACFA9}"/>
    <cellStyle name="Accent3 71 3 2 3" xfId="33387" xr:uid="{7D41AFA9-5CE4-44AB-84B2-F92CC1B4E776}"/>
    <cellStyle name="Accent3 71 3 3" xfId="4755" xr:uid="{00000000-0005-0000-0000-000093120000}"/>
    <cellStyle name="Accent3 71 3 3 2" xfId="33389" xr:uid="{542BEEAF-26DB-4317-AE7B-2C36F91081BB}"/>
    <cellStyle name="Accent3 71 3 4" xfId="33386" xr:uid="{ABFDA60A-ABA3-4FAE-8166-DAAD5FC79967}"/>
    <cellStyle name="Accent3 71 4" xfId="4756" xr:uid="{00000000-0005-0000-0000-000094120000}"/>
    <cellStyle name="Accent3 71 4 2" xfId="33390" xr:uid="{DAC5284F-0EF4-4C37-8692-1C111AD731D4}"/>
    <cellStyle name="Accent3 71 5" xfId="33383" xr:uid="{F1667EBC-1C4B-46A8-A099-135614675D26}"/>
    <cellStyle name="Accent3 72" xfId="4757" xr:uid="{00000000-0005-0000-0000-000095120000}"/>
    <cellStyle name="Accent3 72 2" xfId="4758" xr:uid="{00000000-0005-0000-0000-000096120000}"/>
    <cellStyle name="Accent3 72 2 2" xfId="4759" xr:uid="{00000000-0005-0000-0000-000097120000}"/>
    <cellStyle name="Accent3 72 2 2 2" xfId="33393" xr:uid="{0210C100-C330-4B5E-B7C6-CF9D85B3C576}"/>
    <cellStyle name="Accent3 72 2 3" xfId="33392" xr:uid="{60BF28B3-3F03-46DF-B8DC-1683905AEDD8}"/>
    <cellStyle name="Accent3 72 3" xfId="4760" xr:uid="{00000000-0005-0000-0000-000098120000}"/>
    <cellStyle name="Accent3 72 3 2" xfId="4761" xr:uid="{00000000-0005-0000-0000-000099120000}"/>
    <cellStyle name="Accent3 72 3 2 2" xfId="4762" xr:uid="{00000000-0005-0000-0000-00009A120000}"/>
    <cellStyle name="Accent3 72 3 2 2 2" xfId="33396" xr:uid="{260158AE-376A-4DC7-A52C-13A7A9B11F92}"/>
    <cellStyle name="Accent3 72 3 2 3" xfId="33395" xr:uid="{F8B992CD-0A61-40D7-B763-3526DC98AD04}"/>
    <cellStyle name="Accent3 72 3 3" xfId="4763" xr:uid="{00000000-0005-0000-0000-00009B120000}"/>
    <cellStyle name="Accent3 72 3 3 2" xfId="33397" xr:uid="{6C7BAB0F-1EC1-4776-8419-750E0821A77B}"/>
    <cellStyle name="Accent3 72 3 4" xfId="33394" xr:uid="{D61E9683-4BC2-4983-B490-487C8FC80ABC}"/>
    <cellStyle name="Accent3 72 4" xfId="4764" xr:uid="{00000000-0005-0000-0000-00009C120000}"/>
    <cellStyle name="Accent3 72 4 2" xfId="33398" xr:uid="{6AA42126-733A-4CB2-9D0F-B08DE0FB1C52}"/>
    <cellStyle name="Accent3 72 5" xfId="33391" xr:uid="{C40EE66A-D2FA-4D38-96B8-A7639D121052}"/>
    <cellStyle name="Accent3 73" xfId="4765" xr:uid="{00000000-0005-0000-0000-00009D120000}"/>
    <cellStyle name="Accent3 73 2" xfId="4766" xr:uid="{00000000-0005-0000-0000-00009E120000}"/>
    <cellStyle name="Accent3 73 2 2" xfId="4767" xr:uid="{00000000-0005-0000-0000-00009F120000}"/>
    <cellStyle name="Accent3 73 2 2 2" xfId="33401" xr:uid="{1491AA34-D12B-45B7-9908-9255004D93FC}"/>
    <cellStyle name="Accent3 73 2 3" xfId="33400" xr:uid="{24273886-B22C-4B03-B9E8-A1AA538D50B0}"/>
    <cellStyle name="Accent3 73 3" xfId="4768" xr:uid="{00000000-0005-0000-0000-0000A0120000}"/>
    <cellStyle name="Accent3 73 3 2" xfId="4769" xr:uid="{00000000-0005-0000-0000-0000A1120000}"/>
    <cellStyle name="Accent3 73 3 2 2" xfId="4770" xr:uid="{00000000-0005-0000-0000-0000A2120000}"/>
    <cellStyle name="Accent3 73 3 2 2 2" xfId="33404" xr:uid="{75958213-C9E5-4622-95DF-12F4725A8536}"/>
    <cellStyle name="Accent3 73 3 2 3" xfId="33403" xr:uid="{43B88A21-D457-4913-9292-A478FBD46135}"/>
    <cellStyle name="Accent3 73 3 3" xfId="4771" xr:uid="{00000000-0005-0000-0000-0000A3120000}"/>
    <cellStyle name="Accent3 73 3 3 2" xfId="33405" xr:uid="{CB46704E-3BE0-4532-940A-5420367458B1}"/>
    <cellStyle name="Accent3 73 3 4" xfId="33402" xr:uid="{7C86876F-3F50-484E-8C71-C2C79C6B40E1}"/>
    <cellStyle name="Accent3 73 4" xfId="4772" xr:uid="{00000000-0005-0000-0000-0000A4120000}"/>
    <cellStyle name="Accent3 73 4 2" xfId="33406" xr:uid="{6AF4083B-5EDE-4C69-8F17-9EED7CBE35A6}"/>
    <cellStyle name="Accent3 73 5" xfId="33399" xr:uid="{6B235E31-E7B1-4AAB-A60D-EEDD57691AF4}"/>
    <cellStyle name="Accent3 74" xfId="4773" xr:uid="{00000000-0005-0000-0000-0000A5120000}"/>
    <cellStyle name="Accent3 74 2" xfId="4774" xr:uid="{00000000-0005-0000-0000-0000A6120000}"/>
    <cellStyle name="Accent3 74 2 2" xfId="4775" xr:uid="{00000000-0005-0000-0000-0000A7120000}"/>
    <cellStyle name="Accent3 74 2 2 2" xfId="33409" xr:uid="{2487CA28-F9C9-422E-BCA7-B15CBB1930E8}"/>
    <cellStyle name="Accent3 74 2 3" xfId="33408" xr:uid="{50CBDD85-40E7-40E0-8F9C-086D429655EF}"/>
    <cellStyle name="Accent3 74 3" xfId="4776" xr:uid="{00000000-0005-0000-0000-0000A8120000}"/>
    <cellStyle name="Accent3 74 3 2" xfId="4777" xr:uid="{00000000-0005-0000-0000-0000A9120000}"/>
    <cellStyle name="Accent3 74 3 2 2" xfId="4778" xr:uid="{00000000-0005-0000-0000-0000AA120000}"/>
    <cellStyle name="Accent3 74 3 2 2 2" xfId="33412" xr:uid="{1C988BC6-4FE2-4A82-AF8F-507BBAD2284E}"/>
    <cellStyle name="Accent3 74 3 2 3" xfId="33411" xr:uid="{F46FA806-1BE9-41C4-BA94-B01F3E46EBD7}"/>
    <cellStyle name="Accent3 74 3 3" xfId="4779" xr:uid="{00000000-0005-0000-0000-0000AB120000}"/>
    <cellStyle name="Accent3 74 3 3 2" xfId="33413" xr:uid="{B8F9310B-B397-4C79-A6B9-6AA2BCC4726C}"/>
    <cellStyle name="Accent3 74 3 4" xfId="33410" xr:uid="{3D02E2C8-81EC-456A-B365-1C0AC46E95A0}"/>
    <cellStyle name="Accent3 74 4" xfId="4780" xr:uid="{00000000-0005-0000-0000-0000AC120000}"/>
    <cellStyle name="Accent3 74 4 2" xfId="33414" xr:uid="{9F1981EF-D133-479C-BF35-00CD6746E469}"/>
    <cellStyle name="Accent3 74 5" xfId="33407" xr:uid="{7ACB7E59-61D6-4D84-81B5-907153EF96B1}"/>
    <cellStyle name="Accent3 75" xfId="4781" xr:uid="{00000000-0005-0000-0000-0000AD120000}"/>
    <cellStyle name="Accent3 75 2" xfId="4782" xr:uid="{00000000-0005-0000-0000-0000AE120000}"/>
    <cellStyle name="Accent3 75 2 2" xfId="4783" xr:uid="{00000000-0005-0000-0000-0000AF120000}"/>
    <cellStyle name="Accent3 75 2 2 2" xfId="33417" xr:uid="{DCA1B4A3-DB47-49FB-9CE2-C86EE594ABBC}"/>
    <cellStyle name="Accent3 75 2 3" xfId="33416" xr:uid="{497212CC-AFE2-436F-9F43-0A346FDF8F89}"/>
    <cellStyle name="Accent3 75 3" xfId="4784" xr:uid="{00000000-0005-0000-0000-0000B0120000}"/>
    <cellStyle name="Accent3 75 3 2" xfId="4785" xr:uid="{00000000-0005-0000-0000-0000B1120000}"/>
    <cellStyle name="Accent3 75 3 2 2" xfId="4786" xr:uid="{00000000-0005-0000-0000-0000B2120000}"/>
    <cellStyle name="Accent3 75 3 2 2 2" xfId="33420" xr:uid="{269A7693-09DD-409F-92F2-ADB2FBFCD49A}"/>
    <cellStyle name="Accent3 75 3 2 3" xfId="33419" xr:uid="{7894C65E-92C9-4D0B-AB9E-DA2EB76B88DA}"/>
    <cellStyle name="Accent3 75 3 3" xfId="4787" xr:uid="{00000000-0005-0000-0000-0000B3120000}"/>
    <cellStyle name="Accent3 75 3 3 2" xfId="33421" xr:uid="{13CEC066-C6FD-42D8-A92B-77223BDCD671}"/>
    <cellStyle name="Accent3 75 3 4" xfId="33418" xr:uid="{C3BC7760-267F-47FE-B6E7-0A1AAAEF25C1}"/>
    <cellStyle name="Accent3 75 4" xfId="4788" xr:uid="{00000000-0005-0000-0000-0000B4120000}"/>
    <cellStyle name="Accent3 75 4 2" xfId="33422" xr:uid="{883C0487-FEF8-4EE4-8896-8AD5C761C47B}"/>
    <cellStyle name="Accent3 75 5" xfId="33415" xr:uid="{38A1C77C-830A-445A-A843-E85C09C57B53}"/>
    <cellStyle name="Accent3 76" xfId="4789" xr:uid="{00000000-0005-0000-0000-0000B5120000}"/>
    <cellStyle name="Accent3 76 2" xfId="4790" xr:uid="{00000000-0005-0000-0000-0000B6120000}"/>
    <cellStyle name="Accent3 76 2 2" xfId="4791" xr:uid="{00000000-0005-0000-0000-0000B7120000}"/>
    <cellStyle name="Accent3 76 2 2 2" xfId="33425" xr:uid="{7B7F3F35-08D7-480E-AB89-C903B2F63AF2}"/>
    <cellStyle name="Accent3 76 2 3" xfId="33424" xr:uid="{2BB5B203-3537-4BE5-9D65-D5E9B69BE7E3}"/>
    <cellStyle name="Accent3 76 3" xfId="4792" xr:uid="{00000000-0005-0000-0000-0000B8120000}"/>
    <cellStyle name="Accent3 76 3 2" xfId="4793" xr:uid="{00000000-0005-0000-0000-0000B9120000}"/>
    <cellStyle name="Accent3 76 3 2 2" xfId="4794" xr:uid="{00000000-0005-0000-0000-0000BA120000}"/>
    <cellStyle name="Accent3 76 3 2 2 2" xfId="33428" xr:uid="{C8C1637C-B73E-4836-936E-0433D57DE372}"/>
    <cellStyle name="Accent3 76 3 2 3" xfId="33427" xr:uid="{972D2117-0C61-4E62-84AC-DF2C007209B9}"/>
    <cellStyle name="Accent3 76 3 3" xfId="4795" xr:uid="{00000000-0005-0000-0000-0000BB120000}"/>
    <cellStyle name="Accent3 76 3 3 2" xfId="33429" xr:uid="{0E8329B0-5E0C-49FA-843E-1B5EF8579E24}"/>
    <cellStyle name="Accent3 76 3 4" xfId="33426" xr:uid="{8EFC4AE5-33D0-4DA2-8A5A-C231C73330E8}"/>
    <cellStyle name="Accent3 76 4" xfId="4796" xr:uid="{00000000-0005-0000-0000-0000BC120000}"/>
    <cellStyle name="Accent3 76 4 2" xfId="33430" xr:uid="{BCF9524B-8CF9-44DB-A1A3-46C53258D01C}"/>
    <cellStyle name="Accent3 76 5" xfId="33423" xr:uid="{EE9DE9C0-0289-430B-842B-0EBD551F4970}"/>
    <cellStyle name="Accent3 77" xfId="4797" xr:uid="{00000000-0005-0000-0000-0000BD120000}"/>
    <cellStyle name="Accent3 77 2" xfId="4798" xr:uid="{00000000-0005-0000-0000-0000BE120000}"/>
    <cellStyle name="Accent3 77 2 2" xfId="4799" xr:uid="{00000000-0005-0000-0000-0000BF120000}"/>
    <cellStyle name="Accent3 77 2 2 2" xfId="33433" xr:uid="{57618066-5C02-4D36-9DAB-DC559B893384}"/>
    <cellStyle name="Accent3 77 2 3" xfId="33432" xr:uid="{F3EF7E3B-F298-47CC-93F3-42A9C2674757}"/>
    <cellStyle name="Accent3 77 3" xfId="4800" xr:uid="{00000000-0005-0000-0000-0000C0120000}"/>
    <cellStyle name="Accent3 77 3 2" xfId="4801" xr:uid="{00000000-0005-0000-0000-0000C1120000}"/>
    <cellStyle name="Accent3 77 3 2 2" xfId="4802" xr:uid="{00000000-0005-0000-0000-0000C2120000}"/>
    <cellStyle name="Accent3 77 3 2 2 2" xfId="33436" xr:uid="{A3C671EC-5AD4-4286-9C96-1FC579662556}"/>
    <cellStyle name="Accent3 77 3 2 3" xfId="33435" xr:uid="{94659D33-CF76-48B7-8BF8-C9D868E77141}"/>
    <cellStyle name="Accent3 77 3 3" xfId="4803" xr:uid="{00000000-0005-0000-0000-0000C3120000}"/>
    <cellStyle name="Accent3 77 3 3 2" xfId="33437" xr:uid="{3084E887-3FE9-4936-BF33-3851211C8AD3}"/>
    <cellStyle name="Accent3 77 3 4" xfId="33434" xr:uid="{201D099F-ADAC-4160-BD0E-CC17601E8E36}"/>
    <cellStyle name="Accent3 77 4" xfId="4804" xr:uid="{00000000-0005-0000-0000-0000C4120000}"/>
    <cellStyle name="Accent3 77 4 2" xfId="33438" xr:uid="{398B897C-FE93-4117-8248-91B09B0D374E}"/>
    <cellStyle name="Accent3 77 5" xfId="33431" xr:uid="{0F10871C-2662-4EEB-84CD-80EB19435D0D}"/>
    <cellStyle name="Accent3 78" xfId="4805" xr:uid="{00000000-0005-0000-0000-0000C5120000}"/>
    <cellStyle name="Accent3 78 2" xfId="4806" xr:uid="{00000000-0005-0000-0000-0000C6120000}"/>
    <cellStyle name="Accent3 78 2 2" xfId="4807" xr:uid="{00000000-0005-0000-0000-0000C7120000}"/>
    <cellStyle name="Accent3 78 2 2 2" xfId="33441" xr:uid="{7DAEA0BB-9311-4DB9-8148-D338E98E1A12}"/>
    <cellStyle name="Accent3 78 2 3" xfId="33440" xr:uid="{F70F1771-02EC-439D-A6AF-8C2C91165E24}"/>
    <cellStyle name="Accent3 78 3" xfId="4808" xr:uid="{00000000-0005-0000-0000-0000C8120000}"/>
    <cellStyle name="Accent3 78 3 2" xfId="4809" xr:uid="{00000000-0005-0000-0000-0000C9120000}"/>
    <cellStyle name="Accent3 78 3 2 2" xfId="4810" xr:uid="{00000000-0005-0000-0000-0000CA120000}"/>
    <cellStyle name="Accent3 78 3 2 2 2" xfId="33444" xr:uid="{93259176-5A62-42D5-8DCB-131285FFEDBE}"/>
    <cellStyle name="Accent3 78 3 2 3" xfId="33443" xr:uid="{64F4E213-2007-48F2-B627-9C364F62B82B}"/>
    <cellStyle name="Accent3 78 3 3" xfId="4811" xr:uid="{00000000-0005-0000-0000-0000CB120000}"/>
    <cellStyle name="Accent3 78 3 3 2" xfId="33445" xr:uid="{D9DC87D9-06E0-4D38-B598-55D6847DAC25}"/>
    <cellStyle name="Accent3 78 3 4" xfId="33442" xr:uid="{628E81AA-372E-494F-A425-0206B1B3C507}"/>
    <cellStyle name="Accent3 78 4" xfId="4812" xr:uid="{00000000-0005-0000-0000-0000CC120000}"/>
    <cellStyle name="Accent3 78 4 2" xfId="33446" xr:uid="{BCAC03F7-CEAB-4BAB-9D95-4A0CA5028E9F}"/>
    <cellStyle name="Accent3 78 5" xfId="33439" xr:uid="{C6518359-28E3-47CD-8527-D64BCF5E1AE4}"/>
    <cellStyle name="Accent3 79" xfId="4813" xr:uid="{00000000-0005-0000-0000-0000CD120000}"/>
    <cellStyle name="Accent3 79 2" xfId="4814" xr:uid="{00000000-0005-0000-0000-0000CE120000}"/>
    <cellStyle name="Accent3 79 2 2" xfId="4815" xr:uid="{00000000-0005-0000-0000-0000CF120000}"/>
    <cellStyle name="Accent3 79 2 2 2" xfId="33449" xr:uid="{5B5704E6-3CD6-4382-B59F-38E50F544B7F}"/>
    <cellStyle name="Accent3 79 2 3" xfId="33448" xr:uid="{5A1C0777-B952-4FA5-AD64-6A32264E7CD7}"/>
    <cellStyle name="Accent3 79 3" xfId="4816" xr:uid="{00000000-0005-0000-0000-0000D0120000}"/>
    <cellStyle name="Accent3 79 3 2" xfId="4817" xr:uid="{00000000-0005-0000-0000-0000D1120000}"/>
    <cellStyle name="Accent3 79 3 2 2" xfId="4818" xr:uid="{00000000-0005-0000-0000-0000D2120000}"/>
    <cellStyle name="Accent3 79 3 2 2 2" xfId="33452" xr:uid="{586E3450-9BDE-4CDC-8569-F057A7157148}"/>
    <cellStyle name="Accent3 79 3 2 3" xfId="33451" xr:uid="{916F031C-0B45-486A-8DC1-ADABFCDFF21A}"/>
    <cellStyle name="Accent3 79 3 3" xfId="4819" xr:uid="{00000000-0005-0000-0000-0000D3120000}"/>
    <cellStyle name="Accent3 79 3 3 2" xfId="33453" xr:uid="{DA442A82-B259-4384-ACA1-EE7C0C6847AF}"/>
    <cellStyle name="Accent3 79 3 4" xfId="33450" xr:uid="{14630BA5-5460-4A55-9F5B-7F3876A7E070}"/>
    <cellStyle name="Accent3 79 4" xfId="4820" xr:uid="{00000000-0005-0000-0000-0000D4120000}"/>
    <cellStyle name="Accent3 79 4 2" xfId="33454" xr:uid="{303A91C5-C320-4E12-B41C-6183F0D35A43}"/>
    <cellStyle name="Accent3 79 5" xfId="33447" xr:uid="{F24E50D0-656B-4251-AC0B-A14659CC21CB}"/>
    <cellStyle name="Accent3 8" xfId="4821" xr:uid="{00000000-0005-0000-0000-0000D5120000}"/>
    <cellStyle name="Accent3 8 2" xfId="4822" xr:uid="{00000000-0005-0000-0000-0000D6120000}"/>
    <cellStyle name="Accent3 8 2 2" xfId="4823" xr:uid="{00000000-0005-0000-0000-0000D7120000}"/>
    <cellStyle name="Accent3 8 2 2 2" xfId="33457" xr:uid="{8533E025-C668-48B7-A53B-1804E433248B}"/>
    <cellStyle name="Accent3 8 2 3" xfId="33456" xr:uid="{1336FF97-314F-4E27-9AAF-4B16A746E641}"/>
    <cellStyle name="Accent3 8 3" xfId="4824" xr:uid="{00000000-0005-0000-0000-0000D8120000}"/>
    <cellStyle name="Accent3 8 3 2" xfId="33458" xr:uid="{87D1B216-28FC-4F7F-BC45-10E06BE39F9D}"/>
    <cellStyle name="Accent3 8 4" xfId="33455" xr:uid="{C9777C32-3856-4A1B-8F36-E81B3A652C01}"/>
    <cellStyle name="Accent3 80" xfId="4825" xr:uid="{00000000-0005-0000-0000-0000D9120000}"/>
    <cellStyle name="Accent3 80 2" xfId="4826" xr:uid="{00000000-0005-0000-0000-0000DA120000}"/>
    <cellStyle name="Accent3 80 2 2" xfId="4827" xr:uid="{00000000-0005-0000-0000-0000DB120000}"/>
    <cellStyle name="Accent3 80 2 2 2" xfId="33461" xr:uid="{45211307-A071-470A-9A30-52C30E0B7CB6}"/>
    <cellStyle name="Accent3 80 2 3" xfId="33460" xr:uid="{2C3FE10B-26A5-488F-8002-F0DD839A9ABD}"/>
    <cellStyle name="Accent3 80 3" xfId="4828" xr:uid="{00000000-0005-0000-0000-0000DC120000}"/>
    <cellStyle name="Accent3 80 3 2" xfId="4829" xr:uid="{00000000-0005-0000-0000-0000DD120000}"/>
    <cellStyle name="Accent3 80 3 2 2" xfId="4830" xr:uid="{00000000-0005-0000-0000-0000DE120000}"/>
    <cellStyle name="Accent3 80 3 2 2 2" xfId="33464" xr:uid="{B0A5F61E-1CB8-467F-8295-AA64FB613869}"/>
    <cellStyle name="Accent3 80 3 2 3" xfId="33463" xr:uid="{A87D479C-BB11-4B98-8608-EA361B8E5382}"/>
    <cellStyle name="Accent3 80 3 3" xfId="4831" xr:uid="{00000000-0005-0000-0000-0000DF120000}"/>
    <cellStyle name="Accent3 80 3 3 2" xfId="33465" xr:uid="{8BA2ADAB-D0E4-431B-A436-49690A45B5FD}"/>
    <cellStyle name="Accent3 80 3 4" xfId="33462" xr:uid="{B0F0B1C4-9E81-4047-BEBD-31DEE6A46DE9}"/>
    <cellStyle name="Accent3 80 4" xfId="4832" xr:uid="{00000000-0005-0000-0000-0000E0120000}"/>
    <cellStyle name="Accent3 80 4 2" xfId="33466" xr:uid="{247E3B63-2092-4BD3-9649-980D297C173B}"/>
    <cellStyle name="Accent3 80 5" xfId="33459" xr:uid="{C8113CDB-DB52-48BA-834B-EEEFD8EE232D}"/>
    <cellStyle name="Accent3 81" xfId="4833" xr:uid="{00000000-0005-0000-0000-0000E1120000}"/>
    <cellStyle name="Accent3 81 2" xfId="4834" xr:uid="{00000000-0005-0000-0000-0000E2120000}"/>
    <cellStyle name="Accent3 81 2 2" xfId="4835" xr:uid="{00000000-0005-0000-0000-0000E3120000}"/>
    <cellStyle name="Accent3 81 2 2 2" xfId="33469" xr:uid="{105D9382-524A-40BB-8338-50F7A002DB05}"/>
    <cellStyle name="Accent3 81 2 3" xfId="33468" xr:uid="{1B26C79B-E5DB-42FC-9584-E7331CAE42C6}"/>
    <cellStyle name="Accent3 81 3" xfId="4836" xr:uid="{00000000-0005-0000-0000-0000E4120000}"/>
    <cellStyle name="Accent3 81 3 2" xfId="4837" xr:uid="{00000000-0005-0000-0000-0000E5120000}"/>
    <cellStyle name="Accent3 81 3 2 2" xfId="4838" xr:uid="{00000000-0005-0000-0000-0000E6120000}"/>
    <cellStyle name="Accent3 81 3 2 2 2" xfId="33472" xr:uid="{FEC275BA-DD7D-46CF-8C42-F11D6BA2F656}"/>
    <cellStyle name="Accent3 81 3 2 3" xfId="33471" xr:uid="{D793B37C-05C3-4B5A-BFAD-DC630A95A5DA}"/>
    <cellStyle name="Accent3 81 3 3" xfId="4839" xr:uid="{00000000-0005-0000-0000-0000E7120000}"/>
    <cellStyle name="Accent3 81 3 3 2" xfId="33473" xr:uid="{AB6B6768-453A-46A4-9D3E-87303999492B}"/>
    <cellStyle name="Accent3 81 3 4" xfId="33470" xr:uid="{9EB34625-D222-4014-B77F-04B2B4DC16B7}"/>
    <cellStyle name="Accent3 81 4" xfId="4840" xr:uid="{00000000-0005-0000-0000-0000E8120000}"/>
    <cellStyle name="Accent3 81 4 2" xfId="33474" xr:uid="{8360F789-52FB-4B24-9D39-4A745B36BD89}"/>
    <cellStyle name="Accent3 81 5" xfId="33467" xr:uid="{2B0ECA6C-DA71-4D6B-B590-45DDF32B982C}"/>
    <cellStyle name="Accent3 82" xfId="4841" xr:uid="{00000000-0005-0000-0000-0000E9120000}"/>
    <cellStyle name="Accent3 82 2" xfId="4842" xr:uid="{00000000-0005-0000-0000-0000EA120000}"/>
    <cellStyle name="Accent3 82 2 2" xfId="4843" xr:uid="{00000000-0005-0000-0000-0000EB120000}"/>
    <cellStyle name="Accent3 82 2 2 2" xfId="33477" xr:uid="{C86B4F03-8AFE-4E4B-947C-593588CE3C0B}"/>
    <cellStyle name="Accent3 82 2 3" xfId="33476" xr:uid="{B7268F3E-D381-4697-BCFC-B6BB73D60F83}"/>
    <cellStyle name="Accent3 82 3" xfId="4844" xr:uid="{00000000-0005-0000-0000-0000EC120000}"/>
    <cellStyle name="Accent3 82 3 2" xfId="4845" xr:uid="{00000000-0005-0000-0000-0000ED120000}"/>
    <cellStyle name="Accent3 82 3 2 2" xfId="4846" xr:uid="{00000000-0005-0000-0000-0000EE120000}"/>
    <cellStyle name="Accent3 82 3 2 2 2" xfId="33480" xr:uid="{1D0D1B4A-033C-4949-AFEA-D0E1B3F09640}"/>
    <cellStyle name="Accent3 82 3 2 3" xfId="33479" xr:uid="{1A77FA91-71D3-45D4-B2B1-8141C3D7F245}"/>
    <cellStyle name="Accent3 82 3 3" xfId="4847" xr:uid="{00000000-0005-0000-0000-0000EF120000}"/>
    <cellStyle name="Accent3 82 3 3 2" xfId="33481" xr:uid="{A004BBED-44B5-4BF0-8C33-331D7D512A30}"/>
    <cellStyle name="Accent3 82 3 4" xfId="33478" xr:uid="{4F02F211-3C2D-4ABE-80CC-B8D13CACEFBB}"/>
    <cellStyle name="Accent3 82 4" xfId="4848" xr:uid="{00000000-0005-0000-0000-0000F0120000}"/>
    <cellStyle name="Accent3 82 4 2" xfId="33482" xr:uid="{26ABAE17-7AF3-4A24-8D0F-52C9B51085A6}"/>
    <cellStyle name="Accent3 82 5" xfId="33475" xr:uid="{D0F3F8DF-7E5A-46CC-BD77-AD5DA6E8C24F}"/>
    <cellStyle name="Accent3 83" xfId="4849" xr:uid="{00000000-0005-0000-0000-0000F1120000}"/>
    <cellStyle name="Accent3 83 2" xfId="4850" xr:uid="{00000000-0005-0000-0000-0000F2120000}"/>
    <cellStyle name="Accent3 83 2 2" xfId="4851" xr:uid="{00000000-0005-0000-0000-0000F3120000}"/>
    <cellStyle name="Accent3 83 2 2 2" xfId="33485" xr:uid="{2BD3ED54-EEDF-4158-AE77-009CD2518BE8}"/>
    <cellStyle name="Accent3 83 2 3" xfId="33484" xr:uid="{38305BA4-7000-4759-ACC9-2F991A66D58A}"/>
    <cellStyle name="Accent3 83 3" xfId="4852" xr:uid="{00000000-0005-0000-0000-0000F4120000}"/>
    <cellStyle name="Accent3 83 3 2" xfId="4853" xr:uid="{00000000-0005-0000-0000-0000F5120000}"/>
    <cellStyle name="Accent3 83 3 2 2" xfId="4854" xr:uid="{00000000-0005-0000-0000-0000F6120000}"/>
    <cellStyle name="Accent3 83 3 2 2 2" xfId="33488" xr:uid="{0D5AEAA6-120A-4D49-9482-78C27ABC2F50}"/>
    <cellStyle name="Accent3 83 3 2 3" xfId="33487" xr:uid="{250D29FD-FB04-405D-82DF-2B826868ABA6}"/>
    <cellStyle name="Accent3 83 3 3" xfId="4855" xr:uid="{00000000-0005-0000-0000-0000F7120000}"/>
    <cellStyle name="Accent3 83 3 3 2" xfId="33489" xr:uid="{2A12B32C-BF60-4556-8F4B-254C5FD48A85}"/>
    <cellStyle name="Accent3 83 3 4" xfId="33486" xr:uid="{14DB13EA-D396-4E4B-AF79-37BE73D957ED}"/>
    <cellStyle name="Accent3 83 4" xfId="4856" xr:uid="{00000000-0005-0000-0000-0000F8120000}"/>
    <cellStyle name="Accent3 83 4 2" xfId="33490" xr:uid="{C9647301-C440-4EFC-9AB6-C8371081BE8E}"/>
    <cellStyle name="Accent3 83 5" xfId="33483" xr:uid="{9EED2A29-B6A8-456F-9EC8-3A6A86BB2CF5}"/>
    <cellStyle name="Accent3 84" xfId="4857" xr:uid="{00000000-0005-0000-0000-0000F9120000}"/>
    <cellStyle name="Accent3 84 2" xfId="4858" xr:uid="{00000000-0005-0000-0000-0000FA120000}"/>
    <cellStyle name="Accent3 84 2 2" xfId="4859" xr:uid="{00000000-0005-0000-0000-0000FB120000}"/>
    <cellStyle name="Accent3 84 2 2 2" xfId="33493" xr:uid="{B134D643-C01D-42DF-9FBB-C27550ED2477}"/>
    <cellStyle name="Accent3 84 2 3" xfId="33492" xr:uid="{BF9E988A-FB36-44AB-92D8-003590F3B98C}"/>
    <cellStyle name="Accent3 84 3" xfId="4860" xr:uid="{00000000-0005-0000-0000-0000FC120000}"/>
    <cellStyle name="Accent3 84 3 2" xfId="33494" xr:uid="{770F552F-7B74-4B6E-804E-A4AB3B4CD4E2}"/>
    <cellStyle name="Accent3 84 4" xfId="33491" xr:uid="{42649415-7819-4AD9-A212-E2B4BAADF957}"/>
    <cellStyle name="Accent3 85" xfId="4861" xr:uid="{00000000-0005-0000-0000-0000FD120000}"/>
    <cellStyle name="Accent3 85 2" xfId="4862" xr:uid="{00000000-0005-0000-0000-0000FE120000}"/>
    <cellStyle name="Accent3 85 2 2" xfId="4863" xr:uid="{00000000-0005-0000-0000-0000FF120000}"/>
    <cellStyle name="Accent3 85 2 2 2" xfId="33497" xr:uid="{EC447B4E-3383-473B-AC20-8604EFE2108F}"/>
    <cellStyle name="Accent3 85 2 3" xfId="33496" xr:uid="{3E90256C-EC10-4E2E-B91A-88002EC6CFB2}"/>
    <cellStyle name="Accent3 85 3" xfId="4864" xr:uid="{00000000-0005-0000-0000-000000130000}"/>
    <cellStyle name="Accent3 85 3 2" xfId="33498" xr:uid="{6F5D8120-E64A-43B4-8EE3-12EE65DEC051}"/>
    <cellStyle name="Accent3 85 4" xfId="33495" xr:uid="{C7297B11-BABD-4EE6-881F-49C010138E45}"/>
    <cellStyle name="Accent3 86" xfId="4865" xr:uid="{00000000-0005-0000-0000-000001130000}"/>
    <cellStyle name="Accent3 86 2" xfId="4866" xr:uid="{00000000-0005-0000-0000-000002130000}"/>
    <cellStyle name="Accent3 86 2 2" xfId="4867" xr:uid="{00000000-0005-0000-0000-000003130000}"/>
    <cellStyle name="Accent3 86 2 2 2" xfId="33501" xr:uid="{4417C073-3570-4E55-9E7E-E5B6AF39CB28}"/>
    <cellStyle name="Accent3 86 2 3" xfId="33500" xr:uid="{9AA7A4E3-7079-487D-B638-E2E006C9FF03}"/>
    <cellStyle name="Accent3 86 3" xfId="4868" xr:uid="{00000000-0005-0000-0000-000004130000}"/>
    <cellStyle name="Accent3 86 3 2" xfId="33502" xr:uid="{0AE1D4CC-955A-4805-A58B-956C8494E795}"/>
    <cellStyle name="Accent3 86 4" xfId="33499" xr:uid="{7E5C3A1B-2B5B-4616-8C29-D1C98DF19137}"/>
    <cellStyle name="Accent3 87" xfId="4869" xr:uid="{00000000-0005-0000-0000-000005130000}"/>
    <cellStyle name="Accent3 87 2" xfId="4870" xr:uid="{00000000-0005-0000-0000-000006130000}"/>
    <cellStyle name="Accent3 87 2 2" xfId="4871" xr:uid="{00000000-0005-0000-0000-000007130000}"/>
    <cellStyle name="Accent3 87 2 2 2" xfId="33505" xr:uid="{0F319526-67B6-48E2-AE22-671C36A8468A}"/>
    <cellStyle name="Accent3 87 2 3" xfId="33504" xr:uid="{D6C38F62-E365-46F0-9D4F-451B2D475C1D}"/>
    <cellStyle name="Accent3 87 3" xfId="4872" xr:uid="{00000000-0005-0000-0000-000008130000}"/>
    <cellStyle name="Accent3 87 3 2" xfId="33506" xr:uid="{204ED66F-548C-42FD-90AC-4DF8B9CFFE68}"/>
    <cellStyle name="Accent3 87 4" xfId="33503" xr:uid="{6C432737-657F-43BD-B0C9-345E11CFEAAE}"/>
    <cellStyle name="Accent3 88" xfId="4873" xr:uid="{00000000-0005-0000-0000-000009130000}"/>
    <cellStyle name="Accent3 88 2" xfId="4874" xr:uid="{00000000-0005-0000-0000-00000A130000}"/>
    <cellStyle name="Accent3 88 2 2" xfId="4875" xr:uid="{00000000-0005-0000-0000-00000B130000}"/>
    <cellStyle name="Accent3 88 2 2 2" xfId="33509" xr:uid="{D7DEE1CA-BD9A-4BE5-9529-0CB5001F5260}"/>
    <cellStyle name="Accent3 88 2 3" xfId="33508" xr:uid="{0E389F85-6B15-41E5-A918-721875E6C7D7}"/>
    <cellStyle name="Accent3 88 3" xfId="4876" xr:uid="{00000000-0005-0000-0000-00000C130000}"/>
    <cellStyle name="Accent3 88 3 2" xfId="33510" xr:uid="{E5EE650F-8C38-4913-9BB8-3520A4B2E3DD}"/>
    <cellStyle name="Accent3 88 4" xfId="33507" xr:uid="{BC244AC8-4044-4493-9DE4-DD18EB356C72}"/>
    <cellStyle name="Accent3 89" xfId="4877" xr:uid="{00000000-0005-0000-0000-00000D130000}"/>
    <cellStyle name="Accent3 89 2" xfId="4878" xr:uid="{00000000-0005-0000-0000-00000E130000}"/>
    <cellStyle name="Accent3 89 2 2" xfId="4879" xr:uid="{00000000-0005-0000-0000-00000F130000}"/>
    <cellStyle name="Accent3 89 2 2 2" xfId="33513" xr:uid="{E0421E14-5834-48A4-958B-7211AD794E23}"/>
    <cellStyle name="Accent3 89 2 3" xfId="33512" xr:uid="{371AD55D-8090-4CF6-B212-DCABCC83F348}"/>
    <cellStyle name="Accent3 89 3" xfId="4880" xr:uid="{00000000-0005-0000-0000-000010130000}"/>
    <cellStyle name="Accent3 89 3 2" xfId="33514" xr:uid="{39B235A9-200C-471D-992A-01C13B6963B9}"/>
    <cellStyle name="Accent3 89 4" xfId="33511" xr:uid="{12E4884A-0904-42FA-AE53-AD477662097C}"/>
    <cellStyle name="Accent3 9" xfId="4881" xr:uid="{00000000-0005-0000-0000-000011130000}"/>
    <cellStyle name="Accent3 9 2" xfId="4882" xr:uid="{00000000-0005-0000-0000-000012130000}"/>
    <cellStyle name="Accent3 9 2 2" xfId="4883" xr:uid="{00000000-0005-0000-0000-000013130000}"/>
    <cellStyle name="Accent3 9 2 2 2" xfId="33517" xr:uid="{9380E30C-5F2B-493F-A0B7-380CAC3988FF}"/>
    <cellStyle name="Accent3 9 2 3" xfId="33516" xr:uid="{06424506-E443-47EE-9A59-8B59AD5A98B7}"/>
    <cellStyle name="Accent3 9 3" xfId="4884" xr:uid="{00000000-0005-0000-0000-000014130000}"/>
    <cellStyle name="Accent3 9 3 2" xfId="33518" xr:uid="{20AEE1C7-97F6-4AA7-A7E9-A2D65A09E157}"/>
    <cellStyle name="Accent3 9 4" xfId="33515" xr:uid="{4AC80836-A6B5-497D-9FBA-81B19A53A6BB}"/>
    <cellStyle name="Accent3 90" xfId="4885" xr:uid="{00000000-0005-0000-0000-000015130000}"/>
    <cellStyle name="Accent3 90 2" xfId="4886" xr:uid="{00000000-0005-0000-0000-000016130000}"/>
    <cellStyle name="Accent3 90 2 2" xfId="4887" xr:uid="{00000000-0005-0000-0000-000017130000}"/>
    <cellStyle name="Accent3 90 2 2 2" xfId="33521" xr:uid="{337D70F5-D004-4F36-B2A6-CD92858E2F7E}"/>
    <cellStyle name="Accent3 90 2 3" xfId="33520" xr:uid="{2633036D-96FF-48AC-9A9B-C8C472460270}"/>
    <cellStyle name="Accent3 90 3" xfId="4888" xr:uid="{00000000-0005-0000-0000-000018130000}"/>
    <cellStyle name="Accent3 90 3 2" xfId="33522" xr:uid="{6B360D98-4CD1-4A31-B1F8-CC289B5842C3}"/>
    <cellStyle name="Accent3 90 4" xfId="33519" xr:uid="{AF102EF2-F73F-4288-8D0C-E327EB827D83}"/>
    <cellStyle name="Accent3 91" xfId="4889" xr:uid="{00000000-0005-0000-0000-000019130000}"/>
    <cellStyle name="Accent3 91 2" xfId="4890" xr:uid="{00000000-0005-0000-0000-00001A130000}"/>
    <cellStyle name="Accent3 91 2 2" xfId="4891" xr:uid="{00000000-0005-0000-0000-00001B130000}"/>
    <cellStyle name="Accent3 91 2 2 2" xfId="33525" xr:uid="{04A6FF88-24F8-4FB9-909D-7519956DD7B0}"/>
    <cellStyle name="Accent3 91 2 3" xfId="33524" xr:uid="{901338CC-A406-4F77-81BB-82F0147E8F53}"/>
    <cellStyle name="Accent3 91 3" xfId="4892" xr:uid="{00000000-0005-0000-0000-00001C130000}"/>
    <cellStyle name="Accent3 91 3 2" xfId="33526" xr:uid="{52652363-6D7A-4E6C-85F0-6CAB5992216E}"/>
    <cellStyle name="Accent3 91 4" xfId="33523" xr:uid="{87C76214-7275-446B-819C-C9AA6FF9C358}"/>
    <cellStyle name="Accent3 92" xfId="4893" xr:uid="{00000000-0005-0000-0000-00001D130000}"/>
    <cellStyle name="Accent3 92 2" xfId="4894" xr:uid="{00000000-0005-0000-0000-00001E130000}"/>
    <cellStyle name="Accent3 92 2 2" xfId="4895" xr:uid="{00000000-0005-0000-0000-00001F130000}"/>
    <cellStyle name="Accent3 92 2 2 2" xfId="33529" xr:uid="{E0BB36BE-5389-4C8A-BE66-6325C7F026F3}"/>
    <cellStyle name="Accent3 92 2 3" xfId="33528" xr:uid="{F2C0E60F-07A3-4D1E-80E0-C707DBE4EA16}"/>
    <cellStyle name="Accent3 92 3" xfId="4896" xr:uid="{00000000-0005-0000-0000-000020130000}"/>
    <cellStyle name="Accent3 92 3 2" xfId="33530" xr:uid="{7B9EBBC9-E066-481D-B572-9A9FE95FD21A}"/>
    <cellStyle name="Accent3 92 4" xfId="33527" xr:uid="{22CA8075-B07C-4E1B-BF02-4886079163E6}"/>
    <cellStyle name="Accent3 93" xfId="4897" xr:uid="{00000000-0005-0000-0000-000021130000}"/>
    <cellStyle name="Accent3 93 2" xfId="4898" xr:uid="{00000000-0005-0000-0000-000022130000}"/>
    <cellStyle name="Accent3 93 2 2" xfId="4899" xr:uid="{00000000-0005-0000-0000-000023130000}"/>
    <cellStyle name="Accent3 93 2 2 2" xfId="33533" xr:uid="{AD516CE1-04FC-4655-B1FF-731B323D271A}"/>
    <cellStyle name="Accent3 93 2 3" xfId="33532" xr:uid="{4B2B5DD7-ACFF-4422-88D0-6CA6C57B4375}"/>
    <cellStyle name="Accent3 93 3" xfId="4900" xr:uid="{00000000-0005-0000-0000-000024130000}"/>
    <cellStyle name="Accent3 93 3 2" xfId="33534" xr:uid="{8BC37425-F249-4419-856E-552A8FDC6273}"/>
    <cellStyle name="Accent3 93 4" xfId="33531" xr:uid="{95B07D1C-1481-4A43-BE7B-B295AABC72AD}"/>
    <cellStyle name="Accent3 94" xfId="4901" xr:uid="{00000000-0005-0000-0000-000025130000}"/>
    <cellStyle name="Accent3 94 2" xfId="4902" xr:uid="{00000000-0005-0000-0000-000026130000}"/>
    <cellStyle name="Accent3 94 2 2" xfId="4903" xr:uid="{00000000-0005-0000-0000-000027130000}"/>
    <cellStyle name="Accent3 94 2 2 2" xfId="33537" xr:uid="{5C7A3316-7878-49C1-B62C-FEE207F8DDD4}"/>
    <cellStyle name="Accent3 94 2 3" xfId="33536" xr:uid="{20A56F6C-468C-40BC-B1CC-5C7C5C1F78B3}"/>
    <cellStyle name="Accent3 94 3" xfId="4904" xr:uid="{00000000-0005-0000-0000-000028130000}"/>
    <cellStyle name="Accent3 94 3 2" xfId="33538" xr:uid="{6358305D-7373-4DF7-A2D9-27E27670C599}"/>
    <cellStyle name="Accent3 94 4" xfId="33535" xr:uid="{CD7A8F39-D367-492A-A476-90D8FE7B309F}"/>
    <cellStyle name="Accent3 95" xfId="4905" xr:uid="{00000000-0005-0000-0000-000029130000}"/>
    <cellStyle name="Accent3 95 2" xfId="4906" xr:uid="{00000000-0005-0000-0000-00002A130000}"/>
    <cellStyle name="Accent3 95 2 2" xfId="4907" xr:uid="{00000000-0005-0000-0000-00002B130000}"/>
    <cellStyle name="Accent3 95 2 2 2" xfId="33541" xr:uid="{956FC888-75CF-40A7-BB50-9922DD23C6B8}"/>
    <cellStyle name="Accent3 95 2 3" xfId="33540" xr:uid="{402B6942-A109-4BF9-A186-68AAF1832116}"/>
    <cellStyle name="Accent3 95 3" xfId="4908" xr:uid="{00000000-0005-0000-0000-00002C130000}"/>
    <cellStyle name="Accent3 95 3 2" xfId="33542" xr:uid="{CDA686D3-9A27-482E-87DF-B3F595B9B053}"/>
    <cellStyle name="Accent3 95 4" xfId="33539" xr:uid="{A697C176-9BC6-4D6D-9740-0F3F33497C24}"/>
    <cellStyle name="Accent3 96" xfId="4909" xr:uid="{00000000-0005-0000-0000-00002D130000}"/>
    <cellStyle name="Accent3 96 2" xfId="4910" xr:uid="{00000000-0005-0000-0000-00002E130000}"/>
    <cellStyle name="Accent3 96 2 2" xfId="4911" xr:uid="{00000000-0005-0000-0000-00002F130000}"/>
    <cellStyle name="Accent3 96 2 2 2" xfId="33545" xr:uid="{3C792B6E-DCDF-4DDE-A7E4-809C63D48037}"/>
    <cellStyle name="Accent3 96 2 3" xfId="33544" xr:uid="{E7F693A9-861D-41EE-A832-CADC47641357}"/>
    <cellStyle name="Accent3 96 3" xfId="4912" xr:uid="{00000000-0005-0000-0000-000030130000}"/>
    <cellStyle name="Accent3 96 3 2" xfId="33546" xr:uid="{11D656CC-8CC1-4CFA-A51C-F18AF8EEFA22}"/>
    <cellStyle name="Accent3 96 4" xfId="33543" xr:uid="{DAD80D1A-4506-4148-B70D-654DA71C7FA5}"/>
    <cellStyle name="Accent3 97" xfId="4913" xr:uid="{00000000-0005-0000-0000-000031130000}"/>
    <cellStyle name="Accent3 97 2" xfId="4914" xr:uid="{00000000-0005-0000-0000-000032130000}"/>
    <cellStyle name="Accent3 97 2 2" xfId="4915" xr:uid="{00000000-0005-0000-0000-000033130000}"/>
    <cellStyle name="Accent3 97 2 2 2" xfId="33549" xr:uid="{785C3FE5-17F3-4B63-A7AA-7CEA6E35FA03}"/>
    <cellStyle name="Accent3 97 2 3" xfId="33548" xr:uid="{06C2E2EA-C004-46F4-86C4-24A5FEF78A3B}"/>
    <cellStyle name="Accent3 97 3" xfId="4916" xr:uid="{00000000-0005-0000-0000-000034130000}"/>
    <cellStyle name="Accent3 97 3 2" xfId="33550" xr:uid="{12B68A49-5DB7-44AD-A355-EE635ADB6DD5}"/>
    <cellStyle name="Accent3 97 4" xfId="33547" xr:uid="{22521E59-0BD1-43D4-8459-BAA5F338356C}"/>
    <cellStyle name="Accent3 98" xfId="4917" xr:uid="{00000000-0005-0000-0000-000035130000}"/>
    <cellStyle name="Accent3 98 2" xfId="4918" xr:uid="{00000000-0005-0000-0000-000036130000}"/>
    <cellStyle name="Accent3 98 2 2" xfId="4919" xr:uid="{00000000-0005-0000-0000-000037130000}"/>
    <cellStyle name="Accent3 98 2 2 2" xfId="33553" xr:uid="{10F7B1FB-EE53-46D1-A89F-EF7F68CA1FD3}"/>
    <cellStyle name="Accent3 98 2 3" xfId="33552" xr:uid="{F4CDC1EB-B925-406B-9950-15514F3A14AA}"/>
    <cellStyle name="Accent3 98 3" xfId="4920" xr:uid="{00000000-0005-0000-0000-000038130000}"/>
    <cellStyle name="Accent3 98 3 2" xfId="33554" xr:uid="{23349399-3C67-4E68-B8DC-238E8E61F44B}"/>
    <cellStyle name="Accent3 98 4" xfId="33551" xr:uid="{BA7C8530-13EA-4753-9B5C-F9A0B41850A4}"/>
    <cellStyle name="Accent3 99" xfId="4921" xr:uid="{00000000-0005-0000-0000-000039130000}"/>
    <cellStyle name="Accent3 99 2" xfId="4922" xr:uid="{00000000-0005-0000-0000-00003A130000}"/>
    <cellStyle name="Accent3 99 2 2" xfId="4923" xr:uid="{00000000-0005-0000-0000-00003B130000}"/>
    <cellStyle name="Accent3 99 2 2 2" xfId="33557" xr:uid="{45A8F2DE-BF6A-403C-B019-A14CDA10520E}"/>
    <cellStyle name="Accent3 99 2 3" xfId="33556" xr:uid="{051EB633-8793-4DF1-8DD3-3CC3B5752B13}"/>
    <cellStyle name="Accent3 99 3" xfId="4924" xr:uid="{00000000-0005-0000-0000-00003C130000}"/>
    <cellStyle name="Accent3 99 3 2" xfId="33558" xr:uid="{58E13AF1-98C3-4C2C-93A1-4279019FA1E4}"/>
    <cellStyle name="Accent3 99 4" xfId="33555" xr:uid="{EAA51F81-F9E5-47E0-BD7B-0F393ADAFE17}"/>
    <cellStyle name="Accent4 - 20%" xfId="4925" xr:uid="{00000000-0005-0000-0000-00003D130000}"/>
    <cellStyle name="Accent4 - 20% 10" xfId="4926" xr:uid="{00000000-0005-0000-0000-00003E130000}"/>
    <cellStyle name="Accent4 - 20% 11" xfId="4927" xr:uid="{00000000-0005-0000-0000-00003F130000}"/>
    <cellStyle name="Accent4 - 20% 2" xfId="4928" xr:uid="{00000000-0005-0000-0000-000040130000}"/>
    <cellStyle name="Accent4 - 20% 2 2" xfId="4929" xr:uid="{00000000-0005-0000-0000-000041130000}"/>
    <cellStyle name="Accent4 - 20% 2 2 2" xfId="4930" xr:uid="{00000000-0005-0000-0000-000042130000}"/>
    <cellStyle name="Accent4 - 20% 2 2 2 2" xfId="4931" xr:uid="{00000000-0005-0000-0000-000043130000}"/>
    <cellStyle name="Accent4 - 20% 2 2 3" xfId="4932" xr:uid="{00000000-0005-0000-0000-000044130000}"/>
    <cellStyle name="Accent4 - 20% 2 3" xfId="4933" xr:uid="{00000000-0005-0000-0000-000045130000}"/>
    <cellStyle name="Accent4 - 20% 2 3 2" xfId="4934" xr:uid="{00000000-0005-0000-0000-000046130000}"/>
    <cellStyle name="Accent4 - 20% 2 3 2 2" xfId="4935" xr:uid="{00000000-0005-0000-0000-000047130000}"/>
    <cellStyle name="Accent4 - 20% 2 3 2 2 2" xfId="4936" xr:uid="{00000000-0005-0000-0000-000048130000}"/>
    <cellStyle name="Accent4 - 20% 2 3 2 3" xfId="4937" xr:uid="{00000000-0005-0000-0000-000049130000}"/>
    <cellStyle name="Accent4 - 20% 2 3 3" xfId="4938" xr:uid="{00000000-0005-0000-0000-00004A130000}"/>
    <cellStyle name="Accent4 - 20% 2 3 3 2" xfId="4939" xr:uid="{00000000-0005-0000-0000-00004B130000}"/>
    <cellStyle name="Accent4 - 20% 2 3 4" xfId="4940" xr:uid="{00000000-0005-0000-0000-00004C130000}"/>
    <cellStyle name="Accent4 - 20% 2 4" xfId="4941" xr:uid="{00000000-0005-0000-0000-00004D130000}"/>
    <cellStyle name="Accent4 - 20% 2 4 2" xfId="4942" xr:uid="{00000000-0005-0000-0000-00004E130000}"/>
    <cellStyle name="Accent4 - 20% 2 4 2 2" xfId="4943" xr:uid="{00000000-0005-0000-0000-00004F130000}"/>
    <cellStyle name="Accent4 - 20% 2 4 2 2 2" xfId="4944" xr:uid="{00000000-0005-0000-0000-000050130000}"/>
    <cellStyle name="Accent4 - 20% 2 4 2 3" xfId="4945" xr:uid="{00000000-0005-0000-0000-000051130000}"/>
    <cellStyle name="Accent4 - 20% 2 4 3" xfId="4946" xr:uid="{00000000-0005-0000-0000-000052130000}"/>
    <cellStyle name="Accent4 - 20% 2 4 3 2" xfId="4947" xr:uid="{00000000-0005-0000-0000-000053130000}"/>
    <cellStyle name="Accent4 - 20% 2 4 4" xfId="4948" xr:uid="{00000000-0005-0000-0000-000054130000}"/>
    <cellStyle name="Accent4 - 20% 2 5" xfId="4949" xr:uid="{00000000-0005-0000-0000-000055130000}"/>
    <cellStyle name="Accent4 - 20% 2 5 2" xfId="4950" xr:uid="{00000000-0005-0000-0000-000056130000}"/>
    <cellStyle name="Accent4 - 20% 2 6" xfId="4951" xr:uid="{00000000-0005-0000-0000-000057130000}"/>
    <cellStyle name="Accent4 - 20% 2 6 2" xfId="4952" xr:uid="{00000000-0005-0000-0000-000058130000}"/>
    <cellStyle name="Accent4 - 20% 2 7" xfId="4953" xr:uid="{00000000-0005-0000-0000-000059130000}"/>
    <cellStyle name="Accent4 - 20% 3" xfId="4954" xr:uid="{00000000-0005-0000-0000-00005A130000}"/>
    <cellStyle name="Accent4 - 20% 3 2" xfId="4955" xr:uid="{00000000-0005-0000-0000-00005B130000}"/>
    <cellStyle name="Accent4 - 20% 3 2 2" xfId="4956" xr:uid="{00000000-0005-0000-0000-00005C130000}"/>
    <cellStyle name="Accent4 - 20% 3 2 2 2" xfId="4957" xr:uid="{00000000-0005-0000-0000-00005D130000}"/>
    <cellStyle name="Accent4 - 20% 3 2 3" xfId="4958" xr:uid="{00000000-0005-0000-0000-00005E130000}"/>
    <cellStyle name="Accent4 - 20% 3 3" xfId="4959" xr:uid="{00000000-0005-0000-0000-00005F130000}"/>
    <cellStyle name="Accent4 - 20% 3 3 2" xfId="4960" xr:uid="{00000000-0005-0000-0000-000060130000}"/>
    <cellStyle name="Accent4 - 20% 3 4" xfId="4961" xr:uid="{00000000-0005-0000-0000-000061130000}"/>
    <cellStyle name="Accent4 - 20% 4" xfId="4962" xr:uid="{00000000-0005-0000-0000-000062130000}"/>
    <cellStyle name="Accent4 - 20% 4 2" xfId="4963" xr:uid="{00000000-0005-0000-0000-000063130000}"/>
    <cellStyle name="Accent4 - 20% 4 2 2" xfId="4964" xr:uid="{00000000-0005-0000-0000-000064130000}"/>
    <cellStyle name="Accent4 - 20% 4 3" xfId="4965" xr:uid="{00000000-0005-0000-0000-000065130000}"/>
    <cellStyle name="Accent4 - 20% 5" xfId="4966" xr:uid="{00000000-0005-0000-0000-000066130000}"/>
    <cellStyle name="Accent4 - 20% 5 2" xfId="4967" xr:uid="{00000000-0005-0000-0000-000067130000}"/>
    <cellStyle name="Accent4 - 20% 5 2 2" xfId="4968" xr:uid="{00000000-0005-0000-0000-000068130000}"/>
    <cellStyle name="Accent4 - 20% 5 3" xfId="4969" xr:uid="{00000000-0005-0000-0000-000069130000}"/>
    <cellStyle name="Accent4 - 20% 6" xfId="4970" xr:uid="{00000000-0005-0000-0000-00006A130000}"/>
    <cellStyle name="Accent4 - 20% 6 2" xfId="4971" xr:uid="{00000000-0005-0000-0000-00006B130000}"/>
    <cellStyle name="Accent4 - 20% 7" xfId="4972" xr:uid="{00000000-0005-0000-0000-00006C130000}"/>
    <cellStyle name="Accent4 - 20% 7 2" xfId="4973" xr:uid="{00000000-0005-0000-0000-00006D130000}"/>
    <cellStyle name="Accent4 - 20% 8" xfId="4974" xr:uid="{00000000-0005-0000-0000-00006E130000}"/>
    <cellStyle name="Accent4 - 20% 8 2" xfId="4975" xr:uid="{00000000-0005-0000-0000-00006F130000}"/>
    <cellStyle name="Accent4 - 20% 9" xfId="4976" xr:uid="{00000000-0005-0000-0000-000070130000}"/>
    <cellStyle name="Accent4 - 20% 9 2" xfId="4977" xr:uid="{00000000-0005-0000-0000-000071130000}"/>
    <cellStyle name="Accent4 - 40%" xfId="4978" xr:uid="{00000000-0005-0000-0000-000072130000}"/>
    <cellStyle name="Accent4 - 40% 10" xfId="4979" xr:uid="{00000000-0005-0000-0000-000073130000}"/>
    <cellStyle name="Accent4 - 40% 11" xfId="4980" xr:uid="{00000000-0005-0000-0000-000074130000}"/>
    <cellStyle name="Accent4 - 40% 11 2" xfId="33559" xr:uid="{267665E8-AE6F-4D1D-A843-8D238939CD9A}"/>
    <cellStyle name="Accent4 - 40% 2" xfId="4981" xr:uid="{00000000-0005-0000-0000-000075130000}"/>
    <cellStyle name="Accent4 - 40% 2 2" xfId="4982" xr:uid="{00000000-0005-0000-0000-000076130000}"/>
    <cellStyle name="Accent4 - 40% 2 2 2" xfId="4983" xr:uid="{00000000-0005-0000-0000-000077130000}"/>
    <cellStyle name="Accent4 - 40% 2 2 2 2" xfId="4984" xr:uid="{00000000-0005-0000-0000-000078130000}"/>
    <cellStyle name="Accent4 - 40% 2 2 3" xfId="4985" xr:uid="{00000000-0005-0000-0000-000079130000}"/>
    <cellStyle name="Accent4 - 40% 2 3" xfId="4986" xr:uid="{00000000-0005-0000-0000-00007A130000}"/>
    <cellStyle name="Accent4 - 40% 2 3 2" xfId="4987" xr:uid="{00000000-0005-0000-0000-00007B130000}"/>
    <cellStyle name="Accent4 - 40% 2 3 2 2" xfId="4988" xr:uid="{00000000-0005-0000-0000-00007C130000}"/>
    <cellStyle name="Accent4 - 40% 2 3 2 2 2" xfId="4989" xr:uid="{00000000-0005-0000-0000-00007D130000}"/>
    <cellStyle name="Accent4 - 40% 2 3 2 3" xfId="4990" xr:uid="{00000000-0005-0000-0000-00007E130000}"/>
    <cellStyle name="Accent4 - 40% 2 3 3" xfId="4991" xr:uid="{00000000-0005-0000-0000-00007F130000}"/>
    <cellStyle name="Accent4 - 40% 2 3 3 2" xfId="4992" xr:uid="{00000000-0005-0000-0000-000080130000}"/>
    <cellStyle name="Accent4 - 40% 2 3 4" xfId="4993" xr:uid="{00000000-0005-0000-0000-000081130000}"/>
    <cellStyle name="Accent4 - 40% 2 4" xfId="4994" xr:uid="{00000000-0005-0000-0000-000082130000}"/>
    <cellStyle name="Accent4 - 40% 2 4 2" xfId="4995" xr:uid="{00000000-0005-0000-0000-000083130000}"/>
    <cellStyle name="Accent4 - 40% 2 4 2 2" xfId="4996" xr:uid="{00000000-0005-0000-0000-000084130000}"/>
    <cellStyle name="Accent4 - 40% 2 4 2 2 2" xfId="4997" xr:uid="{00000000-0005-0000-0000-000085130000}"/>
    <cellStyle name="Accent4 - 40% 2 4 2 2 2 2" xfId="33563" xr:uid="{104620C2-F6EA-4DFE-8A05-5E1D2E64BCE1}"/>
    <cellStyle name="Accent4 - 40% 2 4 2 2 3" xfId="33562" xr:uid="{7393B0AA-BC8D-49E8-BA5C-B6B86BBB99FD}"/>
    <cellStyle name="Accent4 - 40% 2 4 2 3" xfId="4998" xr:uid="{00000000-0005-0000-0000-000086130000}"/>
    <cellStyle name="Accent4 - 40% 2 4 2 3 2" xfId="33564" xr:uid="{AE7F3625-E10F-4BBA-B36E-C2CB20B4184E}"/>
    <cellStyle name="Accent4 - 40% 2 4 2 4" xfId="33561" xr:uid="{41241902-C842-4283-886C-9428F318D950}"/>
    <cellStyle name="Accent4 - 40% 2 4 3" xfId="4999" xr:uid="{00000000-0005-0000-0000-000087130000}"/>
    <cellStyle name="Accent4 - 40% 2 4 3 2" xfId="5000" xr:uid="{00000000-0005-0000-0000-000088130000}"/>
    <cellStyle name="Accent4 - 40% 2 4 3 2 2" xfId="33566" xr:uid="{9F9132E1-69F1-48F1-9C6E-B1DE3EF3DD21}"/>
    <cellStyle name="Accent4 - 40% 2 4 3 3" xfId="33565" xr:uid="{DC6466AD-785B-416E-9F03-F7D7CBE82978}"/>
    <cellStyle name="Accent4 - 40% 2 4 4" xfId="5001" xr:uid="{00000000-0005-0000-0000-000089130000}"/>
    <cellStyle name="Accent4 - 40% 2 4 4 2" xfId="33567" xr:uid="{3FBA05F5-59AD-4AAD-A0F6-913ED0F17B13}"/>
    <cellStyle name="Accent4 - 40% 2 4 5" xfId="33560" xr:uid="{28EA77C1-327B-491A-876E-60C6E7DD8203}"/>
    <cellStyle name="Accent4 - 40% 2 5" xfId="5002" xr:uid="{00000000-0005-0000-0000-00008A130000}"/>
    <cellStyle name="Accent4 - 40% 2 5 2" xfId="5003" xr:uid="{00000000-0005-0000-0000-00008B130000}"/>
    <cellStyle name="Accent4 - 40% 2 6" xfId="5004" xr:uid="{00000000-0005-0000-0000-00008C130000}"/>
    <cellStyle name="Accent4 - 40% 2 6 2" xfId="5005" xr:uid="{00000000-0005-0000-0000-00008D130000}"/>
    <cellStyle name="Accent4 - 40% 2 7" xfId="5006" xr:uid="{00000000-0005-0000-0000-00008E130000}"/>
    <cellStyle name="Accent4 - 40% 3" xfId="5007" xr:uid="{00000000-0005-0000-0000-00008F130000}"/>
    <cellStyle name="Accent4 - 40% 3 2" xfId="5008" xr:uid="{00000000-0005-0000-0000-000090130000}"/>
    <cellStyle name="Accent4 - 40% 3 2 2" xfId="5009" xr:uid="{00000000-0005-0000-0000-000091130000}"/>
    <cellStyle name="Accent4 - 40% 3 2 2 2" xfId="5010" xr:uid="{00000000-0005-0000-0000-000092130000}"/>
    <cellStyle name="Accent4 - 40% 3 2 3" xfId="5011" xr:uid="{00000000-0005-0000-0000-000093130000}"/>
    <cellStyle name="Accent4 - 40% 3 3" xfId="5012" xr:uid="{00000000-0005-0000-0000-000094130000}"/>
    <cellStyle name="Accent4 - 40% 3 3 2" xfId="5013" xr:uid="{00000000-0005-0000-0000-000095130000}"/>
    <cellStyle name="Accent4 - 40% 3 4" xfId="5014" xr:uid="{00000000-0005-0000-0000-000096130000}"/>
    <cellStyle name="Accent4 - 40% 4" xfId="5015" xr:uid="{00000000-0005-0000-0000-000097130000}"/>
    <cellStyle name="Accent4 - 40% 4 2" xfId="5016" xr:uid="{00000000-0005-0000-0000-000098130000}"/>
    <cellStyle name="Accent4 - 40% 4 2 2" xfId="5017" xr:uid="{00000000-0005-0000-0000-000099130000}"/>
    <cellStyle name="Accent4 - 40% 4 3" xfId="5018" xr:uid="{00000000-0005-0000-0000-00009A130000}"/>
    <cellStyle name="Accent4 - 40% 5" xfId="5019" xr:uid="{00000000-0005-0000-0000-00009B130000}"/>
    <cellStyle name="Accent4 - 40% 5 2" xfId="5020" xr:uid="{00000000-0005-0000-0000-00009C130000}"/>
    <cellStyle name="Accent4 - 40% 5 2 2" xfId="5021" xr:uid="{00000000-0005-0000-0000-00009D130000}"/>
    <cellStyle name="Accent4 - 40% 5 3" xfId="5022" xr:uid="{00000000-0005-0000-0000-00009E130000}"/>
    <cellStyle name="Accent4 - 40% 6" xfId="5023" xr:uid="{00000000-0005-0000-0000-00009F130000}"/>
    <cellStyle name="Accent4 - 40% 6 2" xfId="5024" xr:uid="{00000000-0005-0000-0000-0000A0130000}"/>
    <cellStyle name="Accent4 - 40% 7" xfId="5025" xr:uid="{00000000-0005-0000-0000-0000A1130000}"/>
    <cellStyle name="Accent4 - 40% 7 2" xfId="5026" xr:uid="{00000000-0005-0000-0000-0000A2130000}"/>
    <cellStyle name="Accent4 - 40% 8" xfId="5027" xr:uid="{00000000-0005-0000-0000-0000A3130000}"/>
    <cellStyle name="Accent4 - 40% 8 2" xfId="5028" xr:uid="{00000000-0005-0000-0000-0000A4130000}"/>
    <cellStyle name="Accent4 - 40% 9" xfId="5029" xr:uid="{00000000-0005-0000-0000-0000A5130000}"/>
    <cellStyle name="Accent4 - 40% 9 2" xfId="5030" xr:uid="{00000000-0005-0000-0000-0000A6130000}"/>
    <cellStyle name="Accent4 - 60%" xfId="5031" xr:uid="{00000000-0005-0000-0000-0000A7130000}"/>
    <cellStyle name="Accent4 - 60% 10" xfId="5032" xr:uid="{00000000-0005-0000-0000-0000A8130000}"/>
    <cellStyle name="Accent4 - 60% 2" xfId="5033" xr:uid="{00000000-0005-0000-0000-0000A9130000}"/>
    <cellStyle name="Accent4 - 60% 2 2" xfId="5034" xr:uid="{00000000-0005-0000-0000-0000AA130000}"/>
    <cellStyle name="Accent4 - 60% 2 2 2" xfId="5035" xr:uid="{00000000-0005-0000-0000-0000AB130000}"/>
    <cellStyle name="Accent4 - 60% 2 3" xfId="5036" xr:uid="{00000000-0005-0000-0000-0000AC130000}"/>
    <cellStyle name="Accent4 - 60% 2 3 2" xfId="5037" xr:uid="{00000000-0005-0000-0000-0000AD130000}"/>
    <cellStyle name="Accent4 - 60% 2 3 2 2" xfId="5038" xr:uid="{00000000-0005-0000-0000-0000AE130000}"/>
    <cellStyle name="Accent4 - 60% 2 3 3" xfId="5039" xr:uid="{00000000-0005-0000-0000-0000AF130000}"/>
    <cellStyle name="Accent4 - 60% 2 4" xfId="5040" xr:uid="{00000000-0005-0000-0000-0000B0130000}"/>
    <cellStyle name="Accent4 - 60% 2 4 2" xfId="5041" xr:uid="{00000000-0005-0000-0000-0000B1130000}"/>
    <cellStyle name="Accent4 - 60% 2 4 2 2" xfId="5042" xr:uid="{00000000-0005-0000-0000-0000B2130000}"/>
    <cellStyle name="Accent4 - 60% 2 4 3" xfId="5043" xr:uid="{00000000-0005-0000-0000-0000B3130000}"/>
    <cellStyle name="Accent4 - 60% 2 5" xfId="5044" xr:uid="{00000000-0005-0000-0000-0000B4130000}"/>
    <cellStyle name="Accent4 - 60% 3" xfId="5045" xr:uid="{00000000-0005-0000-0000-0000B5130000}"/>
    <cellStyle name="Accent4 - 60% 3 2" xfId="5046" xr:uid="{00000000-0005-0000-0000-0000B6130000}"/>
    <cellStyle name="Accent4 - 60% 3 2 2" xfId="5047" xr:uid="{00000000-0005-0000-0000-0000B7130000}"/>
    <cellStyle name="Accent4 - 60% 3 3" xfId="5048" xr:uid="{00000000-0005-0000-0000-0000B8130000}"/>
    <cellStyle name="Accent4 - 60% 4" xfId="5049" xr:uid="{00000000-0005-0000-0000-0000B9130000}"/>
    <cellStyle name="Accent4 - 60% 4 2" xfId="5050" xr:uid="{00000000-0005-0000-0000-0000BA130000}"/>
    <cellStyle name="Accent4 - 60% 5" xfId="5051" xr:uid="{00000000-0005-0000-0000-0000BB130000}"/>
    <cellStyle name="Accent4 - 60% 5 2" xfId="5052" xr:uid="{00000000-0005-0000-0000-0000BC130000}"/>
    <cellStyle name="Accent4 - 60% 6" xfId="5053" xr:uid="{00000000-0005-0000-0000-0000BD130000}"/>
    <cellStyle name="Accent4 - 60% 6 2" xfId="5054" xr:uid="{00000000-0005-0000-0000-0000BE130000}"/>
    <cellStyle name="Accent4 - 60% 6 2 2" xfId="5055" xr:uid="{00000000-0005-0000-0000-0000BF130000}"/>
    <cellStyle name="Accent4 - 60% 6 3" xfId="5056" xr:uid="{00000000-0005-0000-0000-0000C0130000}"/>
    <cellStyle name="Accent4 - 60% 7" xfId="5057" xr:uid="{00000000-0005-0000-0000-0000C1130000}"/>
    <cellStyle name="Accent4 - 60% 7 2" xfId="5058" xr:uid="{00000000-0005-0000-0000-0000C2130000}"/>
    <cellStyle name="Accent4 - 60% 8" xfId="5059" xr:uid="{00000000-0005-0000-0000-0000C3130000}"/>
    <cellStyle name="Accent4 - 60% 8 2" xfId="5060" xr:uid="{00000000-0005-0000-0000-0000C4130000}"/>
    <cellStyle name="Accent4 - 60% 9" xfId="5061" xr:uid="{00000000-0005-0000-0000-0000C5130000}"/>
    <cellStyle name="Accent4 10" xfId="5062" xr:uid="{00000000-0005-0000-0000-0000C6130000}"/>
    <cellStyle name="Accent4 10 2" xfId="5063" xr:uid="{00000000-0005-0000-0000-0000C7130000}"/>
    <cellStyle name="Accent4 10 2 2" xfId="5064" xr:uid="{00000000-0005-0000-0000-0000C8130000}"/>
    <cellStyle name="Accent4 10 3" xfId="5065" xr:uid="{00000000-0005-0000-0000-0000C9130000}"/>
    <cellStyle name="Accent4 100" xfId="5066" xr:uid="{00000000-0005-0000-0000-0000CA130000}"/>
    <cellStyle name="Accent4 100 2" xfId="5067" xr:uid="{00000000-0005-0000-0000-0000CB130000}"/>
    <cellStyle name="Accent4 100 2 2" xfId="5068" xr:uid="{00000000-0005-0000-0000-0000CC130000}"/>
    <cellStyle name="Accent4 100 3" xfId="5069" xr:uid="{00000000-0005-0000-0000-0000CD130000}"/>
    <cellStyle name="Accent4 101" xfId="5070" xr:uid="{00000000-0005-0000-0000-0000CE130000}"/>
    <cellStyle name="Accent4 101 2" xfId="5071" xr:uid="{00000000-0005-0000-0000-0000CF130000}"/>
    <cellStyle name="Accent4 101 2 2" xfId="5072" xr:uid="{00000000-0005-0000-0000-0000D0130000}"/>
    <cellStyle name="Accent4 101 3" xfId="5073" xr:uid="{00000000-0005-0000-0000-0000D1130000}"/>
    <cellStyle name="Accent4 102" xfId="5074" xr:uid="{00000000-0005-0000-0000-0000D2130000}"/>
    <cellStyle name="Accent4 102 2" xfId="5075" xr:uid="{00000000-0005-0000-0000-0000D3130000}"/>
    <cellStyle name="Accent4 103" xfId="5076" xr:uid="{00000000-0005-0000-0000-0000D4130000}"/>
    <cellStyle name="Accent4 103 2" xfId="5077" xr:uid="{00000000-0005-0000-0000-0000D5130000}"/>
    <cellStyle name="Accent4 104" xfId="5078" xr:uid="{00000000-0005-0000-0000-0000D6130000}"/>
    <cellStyle name="Accent4 104 2" xfId="5079" xr:uid="{00000000-0005-0000-0000-0000D7130000}"/>
    <cellStyle name="Accent4 104 2 2" xfId="5080" xr:uid="{00000000-0005-0000-0000-0000D8130000}"/>
    <cellStyle name="Accent4 104 3" xfId="5081" xr:uid="{00000000-0005-0000-0000-0000D9130000}"/>
    <cellStyle name="Accent4 105" xfId="5082" xr:uid="{00000000-0005-0000-0000-0000DA130000}"/>
    <cellStyle name="Accent4 105 2" xfId="5083" xr:uid="{00000000-0005-0000-0000-0000DB130000}"/>
    <cellStyle name="Accent4 105 2 2" xfId="5084" xr:uid="{00000000-0005-0000-0000-0000DC130000}"/>
    <cellStyle name="Accent4 105 3" xfId="5085" xr:uid="{00000000-0005-0000-0000-0000DD130000}"/>
    <cellStyle name="Accent4 106" xfId="5086" xr:uid="{00000000-0005-0000-0000-0000DE130000}"/>
    <cellStyle name="Accent4 106 2" xfId="5087" xr:uid="{00000000-0005-0000-0000-0000DF130000}"/>
    <cellStyle name="Accent4 106 2 2" xfId="5088" xr:uid="{00000000-0005-0000-0000-0000E0130000}"/>
    <cellStyle name="Accent4 106 3" xfId="5089" xr:uid="{00000000-0005-0000-0000-0000E1130000}"/>
    <cellStyle name="Accent4 107" xfId="5090" xr:uid="{00000000-0005-0000-0000-0000E2130000}"/>
    <cellStyle name="Accent4 107 2" xfId="5091" xr:uid="{00000000-0005-0000-0000-0000E3130000}"/>
    <cellStyle name="Accent4 107 2 2" xfId="5092" xr:uid="{00000000-0005-0000-0000-0000E4130000}"/>
    <cellStyle name="Accent4 107 3" xfId="5093" xr:uid="{00000000-0005-0000-0000-0000E5130000}"/>
    <cellStyle name="Accent4 108" xfId="5094" xr:uid="{00000000-0005-0000-0000-0000E6130000}"/>
    <cellStyle name="Accent4 108 2" xfId="5095" xr:uid="{00000000-0005-0000-0000-0000E7130000}"/>
    <cellStyle name="Accent4 108 2 2" xfId="5096" xr:uid="{00000000-0005-0000-0000-0000E8130000}"/>
    <cellStyle name="Accent4 108 3" xfId="5097" xr:uid="{00000000-0005-0000-0000-0000E9130000}"/>
    <cellStyle name="Accent4 109" xfId="5098" xr:uid="{00000000-0005-0000-0000-0000EA130000}"/>
    <cellStyle name="Accent4 109 2" xfId="5099" xr:uid="{00000000-0005-0000-0000-0000EB130000}"/>
    <cellStyle name="Accent4 109 2 2" xfId="5100" xr:uid="{00000000-0005-0000-0000-0000EC130000}"/>
    <cellStyle name="Accent4 109 3" xfId="5101" xr:uid="{00000000-0005-0000-0000-0000ED130000}"/>
    <cellStyle name="Accent4 11" xfId="5102" xr:uid="{00000000-0005-0000-0000-0000EE130000}"/>
    <cellStyle name="Accent4 11 2" xfId="5103" xr:uid="{00000000-0005-0000-0000-0000EF130000}"/>
    <cellStyle name="Accent4 11 2 2" xfId="5104" xr:uid="{00000000-0005-0000-0000-0000F0130000}"/>
    <cellStyle name="Accent4 11 3" xfId="5105" xr:uid="{00000000-0005-0000-0000-0000F1130000}"/>
    <cellStyle name="Accent4 110" xfId="5106" xr:uid="{00000000-0005-0000-0000-0000F2130000}"/>
    <cellStyle name="Accent4 110 2" xfId="5107" xr:uid="{00000000-0005-0000-0000-0000F3130000}"/>
    <cellStyle name="Accent4 110 2 2" xfId="5108" xr:uid="{00000000-0005-0000-0000-0000F4130000}"/>
    <cellStyle name="Accent4 110 3" xfId="5109" xr:uid="{00000000-0005-0000-0000-0000F5130000}"/>
    <cellStyle name="Accent4 111" xfId="5110" xr:uid="{00000000-0005-0000-0000-0000F6130000}"/>
    <cellStyle name="Accent4 111 2" xfId="5111" xr:uid="{00000000-0005-0000-0000-0000F7130000}"/>
    <cellStyle name="Accent4 111 2 2" xfId="5112" xr:uid="{00000000-0005-0000-0000-0000F8130000}"/>
    <cellStyle name="Accent4 111 3" xfId="5113" xr:uid="{00000000-0005-0000-0000-0000F9130000}"/>
    <cellStyle name="Accent4 112" xfId="5114" xr:uid="{00000000-0005-0000-0000-0000FA130000}"/>
    <cellStyle name="Accent4 112 2" xfId="5115" xr:uid="{00000000-0005-0000-0000-0000FB130000}"/>
    <cellStyle name="Accent4 112 2 2" xfId="5116" xr:uid="{00000000-0005-0000-0000-0000FC130000}"/>
    <cellStyle name="Accent4 112 3" xfId="5117" xr:uid="{00000000-0005-0000-0000-0000FD130000}"/>
    <cellStyle name="Accent4 113" xfId="5118" xr:uid="{00000000-0005-0000-0000-0000FE130000}"/>
    <cellStyle name="Accent4 113 2" xfId="5119" xr:uid="{00000000-0005-0000-0000-0000FF130000}"/>
    <cellStyle name="Accent4 113 2 2" xfId="5120" xr:uid="{00000000-0005-0000-0000-000000140000}"/>
    <cellStyle name="Accent4 113 3" xfId="5121" xr:uid="{00000000-0005-0000-0000-000001140000}"/>
    <cellStyle name="Accent4 114" xfId="5122" xr:uid="{00000000-0005-0000-0000-000002140000}"/>
    <cellStyle name="Accent4 114 2" xfId="5123" xr:uid="{00000000-0005-0000-0000-000003140000}"/>
    <cellStyle name="Accent4 115" xfId="5124" xr:uid="{00000000-0005-0000-0000-000004140000}"/>
    <cellStyle name="Accent4 115 2" xfId="5125" xr:uid="{00000000-0005-0000-0000-000005140000}"/>
    <cellStyle name="Accent4 116" xfId="5126" xr:uid="{00000000-0005-0000-0000-000006140000}"/>
    <cellStyle name="Accent4 116 2" xfId="5127" xr:uid="{00000000-0005-0000-0000-000007140000}"/>
    <cellStyle name="Accent4 117" xfId="5128" xr:uid="{00000000-0005-0000-0000-000008140000}"/>
    <cellStyle name="Accent4 117 2" xfId="5129" xr:uid="{00000000-0005-0000-0000-000009140000}"/>
    <cellStyle name="Accent4 118" xfId="5130" xr:uid="{00000000-0005-0000-0000-00000A140000}"/>
    <cellStyle name="Accent4 118 2" xfId="5131" xr:uid="{00000000-0005-0000-0000-00000B140000}"/>
    <cellStyle name="Accent4 119" xfId="5132" xr:uid="{00000000-0005-0000-0000-00000C140000}"/>
    <cellStyle name="Accent4 119 2" xfId="5133" xr:uid="{00000000-0005-0000-0000-00000D140000}"/>
    <cellStyle name="Accent4 12" xfId="5134" xr:uid="{00000000-0005-0000-0000-00000E140000}"/>
    <cellStyle name="Accent4 12 2" xfId="5135" xr:uid="{00000000-0005-0000-0000-00000F140000}"/>
    <cellStyle name="Accent4 12 2 2" xfId="5136" xr:uid="{00000000-0005-0000-0000-000010140000}"/>
    <cellStyle name="Accent4 12 3" xfId="5137" xr:uid="{00000000-0005-0000-0000-000011140000}"/>
    <cellStyle name="Accent4 120" xfId="5138" xr:uid="{00000000-0005-0000-0000-000012140000}"/>
    <cellStyle name="Accent4 120 2" xfId="5139" xr:uid="{00000000-0005-0000-0000-000013140000}"/>
    <cellStyle name="Accent4 121" xfId="5140" xr:uid="{00000000-0005-0000-0000-000014140000}"/>
    <cellStyle name="Accent4 121 2" xfId="5141" xr:uid="{00000000-0005-0000-0000-000015140000}"/>
    <cellStyle name="Accent4 122" xfId="5142" xr:uid="{00000000-0005-0000-0000-000016140000}"/>
    <cellStyle name="Accent4 122 2" xfId="5143" xr:uid="{00000000-0005-0000-0000-000017140000}"/>
    <cellStyle name="Accent4 123" xfId="5144" xr:uid="{00000000-0005-0000-0000-000018140000}"/>
    <cellStyle name="Accent4 123 2" xfId="5145" xr:uid="{00000000-0005-0000-0000-000019140000}"/>
    <cellStyle name="Accent4 124" xfId="5146" xr:uid="{00000000-0005-0000-0000-00001A140000}"/>
    <cellStyle name="Accent4 124 2" xfId="5147" xr:uid="{00000000-0005-0000-0000-00001B140000}"/>
    <cellStyle name="Accent4 125" xfId="5148" xr:uid="{00000000-0005-0000-0000-00001C140000}"/>
    <cellStyle name="Accent4 125 2" xfId="5149" xr:uid="{00000000-0005-0000-0000-00001D140000}"/>
    <cellStyle name="Accent4 126" xfId="5150" xr:uid="{00000000-0005-0000-0000-00001E140000}"/>
    <cellStyle name="Accent4 127" xfId="5151" xr:uid="{00000000-0005-0000-0000-00001F140000}"/>
    <cellStyle name="Accent4 128" xfId="5152" xr:uid="{00000000-0005-0000-0000-000020140000}"/>
    <cellStyle name="Accent4 129" xfId="5153" xr:uid="{00000000-0005-0000-0000-000021140000}"/>
    <cellStyle name="Accent4 13" xfId="5154" xr:uid="{00000000-0005-0000-0000-000022140000}"/>
    <cellStyle name="Accent4 13 2" xfId="5155" xr:uid="{00000000-0005-0000-0000-000023140000}"/>
    <cellStyle name="Accent4 13 2 2" xfId="5156" xr:uid="{00000000-0005-0000-0000-000024140000}"/>
    <cellStyle name="Accent4 13 3" xfId="5157" xr:uid="{00000000-0005-0000-0000-000025140000}"/>
    <cellStyle name="Accent4 130" xfId="5158" xr:uid="{00000000-0005-0000-0000-000026140000}"/>
    <cellStyle name="Accent4 131" xfId="5159" xr:uid="{00000000-0005-0000-0000-000027140000}"/>
    <cellStyle name="Accent4 132" xfId="5160" xr:uid="{00000000-0005-0000-0000-000028140000}"/>
    <cellStyle name="Accent4 133" xfId="5161" xr:uid="{00000000-0005-0000-0000-000029140000}"/>
    <cellStyle name="Accent4 134" xfId="5162" xr:uid="{00000000-0005-0000-0000-00002A140000}"/>
    <cellStyle name="Accent4 135" xfId="5163" xr:uid="{00000000-0005-0000-0000-00002B140000}"/>
    <cellStyle name="Accent4 136" xfId="5164" xr:uid="{00000000-0005-0000-0000-00002C140000}"/>
    <cellStyle name="Accent4 137" xfId="5165" xr:uid="{00000000-0005-0000-0000-00002D140000}"/>
    <cellStyle name="Accent4 138" xfId="5166" xr:uid="{00000000-0005-0000-0000-00002E140000}"/>
    <cellStyle name="Accent4 139" xfId="5167" xr:uid="{00000000-0005-0000-0000-00002F140000}"/>
    <cellStyle name="Accent4 14" xfId="5168" xr:uid="{00000000-0005-0000-0000-000030140000}"/>
    <cellStyle name="Accent4 14 2" xfId="5169" xr:uid="{00000000-0005-0000-0000-000031140000}"/>
    <cellStyle name="Accent4 14 2 2" xfId="5170" xr:uid="{00000000-0005-0000-0000-000032140000}"/>
    <cellStyle name="Accent4 14 3" xfId="5171" xr:uid="{00000000-0005-0000-0000-000033140000}"/>
    <cellStyle name="Accent4 140" xfId="5172" xr:uid="{00000000-0005-0000-0000-000034140000}"/>
    <cellStyle name="Accent4 141" xfId="5173" xr:uid="{00000000-0005-0000-0000-000035140000}"/>
    <cellStyle name="Accent4 142" xfId="5174" xr:uid="{00000000-0005-0000-0000-000036140000}"/>
    <cellStyle name="Accent4 143" xfId="5175" xr:uid="{00000000-0005-0000-0000-000037140000}"/>
    <cellStyle name="Accent4 144" xfId="5176" xr:uid="{00000000-0005-0000-0000-000038140000}"/>
    <cellStyle name="Accent4 145" xfId="5177" xr:uid="{00000000-0005-0000-0000-000039140000}"/>
    <cellStyle name="Accent4 146" xfId="5178" xr:uid="{00000000-0005-0000-0000-00003A140000}"/>
    <cellStyle name="Accent4 147" xfId="5179" xr:uid="{00000000-0005-0000-0000-00003B140000}"/>
    <cellStyle name="Accent4 148" xfId="5180" xr:uid="{00000000-0005-0000-0000-00003C140000}"/>
    <cellStyle name="Accent4 149" xfId="5181" xr:uid="{00000000-0005-0000-0000-00003D140000}"/>
    <cellStyle name="Accent4 15" xfId="5182" xr:uid="{00000000-0005-0000-0000-00003E140000}"/>
    <cellStyle name="Accent4 15 2" xfId="5183" xr:uid="{00000000-0005-0000-0000-00003F140000}"/>
    <cellStyle name="Accent4 15 2 2" xfId="5184" xr:uid="{00000000-0005-0000-0000-000040140000}"/>
    <cellStyle name="Accent4 15 3" xfId="5185" xr:uid="{00000000-0005-0000-0000-000041140000}"/>
    <cellStyle name="Accent4 150" xfId="5186" xr:uid="{00000000-0005-0000-0000-000042140000}"/>
    <cellStyle name="Accent4 151" xfId="5187" xr:uid="{00000000-0005-0000-0000-000043140000}"/>
    <cellStyle name="Accent4 152" xfId="5188" xr:uid="{00000000-0005-0000-0000-000044140000}"/>
    <cellStyle name="Accent4 153" xfId="5189" xr:uid="{00000000-0005-0000-0000-000045140000}"/>
    <cellStyle name="Accent4 154" xfId="5190" xr:uid="{00000000-0005-0000-0000-000046140000}"/>
    <cellStyle name="Accent4 155" xfId="5191" xr:uid="{00000000-0005-0000-0000-000047140000}"/>
    <cellStyle name="Accent4 156" xfId="5192" xr:uid="{00000000-0005-0000-0000-000048140000}"/>
    <cellStyle name="Accent4 157" xfId="5193" xr:uid="{00000000-0005-0000-0000-000049140000}"/>
    <cellStyle name="Accent4 158" xfId="5194" xr:uid="{00000000-0005-0000-0000-00004A140000}"/>
    <cellStyle name="Accent4 159" xfId="5195" xr:uid="{00000000-0005-0000-0000-00004B140000}"/>
    <cellStyle name="Accent4 16" xfId="5196" xr:uid="{00000000-0005-0000-0000-00004C140000}"/>
    <cellStyle name="Accent4 16 2" xfId="5197" xr:uid="{00000000-0005-0000-0000-00004D140000}"/>
    <cellStyle name="Accent4 16 2 2" xfId="5198" xr:uid="{00000000-0005-0000-0000-00004E140000}"/>
    <cellStyle name="Accent4 16 3" xfId="5199" xr:uid="{00000000-0005-0000-0000-00004F140000}"/>
    <cellStyle name="Accent4 160" xfId="5200" xr:uid="{00000000-0005-0000-0000-000050140000}"/>
    <cellStyle name="Accent4 161" xfId="5201" xr:uid="{00000000-0005-0000-0000-000051140000}"/>
    <cellStyle name="Accent4 162" xfId="5202" xr:uid="{00000000-0005-0000-0000-000052140000}"/>
    <cellStyle name="Accent4 163" xfId="5203" xr:uid="{00000000-0005-0000-0000-000053140000}"/>
    <cellStyle name="Accent4 164" xfId="5204" xr:uid="{00000000-0005-0000-0000-000054140000}"/>
    <cellStyle name="Accent4 165" xfId="5205" xr:uid="{00000000-0005-0000-0000-000055140000}"/>
    <cellStyle name="Accent4 166" xfId="5206" xr:uid="{00000000-0005-0000-0000-000056140000}"/>
    <cellStyle name="Accent4 167" xfId="5207" xr:uid="{00000000-0005-0000-0000-000057140000}"/>
    <cellStyle name="Accent4 168" xfId="5208" xr:uid="{00000000-0005-0000-0000-000058140000}"/>
    <cellStyle name="Accent4 169" xfId="5209" xr:uid="{00000000-0005-0000-0000-000059140000}"/>
    <cellStyle name="Accent4 17" xfId="5210" xr:uid="{00000000-0005-0000-0000-00005A140000}"/>
    <cellStyle name="Accent4 17 2" xfId="5211" xr:uid="{00000000-0005-0000-0000-00005B140000}"/>
    <cellStyle name="Accent4 17 2 2" xfId="5212" xr:uid="{00000000-0005-0000-0000-00005C140000}"/>
    <cellStyle name="Accent4 17 3" xfId="5213" xr:uid="{00000000-0005-0000-0000-00005D140000}"/>
    <cellStyle name="Accent4 170" xfId="5214" xr:uid="{00000000-0005-0000-0000-00005E140000}"/>
    <cellStyle name="Accent4 171" xfId="5215" xr:uid="{00000000-0005-0000-0000-00005F140000}"/>
    <cellStyle name="Accent4 172" xfId="5216" xr:uid="{00000000-0005-0000-0000-000060140000}"/>
    <cellStyle name="Accent4 173" xfId="5217" xr:uid="{00000000-0005-0000-0000-000061140000}"/>
    <cellStyle name="Accent4 174" xfId="5218" xr:uid="{00000000-0005-0000-0000-000062140000}"/>
    <cellStyle name="Accent4 175" xfId="5219" xr:uid="{00000000-0005-0000-0000-000063140000}"/>
    <cellStyle name="Accent4 176" xfId="5220" xr:uid="{00000000-0005-0000-0000-000064140000}"/>
    <cellStyle name="Accent4 177" xfId="5221" xr:uid="{00000000-0005-0000-0000-000065140000}"/>
    <cellStyle name="Accent4 178" xfId="5222" xr:uid="{00000000-0005-0000-0000-000066140000}"/>
    <cellStyle name="Accent4 179" xfId="5223" xr:uid="{00000000-0005-0000-0000-000067140000}"/>
    <cellStyle name="Accent4 18" xfId="5224" xr:uid="{00000000-0005-0000-0000-000068140000}"/>
    <cellStyle name="Accent4 18 2" xfId="5225" xr:uid="{00000000-0005-0000-0000-000069140000}"/>
    <cellStyle name="Accent4 18 2 2" xfId="5226" xr:uid="{00000000-0005-0000-0000-00006A140000}"/>
    <cellStyle name="Accent4 18 3" xfId="5227" xr:uid="{00000000-0005-0000-0000-00006B140000}"/>
    <cellStyle name="Accent4 19" xfId="5228" xr:uid="{00000000-0005-0000-0000-00006C140000}"/>
    <cellStyle name="Accent4 19 2" xfId="5229" xr:uid="{00000000-0005-0000-0000-00006D140000}"/>
    <cellStyle name="Accent4 19 2 2" xfId="5230" xr:uid="{00000000-0005-0000-0000-00006E140000}"/>
    <cellStyle name="Accent4 19 3" xfId="5231" xr:uid="{00000000-0005-0000-0000-00006F140000}"/>
    <cellStyle name="Accent4 2" xfId="5232" xr:uid="{00000000-0005-0000-0000-000070140000}"/>
    <cellStyle name="Accent4 2 10" xfId="5233" xr:uid="{00000000-0005-0000-0000-000071140000}"/>
    <cellStyle name="Accent4 2 10 2" xfId="5234" xr:uid="{00000000-0005-0000-0000-000072140000}"/>
    <cellStyle name="Accent4 2 11" xfId="5235" xr:uid="{00000000-0005-0000-0000-000073140000}"/>
    <cellStyle name="Accent4 2 12" xfId="5236" xr:uid="{00000000-0005-0000-0000-000074140000}"/>
    <cellStyle name="Accent4 2 2" xfId="5237" xr:uid="{00000000-0005-0000-0000-000075140000}"/>
    <cellStyle name="Accent4 2 2 2" xfId="5238" xr:uid="{00000000-0005-0000-0000-000076140000}"/>
    <cellStyle name="Accent4 2 2 2 2" xfId="5239" xr:uid="{00000000-0005-0000-0000-000077140000}"/>
    <cellStyle name="Accent4 2 2 3" xfId="5240" xr:uid="{00000000-0005-0000-0000-000078140000}"/>
    <cellStyle name="Accent4 2 2 3 2" xfId="5241" xr:uid="{00000000-0005-0000-0000-000079140000}"/>
    <cellStyle name="Accent4 2 2 3 2 2" xfId="5242" xr:uid="{00000000-0005-0000-0000-00007A140000}"/>
    <cellStyle name="Accent4 2 2 3 3" xfId="5243" xr:uid="{00000000-0005-0000-0000-00007B140000}"/>
    <cellStyle name="Accent4 2 2 4" xfId="5244" xr:uid="{00000000-0005-0000-0000-00007C140000}"/>
    <cellStyle name="Accent4 2 3" xfId="5245" xr:uid="{00000000-0005-0000-0000-00007D140000}"/>
    <cellStyle name="Accent4 2 3 2" xfId="5246" xr:uid="{00000000-0005-0000-0000-00007E140000}"/>
    <cellStyle name="Accent4 2 3 2 2" xfId="5247" xr:uid="{00000000-0005-0000-0000-00007F140000}"/>
    <cellStyle name="Accent4 2 3 3" xfId="5248" xr:uid="{00000000-0005-0000-0000-000080140000}"/>
    <cellStyle name="Accent4 2 3 3 2" xfId="5249" xr:uid="{00000000-0005-0000-0000-000081140000}"/>
    <cellStyle name="Accent4 2 3 3 2 2" xfId="5250" xr:uid="{00000000-0005-0000-0000-000082140000}"/>
    <cellStyle name="Accent4 2 3 3 3" xfId="5251" xr:uid="{00000000-0005-0000-0000-000083140000}"/>
    <cellStyle name="Accent4 2 3 4" xfId="5252" xr:uid="{00000000-0005-0000-0000-000084140000}"/>
    <cellStyle name="Accent4 2 4" xfId="5253" xr:uid="{00000000-0005-0000-0000-000085140000}"/>
    <cellStyle name="Accent4 2 4 2" xfId="5254" xr:uid="{00000000-0005-0000-0000-000086140000}"/>
    <cellStyle name="Accent4 2 4 2 2" xfId="5255" xr:uid="{00000000-0005-0000-0000-000087140000}"/>
    <cellStyle name="Accent4 2 4 3" xfId="5256" xr:uid="{00000000-0005-0000-0000-000088140000}"/>
    <cellStyle name="Accent4 2 5" xfId="5257" xr:uid="{00000000-0005-0000-0000-000089140000}"/>
    <cellStyle name="Accent4 2 5 2" xfId="5258" xr:uid="{00000000-0005-0000-0000-00008A140000}"/>
    <cellStyle name="Accent4 2 5 2 2" xfId="5259" xr:uid="{00000000-0005-0000-0000-00008B140000}"/>
    <cellStyle name="Accent4 2 5 3" xfId="5260" xr:uid="{00000000-0005-0000-0000-00008C140000}"/>
    <cellStyle name="Accent4 2 5 3 2" xfId="5261" xr:uid="{00000000-0005-0000-0000-00008D140000}"/>
    <cellStyle name="Accent4 2 5 3 2 2" xfId="5262" xr:uid="{00000000-0005-0000-0000-00008E140000}"/>
    <cellStyle name="Accent4 2 5 3 3" xfId="5263" xr:uid="{00000000-0005-0000-0000-00008F140000}"/>
    <cellStyle name="Accent4 2 5 4" xfId="5264" xr:uid="{00000000-0005-0000-0000-000090140000}"/>
    <cellStyle name="Accent4 2 6" xfId="5265" xr:uid="{00000000-0005-0000-0000-000091140000}"/>
    <cellStyle name="Accent4 2 6 2" xfId="5266" xr:uid="{00000000-0005-0000-0000-000092140000}"/>
    <cellStyle name="Accent4 2 6 2 2" xfId="5267" xr:uid="{00000000-0005-0000-0000-000093140000}"/>
    <cellStyle name="Accent4 2 6 3" xfId="5268" xr:uid="{00000000-0005-0000-0000-000094140000}"/>
    <cellStyle name="Accent4 2 6 3 2" xfId="5269" xr:uid="{00000000-0005-0000-0000-000095140000}"/>
    <cellStyle name="Accent4 2 6 4" xfId="5270" xr:uid="{00000000-0005-0000-0000-000096140000}"/>
    <cellStyle name="Accent4 2 7" xfId="5271" xr:uid="{00000000-0005-0000-0000-000097140000}"/>
    <cellStyle name="Accent4 2 7 2" xfId="5272" xr:uid="{00000000-0005-0000-0000-000098140000}"/>
    <cellStyle name="Accent4 2 8" xfId="5273" xr:uid="{00000000-0005-0000-0000-000099140000}"/>
    <cellStyle name="Accent4 2 8 2" xfId="5274" xr:uid="{00000000-0005-0000-0000-00009A140000}"/>
    <cellStyle name="Accent4 2 8 2 2" xfId="5275" xr:uid="{00000000-0005-0000-0000-00009B140000}"/>
    <cellStyle name="Accent4 2 8 3" xfId="5276" xr:uid="{00000000-0005-0000-0000-00009C140000}"/>
    <cellStyle name="Accent4 2 9" xfId="5277" xr:uid="{00000000-0005-0000-0000-00009D140000}"/>
    <cellStyle name="Accent4 2 9 2" xfId="5278" xr:uid="{00000000-0005-0000-0000-00009E140000}"/>
    <cellStyle name="Accent4 2 9 2 2" xfId="5279" xr:uid="{00000000-0005-0000-0000-00009F140000}"/>
    <cellStyle name="Accent4 2 9 3" xfId="5280" xr:uid="{00000000-0005-0000-0000-0000A0140000}"/>
    <cellStyle name="Accent4 20" xfId="5281" xr:uid="{00000000-0005-0000-0000-0000A1140000}"/>
    <cellStyle name="Accent4 20 2" xfId="5282" xr:uid="{00000000-0005-0000-0000-0000A2140000}"/>
    <cellStyle name="Accent4 20 2 2" xfId="5283" xr:uid="{00000000-0005-0000-0000-0000A3140000}"/>
    <cellStyle name="Accent4 20 3" xfId="5284" xr:uid="{00000000-0005-0000-0000-0000A4140000}"/>
    <cellStyle name="Accent4 21" xfId="5285" xr:uid="{00000000-0005-0000-0000-0000A5140000}"/>
    <cellStyle name="Accent4 21 2" xfId="5286" xr:uid="{00000000-0005-0000-0000-0000A6140000}"/>
    <cellStyle name="Accent4 21 2 2" xfId="5287" xr:uid="{00000000-0005-0000-0000-0000A7140000}"/>
    <cellStyle name="Accent4 21 3" xfId="5288" xr:uid="{00000000-0005-0000-0000-0000A8140000}"/>
    <cellStyle name="Accent4 22" xfId="5289" xr:uid="{00000000-0005-0000-0000-0000A9140000}"/>
    <cellStyle name="Accent4 22 2" xfId="5290" xr:uid="{00000000-0005-0000-0000-0000AA140000}"/>
    <cellStyle name="Accent4 22 2 2" xfId="5291" xr:uid="{00000000-0005-0000-0000-0000AB140000}"/>
    <cellStyle name="Accent4 22 3" xfId="5292" xr:uid="{00000000-0005-0000-0000-0000AC140000}"/>
    <cellStyle name="Accent4 23" xfId="5293" xr:uid="{00000000-0005-0000-0000-0000AD140000}"/>
    <cellStyle name="Accent4 23 2" xfId="5294" xr:uid="{00000000-0005-0000-0000-0000AE140000}"/>
    <cellStyle name="Accent4 23 2 2" xfId="5295" xr:uid="{00000000-0005-0000-0000-0000AF140000}"/>
    <cellStyle name="Accent4 23 3" xfId="5296" xr:uid="{00000000-0005-0000-0000-0000B0140000}"/>
    <cellStyle name="Accent4 24" xfId="5297" xr:uid="{00000000-0005-0000-0000-0000B1140000}"/>
    <cellStyle name="Accent4 24 2" xfId="5298" xr:uid="{00000000-0005-0000-0000-0000B2140000}"/>
    <cellStyle name="Accent4 24 2 2" xfId="5299" xr:uid="{00000000-0005-0000-0000-0000B3140000}"/>
    <cellStyle name="Accent4 24 3" xfId="5300" xr:uid="{00000000-0005-0000-0000-0000B4140000}"/>
    <cellStyle name="Accent4 25" xfId="5301" xr:uid="{00000000-0005-0000-0000-0000B5140000}"/>
    <cellStyle name="Accent4 25 2" xfId="5302" xr:uid="{00000000-0005-0000-0000-0000B6140000}"/>
    <cellStyle name="Accent4 25 2 2" xfId="5303" xr:uid="{00000000-0005-0000-0000-0000B7140000}"/>
    <cellStyle name="Accent4 25 3" xfId="5304" xr:uid="{00000000-0005-0000-0000-0000B8140000}"/>
    <cellStyle name="Accent4 26" xfId="5305" xr:uid="{00000000-0005-0000-0000-0000B9140000}"/>
    <cellStyle name="Accent4 26 2" xfId="5306" xr:uid="{00000000-0005-0000-0000-0000BA140000}"/>
    <cellStyle name="Accent4 26 2 2" xfId="5307" xr:uid="{00000000-0005-0000-0000-0000BB140000}"/>
    <cellStyle name="Accent4 26 3" xfId="5308" xr:uid="{00000000-0005-0000-0000-0000BC140000}"/>
    <cellStyle name="Accent4 27" xfId="5309" xr:uid="{00000000-0005-0000-0000-0000BD140000}"/>
    <cellStyle name="Accent4 27 2" xfId="5310" xr:uid="{00000000-0005-0000-0000-0000BE140000}"/>
    <cellStyle name="Accent4 27 2 2" xfId="5311" xr:uid="{00000000-0005-0000-0000-0000BF140000}"/>
    <cellStyle name="Accent4 27 3" xfId="5312" xr:uid="{00000000-0005-0000-0000-0000C0140000}"/>
    <cellStyle name="Accent4 28" xfId="5313" xr:uid="{00000000-0005-0000-0000-0000C1140000}"/>
    <cellStyle name="Accent4 28 2" xfId="5314" xr:uid="{00000000-0005-0000-0000-0000C2140000}"/>
    <cellStyle name="Accent4 28 2 2" xfId="5315" xr:uid="{00000000-0005-0000-0000-0000C3140000}"/>
    <cellStyle name="Accent4 28 3" xfId="5316" xr:uid="{00000000-0005-0000-0000-0000C4140000}"/>
    <cellStyle name="Accent4 29" xfId="5317" xr:uid="{00000000-0005-0000-0000-0000C5140000}"/>
    <cellStyle name="Accent4 29 2" xfId="5318" xr:uid="{00000000-0005-0000-0000-0000C6140000}"/>
    <cellStyle name="Accent4 29 2 2" xfId="5319" xr:uid="{00000000-0005-0000-0000-0000C7140000}"/>
    <cellStyle name="Accent4 29 3" xfId="5320" xr:uid="{00000000-0005-0000-0000-0000C8140000}"/>
    <cellStyle name="Accent4 3" xfId="5321" xr:uid="{00000000-0005-0000-0000-0000C9140000}"/>
    <cellStyle name="Accent4 3 10" xfId="5322" xr:uid="{00000000-0005-0000-0000-0000CA140000}"/>
    <cellStyle name="Accent4 3 10 2" xfId="5323" xr:uid="{00000000-0005-0000-0000-0000CB140000}"/>
    <cellStyle name="Accent4 3 10 2 2" xfId="5324" xr:uid="{00000000-0005-0000-0000-0000CC140000}"/>
    <cellStyle name="Accent4 3 10 3" xfId="5325" xr:uid="{00000000-0005-0000-0000-0000CD140000}"/>
    <cellStyle name="Accent4 3 11" xfId="5326" xr:uid="{00000000-0005-0000-0000-0000CE140000}"/>
    <cellStyle name="Accent4 3 11 2" xfId="5327" xr:uid="{00000000-0005-0000-0000-0000CF140000}"/>
    <cellStyle name="Accent4 3 12" xfId="5328" xr:uid="{00000000-0005-0000-0000-0000D0140000}"/>
    <cellStyle name="Accent4 3 2" xfId="5329" xr:uid="{00000000-0005-0000-0000-0000D1140000}"/>
    <cellStyle name="Accent4 3 2 2" xfId="5330" xr:uid="{00000000-0005-0000-0000-0000D2140000}"/>
    <cellStyle name="Accent4 3 2 2 2" xfId="5331" xr:uid="{00000000-0005-0000-0000-0000D3140000}"/>
    <cellStyle name="Accent4 3 2 3" xfId="5332" xr:uid="{00000000-0005-0000-0000-0000D4140000}"/>
    <cellStyle name="Accent4 3 2 3 2" xfId="5333" xr:uid="{00000000-0005-0000-0000-0000D5140000}"/>
    <cellStyle name="Accent4 3 2 3 2 2" xfId="5334" xr:uid="{00000000-0005-0000-0000-0000D6140000}"/>
    <cellStyle name="Accent4 3 2 3 3" xfId="5335" xr:uid="{00000000-0005-0000-0000-0000D7140000}"/>
    <cellStyle name="Accent4 3 2 4" xfId="5336" xr:uid="{00000000-0005-0000-0000-0000D8140000}"/>
    <cellStyle name="Accent4 3 3" xfId="5337" xr:uid="{00000000-0005-0000-0000-0000D9140000}"/>
    <cellStyle name="Accent4 3 3 2" xfId="5338" xr:uid="{00000000-0005-0000-0000-0000DA140000}"/>
    <cellStyle name="Accent4 3 3 2 2" xfId="5339" xr:uid="{00000000-0005-0000-0000-0000DB140000}"/>
    <cellStyle name="Accent4 3 3 3" xfId="5340" xr:uid="{00000000-0005-0000-0000-0000DC140000}"/>
    <cellStyle name="Accent4 3 3 3 2" xfId="5341" xr:uid="{00000000-0005-0000-0000-0000DD140000}"/>
    <cellStyle name="Accent4 3 3 3 2 2" xfId="5342" xr:uid="{00000000-0005-0000-0000-0000DE140000}"/>
    <cellStyle name="Accent4 3 3 3 3" xfId="5343" xr:uid="{00000000-0005-0000-0000-0000DF140000}"/>
    <cellStyle name="Accent4 3 3 4" xfId="5344" xr:uid="{00000000-0005-0000-0000-0000E0140000}"/>
    <cellStyle name="Accent4 3 4" xfId="5345" xr:uid="{00000000-0005-0000-0000-0000E1140000}"/>
    <cellStyle name="Accent4 3 4 2" xfId="5346" xr:uid="{00000000-0005-0000-0000-0000E2140000}"/>
    <cellStyle name="Accent4 3 4 2 2" xfId="5347" xr:uid="{00000000-0005-0000-0000-0000E3140000}"/>
    <cellStyle name="Accent4 3 4 3" xfId="5348" xr:uid="{00000000-0005-0000-0000-0000E4140000}"/>
    <cellStyle name="Accent4 3 5" xfId="5349" xr:uid="{00000000-0005-0000-0000-0000E5140000}"/>
    <cellStyle name="Accent4 3 5 2" xfId="5350" xr:uid="{00000000-0005-0000-0000-0000E6140000}"/>
    <cellStyle name="Accent4 3 5 2 2" xfId="5351" xr:uid="{00000000-0005-0000-0000-0000E7140000}"/>
    <cellStyle name="Accent4 3 5 3" xfId="5352" xr:uid="{00000000-0005-0000-0000-0000E8140000}"/>
    <cellStyle name="Accent4 3 5 3 2" xfId="5353" xr:uid="{00000000-0005-0000-0000-0000E9140000}"/>
    <cellStyle name="Accent4 3 5 3 2 2" xfId="5354" xr:uid="{00000000-0005-0000-0000-0000EA140000}"/>
    <cellStyle name="Accent4 3 5 3 3" xfId="5355" xr:uid="{00000000-0005-0000-0000-0000EB140000}"/>
    <cellStyle name="Accent4 3 5 4" xfId="5356" xr:uid="{00000000-0005-0000-0000-0000EC140000}"/>
    <cellStyle name="Accent4 3 6" xfId="5357" xr:uid="{00000000-0005-0000-0000-0000ED140000}"/>
    <cellStyle name="Accent4 3 6 2" xfId="5358" xr:uid="{00000000-0005-0000-0000-0000EE140000}"/>
    <cellStyle name="Accent4 3 7" xfId="5359" xr:uid="{00000000-0005-0000-0000-0000EF140000}"/>
    <cellStyle name="Accent4 3 7 2" xfId="5360" xr:uid="{00000000-0005-0000-0000-0000F0140000}"/>
    <cellStyle name="Accent4 3 8" xfId="5361" xr:uid="{00000000-0005-0000-0000-0000F1140000}"/>
    <cellStyle name="Accent4 3 8 2" xfId="5362" xr:uid="{00000000-0005-0000-0000-0000F2140000}"/>
    <cellStyle name="Accent4 3 8 2 2" xfId="5363" xr:uid="{00000000-0005-0000-0000-0000F3140000}"/>
    <cellStyle name="Accent4 3 8 3" xfId="5364" xr:uid="{00000000-0005-0000-0000-0000F4140000}"/>
    <cellStyle name="Accent4 3 9" xfId="5365" xr:uid="{00000000-0005-0000-0000-0000F5140000}"/>
    <cellStyle name="Accent4 3 9 2" xfId="5366" xr:uid="{00000000-0005-0000-0000-0000F6140000}"/>
    <cellStyle name="Accent4 3 9 2 2" xfId="5367" xr:uid="{00000000-0005-0000-0000-0000F7140000}"/>
    <cellStyle name="Accent4 3 9 3" xfId="5368" xr:uid="{00000000-0005-0000-0000-0000F8140000}"/>
    <cellStyle name="Accent4 30" xfId="5369" xr:uid="{00000000-0005-0000-0000-0000F9140000}"/>
    <cellStyle name="Accent4 30 2" xfId="5370" xr:uid="{00000000-0005-0000-0000-0000FA140000}"/>
    <cellStyle name="Accent4 30 2 2" xfId="5371" xr:uid="{00000000-0005-0000-0000-0000FB140000}"/>
    <cellStyle name="Accent4 30 3" xfId="5372" xr:uid="{00000000-0005-0000-0000-0000FC140000}"/>
    <cellStyle name="Accent4 31" xfId="5373" xr:uid="{00000000-0005-0000-0000-0000FD140000}"/>
    <cellStyle name="Accent4 31 2" xfId="5374" xr:uid="{00000000-0005-0000-0000-0000FE140000}"/>
    <cellStyle name="Accent4 31 2 2" xfId="5375" xr:uid="{00000000-0005-0000-0000-0000FF140000}"/>
    <cellStyle name="Accent4 31 3" xfId="5376" xr:uid="{00000000-0005-0000-0000-000000150000}"/>
    <cellStyle name="Accent4 32" xfId="5377" xr:uid="{00000000-0005-0000-0000-000001150000}"/>
    <cellStyle name="Accent4 32 2" xfId="5378" xr:uid="{00000000-0005-0000-0000-000002150000}"/>
    <cellStyle name="Accent4 32 2 2" xfId="5379" xr:uid="{00000000-0005-0000-0000-000003150000}"/>
    <cellStyle name="Accent4 32 3" xfId="5380" xr:uid="{00000000-0005-0000-0000-000004150000}"/>
    <cellStyle name="Accent4 33" xfId="5381" xr:uid="{00000000-0005-0000-0000-000005150000}"/>
    <cellStyle name="Accent4 33 2" xfId="5382" xr:uid="{00000000-0005-0000-0000-000006150000}"/>
    <cellStyle name="Accent4 33 2 2" xfId="5383" xr:uid="{00000000-0005-0000-0000-000007150000}"/>
    <cellStyle name="Accent4 33 3" xfId="5384" xr:uid="{00000000-0005-0000-0000-000008150000}"/>
    <cellStyle name="Accent4 34" xfId="5385" xr:uid="{00000000-0005-0000-0000-000009150000}"/>
    <cellStyle name="Accent4 34 2" xfId="5386" xr:uid="{00000000-0005-0000-0000-00000A150000}"/>
    <cellStyle name="Accent4 34 2 2" xfId="5387" xr:uid="{00000000-0005-0000-0000-00000B150000}"/>
    <cellStyle name="Accent4 34 3" xfId="5388" xr:uid="{00000000-0005-0000-0000-00000C150000}"/>
    <cellStyle name="Accent4 35" xfId="5389" xr:uid="{00000000-0005-0000-0000-00000D150000}"/>
    <cellStyle name="Accent4 35 2" xfId="5390" xr:uid="{00000000-0005-0000-0000-00000E150000}"/>
    <cellStyle name="Accent4 35 2 2" xfId="5391" xr:uid="{00000000-0005-0000-0000-00000F150000}"/>
    <cellStyle name="Accent4 35 3" xfId="5392" xr:uid="{00000000-0005-0000-0000-000010150000}"/>
    <cellStyle name="Accent4 36" xfId="5393" xr:uid="{00000000-0005-0000-0000-000011150000}"/>
    <cellStyle name="Accent4 36 2" xfId="5394" xr:uid="{00000000-0005-0000-0000-000012150000}"/>
    <cellStyle name="Accent4 36 2 2" xfId="5395" xr:uid="{00000000-0005-0000-0000-000013150000}"/>
    <cellStyle name="Accent4 36 3" xfId="5396" xr:uid="{00000000-0005-0000-0000-000014150000}"/>
    <cellStyle name="Accent4 37" xfId="5397" xr:uid="{00000000-0005-0000-0000-000015150000}"/>
    <cellStyle name="Accent4 37 2" xfId="5398" xr:uid="{00000000-0005-0000-0000-000016150000}"/>
    <cellStyle name="Accent4 37 2 2" xfId="5399" xr:uid="{00000000-0005-0000-0000-000017150000}"/>
    <cellStyle name="Accent4 37 3" xfId="5400" xr:uid="{00000000-0005-0000-0000-000018150000}"/>
    <cellStyle name="Accent4 38" xfId="5401" xr:uid="{00000000-0005-0000-0000-000019150000}"/>
    <cellStyle name="Accent4 38 2" xfId="5402" xr:uid="{00000000-0005-0000-0000-00001A150000}"/>
    <cellStyle name="Accent4 38 2 2" xfId="5403" xr:uid="{00000000-0005-0000-0000-00001B150000}"/>
    <cellStyle name="Accent4 38 3" xfId="5404" xr:uid="{00000000-0005-0000-0000-00001C150000}"/>
    <cellStyle name="Accent4 39" xfId="5405" xr:uid="{00000000-0005-0000-0000-00001D150000}"/>
    <cellStyle name="Accent4 39 2" xfId="5406" xr:uid="{00000000-0005-0000-0000-00001E150000}"/>
    <cellStyle name="Accent4 39 2 2" xfId="5407" xr:uid="{00000000-0005-0000-0000-00001F150000}"/>
    <cellStyle name="Accent4 39 3" xfId="5408" xr:uid="{00000000-0005-0000-0000-000020150000}"/>
    <cellStyle name="Accent4 4" xfId="5409" xr:uid="{00000000-0005-0000-0000-000021150000}"/>
    <cellStyle name="Accent4 4 2" xfId="5410" xr:uid="{00000000-0005-0000-0000-000022150000}"/>
    <cellStyle name="Accent4 4 2 2" xfId="5411" xr:uid="{00000000-0005-0000-0000-000023150000}"/>
    <cellStyle name="Accent4 4 2 2 2" xfId="5412" xr:uid="{00000000-0005-0000-0000-000024150000}"/>
    <cellStyle name="Accent4 4 2 3" xfId="5413" xr:uid="{00000000-0005-0000-0000-000025150000}"/>
    <cellStyle name="Accent4 4 2 3 2" xfId="5414" xr:uid="{00000000-0005-0000-0000-000026150000}"/>
    <cellStyle name="Accent4 4 2 3 2 2" xfId="5415" xr:uid="{00000000-0005-0000-0000-000027150000}"/>
    <cellStyle name="Accent4 4 2 3 3" xfId="5416" xr:uid="{00000000-0005-0000-0000-000028150000}"/>
    <cellStyle name="Accent4 4 2 4" xfId="5417" xr:uid="{00000000-0005-0000-0000-000029150000}"/>
    <cellStyle name="Accent4 4 3" xfId="5418" xr:uid="{00000000-0005-0000-0000-00002A150000}"/>
    <cellStyle name="Accent4 4 3 2" xfId="5419" xr:uid="{00000000-0005-0000-0000-00002B150000}"/>
    <cellStyle name="Accent4 4 3 2 2" xfId="5420" xr:uid="{00000000-0005-0000-0000-00002C150000}"/>
    <cellStyle name="Accent4 4 3 3" xfId="5421" xr:uid="{00000000-0005-0000-0000-00002D150000}"/>
    <cellStyle name="Accent4 4 3 3 2" xfId="5422" xr:uid="{00000000-0005-0000-0000-00002E150000}"/>
    <cellStyle name="Accent4 4 3 3 2 2" xfId="5423" xr:uid="{00000000-0005-0000-0000-00002F150000}"/>
    <cellStyle name="Accent4 4 3 3 3" xfId="5424" xr:uid="{00000000-0005-0000-0000-000030150000}"/>
    <cellStyle name="Accent4 4 3 4" xfId="5425" xr:uid="{00000000-0005-0000-0000-000031150000}"/>
    <cellStyle name="Accent4 4 4" xfId="5426" xr:uid="{00000000-0005-0000-0000-000032150000}"/>
    <cellStyle name="Accent4 4 4 2" xfId="5427" xr:uid="{00000000-0005-0000-0000-000033150000}"/>
    <cellStyle name="Accent4 4 4 2 2" xfId="5428" xr:uid="{00000000-0005-0000-0000-000034150000}"/>
    <cellStyle name="Accent4 4 4 3" xfId="5429" xr:uid="{00000000-0005-0000-0000-000035150000}"/>
    <cellStyle name="Accent4 4 5" xfId="5430" xr:uid="{00000000-0005-0000-0000-000036150000}"/>
    <cellStyle name="Accent4 4 5 2" xfId="5431" xr:uid="{00000000-0005-0000-0000-000037150000}"/>
    <cellStyle name="Accent4 4 6" xfId="5432" xr:uid="{00000000-0005-0000-0000-000038150000}"/>
    <cellStyle name="Accent4 4 6 2" xfId="5433" xr:uid="{00000000-0005-0000-0000-000039150000}"/>
    <cellStyle name="Accent4 4 6 2 2" xfId="5434" xr:uid="{00000000-0005-0000-0000-00003A150000}"/>
    <cellStyle name="Accent4 4 6 3" xfId="5435" xr:uid="{00000000-0005-0000-0000-00003B150000}"/>
    <cellStyle name="Accent4 4 7" xfId="5436" xr:uid="{00000000-0005-0000-0000-00003C150000}"/>
    <cellStyle name="Accent4 4 7 2" xfId="5437" xr:uid="{00000000-0005-0000-0000-00003D150000}"/>
    <cellStyle name="Accent4 4 7 2 2" xfId="5438" xr:uid="{00000000-0005-0000-0000-00003E150000}"/>
    <cellStyle name="Accent4 4 7 3" xfId="5439" xr:uid="{00000000-0005-0000-0000-00003F150000}"/>
    <cellStyle name="Accent4 4 8" xfId="5440" xr:uid="{00000000-0005-0000-0000-000040150000}"/>
    <cellStyle name="Accent4 40" xfId="5441" xr:uid="{00000000-0005-0000-0000-000041150000}"/>
    <cellStyle name="Accent4 40 2" xfId="5442" xr:uid="{00000000-0005-0000-0000-000042150000}"/>
    <cellStyle name="Accent4 40 2 2" xfId="5443" xr:uid="{00000000-0005-0000-0000-000043150000}"/>
    <cellStyle name="Accent4 40 3" xfId="5444" xr:uid="{00000000-0005-0000-0000-000044150000}"/>
    <cellStyle name="Accent4 41" xfId="5445" xr:uid="{00000000-0005-0000-0000-000045150000}"/>
    <cellStyle name="Accent4 41 2" xfId="5446" xr:uid="{00000000-0005-0000-0000-000046150000}"/>
    <cellStyle name="Accent4 41 2 2" xfId="5447" xr:uid="{00000000-0005-0000-0000-000047150000}"/>
    <cellStyle name="Accent4 41 3" xfId="5448" xr:uid="{00000000-0005-0000-0000-000048150000}"/>
    <cellStyle name="Accent4 42" xfId="5449" xr:uid="{00000000-0005-0000-0000-000049150000}"/>
    <cellStyle name="Accent4 42 2" xfId="5450" xr:uid="{00000000-0005-0000-0000-00004A150000}"/>
    <cellStyle name="Accent4 42 2 2" xfId="5451" xr:uid="{00000000-0005-0000-0000-00004B150000}"/>
    <cellStyle name="Accent4 42 3" xfId="5452" xr:uid="{00000000-0005-0000-0000-00004C150000}"/>
    <cellStyle name="Accent4 43" xfId="5453" xr:uid="{00000000-0005-0000-0000-00004D150000}"/>
    <cellStyle name="Accent4 43 2" xfId="5454" xr:uid="{00000000-0005-0000-0000-00004E150000}"/>
    <cellStyle name="Accent4 43 2 2" xfId="5455" xr:uid="{00000000-0005-0000-0000-00004F150000}"/>
    <cellStyle name="Accent4 43 3" xfId="5456" xr:uid="{00000000-0005-0000-0000-000050150000}"/>
    <cellStyle name="Accent4 44" xfId="5457" xr:uid="{00000000-0005-0000-0000-000051150000}"/>
    <cellStyle name="Accent4 44 2" xfId="5458" xr:uid="{00000000-0005-0000-0000-000052150000}"/>
    <cellStyle name="Accent4 44 2 2" xfId="5459" xr:uid="{00000000-0005-0000-0000-000053150000}"/>
    <cellStyle name="Accent4 44 3" xfId="5460" xr:uid="{00000000-0005-0000-0000-000054150000}"/>
    <cellStyle name="Accent4 45" xfId="5461" xr:uid="{00000000-0005-0000-0000-000055150000}"/>
    <cellStyle name="Accent4 45 2" xfId="5462" xr:uid="{00000000-0005-0000-0000-000056150000}"/>
    <cellStyle name="Accent4 45 2 2" xfId="5463" xr:uid="{00000000-0005-0000-0000-000057150000}"/>
    <cellStyle name="Accent4 45 3" xfId="5464" xr:uid="{00000000-0005-0000-0000-000058150000}"/>
    <cellStyle name="Accent4 46" xfId="5465" xr:uid="{00000000-0005-0000-0000-000059150000}"/>
    <cellStyle name="Accent4 46 2" xfId="5466" xr:uid="{00000000-0005-0000-0000-00005A150000}"/>
    <cellStyle name="Accent4 46 2 2" xfId="5467" xr:uid="{00000000-0005-0000-0000-00005B150000}"/>
    <cellStyle name="Accent4 46 3" xfId="5468" xr:uid="{00000000-0005-0000-0000-00005C150000}"/>
    <cellStyle name="Accent4 47" xfId="5469" xr:uid="{00000000-0005-0000-0000-00005D150000}"/>
    <cellStyle name="Accent4 47 2" xfId="5470" xr:uid="{00000000-0005-0000-0000-00005E150000}"/>
    <cellStyle name="Accent4 47 2 2" xfId="5471" xr:uid="{00000000-0005-0000-0000-00005F150000}"/>
    <cellStyle name="Accent4 47 3" xfId="5472" xr:uid="{00000000-0005-0000-0000-000060150000}"/>
    <cellStyle name="Accent4 48" xfId="5473" xr:uid="{00000000-0005-0000-0000-000061150000}"/>
    <cellStyle name="Accent4 48 2" xfId="5474" xr:uid="{00000000-0005-0000-0000-000062150000}"/>
    <cellStyle name="Accent4 48 2 2" xfId="5475" xr:uid="{00000000-0005-0000-0000-000063150000}"/>
    <cellStyle name="Accent4 48 3" xfId="5476" xr:uid="{00000000-0005-0000-0000-000064150000}"/>
    <cellStyle name="Accent4 48 3 2" xfId="5477" xr:uid="{00000000-0005-0000-0000-000065150000}"/>
    <cellStyle name="Accent4 48 3 2 2" xfId="5478" xr:uid="{00000000-0005-0000-0000-000066150000}"/>
    <cellStyle name="Accent4 48 3 3" xfId="5479" xr:uid="{00000000-0005-0000-0000-000067150000}"/>
    <cellStyle name="Accent4 48 4" xfId="5480" xr:uid="{00000000-0005-0000-0000-000068150000}"/>
    <cellStyle name="Accent4 49" xfId="5481" xr:uid="{00000000-0005-0000-0000-000069150000}"/>
    <cellStyle name="Accent4 49 2" xfId="5482" xr:uid="{00000000-0005-0000-0000-00006A150000}"/>
    <cellStyle name="Accent4 49 2 2" xfId="5483" xr:uid="{00000000-0005-0000-0000-00006B150000}"/>
    <cellStyle name="Accent4 49 3" xfId="5484" xr:uid="{00000000-0005-0000-0000-00006C150000}"/>
    <cellStyle name="Accent4 49 3 2" xfId="5485" xr:uid="{00000000-0005-0000-0000-00006D150000}"/>
    <cellStyle name="Accent4 49 3 2 2" xfId="5486" xr:uid="{00000000-0005-0000-0000-00006E150000}"/>
    <cellStyle name="Accent4 49 3 3" xfId="5487" xr:uid="{00000000-0005-0000-0000-00006F150000}"/>
    <cellStyle name="Accent4 49 4" xfId="5488" xr:uid="{00000000-0005-0000-0000-000070150000}"/>
    <cellStyle name="Accent4 5" xfId="5489" xr:uid="{00000000-0005-0000-0000-000071150000}"/>
    <cellStyle name="Accent4 5 2" xfId="5490" xr:uid="{00000000-0005-0000-0000-000072150000}"/>
    <cellStyle name="Accent4 5 2 2" xfId="5491" xr:uid="{00000000-0005-0000-0000-000073150000}"/>
    <cellStyle name="Accent4 5 2 2 2" xfId="5492" xr:uid="{00000000-0005-0000-0000-000074150000}"/>
    <cellStyle name="Accent4 5 2 3" xfId="5493" xr:uid="{00000000-0005-0000-0000-000075150000}"/>
    <cellStyle name="Accent4 5 2 3 2" xfId="5494" xr:uid="{00000000-0005-0000-0000-000076150000}"/>
    <cellStyle name="Accent4 5 2 3 2 2" xfId="5495" xr:uid="{00000000-0005-0000-0000-000077150000}"/>
    <cellStyle name="Accent4 5 2 3 3" xfId="5496" xr:uid="{00000000-0005-0000-0000-000078150000}"/>
    <cellStyle name="Accent4 5 2 4" xfId="5497" xr:uid="{00000000-0005-0000-0000-000079150000}"/>
    <cellStyle name="Accent4 5 3" xfId="5498" xr:uid="{00000000-0005-0000-0000-00007A150000}"/>
    <cellStyle name="Accent4 5 3 2" xfId="5499" xr:uid="{00000000-0005-0000-0000-00007B150000}"/>
    <cellStyle name="Accent4 5 3 2 2" xfId="5500" xr:uid="{00000000-0005-0000-0000-00007C150000}"/>
    <cellStyle name="Accent4 5 3 3" xfId="5501" xr:uid="{00000000-0005-0000-0000-00007D150000}"/>
    <cellStyle name="Accent4 5 3 3 2" xfId="5502" xr:uid="{00000000-0005-0000-0000-00007E150000}"/>
    <cellStyle name="Accent4 5 3 3 2 2" xfId="5503" xr:uid="{00000000-0005-0000-0000-00007F150000}"/>
    <cellStyle name="Accent4 5 3 3 3" xfId="5504" xr:uid="{00000000-0005-0000-0000-000080150000}"/>
    <cellStyle name="Accent4 5 3 4" xfId="5505" xr:uid="{00000000-0005-0000-0000-000081150000}"/>
    <cellStyle name="Accent4 5 4" xfId="5506" xr:uid="{00000000-0005-0000-0000-000082150000}"/>
    <cellStyle name="Accent4 5 4 2" xfId="5507" xr:uid="{00000000-0005-0000-0000-000083150000}"/>
    <cellStyle name="Accent4 5 5" xfId="5508" xr:uid="{00000000-0005-0000-0000-000084150000}"/>
    <cellStyle name="Accent4 5 5 2" xfId="5509" xr:uid="{00000000-0005-0000-0000-000085150000}"/>
    <cellStyle name="Accent4 5 5 2 2" xfId="5510" xr:uid="{00000000-0005-0000-0000-000086150000}"/>
    <cellStyle name="Accent4 5 5 3" xfId="5511" xr:uid="{00000000-0005-0000-0000-000087150000}"/>
    <cellStyle name="Accent4 5 6" xfId="5512" xr:uid="{00000000-0005-0000-0000-000088150000}"/>
    <cellStyle name="Accent4 5 6 2" xfId="5513" xr:uid="{00000000-0005-0000-0000-000089150000}"/>
    <cellStyle name="Accent4 5 7" xfId="5514" xr:uid="{00000000-0005-0000-0000-00008A150000}"/>
    <cellStyle name="Accent4 50" xfId="5515" xr:uid="{00000000-0005-0000-0000-00008B150000}"/>
    <cellStyle name="Accent4 50 2" xfId="5516" xr:uid="{00000000-0005-0000-0000-00008C150000}"/>
    <cellStyle name="Accent4 50 2 2" xfId="5517" xr:uid="{00000000-0005-0000-0000-00008D150000}"/>
    <cellStyle name="Accent4 50 3" xfId="5518" xr:uid="{00000000-0005-0000-0000-00008E150000}"/>
    <cellStyle name="Accent4 50 3 2" xfId="5519" xr:uid="{00000000-0005-0000-0000-00008F150000}"/>
    <cellStyle name="Accent4 50 3 2 2" xfId="5520" xr:uid="{00000000-0005-0000-0000-000090150000}"/>
    <cellStyle name="Accent4 50 3 3" xfId="5521" xr:uid="{00000000-0005-0000-0000-000091150000}"/>
    <cellStyle name="Accent4 50 4" xfId="5522" xr:uid="{00000000-0005-0000-0000-000092150000}"/>
    <cellStyle name="Accent4 51" xfId="5523" xr:uid="{00000000-0005-0000-0000-000093150000}"/>
    <cellStyle name="Accent4 51 2" xfId="5524" xr:uid="{00000000-0005-0000-0000-000094150000}"/>
    <cellStyle name="Accent4 51 2 2" xfId="5525" xr:uid="{00000000-0005-0000-0000-000095150000}"/>
    <cellStyle name="Accent4 51 3" xfId="5526" xr:uid="{00000000-0005-0000-0000-000096150000}"/>
    <cellStyle name="Accent4 51 3 2" xfId="5527" xr:uid="{00000000-0005-0000-0000-000097150000}"/>
    <cellStyle name="Accent4 51 3 2 2" xfId="5528" xr:uid="{00000000-0005-0000-0000-000098150000}"/>
    <cellStyle name="Accent4 51 3 3" xfId="5529" xr:uid="{00000000-0005-0000-0000-000099150000}"/>
    <cellStyle name="Accent4 51 4" xfId="5530" xr:uid="{00000000-0005-0000-0000-00009A150000}"/>
    <cellStyle name="Accent4 52" xfId="5531" xr:uid="{00000000-0005-0000-0000-00009B150000}"/>
    <cellStyle name="Accent4 52 2" xfId="5532" xr:uid="{00000000-0005-0000-0000-00009C150000}"/>
    <cellStyle name="Accent4 52 2 2" xfId="5533" xr:uid="{00000000-0005-0000-0000-00009D150000}"/>
    <cellStyle name="Accent4 52 3" xfId="5534" xr:uid="{00000000-0005-0000-0000-00009E150000}"/>
    <cellStyle name="Accent4 53" xfId="5535" xr:uid="{00000000-0005-0000-0000-00009F150000}"/>
    <cellStyle name="Accent4 53 2" xfId="5536" xr:uid="{00000000-0005-0000-0000-0000A0150000}"/>
    <cellStyle name="Accent4 53 2 2" xfId="5537" xr:uid="{00000000-0005-0000-0000-0000A1150000}"/>
    <cellStyle name="Accent4 53 3" xfId="5538" xr:uid="{00000000-0005-0000-0000-0000A2150000}"/>
    <cellStyle name="Accent4 54" xfId="5539" xr:uid="{00000000-0005-0000-0000-0000A3150000}"/>
    <cellStyle name="Accent4 54 2" xfId="5540" xr:uid="{00000000-0005-0000-0000-0000A4150000}"/>
    <cellStyle name="Accent4 54 2 2" xfId="5541" xr:uid="{00000000-0005-0000-0000-0000A5150000}"/>
    <cellStyle name="Accent4 54 3" xfId="5542" xr:uid="{00000000-0005-0000-0000-0000A6150000}"/>
    <cellStyle name="Accent4 55" xfId="5543" xr:uid="{00000000-0005-0000-0000-0000A7150000}"/>
    <cellStyle name="Accent4 55 2" xfId="5544" xr:uid="{00000000-0005-0000-0000-0000A8150000}"/>
    <cellStyle name="Accent4 55 2 2" xfId="5545" xr:uid="{00000000-0005-0000-0000-0000A9150000}"/>
    <cellStyle name="Accent4 55 3" xfId="5546" xr:uid="{00000000-0005-0000-0000-0000AA150000}"/>
    <cellStyle name="Accent4 56" xfId="5547" xr:uid="{00000000-0005-0000-0000-0000AB150000}"/>
    <cellStyle name="Accent4 56 2" xfId="5548" xr:uid="{00000000-0005-0000-0000-0000AC150000}"/>
    <cellStyle name="Accent4 56 2 2" xfId="5549" xr:uid="{00000000-0005-0000-0000-0000AD150000}"/>
    <cellStyle name="Accent4 56 3" xfId="5550" xr:uid="{00000000-0005-0000-0000-0000AE150000}"/>
    <cellStyle name="Accent4 57" xfId="5551" xr:uid="{00000000-0005-0000-0000-0000AF150000}"/>
    <cellStyle name="Accent4 57 2" xfId="5552" xr:uid="{00000000-0005-0000-0000-0000B0150000}"/>
    <cellStyle name="Accent4 57 2 2" xfId="5553" xr:uid="{00000000-0005-0000-0000-0000B1150000}"/>
    <cellStyle name="Accent4 57 3" xfId="5554" xr:uid="{00000000-0005-0000-0000-0000B2150000}"/>
    <cellStyle name="Accent4 58" xfId="5555" xr:uid="{00000000-0005-0000-0000-0000B3150000}"/>
    <cellStyle name="Accent4 58 2" xfId="5556" xr:uid="{00000000-0005-0000-0000-0000B4150000}"/>
    <cellStyle name="Accent4 58 2 2" xfId="5557" xr:uid="{00000000-0005-0000-0000-0000B5150000}"/>
    <cellStyle name="Accent4 58 3" xfId="5558" xr:uid="{00000000-0005-0000-0000-0000B6150000}"/>
    <cellStyle name="Accent4 58 3 2" xfId="5559" xr:uid="{00000000-0005-0000-0000-0000B7150000}"/>
    <cellStyle name="Accent4 58 3 2 2" xfId="5560" xr:uid="{00000000-0005-0000-0000-0000B8150000}"/>
    <cellStyle name="Accent4 58 3 3" xfId="5561" xr:uid="{00000000-0005-0000-0000-0000B9150000}"/>
    <cellStyle name="Accent4 58 4" xfId="5562" xr:uid="{00000000-0005-0000-0000-0000BA150000}"/>
    <cellStyle name="Accent4 59" xfId="5563" xr:uid="{00000000-0005-0000-0000-0000BB150000}"/>
    <cellStyle name="Accent4 59 2" xfId="5564" xr:uid="{00000000-0005-0000-0000-0000BC150000}"/>
    <cellStyle name="Accent4 59 2 2" xfId="5565" xr:uid="{00000000-0005-0000-0000-0000BD150000}"/>
    <cellStyle name="Accent4 59 3" xfId="5566" xr:uid="{00000000-0005-0000-0000-0000BE150000}"/>
    <cellStyle name="Accent4 59 3 2" xfId="5567" xr:uid="{00000000-0005-0000-0000-0000BF150000}"/>
    <cellStyle name="Accent4 59 3 2 2" xfId="5568" xr:uid="{00000000-0005-0000-0000-0000C0150000}"/>
    <cellStyle name="Accent4 59 3 3" xfId="5569" xr:uid="{00000000-0005-0000-0000-0000C1150000}"/>
    <cellStyle name="Accent4 59 4" xfId="5570" xr:uid="{00000000-0005-0000-0000-0000C2150000}"/>
    <cellStyle name="Accent4 6" xfId="5571" xr:uid="{00000000-0005-0000-0000-0000C3150000}"/>
    <cellStyle name="Accent4 6 2" xfId="5572" xr:uid="{00000000-0005-0000-0000-0000C4150000}"/>
    <cellStyle name="Accent4 6 2 2" xfId="5573" xr:uid="{00000000-0005-0000-0000-0000C5150000}"/>
    <cellStyle name="Accent4 6 2 2 2" xfId="5574" xr:uid="{00000000-0005-0000-0000-0000C6150000}"/>
    <cellStyle name="Accent4 6 2 3" xfId="5575" xr:uid="{00000000-0005-0000-0000-0000C7150000}"/>
    <cellStyle name="Accent4 6 2 3 2" xfId="5576" xr:uid="{00000000-0005-0000-0000-0000C8150000}"/>
    <cellStyle name="Accent4 6 2 3 2 2" xfId="5577" xr:uid="{00000000-0005-0000-0000-0000C9150000}"/>
    <cellStyle name="Accent4 6 2 3 3" xfId="5578" xr:uid="{00000000-0005-0000-0000-0000CA150000}"/>
    <cellStyle name="Accent4 6 2 4" xfId="5579" xr:uid="{00000000-0005-0000-0000-0000CB150000}"/>
    <cellStyle name="Accent4 6 3" xfId="5580" xr:uid="{00000000-0005-0000-0000-0000CC150000}"/>
    <cellStyle name="Accent4 6 3 2" xfId="5581" xr:uid="{00000000-0005-0000-0000-0000CD150000}"/>
    <cellStyle name="Accent4 6 4" xfId="5582" xr:uid="{00000000-0005-0000-0000-0000CE150000}"/>
    <cellStyle name="Accent4 6 4 2" xfId="5583" xr:uid="{00000000-0005-0000-0000-0000CF150000}"/>
    <cellStyle name="Accent4 6 4 2 2" xfId="5584" xr:uid="{00000000-0005-0000-0000-0000D0150000}"/>
    <cellStyle name="Accent4 6 4 3" xfId="5585" xr:uid="{00000000-0005-0000-0000-0000D1150000}"/>
    <cellStyle name="Accent4 6 5" xfId="5586" xr:uid="{00000000-0005-0000-0000-0000D2150000}"/>
    <cellStyle name="Accent4 60" xfId="5587" xr:uid="{00000000-0005-0000-0000-0000D3150000}"/>
    <cellStyle name="Accent4 60 2" xfId="5588" xr:uid="{00000000-0005-0000-0000-0000D4150000}"/>
    <cellStyle name="Accent4 60 2 2" xfId="5589" xr:uid="{00000000-0005-0000-0000-0000D5150000}"/>
    <cellStyle name="Accent4 60 3" xfId="5590" xr:uid="{00000000-0005-0000-0000-0000D6150000}"/>
    <cellStyle name="Accent4 60 3 2" xfId="5591" xr:uid="{00000000-0005-0000-0000-0000D7150000}"/>
    <cellStyle name="Accent4 60 3 2 2" xfId="5592" xr:uid="{00000000-0005-0000-0000-0000D8150000}"/>
    <cellStyle name="Accent4 60 3 3" xfId="5593" xr:uid="{00000000-0005-0000-0000-0000D9150000}"/>
    <cellStyle name="Accent4 60 4" xfId="5594" xr:uid="{00000000-0005-0000-0000-0000DA150000}"/>
    <cellStyle name="Accent4 61" xfId="5595" xr:uid="{00000000-0005-0000-0000-0000DB150000}"/>
    <cellStyle name="Accent4 61 2" xfId="5596" xr:uid="{00000000-0005-0000-0000-0000DC150000}"/>
    <cellStyle name="Accent4 61 2 2" xfId="5597" xr:uid="{00000000-0005-0000-0000-0000DD150000}"/>
    <cellStyle name="Accent4 61 3" xfId="5598" xr:uid="{00000000-0005-0000-0000-0000DE150000}"/>
    <cellStyle name="Accent4 61 3 2" xfId="5599" xr:uid="{00000000-0005-0000-0000-0000DF150000}"/>
    <cellStyle name="Accent4 61 3 2 2" xfId="5600" xr:uid="{00000000-0005-0000-0000-0000E0150000}"/>
    <cellStyle name="Accent4 61 3 3" xfId="5601" xr:uid="{00000000-0005-0000-0000-0000E1150000}"/>
    <cellStyle name="Accent4 61 4" xfId="5602" xr:uid="{00000000-0005-0000-0000-0000E2150000}"/>
    <cellStyle name="Accent4 62" xfId="5603" xr:uid="{00000000-0005-0000-0000-0000E3150000}"/>
    <cellStyle name="Accent4 62 2" xfId="5604" xr:uid="{00000000-0005-0000-0000-0000E4150000}"/>
    <cellStyle name="Accent4 62 2 2" xfId="5605" xr:uid="{00000000-0005-0000-0000-0000E5150000}"/>
    <cellStyle name="Accent4 62 3" xfId="5606" xr:uid="{00000000-0005-0000-0000-0000E6150000}"/>
    <cellStyle name="Accent4 62 3 2" xfId="5607" xr:uid="{00000000-0005-0000-0000-0000E7150000}"/>
    <cellStyle name="Accent4 62 3 2 2" xfId="5608" xr:uid="{00000000-0005-0000-0000-0000E8150000}"/>
    <cellStyle name="Accent4 62 3 3" xfId="5609" xr:uid="{00000000-0005-0000-0000-0000E9150000}"/>
    <cellStyle name="Accent4 62 4" xfId="5610" xr:uid="{00000000-0005-0000-0000-0000EA150000}"/>
    <cellStyle name="Accent4 63" xfId="5611" xr:uid="{00000000-0005-0000-0000-0000EB150000}"/>
    <cellStyle name="Accent4 63 2" xfId="5612" xr:uid="{00000000-0005-0000-0000-0000EC150000}"/>
    <cellStyle name="Accent4 63 2 2" xfId="5613" xr:uid="{00000000-0005-0000-0000-0000ED150000}"/>
    <cellStyle name="Accent4 63 3" xfId="5614" xr:uid="{00000000-0005-0000-0000-0000EE150000}"/>
    <cellStyle name="Accent4 63 3 2" xfId="5615" xr:uid="{00000000-0005-0000-0000-0000EF150000}"/>
    <cellStyle name="Accent4 63 3 2 2" xfId="5616" xr:uid="{00000000-0005-0000-0000-0000F0150000}"/>
    <cellStyle name="Accent4 63 3 3" xfId="5617" xr:uid="{00000000-0005-0000-0000-0000F1150000}"/>
    <cellStyle name="Accent4 63 4" xfId="5618" xr:uid="{00000000-0005-0000-0000-0000F2150000}"/>
    <cellStyle name="Accent4 64" xfId="5619" xr:uid="{00000000-0005-0000-0000-0000F3150000}"/>
    <cellStyle name="Accent4 64 2" xfId="5620" xr:uid="{00000000-0005-0000-0000-0000F4150000}"/>
    <cellStyle name="Accent4 64 2 2" xfId="5621" xr:uid="{00000000-0005-0000-0000-0000F5150000}"/>
    <cellStyle name="Accent4 64 3" xfId="5622" xr:uid="{00000000-0005-0000-0000-0000F6150000}"/>
    <cellStyle name="Accent4 64 3 2" xfId="5623" xr:uid="{00000000-0005-0000-0000-0000F7150000}"/>
    <cellStyle name="Accent4 64 3 2 2" xfId="5624" xr:uid="{00000000-0005-0000-0000-0000F8150000}"/>
    <cellStyle name="Accent4 64 3 3" xfId="5625" xr:uid="{00000000-0005-0000-0000-0000F9150000}"/>
    <cellStyle name="Accent4 64 4" xfId="5626" xr:uid="{00000000-0005-0000-0000-0000FA150000}"/>
    <cellStyle name="Accent4 65" xfId="5627" xr:uid="{00000000-0005-0000-0000-0000FB150000}"/>
    <cellStyle name="Accent4 65 2" xfId="5628" xr:uid="{00000000-0005-0000-0000-0000FC150000}"/>
    <cellStyle name="Accent4 65 2 2" xfId="5629" xr:uid="{00000000-0005-0000-0000-0000FD150000}"/>
    <cellStyle name="Accent4 65 3" xfId="5630" xr:uid="{00000000-0005-0000-0000-0000FE150000}"/>
    <cellStyle name="Accent4 65 3 2" xfId="5631" xr:uid="{00000000-0005-0000-0000-0000FF150000}"/>
    <cellStyle name="Accent4 65 3 2 2" xfId="5632" xr:uid="{00000000-0005-0000-0000-000000160000}"/>
    <cellStyle name="Accent4 65 3 3" xfId="5633" xr:uid="{00000000-0005-0000-0000-000001160000}"/>
    <cellStyle name="Accent4 65 4" xfId="5634" xr:uid="{00000000-0005-0000-0000-000002160000}"/>
    <cellStyle name="Accent4 66" xfId="5635" xr:uid="{00000000-0005-0000-0000-000003160000}"/>
    <cellStyle name="Accent4 66 2" xfId="5636" xr:uid="{00000000-0005-0000-0000-000004160000}"/>
    <cellStyle name="Accent4 66 2 2" xfId="5637" xr:uid="{00000000-0005-0000-0000-000005160000}"/>
    <cellStyle name="Accent4 66 3" xfId="5638" xr:uid="{00000000-0005-0000-0000-000006160000}"/>
    <cellStyle name="Accent4 66 3 2" xfId="5639" xr:uid="{00000000-0005-0000-0000-000007160000}"/>
    <cellStyle name="Accent4 66 3 2 2" xfId="5640" xr:uid="{00000000-0005-0000-0000-000008160000}"/>
    <cellStyle name="Accent4 66 3 3" xfId="5641" xr:uid="{00000000-0005-0000-0000-000009160000}"/>
    <cellStyle name="Accent4 66 4" xfId="5642" xr:uid="{00000000-0005-0000-0000-00000A160000}"/>
    <cellStyle name="Accent4 67" xfId="5643" xr:uid="{00000000-0005-0000-0000-00000B160000}"/>
    <cellStyle name="Accent4 67 2" xfId="5644" xr:uid="{00000000-0005-0000-0000-00000C160000}"/>
    <cellStyle name="Accent4 67 2 2" xfId="5645" xr:uid="{00000000-0005-0000-0000-00000D160000}"/>
    <cellStyle name="Accent4 67 3" xfId="5646" xr:uid="{00000000-0005-0000-0000-00000E160000}"/>
    <cellStyle name="Accent4 67 3 2" xfId="5647" xr:uid="{00000000-0005-0000-0000-00000F160000}"/>
    <cellStyle name="Accent4 67 3 2 2" xfId="5648" xr:uid="{00000000-0005-0000-0000-000010160000}"/>
    <cellStyle name="Accent4 67 3 3" xfId="5649" xr:uid="{00000000-0005-0000-0000-000011160000}"/>
    <cellStyle name="Accent4 67 4" xfId="5650" xr:uid="{00000000-0005-0000-0000-000012160000}"/>
    <cellStyle name="Accent4 68" xfId="5651" xr:uid="{00000000-0005-0000-0000-000013160000}"/>
    <cellStyle name="Accent4 68 2" xfId="5652" xr:uid="{00000000-0005-0000-0000-000014160000}"/>
    <cellStyle name="Accent4 68 2 2" xfId="5653" xr:uid="{00000000-0005-0000-0000-000015160000}"/>
    <cellStyle name="Accent4 68 3" xfId="5654" xr:uid="{00000000-0005-0000-0000-000016160000}"/>
    <cellStyle name="Accent4 68 3 2" xfId="5655" xr:uid="{00000000-0005-0000-0000-000017160000}"/>
    <cellStyle name="Accent4 68 3 2 2" xfId="5656" xr:uid="{00000000-0005-0000-0000-000018160000}"/>
    <cellStyle name="Accent4 68 3 3" xfId="5657" xr:uid="{00000000-0005-0000-0000-000019160000}"/>
    <cellStyle name="Accent4 68 4" xfId="5658" xr:uid="{00000000-0005-0000-0000-00001A160000}"/>
    <cellStyle name="Accent4 69" xfId="5659" xr:uid="{00000000-0005-0000-0000-00001B160000}"/>
    <cellStyle name="Accent4 69 2" xfId="5660" xr:uid="{00000000-0005-0000-0000-00001C160000}"/>
    <cellStyle name="Accent4 69 2 2" xfId="5661" xr:uid="{00000000-0005-0000-0000-00001D160000}"/>
    <cellStyle name="Accent4 69 3" xfId="5662" xr:uid="{00000000-0005-0000-0000-00001E160000}"/>
    <cellStyle name="Accent4 69 3 2" xfId="5663" xr:uid="{00000000-0005-0000-0000-00001F160000}"/>
    <cellStyle name="Accent4 69 3 2 2" xfId="5664" xr:uid="{00000000-0005-0000-0000-000020160000}"/>
    <cellStyle name="Accent4 69 3 3" xfId="5665" xr:uid="{00000000-0005-0000-0000-000021160000}"/>
    <cellStyle name="Accent4 69 4" xfId="5666" xr:uid="{00000000-0005-0000-0000-000022160000}"/>
    <cellStyle name="Accent4 7" xfId="5667" xr:uid="{00000000-0005-0000-0000-000023160000}"/>
    <cellStyle name="Accent4 7 2" xfId="5668" xr:uid="{00000000-0005-0000-0000-000024160000}"/>
    <cellStyle name="Accent4 7 2 2" xfId="5669" xr:uid="{00000000-0005-0000-0000-000025160000}"/>
    <cellStyle name="Accent4 7 2 2 2" xfId="5670" xr:uid="{00000000-0005-0000-0000-000026160000}"/>
    <cellStyle name="Accent4 7 2 3" xfId="5671" xr:uid="{00000000-0005-0000-0000-000027160000}"/>
    <cellStyle name="Accent4 7 2 3 2" xfId="5672" xr:uid="{00000000-0005-0000-0000-000028160000}"/>
    <cellStyle name="Accent4 7 2 3 2 2" xfId="5673" xr:uid="{00000000-0005-0000-0000-000029160000}"/>
    <cellStyle name="Accent4 7 2 3 3" xfId="5674" xr:uid="{00000000-0005-0000-0000-00002A160000}"/>
    <cellStyle name="Accent4 7 2 4" xfId="5675" xr:uid="{00000000-0005-0000-0000-00002B160000}"/>
    <cellStyle name="Accent4 7 3" xfId="5676" xr:uid="{00000000-0005-0000-0000-00002C160000}"/>
    <cellStyle name="Accent4 7 3 2" xfId="5677" xr:uid="{00000000-0005-0000-0000-00002D160000}"/>
    <cellStyle name="Accent4 7 4" xfId="5678" xr:uid="{00000000-0005-0000-0000-00002E160000}"/>
    <cellStyle name="Accent4 7 4 2" xfId="5679" xr:uid="{00000000-0005-0000-0000-00002F160000}"/>
    <cellStyle name="Accent4 7 4 2 2" xfId="5680" xr:uid="{00000000-0005-0000-0000-000030160000}"/>
    <cellStyle name="Accent4 7 4 3" xfId="5681" xr:uid="{00000000-0005-0000-0000-000031160000}"/>
    <cellStyle name="Accent4 7 5" xfId="5682" xr:uid="{00000000-0005-0000-0000-000032160000}"/>
    <cellStyle name="Accent4 70" xfId="5683" xr:uid="{00000000-0005-0000-0000-000033160000}"/>
    <cellStyle name="Accent4 70 2" xfId="5684" xr:uid="{00000000-0005-0000-0000-000034160000}"/>
    <cellStyle name="Accent4 70 2 2" xfId="5685" xr:uid="{00000000-0005-0000-0000-000035160000}"/>
    <cellStyle name="Accent4 70 3" xfId="5686" xr:uid="{00000000-0005-0000-0000-000036160000}"/>
    <cellStyle name="Accent4 70 3 2" xfId="5687" xr:uid="{00000000-0005-0000-0000-000037160000}"/>
    <cellStyle name="Accent4 70 3 2 2" xfId="5688" xr:uid="{00000000-0005-0000-0000-000038160000}"/>
    <cellStyle name="Accent4 70 3 3" xfId="5689" xr:uid="{00000000-0005-0000-0000-000039160000}"/>
    <cellStyle name="Accent4 70 4" xfId="5690" xr:uid="{00000000-0005-0000-0000-00003A160000}"/>
    <cellStyle name="Accent4 71" xfId="5691" xr:uid="{00000000-0005-0000-0000-00003B160000}"/>
    <cellStyle name="Accent4 71 2" xfId="5692" xr:uid="{00000000-0005-0000-0000-00003C160000}"/>
    <cellStyle name="Accent4 71 2 2" xfId="5693" xr:uid="{00000000-0005-0000-0000-00003D160000}"/>
    <cellStyle name="Accent4 71 3" xfId="5694" xr:uid="{00000000-0005-0000-0000-00003E160000}"/>
    <cellStyle name="Accent4 71 3 2" xfId="5695" xr:uid="{00000000-0005-0000-0000-00003F160000}"/>
    <cellStyle name="Accent4 71 3 2 2" xfId="5696" xr:uid="{00000000-0005-0000-0000-000040160000}"/>
    <cellStyle name="Accent4 71 3 3" xfId="5697" xr:uid="{00000000-0005-0000-0000-000041160000}"/>
    <cellStyle name="Accent4 71 4" xfId="5698" xr:uid="{00000000-0005-0000-0000-000042160000}"/>
    <cellStyle name="Accent4 72" xfId="5699" xr:uid="{00000000-0005-0000-0000-000043160000}"/>
    <cellStyle name="Accent4 72 2" xfId="5700" xr:uid="{00000000-0005-0000-0000-000044160000}"/>
    <cellStyle name="Accent4 72 2 2" xfId="5701" xr:uid="{00000000-0005-0000-0000-000045160000}"/>
    <cellStyle name="Accent4 72 3" xfId="5702" xr:uid="{00000000-0005-0000-0000-000046160000}"/>
    <cellStyle name="Accent4 72 3 2" xfId="5703" xr:uid="{00000000-0005-0000-0000-000047160000}"/>
    <cellStyle name="Accent4 72 3 2 2" xfId="5704" xr:uid="{00000000-0005-0000-0000-000048160000}"/>
    <cellStyle name="Accent4 72 3 3" xfId="5705" xr:uid="{00000000-0005-0000-0000-000049160000}"/>
    <cellStyle name="Accent4 72 4" xfId="5706" xr:uid="{00000000-0005-0000-0000-00004A160000}"/>
    <cellStyle name="Accent4 73" xfId="5707" xr:uid="{00000000-0005-0000-0000-00004B160000}"/>
    <cellStyle name="Accent4 73 2" xfId="5708" xr:uid="{00000000-0005-0000-0000-00004C160000}"/>
    <cellStyle name="Accent4 73 2 2" xfId="5709" xr:uid="{00000000-0005-0000-0000-00004D160000}"/>
    <cellStyle name="Accent4 73 3" xfId="5710" xr:uid="{00000000-0005-0000-0000-00004E160000}"/>
    <cellStyle name="Accent4 73 3 2" xfId="5711" xr:uid="{00000000-0005-0000-0000-00004F160000}"/>
    <cellStyle name="Accent4 73 3 2 2" xfId="5712" xr:uid="{00000000-0005-0000-0000-000050160000}"/>
    <cellStyle name="Accent4 73 3 3" xfId="5713" xr:uid="{00000000-0005-0000-0000-000051160000}"/>
    <cellStyle name="Accent4 73 4" xfId="5714" xr:uid="{00000000-0005-0000-0000-000052160000}"/>
    <cellStyle name="Accent4 74" xfId="5715" xr:uid="{00000000-0005-0000-0000-000053160000}"/>
    <cellStyle name="Accent4 74 2" xfId="5716" xr:uid="{00000000-0005-0000-0000-000054160000}"/>
    <cellStyle name="Accent4 74 2 2" xfId="5717" xr:uid="{00000000-0005-0000-0000-000055160000}"/>
    <cellStyle name="Accent4 74 3" xfId="5718" xr:uid="{00000000-0005-0000-0000-000056160000}"/>
    <cellStyle name="Accent4 74 3 2" xfId="5719" xr:uid="{00000000-0005-0000-0000-000057160000}"/>
    <cellStyle name="Accent4 74 3 2 2" xfId="5720" xr:uid="{00000000-0005-0000-0000-000058160000}"/>
    <cellStyle name="Accent4 74 3 3" xfId="5721" xr:uid="{00000000-0005-0000-0000-000059160000}"/>
    <cellStyle name="Accent4 74 4" xfId="5722" xr:uid="{00000000-0005-0000-0000-00005A160000}"/>
    <cellStyle name="Accent4 75" xfId="5723" xr:uid="{00000000-0005-0000-0000-00005B160000}"/>
    <cellStyle name="Accent4 75 2" xfId="5724" xr:uid="{00000000-0005-0000-0000-00005C160000}"/>
    <cellStyle name="Accent4 75 2 2" xfId="5725" xr:uid="{00000000-0005-0000-0000-00005D160000}"/>
    <cellStyle name="Accent4 75 3" xfId="5726" xr:uid="{00000000-0005-0000-0000-00005E160000}"/>
    <cellStyle name="Accent4 75 3 2" xfId="5727" xr:uid="{00000000-0005-0000-0000-00005F160000}"/>
    <cellStyle name="Accent4 75 3 2 2" xfId="5728" xr:uid="{00000000-0005-0000-0000-000060160000}"/>
    <cellStyle name="Accent4 75 3 3" xfId="5729" xr:uid="{00000000-0005-0000-0000-000061160000}"/>
    <cellStyle name="Accent4 75 4" xfId="5730" xr:uid="{00000000-0005-0000-0000-000062160000}"/>
    <cellStyle name="Accent4 76" xfId="5731" xr:uid="{00000000-0005-0000-0000-000063160000}"/>
    <cellStyle name="Accent4 76 2" xfId="5732" xr:uid="{00000000-0005-0000-0000-000064160000}"/>
    <cellStyle name="Accent4 76 2 2" xfId="5733" xr:uid="{00000000-0005-0000-0000-000065160000}"/>
    <cellStyle name="Accent4 76 3" xfId="5734" xr:uid="{00000000-0005-0000-0000-000066160000}"/>
    <cellStyle name="Accent4 76 3 2" xfId="5735" xr:uid="{00000000-0005-0000-0000-000067160000}"/>
    <cellStyle name="Accent4 76 3 2 2" xfId="5736" xr:uid="{00000000-0005-0000-0000-000068160000}"/>
    <cellStyle name="Accent4 76 3 3" xfId="5737" xr:uid="{00000000-0005-0000-0000-000069160000}"/>
    <cellStyle name="Accent4 76 4" xfId="5738" xr:uid="{00000000-0005-0000-0000-00006A160000}"/>
    <cellStyle name="Accent4 77" xfId="5739" xr:uid="{00000000-0005-0000-0000-00006B160000}"/>
    <cellStyle name="Accent4 77 2" xfId="5740" xr:uid="{00000000-0005-0000-0000-00006C160000}"/>
    <cellStyle name="Accent4 77 2 2" xfId="5741" xr:uid="{00000000-0005-0000-0000-00006D160000}"/>
    <cellStyle name="Accent4 77 3" xfId="5742" xr:uid="{00000000-0005-0000-0000-00006E160000}"/>
    <cellStyle name="Accent4 77 3 2" xfId="5743" xr:uid="{00000000-0005-0000-0000-00006F160000}"/>
    <cellStyle name="Accent4 77 3 2 2" xfId="5744" xr:uid="{00000000-0005-0000-0000-000070160000}"/>
    <cellStyle name="Accent4 77 3 3" xfId="5745" xr:uid="{00000000-0005-0000-0000-000071160000}"/>
    <cellStyle name="Accent4 77 4" xfId="5746" xr:uid="{00000000-0005-0000-0000-000072160000}"/>
    <cellStyle name="Accent4 78" xfId="5747" xr:uid="{00000000-0005-0000-0000-000073160000}"/>
    <cellStyle name="Accent4 78 2" xfId="5748" xr:uid="{00000000-0005-0000-0000-000074160000}"/>
    <cellStyle name="Accent4 78 2 2" xfId="5749" xr:uid="{00000000-0005-0000-0000-000075160000}"/>
    <cellStyle name="Accent4 78 3" xfId="5750" xr:uid="{00000000-0005-0000-0000-000076160000}"/>
    <cellStyle name="Accent4 78 3 2" xfId="5751" xr:uid="{00000000-0005-0000-0000-000077160000}"/>
    <cellStyle name="Accent4 78 3 2 2" xfId="5752" xr:uid="{00000000-0005-0000-0000-000078160000}"/>
    <cellStyle name="Accent4 78 3 3" xfId="5753" xr:uid="{00000000-0005-0000-0000-000079160000}"/>
    <cellStyle name="Accent4 78 4" xfId="5754" xr:uid="{00000000-0005-0000-0000-00007A160000}"/>
    <cellStyle name="Accent4 79" xfId="5755" xr:uid="{00000000-0005-0000-0000-00007B160000}"/>
    <cellStyle name="Accent4 79 2" xfId="5756" xr:uid="{00000000-0005-0000-0000-00007C160000}"/>
    <cellStyle name="Accent4 79 2 2" xfId="5757" xr:uid="{00000000-0005-0000-0000-00007D160000}"/>
    <cellStyle name="Accent4 79 3" xfId="5758" xr:uid="{00000000-0005-0000-0000-00007E160000}"/>
    <cellStyle name="Accent4 79 3 2" xfId="5759" xr:uid="{00000000-0005-0000-0000-00007F160000}"/>
    <cellStyle name="Accent4 79 3 2 2" xfId="5760" xr:uid="{00000000-0005-0000-0000-000080160000}"/>
    <cellStyle name="Accent4 79 3 3" xfId="5761" xr:uid="{00000000-0005-0000-0000-000081160000}"/>
    <cellStyle name="Accent4 79 4" xfId="5762" xr:uid="{00000000-0005-0000-0000-000082160000}"/>
    <cellStyle name="Accent4 8" xfId="5763" xr:uid="{00000000-0005-0000-0000-000083160000}"/>
    <cellStyle name="Accent4 8 2" xfId="5764" xr:uid="{00000000-0005-0000-0000-000084160000}"/>
    <cellStyle name="Accent4 8 2 2" xfId="5765" xr:uid="{00000000-0005-0000-0000-000085160000}"/>
    <cellStyle name="Accent4 8 3" xfId="5766" xr:uid="{00000000-0005-0000-0000-000086160000}"/>
    <cellStyle name="Accent4 80" xfId="5767" xr:uid="{00000000-0005-0000-0000-000087160000}"/>
    <cellStyle name="Accent4 80 2" xfId="5768" xr:uid="{00000000-0005-0000-0000-000088160000}"/>
    <cellStyle name="Accent4 80 2 2" xfId="5769" xr:uid="{00000000-0005-0000-0000-000089160000}"/>
    <cellStyle name="Accent4 80 3" xfId="5770" xr:uid="{00000000-0005-0000-0000-00008A160000}"/>
    <cellStyle name="Accent4 80 3 2" xfId="5771" xr:uid="{00000000-0005-0000-0000-00008B160000}"/>
    <cellStyle name="Accent4 80 3 2 2" xfId="5772" xr:uid="{00000000-0005-0000-0000-00008C160000}"/>
    <cellStyle name="Accent4 80 3 3" xfId="5773" xr:uid="{00000000-0005-0000-0000-00008D160000}"/>
    <cellStyle name="Accent4 80 4" xfId="5774" xr:uid="{00000000-0005-0000-0000-00008E160000}"/>
    <cellStyle name="Accent4 81" xfId="5775" xr:uid="{00000000-0005-0000-0000-00008F160000}"/>
    <cellStyle name="Accent4 81 2" xfId="5776" xr:uid="{00000000-0005-0000-0000-000090160000}"/>
    <cellStyle name="Accent4 81 2 2" xfId="5777" xr:uid="{00000000-0005-0000-0000-000091160000}"/>
    <cellStyle name="Accent4 81 3" xfId="5778" xr:uid="{00000000-0005-0000-0000-000092160000}"/>
    <cellStyle name="Accent4 81 3 2" xfId="5779" xr:uid="{00000000-0005-0000-0000-000093160000}"/>
    <cellStyle name="Accent4 81 3 2 2" xfId="5780" xr:uid="{00000000-0005-0000-0000-000094160000}"/>
    <cellStyle name="Accent4 81 3 3" xfId="5781" xr:uid="{00000000-0005-0000-0000-000095160000}"/>
    <cellStyle name="Accent4 81 4" xfId="5782" xr:uid="{00000000-0005-0000-0000-000096160000}"/>
    <cellStyle name="Accent4 82" xfId="5783" xr:uid="{00000000-0005-0000-0000-000097160000}"/>
    <cellStyle name="Accent4 82 2" xfId="5784" xr:uid="{00000000-0005-0000-0000-000098160000}"/>
    <cellStyle name="Accent4 82 2 2" xfId="5785" xr:uid="{00000000-0005-0000-0000-000099160000}"/>
    <cellStyle name="Accent4 82 3" xfId="5786" xr:uid="{00000000-0005-0000-0000-00009A160000}"/>
    <cellStyle name="Accent4 82 3 2" xfId="5787" xr:uid="{00000000-0005-0000-0000-00009B160000}"/>
    <cellStyle name="Accent4 82 3 2 2" xfId="5788" xr:uid="{00000000-0005-0000-0000-00009C160000}"/>
    <cellStyle name="Accent4 82 3 3" xfId="5789" xr:uid="{00000000-0005-0000-0000-00009D160000}"/>
    <cellStyle name="Accent4 82 4" xfId="5790" xr:uid="{00000000-0005-0000-0000-00009E160000}"/>
    <cellStyle name="Accent4 83" xfId="5791" xr:uid="{00000000-0005-0000-0000-00009F160000}"/>
    <cellStyle name="Accent4 83 2" xfId="5792" xr:uid="{00000000-0005-0000-0000-0000A0160000}"/>
    <cellStyle name="Accent4 83 2 2" xfId="5793" xr:uid="{00000000-0005-0000-0000-0000A1160000}"/>
    <cellStyle name="Accent4 83 3" xfId="5794" xr:uid="{00000000-0005-0000-0000-0000A2160000}"/>
    <cellStyle name="Accent4 83 3 2" xfId="5795" xr:uid="{00000000-0005-0000-0000-0000A3160000}"/>
    <cellStyle name="Accent4 83 3 2 2" xfId="5796" xr:uid="{00000000-0005-0000-0000-0000A4160000}"/>
    <cellStyle name="Accent4 83 3 3" xfId="5797" xr:uid="{00000000-0005-0000-0000-0000A5160000}"/>
    <cellStyle name="Accent4 83 4" xfId="5798" xr:uid="{00000000-0005-0000-0000-0000A6160000}"/>
    <cellStyle name="Accent4 84" xfId="5799" xr:uid="{00000000-0005-0000-0000-0000A7160000}"/>
    <cellStyle name="Accent4 84 2" xfId="5800" xr:uid="{00000000-0005-0000-0000-0000A8160000}"/>
    <cellStyle name="Accent4 84 2 2" xfId="5801" xr:uid="{00000000-0005-0000-0000-0000A9160000}"/>
    <cellStyle name="Accent4 84 3" xfId="5802" xr:uid="{00000000-0005-0000-0000-0000AA160000}"/>
    <cellStyle name="Accent4 85" xfId="5803" xr:uid="{00000000-0005-0000-0000-0000AB160000}"/>
    <cellStyle name="Accent4 85 2" xfId="5804" xr:uid="{00000000-0005-0000-0000-0000AC160000}"/>
    <cellStyle name="Accent4 85 2 2" xfId="5805" xr:uid="{00000000-0005-0000-0000-0000AD160000}"/>
    <cellStyle name="Accent4 85 3" xfId="5806" xr:uid="{00000000-0005-0000-0000-0000AE160000}"/>
    <cellStyle name="Accent4 86" xfId="5807" xr:uid="{00000000-0005-0000-0000-0000AF160000}"/>
    <cellStyle name="Accent4 86 2" xfId="5808" xr:uid="{00000000-0005-0000-0000-0000B0160000}"/>
    <cellStyle name="Accent4 86 2 2" xfId="5809" xr:uid="{00000000-0005-0000-0000-0000B1160000}"/>
    <cellStyle name="Accent4 86 3" xfId="5810" xr:uid="{00000000-0005-0000-0000-0000B2160000}"/>
    <cellStyle name="Accent4 87" xfId="5811" xr:uid="{00000000-0005-0000-0000-0000B3160000}"/>
    <cellStyle name="Accent4 87 2" xfId="5812" xr:uid="{00000000-0005-0000-0000-0000B4160000}"/>
    <cellStyle name="Accent4 87 2 2" xfId="5813" xr:uid="{00000000-0005-0000-0000-0000B5160000}"/>
    <cellStyle name="Accent4 87 3" xfId="5814" xr:uid="{00000000-0005-0000-0000-0000B6160000}"/>
    <cellStyle name="Accent4 88" xfId="5815" xr:uid="{00000000-0005-0000-0000-0000B7160000}"/>
    <cellStyle name="Accent4 88 2" xfId="5816" xr:uid="{00000000-0005-0000-0000-0000B8160000}"/>
    <cellStyle name="Accent4 88 2 2" xfId="5817" xr:uid="{00000000-0005-0000-0000-0000B9160000}"/>
    <cellStyle name="Accent4 88 3" xfId="5818" xr:uid="{00000000-0005-0000-0000-0000BA160000}"/>
    <cellStyle name="Accent4 89" xfId="5819" xr:uid="{00000000-0005-0000-0000-0000BB160000}"/>
    <cellStyle name="Accent4 89 2" xfId="5820" xr:uid="{00000000-0005-0000-0000-0000BC160000}"/>
    <cellStyle name="Accent4 89 2 2" xfId="5821" xr:uid="{00000000-0005-0000-0000-0000BD160000}"/>
    <cellStyle name="Accent4 89 3" xfId="5822" xr:uid="{00000000-0005-0000-0000-0000BE160000}"/>
    <cellStyle name="Accent4 9" xfId="5823" xr:uid="{00000000-0005-0000-0000-0000BF160000}"/>
    <cellStyle name="Accent4 9 2" xfId="5824" xr:uid="{00000000-0005-0000-0000-0000C0160000}"/>
    <cellStyle name="Accent4 9 2 2" xfId="5825" xr:uid="{00000000-0005-0000-0000-0000C1160000}"/>
    <cellStyle name="Accent4 9 3" xfId="5826" xr:uid="{00000000-0005-0000-0000-0000C2160000}"/>
    <cellStyle name="Accent4 90" xfId="5827" xr:uid="{00000000-0005-0000-0000-0000C3160000}"/>
    <cellStyle name="Accent4 90 2" xfId="5828" xr:uid="{00000000-0005-0000-0000-0000C4160000}"/>
    <cellStyle name="Accent4 90 2 2" xfId="5829" xr:uid="{00000000-0005-0000-0000-0000C5160000}"/>
    <cellStyle name="Accent4 90 3" xfId="5830" xr:uid="{00000000-0005-0000-0000-0000C6160000}"/>
    <cellStyle name="Accent4 91" xfId="5831" xr:uid="{00000000-0005-0000-0000-0000C7160000}"/>
    <cellStyle name="Accent4 91 2" xfId="5832" xr:uid="{00000000-0005-0000-0000-0000C8160000}"/>
    <cellStyle name="Accent4 91 2 2" xfId="5833" xr:uid="{00000000-0005-0000-0000-0000C9160000}"/>
    <cellStyle name="Accent4 91 3" xfId="5834" xr:uid="{00000000-0005-0000-0000-0000CA160000}"/>
    <cellStyle name="Accent4 92" xfId="5835" xr:uid="{00000000-0005-0000-0000-0000CB160000}"/>
    <cellStyle name="Accent4 92 2" xfId="5836" xr:uid="{00000000-0005-0000-0000-0000CC160000}"/>
    <cellStyle name="Accent4 92 2 2" xfId="5837" xr:uid="{00000000-0005-0000-0000-0000CD160000}"/>
    <cellStyle name="Accent4 92 3" xfId="5838" xr:uid="{00000000-0005-0000-0000-0000CE160000}"/>
    <cellStyle name="Accent4 93" xfId="5839" xr:uid="{00000000-0005-0000-0000-0000CF160000}"/>
    <cellStyle name="Accent4 93 2" xfId="5840" xr:uid="{00000000-0005-0000-0000-0000D0160000}"/>
    <cellStyle name="Accent4 93 2 2" xfId="5841" xr:uid="{00000000-0005-0000-0000-0000D1160000}"/>
    <cellStyle name="Accent4 93 3" xfId="5842" xr:uid="{00000000-0005-0000-0000-0000D2160000}"/>
    <cellStyle name="Accent4 94" xfId="5843" xr:uid="{00000000-0005-0000-0000-0000D3160000}"/>
    <cellStyle name="Accent4 94 2" xfId="5844" xr:uid="{00000000-0005-0000-0000-0000D4160000}"/>
    <cellStyle name="Accent4 94 2 2" xfId="5845" xr:uid="{00000000-0005-0000-0000-0000D5160000}"/>
    <cellStyle name="Accent4 94 3" xfId="5846" xr:uid="{00000000-0005-0000-0000-0000D6160000}"/>
    <cellStyle name="Accent4 95" xfId="5847" xr:uid="{00000000-0005-0000-0000-0000D7160000}"/>
    <cellStyle name="Accent4 95 2" xfId="5848" xr:uid="{00000000-0005-0000-0000-0000D8160000}"/>
    <cellStyle name="Accent4 95 2 2" xfId="5849" xr:uid="{00000000-0005-0000-0000-0000D9160000}"/>
    <cellStyle name="Accent4 95 3" xfId="5850" xr:uid="{00000000-0005-0000-0000-0000DA160000}"/>
    <cellStyle name="Accent4 96" xfId="5851" xr:uid="{00000000-0005-0000-0000-0000DB160000}"/>
    <cellStyle name="Accent4 96 2" xfId="5852" xr:uid="{00000000-0005-0000-0000-0000DC160000}"/>
    <cellStyle name="Accent4 96 2 2" xfId="5853" xr:uid="{00000000-0005-0000-0000-0000DD160000}"/>
    <cellStyle name="Accent4 96 3" xfId="5854" xr:uid="{00000000-0005-0000-0000-0000DE160000}"/>
    <cellStyle name="Accent4 97" xfId="5855" xr:uid="{00000000-0005-0000-0000-0000DF160000}"/>
    <cellStyle name="Accent4 97 2" xfId="5856" xr:uid="{00000000-0005-0000-0000-0000E0160000}"/>
    <cellStyle name="Accent4 97 2 2" xfId="5857" xr:uid="{00000000-0005-0000-0000-0000E1160000}"/>
    <cellStyle name="Accent4 97 3" xfId="5858" xr:uid="{00000000-0005-0000-0000-0000E2160000}"/>
    <cellStyle name="Accent4 98" xfId="5859" xr:uid="{00000000-0005-0000-0000-0000E3160000}"/>
    <cellStyle name="Accent4 98 2" xfId="5860" xr:uid="{00000000-0005-0000-0000-0000E4160000}"/>
    <cellStyle name="Accent4 98 2 2" xfId="5861" xr:uid="{00000000-0005-0000-0000-0000E5160000}"/>
    <cellStyle name="Accent4 98 3" xfId="5862" xr:uid="{00000000-0005-0000-0000-0000E6160000}"/>
    <cellStyle name="Accent4 99" xfId="5863" xr:uid="{00000000-0005-0000-0000-0000E7160000}"/>
    <cellStyle name="Accent4 99 2" xfId="5864" xr:uid="{00000000-0005-0000-0000-0000E8160000}"/>
    <cellStyle name="Accent4 99 2 2" xfId="5865" xr:uid="{00000000-0005-0000-0000-0000E9160000}"/>
    <cellStyle name="Accent4 99 3" xfId="5866" xr:uid="{00000000-0005-0000-0000-0000EA160000}"/>
    <cellStyle name="Accent5 - 20%" xfId="5867" xr:uid="{00000000-0005-0000-0000-0000EB160000}"/>
    <cellStyle name="Accent5 - 20% 10" xfId="5868" xr:uid="{00000000-0005-0000-0000-0000EC160000}"/>
    <cellStyle name="Accent5 - 20% 11" xfId="5869" xr:uid="{00000000-0005-0000-0000-0000ED160000}"/>
    <cellStyle name="Accent5 - 20% 2" xfId="5870" xr:uid="{00000000-0005-0000-0000-0000EE160000}"/>
    <cellStyle name="Accent5 - 20% 2 2" xfId="5871" xr:uid="{00000000-0005-0000-0000-0000EF160000}"/>
    <cellStyle name="Accent5 - 20% 2 2 2" xfId="5872" xr:uid="{00000000-0005-0000-0000-0000F0160000}"/>
    <cellStyle name="Accent5 - 20% 2 2 2 2" xfId="5873" xr:uid="{00000000-0005-0000-0000-0000F1160000}"/>
    <cellStyle name="Accent5 - 20% 2 2 3" xfId="5874" xr:uid="{00000000-0005-0000-0000-0000F2160000}"/>
    <cellStyle name="Accent5 - 20% 2 3" xfId="5875" xr:uid="{00000000-0005-0000-0000-0000F3160000}"/>
    <cellStyle name="Accent5 - 20% 2 3 2" xfId="5876" xr:uid="{00000000-0005-0000-0000-0000F4160000}"/>
    <cellStyle name="Accent5 - 20% 2 3 2 2" xfId="5877" xr:uid="{00000000-0005-0000-0000-0000F5160000}"/>
    <cellStyle name="Accent5 - 20% 2 3 2 2 2" xfId="5878" xr:uid="{00000000-0005-0000-0000-0000F6160000}"/>
    <cellStyle name="Accent5 - 20% 2 3 2 3" xfId="5879" xr:uid="{00000000-0005-0000-0000-0000F7160000}"/>
    <cellStyle name="Accent5 - 20% 2 3 3" xfId="5880" xr:uid="{00000000-0005-0000-0000-0000F8160000}"/>
    <cellStyle name="Accent5 - 20% 2 3 3 2" xfId="5881" xr:uid="{00000000-0005-0000-0000-0000F9160000}"/>
    <cellStyle name="Accent5 - 20% 2 3 4" xfId="5882" xr:uid="{00000000-0005-0000-0000-0000FA160000}"/>
    <cellStyle name="Accent5 - 20% 2 4" xfId="5883" xr:uid="{00000000-0005-0000-0000-0000FB160000}"/>
    <cellStyle name="Accent5 - 20% 2 4 2" xfId="5884" xr:uid="{00000000-0005-0000-0000-0000FC160000}"/>
    <cellStyle name="Accent5 - 20% 2 4 2 2" xfId="5885" xr:uid="{00000000-0005-0000-0000-0000FD160000}"/>
    <cellStyle name="Accent5 - 20% 2 4 2 2 2" xfId="5886" xr:uid="{00000000-0005-0000-0000-0000FE160000}"/>
    <cellStyle name="Accent5 - 20% 2 4 2 3" xfId="5887" xr:uid="{00000000-0005-0000-0000-0000FF160000}"/>
    <cellStyle name="Accent5 - 20% 2 4 3" xfId="5888" xr:uid="{00000000-0005-0000-0000-000000170000}"/>
    <cellStyle name="Accent5 - 20% 2 4 3 2" xfId="5889" xr:uid="{00000000-0005-0000-0000-000001170000}"/>
    <cellStyle name="Accent5 - 20% 2 4 4" xfId="5890" xr:uid="{00000000-0005-0000-0000-000002170000}"/>
    <cellStyle name="Accent5 - 20% 2 5" xfId="5891" xr:uid="{00000000-0005-0000-0000-000003170000}"/>
    <cellStyle name="Accent5 - 20% 2 5 2" xfId="5892" xr:uid="{00000000-0005-0000-0000-000004170000}"/>
    <cellStyle name="Accent5 - 20% 2 6" xfId="5893" xr:uid="{00000000-0005-0000-0000-000005170000}"/>
    <cellStyle name="Accent5 - 20% 2 6 2" xfId="5894" xr:uid="{00000000-0005-0000-0000-000006170000}"/>
    <cellStyle name="Accent5 - 20% 2 7" xfId="5895" xr:uid="{00000000-0005-0000-0000-000007170000}"/>
    <cellStyle name="Accent5 - 20% 3" xfId="5896" xr:uid="{00000000-0005-0000-0000-000008170000}"/>
    <cellStyle name="Accent5 - 20% 3 2" xfId="5897" xr:uid="{00000000-0005-0000-0000-000009170000}"/>
    <cellStyle name="Accent5 - 20% 3 2 2" xfId="5898" xr:uid="{00000000-0005-0000-0000-00000A170000}"/>
    <cellStyle name="Accent5 - 20% 3 2 2 2" xfId="5899" xr:uid="{00000000-0005-0000-0000-00000B170000}"/>
    <cellStyle name="Accent5 - 20% 3 2 3" xfId="5900" xr:uid="{00000000-0005-0000-0000-00000C170000}"/>
    <cellStyle name="Accent5 - 20% 3 3" xfId="5901" xr:uid="{00000000-0005-0000-0000-00000D170000}"/>
    <cellStyle name="Accent5 - 20% 3 3 2" xfId="5902" xr:uid="{00000000-0005-0000-0000-00000E170000}"/>
    <cellStyle name="Accent5 - 20% 3 4" xfId="5903" xr:uid="{00000000-0005-0000-0000-00000F170000}"/>
    <cellStyle name="Accent5 - 20% 4" xfId="5904" xr:uid="{00000000-0005-0000-0000-000010170000}"/>
    <cellStyle name="Accent5 - 20% 4 2" xfId="5905" xr:uid="{00000000-0005-0000-0000-000011170000}"/>
    <cellStyle name="Accent5 - 20% 4 2 2" xfId="5906" xr:uid="{00000000-0005-0000-0000-000012170000}"/>
    <cellStyle name="Accent5 - 20% 4 3" xfId="5907" xr:uid="{00000000-0005-0000-0000-000013170000}"/>
    <cellStyle name="Accent5 - 20% 5" xfId="5908" xr:uid="{00000000-0005-0000-0000-000014170000}"/>
    <cellStyle name="Accent5 - 20% 5 2" xfId="5909" xr:uid="{00000000-0005-0000-0000-000015170000}"/>
    <cellStyle name="Accent5 - 20% 5 2 2" xfId="5910" xr:uid="{00000000-0005-0000-0000-000016170000}"/>
    <cellStyle name="Accent5 - 20% 5 3" xfId="5911" xr:uid="{00000000-0005-0000-0000-000017170000}"/>
    <cellStyle name="Accent5 - 20% 6" xfId="5912" xr:uid="{00000000-0005-0000-0000-000018170000}"/>
    <cellStyle name="Accent5 - 20% 6 2" xfId="5913" xr:uid="{00000000-0005-0000-0000-000019170000}"/>
    <cellStyle name="Accent5 - 20% 7" xfId="5914" xr:uid="{00000000-0005-0000-0000-00001A170000}"/>
    <cellStyle name="Accent5 - 20% 7 2" xfId="5915" xr:uid="{00000000-0005-0000-0000-00001B170000}"/>
    <cellStyle name="Accent5 - 20% 8" xfId="5916" xr:uid="{00000000-0005-0000-0000-00001C170000}"/>
    <cellStyle name="Accent5 - 20% 8 2" xfId="5917" xr:uid="{00000000-0005-0000-0000-00001D170000}"/>
    <cellStyle name="Accent5 - 20% 9" xfId="5918" xr:uid="{00000000-0005-0000-0000-00001E170000}"/>
    <cellStyle name="Accent5 - 20% 9 2" xfId="5919" xr:uid="{00000000-0005-0000-0000-00001F170000}"/>
    <cellStyle name="Accent5 - 40%" xfId="5920" xr:uid="{00000000-0005-0000-0000-000020170000}"/>
    <cellStyle name="Accent5 - 40% 2" xfId="5921" xr:uid="{00000000-0005-0000-0000-000021170000}"/>
    <cellStyle name="Accent5 - 40% 2 2" xfId="5922" xr:uid="{00000000-0005-0000-0000-000022170000}"/>
    <cellStyle name="Accent5 - 40% 2 2 2" xfId="5923" xr:uid="{00000000-0005-0000-0000-000023170000}"/>
    <cellStyle name="Accent5 - 40% 2 2 2 2" xfId="5924" xr:uid="{00000000-0005-0000-0000-000024170000}"/>
    <cellStyle name="Accent5 - 40% 2 2 3" xfId="5925" xr:uid="{00000000-0005-0000-0000-000025170000}"/>
    <cellStyle name="Accent5 - 40% 2 3" xfId="5926" xr:uid="{00000000-0005-0000-0000-000026170000}"/>
    <cellStyle name="Accent5 - 40% 2 3 2" xfId="5927" xr:uid="{00000000-0005-0000-0000-000027170000}"/>
    <cellStyle name="Accent5 - 40% 2 3 2 2" xfId="5928" xr:uid="{00000000-0005-0000-0000-000028170000}"/>
    <cellStyle name="Accent5 - 40% 2 3 2 2 2" xfId="5929" xr:uid="{00000000-0005-0000-0000-000029170000}"/>
    <cellStyle name="Accent5 - 40% 2 3 2 3" xfId="5930" xr:uid="{00000000-0005-0000-0000-00002A170000}"/>
    <cellStyle name="Accent5 - 40% 2 3 3" xfId="5931" xr:uid="{00000000-0005-0000-0000-00002B170000}"/>
    <cellStyle name="Accent5 - 40% 2 3 3 2" xfId="5932" xr:uid="{00000000-0005-0000-0000-00002C170000}"/>
    <cellStyle name="Accent5 - 40% 2 3 4" xfId="5933" xr:uid="{00000000-0005-0000-0000-00002D170000}"/>
    <cellStyle name="Accent5 - 40% 2 4" xfId="5934" xr:uid="{00000000-0005-0000-0000-00002E170000}"/>
    <cellStyle name="Accent5 - 40% 2 4 2" xfId="5935" xr:uid="{00000000-0005-0000-0000-00002F170000}"/>
    <cellStyle name="Accent5 - 40% 2 5" xfId="5936" xr:uid="{00000000-0005-0000-0000-000030170000}"/>
    <cellStyle name="Accent5 - 40% 2 5 2" xfId="5937" xr:uid="{00000000-0005-0000-0000-000031170000}"/>
    <cellStyle name="Accent5 - 40% 2 6" xfId="5938" xr:uid="{00000000-0005-0000-0000-000032170000}"/>
    <cellStyle name="Accent5 - 40% 3" xfId="5939" xr:uid="{00000000-0005-0000-0000-000033170000}"/>
    <cellStyle name="Accent5 - 40% 3 2" xfId="5940" xr:uid="{00000000-0005-0000-0000-000034170000}"/>
    <cellStyle name="Accent5 - 40% 3 2 2" xfId="5941" xr:uid="{00000000-0005-0000-0000-000035170000}"/>
    <cellStyle name="Accent5 - 40% 3 2 2 2" xfId="5942" xr:uid="{00000000-0005-0000-0000-000036170000}"/>
    <cellStyle name="Accent5 - 40% 3 2 3" xfId="5943" xr:uid="{00000000-0005-0000-0000-000037170000}"/>
    <cellStyle name="Accent5 - 40% 3 3" xfId="5944" xr:uid="{00000000-0005-0000-0000-000038170000}"/>
    <cellStyle name="Accent5 - 40% 3 3 2" xfId="5945" xr:uid="{00000000-0005-0000-0000-000039170000}"/>
    <cellStyle name="Accent5 - 40% 3 4" xfId="5946" xr:uid="{00000000-0005-0000-0000-00003A170000}"/>
    <cellStyle name="Accent5 - 40% 4" xfId="5947" xr:uid="{00000000-0005-0000-0000-00003B170000}"/>
    <cellStyle name="Accent5 - 40% 4 2" xfId="5948" xr:uid="{00000000-0005-0000-0000-00003C170000}"/>
    <cellStyle name="Accent5 - 40% 4 2 2" xfId="5949" xr:uid="{00000000-0005-0000-0000-00003D170000}"/>
    <cellStyle name="Accent5 - 40% 4 3" xfId="5950" xr:uid="{00000000-0005-0000-0000-00003E170000}"/>
    <cellStyle name="Accent5 - 40% 5" xfId="5951" xr:uid="{00000000-0005-0000-0000-00003F170000}"/>
    <cellStyle name="Accent5 - 40% 5 2" xfId="5952" xr:uid="{00000000-0005-0000-0000-000040170000}"/>
    <cellStyle name="Accent5 - 40% 6" xfId="5953" xr:uid="{00000000-0005-0000-0000-000041170000}"/>
    <cellStyle name="Accent5 - 40% 6 2" xfId="5954" xr:uid="{00000000-0005-0000-0000-000042170000}"/>
    <cellStyle name="Accent5 - 40% 7" xfId="5955" xr:uid="{00000000-0005-0000-0000-000043170000}"/>
    <cellStyle name="Accent5 - 40% 8" xfId="5956" xr:uid="{00000000-0005-0000-0000-000044170000}"/>
    <cellStyle name="Accent5 - 60%" xfId="5957" xr:uid="{00000000-0005-0000-0000-000045170000}"/>
    <cellStyle name="Accent5 - 60% 10" xfId="5958" xr:uid="{00000000-0005-0000-0000-000046170000}"/>
    <cellStyle name="Accent5 - 60% 2" xfId="5959" xr:uid="{00000000-0005-0000-0000-000047170000}"/>
    <cellStyle name="Accent5 - 60% 2 2" xfId="5960" xr:uid="{00000000-0005-0000-0000-000048170000}"/>
    <cellStyle name="Accent5 - 60% 2 2 2" xfId="5961" xr:uid="{00000000-0005-0000-0000-000049170000}"/>
    <cellStyle name="Accent5 - 60% 2 3" xfId="5962" xr:uid="{00000000-0005-0000-0000-00004A170000}"/>
    <cellStyle name="Accent5 - 60% 2 3 2" xfId="5963" xr:uid="{00000000-0005-0000-0000-00004B170000}"/>
    <cellStyle name="Accent5 - 60% 2 3 2 2" xfId="5964" xr:uid="{00000000-0005-0000-0000-00004C170000}"/>
    <cellStyle name="Accent5 - 60% 2 3 3" xfId="5965" xr:uid="{00000000-0005-0000-0000-00004D170000}"/>
    <cellStyle name="Accent5 - 60% 2 4" xfId="5966" xr:uid="{00000000-0005-0000-0000-00004E170000}"/>
    <cellStyle name="Accent5 - 60% 2 4 2" xfId="5967" xr:uid="{00000000-0005-0000-0000-00004F170000}"/>
    <cellStyle name="Accent5 - 60% 2 4 2 2" xfId="5968" xr:uid="{00000000-0005-0000-0000-000050170000}"/>
    <cellStyle name="Accent5 - 60% 2 4 3" xfId="5969" xr:uid="{00000000-0005-0000-0000-000051170000}"/>
    <cellStyle name="Accent5 - 60% 2 5" xfId="5970" xr:uid="{00000000-0005-0000-0000-000052170000}"/>
    <cellStyle name="Accent5 - 60% 3" xfId="5971" xr:uid="{00000000-0005-0000-0000-000053170000}"/>
    <cellStyle name="Accent5 - 60% 3 2" xfId="5972" xr:uid="{00000000-0005-0000-0000-000054170000}"/>
    <cellStyle name="Accent5 - 60% 3 2 2" xfId="5973" xr:uid="{00000000-0005-0000-0000-000055170000}"/>
    <cellStyle name="Accent5 - 60% 3 3" xfId="5974" xr:uid="{00000000-0005-0000-0000-000056170000}"/>
    <cellStyle name="Accent5 - 60% 4" xfId="5975" xr:uid="{00000000-0005-0000-0000-000057170000}"/>
    <cellStyle name="Accent5 - 60% 4 2" xfId="5976" xr:uid="{00000000-0005-0000-0000-000058170000}"/>
    <cellStyle name="Accent5 - 60% 5" xfId="5977" xr:uid="{00000000-0005-0000-0000-000059170000}"/>
    <cellStyle name="Accent5 - 60% 5 2" xfId="5978" xr:uid="{00000000-0005-0000-0000-00005A170000}"/>
    <cellStyle name="Accent5 - 60% 6" xfId="5979" xr:uid="{00000000-0005-0000-0000-00005B170000}"/>
    <cellStyle name="Accent5 - 60% 6 2" xfId="5980" xr:uid="{00000000-0005-0000-0000-00005C170000}"/>
    <cellStyle name="Accent5 - 60% 6 2 2" xfId="5981" xr:uid="{00000000-0005-0000-0000-00005D170000}"/>
    <cellStyle name="Accent5 - 60% 6 3" xfId="5982" xr:uid="{00000000-0005-0000-0000-00005E170000}"/>
    <cellStyle name="Accent5 - 60% 7" xfId="5983" xr:uid="{00000000-0005-0000-0000-00005F170000}"/>
    <cellStyle name="Accent5 - 60% 7 2" xfId="5984" xr:uid="{00000000-0005-0000-0000-000060170000}"/>
    <cellStyle name="Accent5 - 60% 8" xfId="5985" xr:uid="{00000000-0005-0000-0000-000061170000}"/>
    <cellStyle name="Accent5 - 60% 8 2" xfId="5986" xr:uid="{00000000-0005-0000-0000-000062170000}"/>
    <cellStyle name="Accent5 - 60% 9" xfId="5987" xr:uid="{00000000-0005-0000-0000-000063170000}"/>
    <cellStyle name="Accent5 10" xfId="5988" xr:uid="{00000000-0005-0000-0000-000064170000}"/>
    <cellStyle name="Accent5 10 2" xfId="5989" xr:uid="{00000000-0005-0000-0000-000065170000}"/>
    <cellStyle name="Accent5 10 2 2" xfId="5990" xr:uid="{00000000-0005-0000-0000-000066170000}"/>
    <cellStyle name="Accent5 10 3" xfId="5991" xr:uid="{00000000-0005-0000-0000-000067170000}"/>
    <cellStyle name="Accent5 100" xfId="5992" xr:uid="{00000000-0005-0000-0000-000068170000}"/>
    <cellStyle name="Accent5 100 2" xfId="5993" xr:uid="{00000000-0005-0000-0000-000069170000}"/>
    <cellStyle name="Accent5 100 2 2" xfId="5994" xr:uid="{00000000-0005-0000-0000-00006A170000}"/>
    <cellStyle name="Accent5 100 2 2 2" xfId="33570" xr:uid="{6FA45C0E-101C-4018-B92C-8892CB0595C4}"/>
    <cellStyle name="Accent5 100 2 3" xfId="33569" xr:uid="{33B99B7F-D83A-4AC5-8E37-CC58E3E2EBB3}"/>
    <cellStyle name="Accent5 100 3" xfId="5995" xr:uid="{00000000-0005-0000-0000-00006B170000}"/>
    <cellStyle name="Accent5 100 3 2" xfId="33571" xr:uid="{29970E34-433E-405E-86EA-5D557D7431C4}"/>
    <cellStyle name="Accent5 100 4" xfId="33568" xr:uid="{7E3BBBA7-E061-4FEA-A1BA-5ACDF1E425FC}"/>
    <cellStyle name="Accent5 101" xfId="5996" xr:uid="{00000000-0005-0000-0000-00006C170000}"/>
    <cellStyle name="Accent5 101 2" xfId="5997" xr:uid="{00000000-0005-0000-0000-00006D170000}"/>
    <cellStyle name="Accent5 101 2 2" xfId="5998" xr:uid="{00000000-0005-0000-0000-00006E170000}"/>
    <cellStyle name="Accent5 101 2 2 2" xfId="33574" xr:uid="{7144A3F7-8986-4571-ACCD-8A7A02B66A69}"/>
    <cellStyle name="Accent5 101 2 3" xfId="33573" xr:uid="{4D398851-8774-49C9-BF52-E76B45674FB6}"/>
    <cellStyle name="Accent5 101 3" xfId="5999" xr:uid="{00000000-0005-0000-0000-00006F170000}"/>
    <cellStyle name="Accent5 101 3 2" xfId="33575" xr:uid="{250A86A2-68F2-4575-964A-41D183F8DA85}"/>
    <cellStyle name="Accent5 101 4" xfId="33572" xr:uid="{D77966F5-031B-4759-8E42-D65AC22832FF}"/>
    <cellStyle name="Accent5 102" xfId="6000" xr:uid="{00000000-0005-0000-0000-000070170000}"/>
    <cellStyle name="Accent5 102 2" xfId="6001" xr:uid="{00000000-0005-0000-0000-000071170000}"/>
    <cellStyle name="Accent5 103" xfId="6002" xr:uid="{00000000-0005-0000-0000-000072170000}"/>
    <cellStyle name="Accent5 103 2" xfId="6003" xr:uid="{00000000-0005-0000-0000-000073170000}"/>
    <cellStyle name="Accent5 104" xfId="6004" xr:uid="{00000000-0005-0000-0000-000074170000}"/>
    <cellStyle name="Accent5 104 2" xfId="6005" xr:uid="{00000000-0005-0000-0000-000075170000}"/>
    <cellStyle name="Accent5 104 2 2" xfId="6006" xr:uid="{00000000-0005-0000-0000-000076170000}"/>
    <cellStyle name="Accent5 104 3" xfId="6007" xr:uid="{00000000-0005-0000-0000-000077170000}"/>
    <cellStyle name="Accent5 105" xfId="6008" xr:uid="{00000000-0005-0000-0000-000078170000}"/>
    <cellStyle name="Accent5 105 2" xfId="6009" xr:uid="{00000000-0005-0000-0000-000079170000}"/>
    <cellStyle name="Accent5 105 2 2" xfId="6010" xr:uid="{00000000-0005-0000-0000-00007A170000}"/>
    <cellStyle name="Accent5 105 2 2 2" xfId="33578" xr:uid="{AC9B726E-C0DB-4560-A5CA-E57892E45993}"/>
    <cellStyle name="Accent5 105 2 3" xfId="33577" xr:uid="{1D047B86-D037-4F86-BE85-41EEE10F3155}"/>
    <cellStyle name="Accent5 105 3" xfId="6011" xr:uid="{00000000-0005-0000-0000-00007B170000}"/>
    <cellStyle name="Accent5 105 3 2" xfId="33579" xr:uid="{1D196C65-6AE2-4C61-BD1A-C0186A5E713D}"/>
    <cellStyle name="Accent5 105 4" xfId="33576" xr:uid="{9ED5DCF2-D758-4A33-94B8-4351BE2BCBC7}"/>
    <cellStyle name="Accent5 106" xfId="6012" xr:uid="{00000000-0005-0000-0000-00007C170000}"/>
    <cellStyle name="Accent5 106 2" xfId="6013" xr:uid="{00000000-0005-0000-0000-00007D170000}"/>
    <cellStyle name="Accent5 106 2 2" xfId="6014" xr:uid="{00000000-0005-0000-0000-00007E170000}"/>
    <cellStyle name="Accent5 106 2 2 2" xfId="33582" xr:uid="{E6A994DF-D62B-4DFC-A086-720968D9A22B}"/>
    <cellStyle name="Accent5 106 2 3" xfId="33581" xr:uid="{41DDEA72-1347-4121-A430-C66A87FBDF0A}"/>
    <cellStyle name="Accent5 106 3" xfId="6015" xr:uid="{00000000-0005-0000-0000-00007F170000}"/>
    <cellStyle name="Accent5 106 3 2" xfId="33583" xr:uid="{1E339804-D5F1-4E58-AF3E-62088A1B938C}"/>
    <cellStyle name="Accent5 106 4" xfId="33580" xr:uid="{9C5D0EB1-CB2A-4B67-921F-8E2669358DFC}"/>
    <cellStyle name="Accent5 107" xfId="6016" xr:uid="{00000000-0005-0000-0000-000080170000}"/>
    <cellStyle name="Accent5 107 2" xfId="6017" xr:uid="{00000000-0005-0000-0000-000081170000}"/>
    <cellStyle name="Accent5 107 2 2" xfId="6018" xr:uid="{00000000-0005-0000-0000-000082170000}"/>
    <cellStyle name="Accent5 107 2 2 2" xfId="33586" xr:uid="{4E4266D2-FF80-447F-98D7-F7A2852E31A5}"/>
    <cellStyle name="Accent5 107 2 3" xfId="33585" xr:uid="{F48B7669-1528-4123-911C-0EDC8D7F2A0C}"/>
    <cellStyle name="Accent5 107 3" xfId="6019" xr:uid="{00000000-0005-0000-0000-000083170000}"/>
    <cellStyle name="Accent5 107 3 2" xfId="33587" xr:uid="{A44EA4F2-DB79-4BE5-B464-3EF0FA8FE7F1}"/>
    <cellStyle name="Accent5 107 4" xfId="33584" xr:uid="{BF41A353-450B-42AF-B830-1B39347DED2C}"/>
    <cellStyle name="Accent5 108" xfId="6020" xr:uid="{00000000-0005-0000-0000-000084170000}"/>
    <cellStyle name="Accent5 108 2" xfId="6021" xr:uid="{00000000-0005-0000-0000-000085170000}"/>
    <cellStyle name="Accent5 108 2 2" xfId="6022" xr:uid="{00000000-0005-0000-0000-000086170000}"/>
    <cellStyle name="Accent5 108 3" xfId="6023" xr:uid="{00000000-0005-0000-0000-000087170000}"/>
    <cellStyle name="Accent5 109" xfId="6024" xr:uid="{00000000-0005-0000-0000-000088170000}"/>
    <cellStyle name="Accent5 109 2" xfId="6025" xr:uid="{00000000-0005-0000-0000-000089170000}"/>
    <cellStyle name="Accent5 109 2 2" xfId="6026" xr:uid="{00000000-0005-0000-0000-00008A170000}"/>
    <cellStyle name="Accent5 109 3" xfId="6027" xr:uid="{00000000-0005-0000-0000-00008B170000}"/>
    <cellStyle name="Accent5 11" xfId="6028" xr:uid="{00000000-0005-0000-0000-00008C170000}"/>
    <cellStyle name="Accent5 11 2" xfId="6029" xr:uid="{00000000-0005-0000-0000-00008D170000}"/>
    <cellStyle name="Accent5 11 2 2" xfId="6030" xr:uid="{00000000-0005-0000-0000-00008E170000}"/>
    <cellStyle name="Accent5 11 3" xfId="6031" xr:uid="{00000000-0005-0000-0000-00008F170000}"/>
    <cellStyle name="Accent5 110" xfId="6032" xr:uid="{00000000-0005-0000-0000-000090170000}"/>
    <cellStyle name="Accent5 110 2" xfId="6033" xr:uid="{00000000-0005-0000-0000-000091170000}"/>
    <cellStyle name="Accent5 110 2 2" xfId="6034" xr:uid="{00000000-0005-0000-0000-000092170000}"/>
    <cellStyle name="Accent5 110 3" xfId="6035" xr:uid="{00000000-0005-0000-0000-000093170000}"/>
    <cellStyle name="Accent5 111" xfId="6036" xr:uid="{00000000-0005-0000-0000-000094170000}"/>
    <cellStyle name="Accent5 111 2" xfId="6037" xr:uid="{00000000-0005-0000-0000-000095170000}"/>
    <cellStyle name="Accent5 111 2 2" xfId="6038" xr:uid="{00000000-0005-0000-0000-000096170000}"/>
    <cellStyle name="Accent5 111 3" xfId="6039" xr:uid="{00000000-0005-0000-0000-000097170000}"/>
    <cellStyle name="Accent5 112" xfId="6040" xr:uid="{00000000-0005-0000-0000-000098170000}"/>
    <cellStyle name="Accent5 112 2" xfId="6041" xr:uid="{00000000-0005-0000-0000-000099170000}"/>
    <cellStyle name="Accent5 112 2 2" xfId="6042" xr:uid="{00000000-0005-0000-0000-00009A170000}"/>
    <cellStyle name="Accent5 112 3" xfId="6043" xr:uid="{00000000-0005-0000-0000-00009B170000}"/>
    <cellStyle name="Accent5 113" xfId="6044" xr:uid="{00000000-0005-0000-0000-00009C170000}"/>
    <cellStyle name="Accent5 113 2" xfId="6045" xr:uid="{00000000-0005-0000-0000-00009D170000}"/>
    <cellStyle name="Accent5 113 2 2" xfId="6046" xr:uid="{00000000-0005-0000-0000-00009E170000}"/>
    <cellStyle name="Accent5 113 3" xfId="6047" xr:uid="{00000000-0005-0000-0000-00009F170000}"/>
    <cellStyle name="Accent5 114" xfId="6048" xr:uid="{00000000-0005-0000-0000-0000A0170000}"/>
    <cellStyle name="Accent5 114 2" xfId="6049" xr:uid="{00000000-0005-0000-0000-0000A1170000}"/>
    <cellStyle name="Accent5 115" xfId="6050" xr:uid="{00000000-0005-0000-0000-0000A2170000}"/>
    <cellStyle name="Accent5 115 2" xfId="6051" xr:uid="{00000000-0005-0000-0000-0000A3170000}"/>
    <cellStyle name="Accent5 116" xfId="6052" xr:uid="{00000000-0005-0000-0000-0000A4170000}"/>
    <cellStyle name="Accent5 116 2" xfId="6053" xr:uid="{00000000-0005-0000-0000-0000A5170000}"/>
    <cellStyle name="Accent5 117" xfId="6054" xr:uid="{00000000-0005-0000-0000-0000A6170000}"/>
    <cellStyle name="Accent5 117 2" xfId="6055" xr:uid="{00000000-0005-0000-0000-0000A7170000}"/>
    <cellStyle name="Accent5 118" xfId="6056" xr:uid="{00000000-0005-0000-0000-0000A8170000}"/>
    <cellStyle name="Accent5 118 2" xfId="6057" xr:uid="{00000000-0005-0000-0000-0000A9170000}"/>
    <cellStyle name="Accent5 119" xfId="6058" xr:uid="{00000000-0005-0000-0000-0000AA170000}"/>
    <cellStyle name="Accent5 119 2" xfId="6059" xr:uid="{00000000-0005-0000-0000-0000AB170000}"/>
    <cellStyle name="Accent5 12" xfId="6060" xr:uid="{00000000-0005-0000-0000-0000AC170000}"/>
    <cellStyle name="Accent5 12 2" xfId="6061" xr:uid="{00000000-0005-0000-0000-0000AD170000}"/>
    <cellStyle name="Accent5 12 2 2" xfId="6062" xr:uid="{00000000-0005-0000-0000-0000AE170000}"/>
    <cellStyle name="Accent5 12 3" xfId="6063" xr:uid="{00000000-0005-0000-0000-0000AF170000}"/>
    <cellStyle name="Accent5 120" xfId="6064" xr:uid="{00000000-0005-0000-0000-0000B0170000}"/>
    <cellStyle name="Accent5 120 2" xfId="6065" xr:uid="{00000000-0005-0000-0000-0000B1170000}"/>
    <cellStyle name="Accent5 121" xfId="6066" xr:uid="{00000000-0005-0000-0000-0000B2170000}"/>
    <cellStyle name="Accent5 121 2" xfId="6067" xr:uid="{00000000-0005-0000-0000-0000B3170000}"/>
    <cellStyle name="Accent5 122" xfId="6068" xr:uid="{00000000-0005-0000-0000-0000B4170000}"/>
    <cellStyle name="Accent5 122 2" xfId="6069" xr:uid="{00000000-0005-0000-0000-0000B5170000}"/>
    <cellStyle name="Accent5 123" xfId="6070" xr:uid="{00000000-0005-0000-0000-0000B6170000}"/>
    <cellStyle name="Accent5 123 2" xfId="6071" xr:uid="{00000000-0005-0000-0000-0000B7170000}"/>
    <cellStyle name="Accent5 124" xfId="6072" xr:uid="{00000000-0005-0000-0000-0000B8170000}"/>
    <cellStyle name="Accent5 124 2" xfId="6073" xr:uid="{00000000-0005-0000-0000-0000B9170000}"/>
    <cellStyle name="Accent5 125" xfId="6074" xr:uid="{00000000-0005-0000-0000-0000BA170000}"/>
    <cellStyle name="Accent5 125 2" xfId="6075" xr:uid="{00000000-0005-0000-0000-0000BB170000}"/>
    <cellStyle name="Accent5 126" xfId="6076" xr:uid="{00000000-0005-0000-0000-0000BC170000}"/>
    <cellStyle name="Accent5 127" xfId="6077" xr:uid="{00000000-0005-0000-0000-0000BD170000}"/>
    <cellStyle name="Accent5 128" xfId="6078" xr:uid="{00000000-0005-0000-0000-0000BE170000}"/>
    <cellStyle name="Accent5 129" xfId="6079" xr:uid="{00000000-0005-0000-0000-0000BF170000}"/>
    <cellStyle name="Accent5 13" xfId="6080" xr:uid="{00000000-0005-0000-0000-0000C0170000}"/>
    <cellStyle name="Accent5 13 2" xfId="6081" xr:uid="{00000000-0005-0000-0000-0000C1170000}"/>
    <cellStyle name="Accent5 13 2 2" xfId="6082" xr:uid="{00000000-0005-0000-0000-0000C2170000}"/>
    <cellStyle name="Accent5 13 3" xfId="6083" xr:uid="{00000000-0005-0000-0000-0000C3170000}"/>
    <cellStyle name="Accent5 130" xfId="6084" xr:uid="{00000000-0005-0000-0000-0000C4170000}"/>
    <cellStyle name="Accent5 131" xfId="6085" xr:uid="{00000000-0005-0000-0000-0000C5170000}"/>
    <cellStyle name="Accent5 132" xfId="6086" xr:uid="{00000000-0005-0000-0000-0000C6170000}"/>
    <cellStyle name="Accent5 133" xfId="6087" xr:uid="{00000000-0005-0000-0000-0000C7170000}"/>
    <cellStyle name="Accent5 134" xfId="6088" xr:uid="{00000000-0005-0000-0000-0000C8170000}"/>
    <cellStyle name="Accent5 135" xfId="6089" xr:uid="{00000000-0005-0000-0000-0000C9170000}"/>
    <cellStyle name="Accent5 136" xfId="6090" xr:uid="{00000000-0005-0000-0000-0000CA170000}"/>
    <cellStyle name="Accent5 137" xfId="6091" xr:uid="{00000000-0005-0000-0000-0000CB170000}"/>
    <cellStyle name="Accent5 138" xfId="6092" xr:uid="{00000000-0005-0000-0000-0000CC170000}"/>
    <cellStyle name="Accent5 139" xfId="6093" xr:uid="{00000000-0005-0000-0000-0000CD170000}"/>
    <cellStyle name="Accent5 14" xfId="6094" xr:uid="{00000000-0005-0000-0000-0000CE170000}"/>
    <cellStyle name="Accent5 14 2" xfId="6095" xr:uid="{00000000-0005-0000-0000-0000CF170000}"/>
    <cellStyle name="Accent5 14 2 2" xfId="6096" xr:uid="{00000000-0005-0000-0000-0000D0170000}"/>
    <cellStyle name="Accent5 14 3" xfId="6097" xr:uid="{00000000-0005-0000-0000-0000D1170000}"/>
    <cellStyle name="Accent5 140" xfId="6098" xr:uid="{00000000-0005-0000-0000-0000D2170000}"/>
    <cellStyle name="Accent5 141" xfId="6099" xr:uid="{00000000-0005-0000-0000-0000D3170000}"/>
    <cellStyle name="Accent5 142" xfId="6100" xr:uid="{00000000-0005-0000-0000-0000D4170000}"/>
    <cellStyle name="Accent5 143" xfId="6101" xr:uid="{00000000-0005-0000-0000-0000D5170000}"/>
    <cellStyle name="Accent5 144" xfId="6102" xr:uid="{00000000-0005-0000-0000-0000D6170000}"/>
    <cellStyle name="Accent5 145" xfId="6103" xr:uid="{00000000-0005-0000-0000-0000D7170000}"/>
    <cellStyle name="Accent5 146" xfId="6104" xr:uid="{00000000-0005-0000-0000-0000D8170000}"/>
    <cellStyle name="Accent5 147" xfId="6105" xr:uid="{00000000-0005-0000-0000-0000D9170000}"/>
    <cellStyle name="Accent5 148" xfId="6106" xr:uid="{00000000-0005-0000-0000-0000DA170000}"/>
    <cellStyle name="Accent5 149" xfId="6107" xr:uid="{00000000-0005-0000-0000-0000DB170000}"/>
    <cellStyle name="Accent5 15" xfId="6108" xr:uid="{00000000-0005-0000-0000-0000DC170000}"/>
    <cellStyle name="Accent5 15 2" xfId="6109" xr:uid="{00000000-0005-0000-0000-0000DD170000}"/>
    <cellStyle name="Accent5 15 2 2" xfId="6110" xr:uid="{00000000-0005-0000-0000-0000DE170000}"/>
    <cellStyle name="Accent5 15 3" xfId="6111" xr:uid="{00000000-0005-0000-0000-0000DF170000}"/>
    <cellStyle name="Accent5 150" xfId="6112" xr:uid="{00000000-0005-0000-0000-0000E0170000}"/>
    <cellStyle name="Accent5 151" xfId="6113" xr:uid="{00000000-0005-0000-0000-0000E1170000}"/>
    <cellStyle name="Accent5 152" xfId="6114" xr:uid="{00000000-0005-0000-0000-0000E2170000}"/>
    <cellStyle name="Accent5 153" xfId="6115" xr:uid="{00000000-0005-0000-0000-0000E3170000}"/>
    <cellStyle name="Accent5 154" xfId="6116" xr:uid="{00000000-0005-0000-0000-0000E4170000}"/>
    <cellStyle name="Accent5 155" xfId="6117" xr:uid="{00000000-0005-0000-0000-0000E5170000}"/>
    <cellStyle name="Accent5 156" xfId="6118" xr:uid="{00000000-0005-0000-0000-0000E6170000}"/>
    <cellStyle name="Accent5 157" xfId="6119" xr:uid="{00000000-0005-0000-0000-0000E7170000}"/>
    <cellStyle name="Accent5 158" xfId="6120" xr:uid="{00000000-0005-0000-0000-0000E8170000}"/>
    <cellStyle name="Accent5 159" xfId="6121" xr:uid="{00000000-0005-0000-0000-0000E9170000}"/>
    <cellStyle name="Accent5 16" xfId="6122" xr:uid="{00000000-0005-0000-0000-0000EA170000}"/>
    <cellStyle name="Accent5 16 2" xfId="6123" xr:uid="{00000000-0005-0000-0000-0000EB170000}"/>
    <cellStyle name="Accent5 16 2 2" xfId="6124" xr:uid="{00000000-0005-0000-0000-0000EC170000}"/>
    <cellStyle name="Accent5 16 3" xfId="6125" xr:uid="{00000000-0005-0000-0000-0000ED170000}"/>
    <cellStyle name="Accent5 160" xfId="6126" xr:uid="{00000000-0005-0000-0000-0000EE170000}"/>
    <cellStyle name="Accent5 161" xfId="6127" xr:uid="{00000000-0005-0000-0000-0000EF170000}"/>
    <cellStyle name="Accent5 162" xfId="6128" xr:uid="{00000000-0005-0000-0000-0000F0170000}"/>
    <cellStyle name="Accent5 163" xfId="6129" xr:uid="{00000000-0005-0000-0000-0000F1170000}"/>
    <cellStyle name="Accent5 164" xfId="6130" xr:uid="{00000000-0005-0000-0000-0000F2170000}"/>
    <cellStyle name="Accent5 165" xfId="6131" xr:uid="{00000000-0005-0000-0000-0000F3170000}"/>
    <cellStyle name="Accent5 166" xfId="6132" xr:uid="{00000000-0005-0000-0000-0000F4170000}"/>
    <cellStyle name="Accent5 167" xfId="6133" xr:uid="{00000000-0005-0000-0000-0000F5170000}"/>
    <cellStyle name="Accent5 168" xfId="6134" xr:uid="{00000000-0005-0000-0000-0000F6170000}"/>
    <cellStyle name="Accent5 169" xfId="6135" xr:uid="{00000000-0005-0000-0000-0000F7170000}"/>
    <cellStyle name="Accent5 17" xfId="6136" xr:uid="{00000000-0005-0000-0000-0000F8170000}"/>
    <cellStyle name="Accent5 17 2" xfId="6137" xr:uid="{00000000-0005-0000-0000-0000F9170000}"/>
    <cellStyle name="Accent5 17 2 2" xfId="6138" xr:uid="{00000000-0005-0000-0000-0000FA170000}"/>
    <cellStyle name="Accent5 17 3" xfId="6139" xr:uid="{00000000-0005-0000-0000-0000FB170000}"/>
    <cellStyle name="Accent5 170" xfId="6140" xr:uid="{00000000-0005-0000-0000-0000FC170000}"/>
    <cellStyle name="Accent5 171" xfId="6141" xr:uid="{00000000-0005-0000-0000-0000FD170000}"/>
    <cellStyle name="Accent5 172" xfId="6142" xr:uid="{00000000-0005-0000-0000-0000FE170000}"/>
    <cellStyle name="Accent5 173" xfId="6143" xr:uid="{00000000-0005-0000-0000-0000FF170000}"/>
    <cellStyle name="Accent5 174" xfId="6144" xr:uid="{00000000-0005-0000-0000-000000180000}"/>
    <cellStyle name="Accent5 175" xfId="6145" xr:uid="{00000000-0005-0000-0000-000001180000}"/>
    <cellStyle name="Accent5 176" xfId="6146" xr:uid="{00000000-0005-0000-0000-000002180000}"/>
    <cellStyle name="Accent5 177" xfId="6147" xr:uid="{00000000-0005-0000-0000-000003180000}"/>
    <cellStyle name="Accent5 178" xfId="6148" xr:uid="{00000000-0005-0000-0000-000004180000}"/>
    <cellStyle name="Accent5 179" xfId="6149" xr:uid="{00000000-0005-0000-0000-000005180000}"/>
    <cellStyle name="Accent5 18" xfId="6150" xr:uid="{00000000-0005-0000-0000-000006180000}"/>
    <cellStyle name="Accent5 18 2" xfId="6151" xr:uid="{00000000-0005-0000-0000-000007180000}"/>
    <cellStyle name="Accent5 18 2 2" xfId="6152" xr:uid="{00000000-0005-0000-0000-000008180000}"/>
    <cellStyle name="Accent5 18 3" xfId="6153" xr:uid="{00000000-0005-0000-0000-000009180000}"/>
    <cellStyle name="Accent5 19" xfId="6154" xr:uid="{00000000-0005-0000-0000-00000A180000}"/>
    <cellStyle name="Accent5 19 2" xfId="6155" xr:uid="{00000000-0005-0000-0000-00000B180000}"/>
    <cellStyle name="Accent5 19 2 2" xfId="6156" xr:uid="{00000000-0005-0000-0000-00000C180000}"/>
    <cellStyle name="Accent5 19 3" xfId="6157" xr:uid="{00000000-0005-0000-0000-00000D180000}"/>
    <cellStyle name="Accent5 2" xfId="6158" xr:uid="{00000000-0005-0000-0000-00000E180000}"/>
    <cellStyle name="Accent5 2 10" xfId="6159" xr:uid="{00000000-0005-0000-0000-00000F180000}"/>
    <cellStyle name="Accent5 2 10 2" xfId="6160" xr:uid="{00000000-0005-0000-0000-000010180000}"/>
    <cellStyle name="Accent5 2 10 2 2" xfId="33589" xr:uid="{8C056810-67D0-40C7-A4D8-9F93DDA28AF3}"/>
    <cellStyle name="Accent5 2 10 3" xfId="33588" xr:uid="{7C0966D4-E7D5-4F8A-A686-B08DFB45C06A}"/>
    <cellStyle name="Accent5 2 11" xfId="6161" xr:uid="{00000000-0005-0000-0000-000011180000}"/>
    <cellStyle name="Accent5 2 11 2" xfId="33590" xr:uid="{3256B0C9-F6BD-4D64-B632-903FAAD244C0}"/>
    <cellStyle name="Accent5 2 12" xfId="6162" xr:uid="{00000000-0005-0000-0000-000012180000}"/>
    <cellStyle name="Accent5 2 2" xfId="6163" xr:uid="{00000000-0005-0000-0000-000013180000}"/>
    <cellStyle name="Accent5 2 2 2" xfId="6164" xr:uid="{00000000-0005-0000-0000-000014180000}"/>
    <cellStyle name="Accent5 2 2 2 2" xfId="6165" xr:uid="{00000000-0005-0000-0000-000015180000}"/>
    <cellStyle name="Accent5 2 2 3" xfId="6166" xr:uid="{00000000-0005-0000-0000-000016180000}"/>
    <cellStyle name="Accent5 2 2 3 2" xfId="6167" xr:uid="{00000000-0005-0000-0000-000017180000}"/>
    <cellStyle name="Accent5 2 2 3 2 2" xfId="6168" xr:uid="{00000000-0005-0000-0000-000018180000}"/>
    <cellStyle name="Accent5 2 2 3 3" xfId="6169" xr:uid="{00000000-0005-0000-0000-000019180000}"/>
    <cellStyle name="Accent5 2 2 4" xfId="6170" xr:uid="{00000000-0005-0000-0000-00001A180000}"/>
    <cellStyle name="Accent5 2 2 4 2" xfId="6171" xr:uid="{00000000-0005-0000-0000-00001B180000}"/>
    <cellStyle name="Accent5 2 2 5" xfId="6172" xr:uid="{00000000-0005-0000-0000-00001C180000}"/>
    <cellStyle name="Accent5 2 3" xfId="6173" xr:uid="{00000000-0005-0000-0000-00001D180000}"/>
    <cellStyle name="Accent5 2 3 2" xfId="6174" xr:uid="{00000000-0005-0000-0000-00001E180000}"/>
    <cellStyle name="Accent5 2 3 2 2" xfId="6175" xr:uid="{00000000-0005-0000-0000-00001F180000}"/>
    <cellStyle name="Accent5 2 3 3" xfId="6176" xr:uid="{00000000-0005-0000-0000-000020180000}"/>
    <cellStyle name="Accent5 2 3 3 2" xfId="6177" xr:uid="{00000000-0005-0000-0000-000021180000}"/>
    <cellStyle name="Accent5 2 3 3 2 2" xfId="6178" xr:uid="{00000000-0005-0000-0000-000022180000}"/>
    <cellStyle name="Accent5 2 3 3 3" xfId="6179" xr:uid="{00000000-0005-0000-0000-000023180000}"/>
    <cellStyle name="Accent5 2 3 4" xfId="6180" xr:uid="{00000000-0005-0000-0000-000024180000}"/>
    <cellStyle name="Accent5 2 4" xfId="6181" xr:uid="{00000000-0005-0000-0000-000025180000}"/>
    <cellStyle name="Accent5 2 4 2" xfId="6182" xr:uid="{00000000-0005-0000-0000-000026180000}"/>
    <cellStyle name="Accent5 2 4 2 2" xfId="6183" xr:uid="{00000000-0005-0000-0000-000027180000}"/>
    <cellStyle name="Accent5 2 4 3" xfId="6184" xr:uid="{00000000-0005-0000-0000-000028180000}"/>
    <cellStyle name="Accent5 2 5" xfId="6185" xr:uid="{00000000-0005-0000-0000-000029180000}"/>
    <cellStyle name="Accent5 2 5 2" xfId="6186" xr:uid="{00000000-0005-0000-0000-00002A180000}"/>
    <cellStyle name="Accent5 2 5 2 2" xfId="6187" xr:uid="{00000000-0005-0000-0000-00002B180000}"/>
    <cellStyle name="Accent5 2 5 3" xfId="6188" xr:uid="{00000000-0005-0000-0000-00002C180000}"/>
    <cellStyle name="Accent5 2 5 3 2" xfId="6189" xr:uid="{00000000-0005-0000-0000-00002D180000}"/>
    <cellStyle name="Accent5 2 5 3 2 2" xfId="6190" xr:uid="{00000000-0005-0000-0000-00002E180000}"/>
    <cellStyle name="Accent5 2 5 3 3" xfId="6191" xr:uid="{00000000-0005-0000-0000-00002F180000}"/>
    <cellStyle name="Accent5 2 5 4" xfId="6192" xr:uid="{00000000-0005-0000-0000-000030180000}"/>
    <cellStyle name="Accent5 2 6" xfId="6193" xr:uid="{00000000-0005-0000-0000-000031180000}"/>
    <cellStyle name="Accent5 2 6 2" xfId="6194" xr:uid="{00000000-0005-0000-0000-000032180000}"/>
    <cellStyle name="Accent5 2 6 2 2" xfId="6195" xr:uid="{00000000-0005-0000-0000-000033180000}"/>
    <cellStyle name="Accent5 2 6 3" xfId="6196" xr:uid="{00000000-0005-0000-0000-000034180000}"/>
    <cellStyle name="Accent5 2 6 3 2" xfId="6197" xr:uid="{00000000-0005-0000-0000-000035180000}"/>
    <cellStyle name="Accent5 2 6 4" xfId="6198" xr:uid="{00000000-0005-0000-0000-000036180000}"/>
    <cellStyle name="Accent5 2 7" xfId="6199" xr:uid="{00000000-0005-0000-0000-000037180000}"/>
    <cellStyle name="Accent5 2 7 2" xfId="6200" xr:uid="{00000000-0005-0000-0000-000038180000}"/>
    <cellStyle name="Accent5 2 7 2 2" xfId="33592" xr:uid="{894DCAB0-CCC8-4324-8F76-BC8E9272E646}"/>
    <cellStyle name="Accent5 2 7 3" xfId="33591" xr:uid="{23499ACE-B6CF-49CB-850F-DA4E6F731215}"/>
    <cellStyle name="Accent5 2 8" xfId="6201" xr:uid="{00000000-0005-0000-0000-000039180000}"/>
    <cellStyle name="Accent5 2 8 2" xfId="6202" xr:uid="{00000000-0005-0000-0000-00003A180000}"/>
    <cellStyle name="Accent5 2 8 2 2" xfId="6203" xr:uid="{00000000-0005-0000-0000-00003B180000}"/>
    <cellStyle name="Accent5 2 8 2 2 2" xfId="33595" xr:uid="{4C1008FA-82F6-41B4-82D2-75F4F05B9689}"/>
    <cellStyle name="Accent5 2 8 2 3" xfId="33594" xr:uid="{CF5BCDD1-8A9B-4A1D-8E83-CB8A75F0CD39}"/>
    <cellStyle name="Accent5 2 8 3" xfId="6204" xr:uid="{00000000-0005-0000-0000-00003C180000}"/>
    <cellStyle name="Accent5 2 8 3 2" xfId="33596" xr:uid="{64000B6D-97A6-44D5-9787-1EC351A5025C}"/>
    <cellStyle name="Accent5 2 8 4" xfId="33593" xr:uid="{6C718291-8E47-48F3-BDA0-B77AA40C1172}"/>
    <cellStyle name="Accent5 2 9" xfId="6205" xr:uid="{00000000-0005-0000-0000-00003D180000}"/>
    <cellStyle name="Accent5 2 9 2" xfId="6206" xr:uid="{00000000-0005-0000-0000-00003E180000}"/>
    <cellStyle name="Accent5 2 9 2 2" xfId="6207" xr:uid="{00000000-0005-0000-0000-00003F180000}"/>
    <cellStyle name="Accent5 2 9 2 2 2" xfId="33598" xr:uid="{8E10730E-C736-42B4-96F7-F0B8BBABDABF}"/>
    <cellStyle name="Accent5 2 9 2 3" xfId="33597" xr:uid="{D9B7355A-F994-4B7A-8AC4-93EEF55B3928}"/>
    <cellStyle name="Accent5 2 9 3" xfId="6208" xr:uid="{00000000-0005-0000-0000-000040180000}"/>
    <cellStyle name="Accent5 20" xfId="6209" xr:uid="{00000000-0005-0000-0000-000041180000}"/>
    <cellStyle name="Accent5 20 2" xfId="6210" xr:uid="{00000000-0005-0000-0000-000042180000}"/>
    <cellStyle name="Accent5 20 2 2" xfId="6211" xr:uid="{00000000-0005-0000-0000-000043180000}"/>
    <cellStyle name="Accent5 20 3" xfId="6212" xr:uid="{00000000-0005-0000-0000-000044180000}"/>
    <cellStyle name="Accent5 21" xfId="6213" xr:uid="{00000000-0005-0000-0000-000045180000}"/>
    <cellStyle name="Accent5 21 2" xfId="6214" xr:uid="{00000000-0005-0000-0000-000046180000}"/>
    <cellStyle name="Accent5 21 2 2" xfId="6215" xr:uid="{00000000-0005-0000-0000-000047180000}"/>
    <cellStyle name="Accent5 21 3" xfId="6216" xr:uid="{00000000-0005-0000-0000-000048180000}"/>
    <cellStyle name="Accent5 22" xfId="6217" xr:uid="{00000000-0005-0000-0000-000049180000}"/>
    <cellStyle name="Accent5 22 2" xfId="6218" xr:uid="{00000000-0005-0000-0000-00004A180000}"/>
    <cellStyle name="Accent5 22 2 2" xfId="6219" xr:uid="{00000000-0005-0000-0000-00004B180000}"/>
    <cellStyle name="Accent5 22 3" xfId="6220" xr:uid="{00000000-0005-0000-0000-00004C180000}"/>
    <cellStyle name="Accent5 23" xfId="6221" xr:uid="{00000000-0005-0000-0000-00004D180000}"/>
    <cellStyle name="Accent5 23 2" xfId="6222" xr:uid="{00000000-0005-0000-0000-00004E180000}"/>
    <cellStyle name="Accent5 23 2 2" xfId="6223" xr:uid="{00000000-0005-0000-0000-00004F180000}"/>
    <cellStyle name="Accent5 23 3" xfId="6224" xr:uid="{00000000-0005-0000-0000-000050180000}"/>
    <cellStyle name="Accent5 24" xfId="6225" xr:uid="{00000000-0005-0000-0000-000051180000}"/>
    <cellStyle name="Accent5 24 2" xfId="6226" xr:uid="{00000000-0005-0000-0000-000052180000}"/>
    <cellStyle name="Accent5 24 2 2" xfId="6227" xr:uid="{00000000-0005-0000-0000-000053180000}"/>
    <cellStyle name="Accent5 24 3" xfId="6228" xr:uid="{00000000-0005-0000-0000-000054180000}"/>
    <cellStyle name="Accent5 25" xfId="6229" xr:uid="{00000000-0005-0000-0000-000055180000}"/>
    <cellStyle name="Accent5 25 2" xfId="6230" xr:uid="{00000000-0005-0000-0000-000056180000}"/>
    <cellStyle name="Accent5 25 2 2" xfId="6231" xr:uid="{00000000-0005-0000-0000-000057180000}"/>
    <cellStyle name="Accent5 25 3" xfId="6232" xr:uid="{00000000-0005-0000-0000-000058180000}"/>
    <cellStyle name="Accent5 26" xfId="6233" xr:uid="{00000000-0005-0000-0000-000059180000}"/>
    <cellStyle name="Accent5 26 2" xfId="6234" xr:uid="{00000000-0005-0000-0000-00005A180000}"/>
    <cellStyle name="Accent5 26 2 2" xfId="6235" xr:uid="{00000000-0005-0000-0000-00005B180000}"/>
    <cellStyle name="Accent5 26 3" xfId="6236" xr:uid="{00000000-0005-0000-0000-00005C180000}"/>
    <cellStyle name="Accent5 27" xfId="6237" xr:uid="{00000000-0005-0000-0000-00005D180000}"/>
    <cellStyle name="Accent5 27 2" xfId="6238" xr:uid="{00000000-0005-0000-0000-00005E180000}"/>
    <cellStyle name="Accent5 27 2 2" xfId="6239" xr:uid="{00000000-0005-0000-0000-00005F180000}"/>
    <cellStyle name="Accent5 27 3" xfId="6240" xr:uid="{00000000-0005-0000-0000-000060180000}"/>
    <cellStyle name="Accent5 28" xfId="6241" xr:uid="{00000000-0005-0000-0000-000061180000}"/>
    <cellStyle name="Accent5 28 2" xfId="6242" xr:uid="{00000000-0005-0000-0000-000062180000}"/>
    <cellStyle name="Accent5 28 2 2" xfId="6243" xr:uid="{00000000-0005-0000-0000-000063180000}"/>
    <cellStyle name="Accent5 28 3" xfId="6244" xr:uid="{00000000-0005-0000-0000-000064180000}"/>
    <cellStyle name="Accent5 29" xfId="6245" xr:uid="{00000000-0005-0000-0000-000065180000}"/>
    <cellStyle name="Accent5 29 2" xfId="6246" xr:uid="{00000000-0005-0000-0000-000066180000}"/>
    <cellStyle name="Accent5 29 2 2" xfId="6247" xr:uid="{00000000-0005-0000-0000-000067180000}"/>
    <cellStyle name="Accent5 29 3" xfId="6248" xr:uid="{00000000-0005-0000-0000-000068180000}"/>
    <cellStyle name="Accent5 3" xfId="6249" xr:uid="{00000000-0005-0000-0000-000069180000}"/>
    <cellStyle name="Accent5 3 10" xfId="6250" xr:uid="{00000000-0005-0000-0000-00006A180000}"/>
    <cellStyle name="Accent5 3 10 2" xfId="6251" xr:uid="{00000000-0005-0000-0000-00006B180000}"/>
    <cellStyle name="Accent5 3 10 2 2" xfId="6252" xr:uid="{00000000-0005-0000-0000-00006C180000}"/>
    <cellStyle name="Accent5 3 10 2 2 2" xfId="33600" xr:uid="{718A105A-9D51-4641-9559-E0361CE348DC}"/>
    <cellStyle name="Accent5 3 10 2 3" xfId="33599" xr:uid="{7A20C818-C57E-44E8-BB7B-C46BC4A52283}"/>
    <cellStyle name="Accent5 3 10 3" xfId="6253" xr:uid="{00000000-0005-0000-0000-00006D180000}"/>
    <cellStyle name="Accent5 3 11" xfId="6254" xr:uid="{00000000-0005-0000-0000-00006E180000}"/>
    <cellStyle name="Accent5 3 11 2" xfId="6255" xr:uid="{00000000-0005-0000-0000-00006F180000}"/>
    <cellStyle name="Accent5 3 11 2 2" xfId="33602" xr:uid="{17E970BE-A3F9-4B0C-8B23-E62A310AC376}"/>
    <cellStyle name="Accent5 3 11 3" xfId="33601" xr:uid="{7ECA00FE-C80B-4824-872A-3DEF4B57218F}"/>
    <cellStyle name="Accent5 3 12" xfId="6256" xr:uid="{00000000-0005-0000-0000-000070180000}"/>
    <cellStyle name="Accent5 3 12 2" xfId="33603" xr:uid="{DAECB37A-62CB-4EB3-B586-A83C506FFF43}"/>
    <cellStyle name="Accent5 3 2" xfId="6257" xr:uid="{00000000-0005-0000-0000-000071180000}"/>
    <cellStyle name="Accent5 3 2 2" xfId="6258" xr:uid="{00000000-0005-0000-0000-000072180000}"/>
    <cellStyle name="Accent5 3 2 2 2" xfId="6259" xr:uid="{00000000-0005-0000-0000-000073180000}"/>
    <cellStyle name="Accent5 3 2 3" xfId="6260" xr:uid="{00000000-0005-0000-0000-000074180000}"/>
    <cellStyle name="Accent5 3 2 3 2" xfId="6261" xr:uid="{00000000-0005-0000-0000-000075180000}"/>
    <cellStyle name="Accent5 3 2 3 2 2" xfId="6262" xr:uid="{00000000-0005-0000-0000-000076180000}"/>
    <cellStyle name="Accent5 3 2 3 3" xfId="6263" xr:uid="{00000000-0005-0000-0000-000077180000}"/>
    <cellStyle name="Accent5 3 2 4" xfId="6264" xr:uid="{00000000-0005-0000-0000-000078180000}"/>
    <cellStyle name="Accent5 3 3" xfId="6265" xr:uid="{00000000-0005-0000-0000-000079180000}"/>
    <cellStyle name="Accent5 3 3 2" xfId="6266" xr:uid="{00000000-0005-0000-0000-00007A180000}"/>
    <cellStyle name="Accent5 3 3 2 2" xfId="6267" xr:uid="{00000000-0005-0000-0000-00007B180000}"/>
    <cellStyle name="Accent5 3 3 3" xfId="6268" xr:uid="{00000000-0005-0000-0000-00007C180000}"/>
    <cellStyle name="Accent5 3 3 3 2" xfId="6269" xr:uid="{00000000-0005-0000-0000-00007D180000}"/>
    <cellStyle name="Accent5 3 3 3 2 2" xfId="6270" xr:uid="{00000000-0005-0000-0000-00007E180000}"/>
    <cellStyle name="Accent5 3 3 3 3" xfId="6271" xr:uid="{00000000-0005-0000-0000-00007F180000}"/>
    <cellStyle name="Accent5 3 3 4" xfId="6272" xr:uid="{00000000-0005-0000-0000-000080180000}"/>
    <cellStyle name="Accent5 3 4" xfId="6273" xr:uid="{00000000-0005-0000-0000-000081180000}"/>
    <cellStyle name="Accent5 3 4 2" xfId="6274" xr:uid="{00000000-0005-0000-0000-000082180000}"/>
    <cellStyle name="Accent5 3 4 2 2" xfId="6275" xr:uid="{00000000-0005-0000-0000-000083180000}"/>
    <cellStyle name="Accent5 3 4 3" xfId="6276" xr:uid="{00000000-0005-0000-0000-000084180000}"/>
    <cellStyle name="Accent5 3 5" xfId="6277" xr:uid="{00000000-0005-0000-0000-000085180000}"/>
    <cellStyle name="Accent5 3 5 2" xfId="6278" xr:uid="{00000000-0005-0000-0000-000086180000}"/>
    <cellStyle name="Accent5 3 5 2 2" xfId="6279" xr:uid="{00000000-0005-0000-0000-000087180000}"/>
    <cellStyle name="Accent5 3 5 3" xfId="6280" xr:uid="{00000000-0005-0000-0000-000088180000}"/>
    <cellStyle name="Accent5 3 5 3 2" xfId="6281" xr:uid="{00000000-0005-0000-0000-000089180000}"/>
    <cellStyle name="Accent5 3 5 3 2 2" xfId="6282" xr:uid="{00000000-0005-0000-0000-00008A180000}"/>
    <cellStyle name="Accent5 3 5 3 3" xfId="6283" xr:uid="{00000000-0005-0000-0000-00008B180000}"/>
    <cellStyle name="Accent5 3 5 4" xfId="6284" xr:uid="{00000000-0005-0000-0000-00008C180000}"/>
    <cellStyle name="Accent5 3 6" xfId="6285" xr:uid="{00000000-0005-0000-0000-00008D180000}"/>
    <cellStyle name="Accent5 3 6 2" xfId="6286" xr:uid="{00000000-0005-0000-0000-00008E180000}"/>
    <cellStyle name="Accent5 3 7" xfId="6287" xr:uid="{00000000-0005-0000-0000-00008F180000}"/>
    <cellStyle name="Accent5 3 7 2" xfId="6288" xr:uid="{00000000-0005-0000-0000-000090180000}"/>
    <cellStyle name="Accent5 3 7 2 2" xfId="33605" xr:uid="{885F65ED-F58F-41F1-B5BE-2E9FF5AAC76F}"/>
    <cellStyle name="Accent5 3 7 3" xfId="33604" xr:uid="{3D767DD0-BE7B-4E2D-8003-934411B4AD3D}"/>
    <cellStyle name="Accent5 3 8" xfId="6289" xr:uid="{00000000-0005-0000-0000-000091180000}"/>
    <cellStyle name="Accent5 3 8 2" xfId="6290" xr:uid="{00000000-0005-0000-0000-000092180000}"/>
    <cellStyle name="Accent5 3 8 2 2" xfId="6291" xr:uid="{00000000-0005-0000-0000-000093180000}"/>
    <cellStyle name="Accent5 3 8 2 2 2" xfId="33608" xr:uid="{F611D115-01F9-4D26-ADF0-35A106E641F5}"/>
    <cellStyle name="Accent5 3 8 2 3" xfId="33607" xr:uid="{B24B9323-2432-4212-A528-CE825695F4B5}"/>
    <cellStyle name="Accent5 3 8 3" xfId="6292" xr:uid="{00000000-0005-0000-0000-000094180000}"/>
    <cellStyle name="Accent5 3 8 3 2" xfId="33609" xr:uid="{70CF105B-9921-42FE-9604-FBA617655A98}"/>
    <cellStyle name="Accent5 3 8 4" xfId="33606" xr:uid="{0FA3301D-2DCC-4E8C-A465-0AE0C37AC174}"/>
    <cellStyle name="Accent5 3 9" xfId="6293" xr:uid="{00000000-0005-0000-0000-000095180000}"/>
    <cellStyle name="Accent5 3 9 2" xfId="6294" xr:uid="{00000000-0005-0000-0000-000096180000}"/>
    <cellStyle name="Accent5 3 9 2 2" xfId="6295" xr:uid="{00000000-0005-0000-0000-000097180000}"/>
    <cellStyle name="Accent5 3 9 3" xfId="6296" xr:uid="{00000000-0005-0000-0000-000098180000}"/>
    <cellStyle name="Accent5 30" xfId="6297" xr:uid="{00000000-0005-0000-0000-000099180000}"/>
    <cellStyle name="Accent5 30 2" xfId="6298" xr:uid="{00000000-0005-0000-0000-00009A180000}"/>
    <cellStyle name="Accent5 30 2 2" xfId="6299" xr:uid="{00000000-0005-0000-0000-00009B180000}"/>
    <cellStyle name="Accent5 30 3" xfId="6300" xr:uid="{00000000-0005-0000-0000-00009C180000}"/>
    <cellStyle name="Accent5 31" xfId="6301" xr:uid="{00000000-0005-0000-0000-00009D180000}"/>
    <cellStyle name="Accent5 31 2" xfId="6302" xr:uid="{00000000-0005-0000-0000-00009E180000}"/>
    <cellStyle name="Accent5 31 2 2" xfId="6303" xr:uid="{00000000-0005-0000-0000-00009F180000}"/>
    <cellStyle name="Accent5 31 3" xfId="6304" xr:uid="{00000000-0005-0000-0000-0000A0180000}"/>
    <cellStyle name="Accent5 32" xfId="6305" xr:uid="{00000000-0005-0000-0000-0000A1180000}"/>
    <cellStyle name="Accent5 32 2" xfId="6306" xr:uid="{00000000-0005-0000-0000-0000A2180000}"/>
    <cellStyle name="Accent5 32 2 2" xfId="6307" xr:uid="{00000000-0005-0000-0000-0000A3180000}"/>
    <cellStyle name="Accent5 32 3" xfId="6308" xr:uid="{00000000-0005-0000-0000-0000A4180000}"/>
    <cellStyle name="Accent5 33" xfId="6309" xr:uid="{00000000-0005-0000-0000-0000A5180000}"/>
    <cellStyle name="Accent5 33 2" xfId="6310" xr:uid="{00000000-0005-0000-0000-0000A6180000}"/>
    <cellStyle name="Accent5 33 2 2" xfId="6311" xr:uid="{00000000-0005-0000-0000-0000A7180000}"/>
    <cellStyle name="Accent5 33 3" xfId="6312" xr:uid="{00000000-0005-0000-0000-0000A8180000}"/>
    <cellStyle name="Accent5 34" xfId="6313" xr:uid="{00000000-0005-0000-0000-0000A9180000}"/>
    <cellStyle name="Accent5 34 2" xfId="6314" xr:uid="{00000000-0005-0000-0000-0000AA180000}"/>
    <cellStyle name="Accent5 34 2 2" xfId="6315" xr:uid="{00000000-0005-0000-0000-0000AB180000}"/>
    <cellStyle name="Accent5 34 3" xfId="6316" xr:uid="{00000000-0005-0000-0000-0000AC180000}"/>
    <cellStyle name="Accent5 35" xfId="6317" xr:uid="{00000000-0005-0000-0000-0000AD180000}"/>
    <cellStyle name="Accent5 35 2" xfId="6318" xr:uid="{00000000-0005-0000-0000-0000AE180000}"/>
    <cellStyle name="Accent5 35 2 2" xfId="6319" xr:uid="{00000000-0005-0000-0000-0000AF180000}"/>
    <cellStyle name="Accent5 35 3" xfId="6320" xr:uid="{00000000-0005-0000-0000-0000B0180000}"/>
    <cellStyle name="Accent5 36" xfId="6321" xr:uid="{00000000-0005-0000-0000-0000B1180000}"/>
    <cellStyle name="Accent5 36 2" xfId="6322" xr:uid="{00000000-0005-0000-0000-0000B2180000}"/>
    <cellStyle name="Accent5 36 2 2" xfId="6323" xr:uid="{00000000-0005-0000-0000-0000B3180000}"/>
    <cellStyle name="Accent5 36 3" xfId="6324" xr:uid="{00000000-0005-0000-0000-0000B4180000}"/>
    <cellStyle name="Accent5 37" xfId="6325" xr:uid="{00000000-0005-0000-0000-0000B5180000}"/>
    <cellStyle name="Accent5 37 2" xfId="6326" xr:uid="{00000000-0005-0000-0000-0000B6180000}"/>
    <cellStyle name="Accent5 37 2 2" xfId="6327" xr:uid="{00000000-0005-0000-0000-0000B7180000}"/>
    <cellStyle name="Accent5 37 3" xfId="6328" xr:uid="{00000000-0005-0000-0000-0000B8180000}"/>
    <cellStyle name="Accent5 38" xfId="6329" xr:uid="{00000000-0005-0000-0000-0000B9180000}"/>
    <cellStyle name="Accent5 38 2" xfId="6330" xr:uid="{00000000-0005-0000-0000-0000BA180000}"/>
    <cellStyle name="Accent5 38 2 2" xfId="6331" xr:uid="{00000000-0005-0000-0000-0000BB180000}"/>
    <cellStyle name="Accent5 38 3" xfId="6332" xr:uid="{00000000-0005-0000-0000-0000BC180000}"/>
    <cellStyle name="Accent5 39" xfId="6333" xr:uid="{00000000-0005-0000-0000-0000BD180000}"/>
    <cellStyle name="Accent5 39 2" xfId="6334" xr:uid="{00000000-0005-0000-0000-0000BE180000}"/>
    <cellStyle name="Accent5 39 2 2" xfId="6335" xr:uid="{00000000-0005-0000-0000-0000BF180000}"/>
    <cellStyle name="Accent5 39 3" xfId="6336" xr:uid="{00000000-0005-0000-0000-0000C0180000}"/>
    <cellStyle name="Accent5 4" xfId="6337" xr:uid="{00000000-0005-0000-0000-0000C1180000}"/>
    <cellStyle name="Accent5 4 2" xfId="6338" xr:uid="{00000000-0005-0000-0000-0000C2180000}"/>
    <cellStyle name="Accent5 4 2 2" xfId="6339" xr:uid="{00000000-0005-0000-0000-0000C3180000}"/>
    <cellStyle name="Accent5 4 2 2 2" xfId="6340" xr:uid="{00000000-0005-0000-0000-0000C4180000}"/>
    <cellStyle name="Accent5 4 2 3" xfId="6341" xr:uid="{00000000-0005-0000-0000-0000C5180000}"/>
    <cellStyle name="Accent5 4 2 3 2" xfId="6342" xr:uid="{00000000-0005-0000-0000-0000C6180000}"/>
    <cellStyle name="Accent5 4 2 3 2 2" xfId="6343" xr:uid="{00000000-0005-0000-0000-0000C7180000}"/>
    <cellStyle name="Accent5 4 2 3 3" xfId="6344" xr:uid="{00000000-0005-0000-0000-0000C8180000}"/>
    <cellStyle name="Accent5 4 2 4" xfId="6345" xr:uid="{00000000-0005-0000-0000-0000C9180000}"/>
    <cellStyle name="Accent5 4 3" xfId="6346" xr:uid="{00000000-0005-0000-0000-0000CA180000}"/>
    <cellStyle name="Accent5 4 3 2" xfId="6347" xr:uid="{00000000-0005-0000-0000-0000CB180000}"/>
    <cellStyle name="Accent5 4 3 2 2" xfId="6348" xr:uid="{00000000-0005-0000-0000-0000CC180000}"/>
    <cellStyle name="Accent5 4 3 3" xfId="6349" xr:uid="{00000000-0005-0000-0000-0000CD180000}"/>
    <cellStyle name="Accent5 4 3 3 2" xfId="6350" xr:uid="{00000000-0005-0000-0000-0000CE180000}"/>
    <cellStyle name="Accent5 4 3 3 2 2" xfId="6351" xr:uid="{00000000-0005-0000-0000-0000CF180000}"/>
    <cellStyle name="Accent5 4 3 3 3" xfId="6352" xr:uid="{00000000-0005-0000-0000-0000D0180000}"/>
    <cellStyle name="Accent5 4 3 4" xfId="6353" xr:uid="{00000000-0005-0000-0000-0000D1180000}"/>
    <cellStyle name="Accent5 4 4" xfId="6354" xr:uid="{00000000-0005-0000-0000-0000D2180000}"/>
    <cellStyle name="Accent5 4 4 2" xfId="6355" xr:uid="{00000000-0005-0000-0000-0000D3180000}"/>
    <cellStyle name="Accent5 4 4 2 2" xfId="6356" xr:uid="{00000000-0005-0000-0000-0000D4180000}"/>
    <cellStyle name="Accent5 4 4 3" xfId="6357" xr:uid="{00000000-0005-0000-0000-0000D5180000}"/>
    <cellStyle name="Accent5 4 5" xfId="6358" xr:uid="{00000000-0005-0000-0000-0000D6180000}"/>
    <cellStyle name="Accent5 4 5 2" xfId="6359" xr:uid="{00000000-0005-0000-0000-0000D7180000}"/>
    <cellStyle name="Accent5 4 6" xfId="6360" xr:uid="{00000000-0005-0000-0000-0000D8180000}"/>
    <cellStyle name="Accent5 4 6 2" xfId="6361" xr:uid="{00000000-0005-0000-0000-0000D9180000}"/>
    <cellStyle name="Accent5 4 6 2 2" xfId="6362" xr:uid="{00000000-0005-0000-0000-0000DA180000}"/>
    <cellStyle name="Accent5 4 6 3" xfId="6363" xr:uid="{00000000-0005-0000-0000-0000DB180000}"/>
    <cellStyle name="Accent5 4 7" xfId="6364" xr:uid="{00000000-0005-0000-0000-0000DC180000}"/>
    <cellStyle name="Accent5 4 7 2" xfId="6365" xr:uid="{00000000-0005-0000-0000-0000DD180000}"/>
    <cellStyle name="Accent5 4 7 2 2" xfId="6366" xr:uid="{00000000-0005-0000-0000-0000DE180000}"/>
    <cellStyle name="Accent5 4 7 3" xfId="6367" xr:uid="{00000000-0005-0000-0000-0000DF180000}"/>
    <cellStyle name="Accent5 4 8" xfId="6368" xr:uid="{00000000-0005-0000-0000-0000E0180000}"/>
    <cellStyle name="Accent5 40" xfId="6369" xr:uid="{00000000-0005-0000-0000-0000E1180000}"/>
    <cellStyle name="Accent5 40 2" xfId="6370" xr:uid="{00000000-0005-0000-0000-0000E2180000}"/>
    <cellStyle name="Accent5 40 2 2" xfId="6371" xr:uid="{00000000-0005-0000-0000-0000E3180000}"/>
    <cellStyle name="Accent5 40 3" xfId="6372" xr:uid="{00000000-0005-0000-0000-0000E4180000}"/>
    <cellStyle name="Accent5 41" xfId="6373" xr:uid="{00000000-0005-0000-0000-0000E5180000}"/>
    <cellStyle name="Accent5 41 2" xfId="6374" xr:uid="{00000000-0005-0000-0000-0000E6180000}"/>
    <cellStyle name="Accent5 41 2 2" xfId="6375" xr:uid="{00000000-0005-0000-0000-0000E7180000}"/>
    <cellStyle name="Accent5 41 3" xfId="6376" xr:uid="{00000000-0005-0000-0000-0000E8180000}"/>
    <cellStyle name="Accent5 42" xfId="6377" xr:uid="{00000000-0005-0000-0000-0000E9180000}"/>
    <cellStyle name="Accent5 42 2" xfId="6378" xr:uid="{00000000-0005-0000-0000-0000EA180000}"/>
    <cellStyle name="Accent5 42 2 2" xfId="6379" xr:uid="{00000000-0005-0000-0000-0000EB180000}"/>
    <cellStyle name="Accent5 42 3" xfId="6380" xr:uid="{00000000-0005-0000-0000-0000EC180000}"/>
    <cellStyle name="Accent5 43" xfId="6381" xr:uid="{00000000-0005-0000-0000-0000ED180000}"/>
    <cellStyle name="Accent5 43 2" xfId="6382" xr:uid="{00000000-0005-0000-0000-0000EE180000}"/>
    <cellStyle name="Accent5 43 2 2" xfId="6383" xr:uid="{00000000-0005-0000-0000-0000EF180000}"/>
    <cellStyle name="Accent5 43 3" xfId="6384" xr:uid="{00000000-0005-0000-0000-0000F0180000}"/>
    <cellStyle name="Accent5 44" xfId="6385" xr:uid="{00000000-0005-0000-0000-0000F1180000}"/>
    <cellStyle name="Accent5 44 2" xfId="6386" xr:uid="{00000000-0005-0000-0000-0000F2180000}"/>
    <cellStyle name="Accent5 44 2 2" xfId="6387" xr:uid="{00000000-0005-0000-0000-0000F3180000}"/>
    <cellStyle name="Accent5 44 3" xfId="6388" xr:uid="{00000000-0005-0000-0000-0000F4180000}"/>
    <cellStyle name="Accent5 45" xfId="6389" xr:uid="{00000000-0005-0000-0000-0000F5180000}"/>
    <cellStyle name="Accent5 45 2" xfId="6390" xr:uid="{00000000-0005-0000-0000-0000F6180000}"/>
    <cellStyle name="Accent5 45 2 2" xfId="6391" xr:uid="{00000000-0005-0000-0000-0000F7180000}"/>
    <cellStyle name="Accent5 45 3" xfId="6392" xr:uid="{00000000-0005-0000-0000-0000F8180000}"/>
    <cellStyle name="Accent5 46" xfId="6393" xr:uid="{00000000-0005-0000-0000-0000F9180000}"/>
    <cellStyle name="Accent5 46 2" xfId="6394" xr:uid="{00000000-0005-0000-0000-0000FA180000}"/>
    <cellStyle name="Accent5 46 2 2" xfId="6395" xr:uid="{00000000-0005-0000-0000-0000FB180000}"/>
    <cellStyle name="Accent5 46 3" xfId="6396" xr:uid="{00000000-0005-0000-0000-0000FC180000}"/>
    <cellStyle name="Accent5 47" xfId="6397" xr:uid="{00000000-0005-0000-0000-0000FD180000}"/>
    <cellStyle name="Accent5 47 2" xfId="6398" xr:uid="{00000000-0005-0000-0000-0000FE180000}"/>
    <cellStyle name="Accent5 47 2 2" xfId="6399" xr:uid="{00000000-0005-0000-0000-0000FF180000}"/>
    <cellStyle name="Accent5 47 3" xfId="6400" xr:uid="{00000000-0005-0000-0000-000000190000}"/>
    <cellStyle name="Accent5 48" xfId="6401" xr:uid="{00000000-0005-0000-0000-000001190000}"/>
    <cellStyle name="Accent5 48 2" xfId="6402" xr:uid="{00000000-0005-0000-0000-000002190000}"/>
    <cellStyle name="Accent5 48 2 2" xfId="6403" xr:uid="{00000000-0005-0000-0000-000003190000}"/>
    <cellStyle name="Accent5 48 2 2 2" xfId="33612" xr:uid="{D29F4957-3DD1-4972-9426-C65C920C80B3}"/>
    <cellStyle name="Accent5 48 2 3" xfId="33611" xr:uid="{B9C9DCB7-169C-4414-863A-3C69101D6C9B}"/>
    <cellStyle name="Accent5 48 3" xfId="6404" xr:uid="{00000000-0005-0000-0000-000004190000}"/>
    <cellStyle name="Accent5 48 3 2" xfId="6405" xr:uid="{00000000-0005-0000-0000-000005190000}"/>
    <cellStyle name="Accent5 48 3 2 2" xfId="6406" xr:uid="{00000000-0005-0000-0000-000006190000}"/>
    <cellStyle name="Accent5 48 3 2 2 2" xfId="33615" xr:uid="{3850F8A0-B816-4E07-8641-4D2D80058209}"/>
    <cellStyle name="Accent5 48 3 2 3" xfId="33614" xr:uid="{6E09EAF7-8AF9-4494-8221-D2DB7562029D}"/>
    <cellStyle name="Accent5 48 3 3" xfId="6407" xr:uid="{00000000-0005-0000-0000-000007190000}"/>
    <cellStyle name="Accent5 48 3 3 2" xfId="33616" xr:uid="{CFD10D5E-F0D8-4C98-B6A3-27AC22E62D6B}"/>
    <cellStyle name="Accent5 48 3 4" xfId="33613" xr:uid="{0C47458E-7C99-4885-993D-34E70F037CA7}"/>
    <cellStyle name="Accent5 48 4" xfId="6408" xr:uid="{00000000-0005-0000-0000-000008190000}"/>
    <cellStyle name="Accent5 48 4 2" xfId="33617" xr:uid="{14B46553-B5AD-49E9-B505-B9EAC4B907E5}"/>
    <cellStyle name="Accent5 48 5" xfId="33610" xr:uid="{0CF79BAE-11E5-41EB-9D58-7DDF4F93D189}"/>
    <cellStyle name="Accent5 49" xfId="6409" xr:uid="{00000000-0005-0000-0000-000009190000}"/>
    <cellStyle name="Accent5 49 2" xfId="6410" xr:uid="{00000000-0005-0000-0000-00000A190000}"/>
    <cellStyle name="Accent5 49 2 2" xfId="6411" xr:uid="{00000000-0005-0000-0000-00000B190000}"/>
    <cellStyle name="Accent5 49 2 2 2" xfId="33620" xr:uid="{27340394-0122-4432-BAEB-0F4E717553FC}"/>
    <cellStyle name="Accent5 49 2 3" xfId="33619" xr:uid="{22D5B374-D341-4999-ACAA-F61A370CE06B}"/>
    <cellStyle name="Accent5 49 3" xfId="6412" xr:uid="{00000000-0005-0000-0000-00000C190000}"/>
    <cellStyle name="Accent5 49 3 2" xfId="6413" xr:uid="{00000000-0005-0000-0000-00000D190000}"/>
    <cellStyle name="Accent5 49 3 2 2" xfId="6414" xr:uid="{00000000-0005-0000-0000-00000E190000}"/>
    <cellStyle name="Accent5 49 3 2 2 2" xfId="33623" xr:uid="{56AAF46D-0216-47EA-BC40-B3FFA21C999A}"/>
    <cellStyle name="Accent5 49 3 2 3" xfId="33622" xr:uid="{E89523CF-0F1F-41F5-9E08-2A9CDAF7C277}"/>
    <cellStyle name="Accent5 49 3 3" xfId="6415" xr:uid="{00000000-0005-0000-0000-00000F190000}"/>
    <cellStyle name="Accent5 49 3 3 2" xfId="33624" xr:uid="{F5A048BE-640F-49A5-91FA-D60CF4412F8E}"/>
    <cellStyle name="Accent5 49 3 4" xfId="33621" xr:uid="{98A8B13C-6946-40A0-A265-BDE5BDE0F50C}"/>
    <cellStyle name="Accent5 49 4" xfId="6416" xr:uid="{00000000-0005-0000-0000-000010190000}"/>
    <cellStyle name="Accent5 49 4 2" xfId="33625" xr:uid="{DCA4363D-0D65-4DFD-AE50-A0CFD4384B64}"/>
    <cellStyle name="Accent5 49 5" xfId="33618" xr:uid="{A28CA2A1-196F-4144-B8B9-084A28165706}"/>
    <cellStyle name="Accent5 5" xfId="6417" xr:uid="{00000000-0005-0000-0000-000011190000}"/>
    <cellStyle name="Accent5 5 2" xfId="6418" xr:uid="{00000000-0005-0000-0000-000012190000}"/>
    <cellStyle name="Accent5 5 2 2" xfId="6419" xr:uid="{00000000-0005-0000-0000-000013190000}"/>
    <cellStyle name="Accent5 5 2 2 2" xfId="6420" xr:uid="{00000000-0005-0000-0000-000014190000}"/>
    <cellStyle name="Accent5 5 2 3" xfId="6421" xr:uid="{00000000-0005-0000-0000-000015190000}"/>
    <cellStyle name="Accent5 5 2 3 2" xfId="6422" xr:uid="{00000000-0005-0000-0000-000016190000}"/>
    <cellStyle name="Accent5 5 2 3 2 2" xfId="6423" xr:uid="{00000000-0005-0000-0000-000017190000}"/>
    <cellStyle name="Accent5 5 2 3 3" xfId="6424" xr:uid="{00000000-0005-0000-0000-000018190000}"/>
    <cellStyle name="Accent5 5 2 4" xfId="6425" xr:uid="{00000000-0005-0000-0000-000019190000}"/>
    <cellStyle name="Accent5 5 3" xfId="6426" xr:uid="{00000000-0005-0000-0000-00001A190000}"/>
    <cellStyle name="Accent5 5 3 2" xfId="6427" xr:uid="{00000000-0005-0000-0000-00001B190000}"/>
    <cellStyle name="Accent5 5 3 2 2" xfId="6428" xr:uid="{00000000-0005-0000-0000-00001C190000}"/>
    <cellStyle name="Accent5 5 3 2 2 2" xfId="33628" xr:uid="{12A63746-7F0B-439D-A37A-0F1B6A25CB29}"/>
    <cellStyle name="Accent5 5 3 2 3" xfId="33627" xr:uid="{B4CD8471-D895-44CD-9C9F-5BD489E7071A}"/>
    <cellStyle name="Accent5 5 3 3" xfId="6429" xr:uid="{00000000-0005-0000-0000-00001D190000}"/>
    <cellStyle name="Accent5 5 3 3 2" xfId="6430" xr:uid="{00000000-0005-0000-0000-00001E190000}"/>
    <cellStyle name="Accent5 5 3 3 2 2" xfId="6431" xr:uid="{00000000-0005-0000-0000-00001F190000}"/>
    <cellStyle name="Accent5 5 3 3 2 2 2" xfId="33631" xr:uid="{1A1D710D-A266-45B1-8293-28A99568C21D}"/>
    <cellStyle name="Accent5 5 3 3 2 3" xfId="33630" xr:uid="{A70FF0B2-55A0-4A94-A49E-063F247EB97D}"/>
    <cellStyle name="Accent5 5 3 3 3" xfId="6432" xr:uid="{00000000-0005-0000-0000-000020190000}"/>
    <cellStyle name="Accent5 5 3 3 3 2" xfId="33632" xr:uid="{EBB38FB9-489C-45C2-9B70-B739715DF277}"/>
    <cellStyle name="Accent5 5 3 3 4" xfId="33629" xr:uid="{6B012499-926C-4005-B7DB-373D8B1046B7}"/>
    <cellStyle name="Accent5 5 3 4" xfId="6433" xr:uid="{00000000-0005-0000-0000-000021190000}"/>
    <cellStyle name="Accent5 5 3 4 2" xfId="33633" xr:uid="{C5A6609A-DB9A-4E46-B539-0F5CEC7DA8FD}"/>
    <cellStyle name="Accent5 5 3 5" xfId="33626" xr:uid="{2BC29AE6-0D05-4F78-9B7F-A575C45B6173}"/>
    <cellStyle name="Accent5 5 4" xfId="6434" xr:uid="{00000000-0005-0000-0000-000022190000}"/>
    <cellStyle name="Accent5 5 4 2" xfId="6435" xr:uid="{00000000-0005-0000-0000-000023190000}"/>
    <cellStyle name="Accent5 5 5" xfId="6436" xr:uid="{00000000-0005-0000-0000-000024190000}"/>
    <cellStyle name="Accent5 5 5 2" xfId="6437" xr:uid="{00000000-0005-0000-0000-000025190000}"/>
    <cellStyle name="Accent5 5 5 2 2" xfId="6438" xr:uid="{00000000-0005-0000-0000-000026190000}"/>
    <cellStyle name="Accent5 5 5 3" xfId="6439" xr:uid="{00000000-0005-0000-0000-000027190000}"/>
    <cellStyle name="Accent5 5 6" xfId="6440" xr:uid="{00000000-0005-0000-0000-000028190000}"/>
    <cellStyle name="Accent5 5 6 2" xfId="6441" xr:uid="{00000000-0005-0000-0000-000029190000}"/>
    <cellStyle name="Accent5 5 7" xfId="6442" xr:uid="{00000000-0005-0000-0000-00002A190000}"/>
    <cellStyle name="Accent5 50" xfId="6443" xr:uid="{00000000-0005-0000-0000-00002B190000}"/>
    <cellStyle name="Accent5 50 2" xfId="6444" xr:uid="{00000000-0005-0000-0000-00002C190000}"/>
    <cellStyle name="Accent5 50 2 2" xfId="6445" xr:uid="{00000000-0005-0000-0000-00002D190000}"/>
    <cellStyle name="Accent5 50 2 2 2" xfId="33636" xr:uid="{CC241208-0EB8-4A10-8D9F-E70DF4DABC7E}"/>
    <cellStyle name="Accent5 50 2 3" xfId="33635" xr:uid="{4F7F9227-EB97-4578-92BF-AD557A059F31}"/>
    <cellStyle name="Accent5 50 3" xfId="6446" xr:uid="{00000000-0005-0000-0000-00002E190000}"/>
    <cellStyle name="Accent5 50 3 2" xfId="6447" xr:uid="{00000000-0005-0000-0000-00002F190000}"/>
    <cellStyle name="Accent5 50 3 2 2" xfId="6448" xr:uid="{00000000-0005-0000-0000-000030190000}"/>
    <cellStyle name="Accent5 50 3 2 2 2" xfId="33639" xr:uid="{F1E513D7-4BE8-4FA0-AD97-D1999C81EADC}"/>
    <cellStyle name="Accent5 50 3 2 3" xfId="33638" xr:uid="{0303FF36-094D-4C18-B1F0-692F561B417C}"/>
    <cellStyle name="Accent5 50 3 3" xfId="6449" xr:uid="{00000000-0005-0000-0000-000031190000}"/>
    <cellStyle name="Accent5 50 3 3 2" xfId="33640" xr:uid="{4BF1B331-FEA7-4058-846B-7D79CD94E18C}"/>
    <cellStyle name="Accent5 50 3 4" xfId="33637" xr:uid="{9AC3B783-6704-4DF7-B253-2B5CEAA40914}"/>
    <cellStyle name="Accent5 50 4" xfId="6450" xr:uid="{00000000-0005-0000-0000-000032190000}"/>
    <cellStyle name="Accent5 50 4 2" xfId="33641" xr:uid="{9E73132A-0990-4ECD-9165-1367DB29E18B}"/>
    <cellStyle name="Accent5 50 5" xfId="33634" xr:uid="{30616975-F337-4177-96E2-12013AB734E2}"/>
    <cellStyle name="Accent5 51" xfId="6451" xr:uid="{00000000-0005-0000-0000-000033190000}"/>
    <cellStyle name="Accent5 51 2" xfId="6452" xr:uid="{00000000-0005-0000-0000-000034190000}"/>
    <cellStyle name="Accent5 51 2 2" xfId="6453" xr:uid="{00000000-0005-0000-0000-000035190000}"/>
    <cellStyle name="Accent5 51 2 2 2" xfId="33644" xr:uid="{14048DF1-614A-4235-9FEA-44D086FC31F0}"/>
    <cellStyle name="Accent5 51 2 3" xfId="33643" xr:uid="{2EB585A7-A9B6-455C-9505-E9453BC47ADD}"/>
    <cellStyle name="Accent5 51 3" xfId="6454" xr:uid="{00000000-0005-0000-0000-000036190000}"/>
    <cellStyle name="Accent5 51 3 2" xfId="6455" xr:uid="{00000000-0005-0000-0000-000037190000}"/>
    <cellStyle name="Accent5 51 3 2 2" xfId="6456" xr:uid="{00000000-0005-0000-0000-000038190000}"/>
    <cellStyle name="Accent5 51 3 2 2 2" xfId="33647" xr:uid="{C6317265-CD97-459F-8EAE-D0CA3F42CBA9}"/>
    <cellStyle name="Accent5 51 3 2 3" xfId="33646" xr:uid="{CF4BE96F-5D8D-4A0A-9CA8-11A6578CB5E0}"/>
    <cellStyle name="Accent5 51 3 3" xfId="6457" xr:uid="{00000000-0005-0000-0000-000039190000}"/>
    <cellStyle name="Accent5 51 3 3 2" xfId="33648" xr:uid="{217B9F34-AA4C-4403-9BFF-4345C394EFAC}"/>
    <cellStyle name="Accent5 51 3 4" xfId="33645" xr:uid="{A819ACDE-1B76-43A6-94C3-B32FCFD1EA18}"/>
    <cellStyle name="Accent5 51 4" xfId="6458" xr:uid="{00000000-0005-0000-0000-00003A190000}"/>
    <cellStyle name="Accent5 51 4 2" xfId="33649" xr:uid="{DAB37E53-9F94-4E02-9EB7-8F4D9A63138E}"/>
    <cellStyle name="Accent5 51 5" xfId="33642" xr:uid="{1FB40426-D331-4F36-86E6-88F063A6124B}"/>
    <cellStyle name="Accent5 52" xfId="6459" xr:uid="{00000000-0005-0000-0000-00003B190000}"/>
    <cellStyle name="Accent5 52 2" xfId="6460" xr:uid="{00000000-0005-0000-0000-00003C190000}"/>
    <cellStyle name="Accent5 52 2 2" xfId="6461" xr:uid="{00000000-0005-0000-0000-00003D190000}"/>
    <cellStyle name="Accent5 52 3" xfId="6462" xr:uid="{00000000-0005-0000-0000-00003E190000}"/>
    <cellStyle name="Accent5 53" xfId="6463" xr:uid="{00000000-0005-0000-0000-00003F190000}"/>
    <cellStyle name="Accent5 53 2" xfId="6464" xr:uid="{00000000-0005-0000-0000-000040190000}"/>
    <cellStyle name="Accent5 53 2 2" xfId="6465" xr:uid="{00000000-0005-0000-0000-000041190000}"/>
    <cellStyle name="Accent5 53 3" xfId="6466" xr:uid="{00000000-0005-0000-0000-000042190000}"/>
    <cellStyle name="Accent5 54" xfId="6467" xr:uid="{00000000-0005-0000-0000-000043190000}"/>
    <cellStyle name="Accent5 54 2" xfId="6468" xr:uid="{00000000-0005-0000-0000-000044190000}"/>
    <cellStyle name="Accent5 54 2 2" xfId="6469" xr:uid="{00000000-0005-0000-0000-000045190000}"/>
    <cellStyle name="Accent5 54 3" xfId="6470" xr:uid="{00000000-0005-0000-0000-000046190000}"/>
    <cellStyle name="Accent5 55" xfId="6471" xr:uid="{00000000-0005-0000-0000-000047190000}"/>
    <cellStyle name="Accent5 55 2" xfId="6472" xr:uid="{00000000-0005-0000-0000-000048190000}"/>
    <cellStyle name="Accent5 55 2 2" xfId="6473" xr:uid="{00000000-0005-0000-0000-000049190000}"/>
    <cellStyle name="Accent5 55 3" xfId="6474" xr:uid="{00000000-0005-0000-0000-00004A190000}"/>
    <cellStyle name="Accent5 56" xfId="6475" xr:uid="{00000000-0005-0000-0000-00004B190000}"/>
    <cellStyle name="Accent5 56 2" xfId="6476" xr:uid="{00000000-0005-0000-0000-00004C190000}"/>
    <cellStyle name="Accent5 56 2 2" xfId="6477" xr:uid="{00000000-0005-0000-0000-00004D190000}"/>
    <cellStyle name="Accent5 56 3" xfId="6478" xr:uid="{00000000-0005-0000-0000-00004E190000}"/>
    <cellStyle name="Accent5 57" xfId="6479" xr:uid="{00000000-0005-0000-0000-00004F190000}"/>
    <cellStyle name="Accent5 57 2" xfId="6480" xr:uid="{00000000-0005-0000-0000-000050190000}"/>
    <cellStyle name="Accent5 57 2 2" xfId="6481" xr:uid="{00000000-0005-0000-0000-000051190000}"/>
    <cellStyle name="Accent5 57 3" xfId="6482" xr:uid="{00000000-0005-0000-0000-000052190000}"/>
    <cellStyle name="Accent5 58" xfId="6483" xr:uid="{00000000-0005-0000-0000-000053190000}"/>
    <cellStyle name="Accent5 58 2" xfId="6484" xr:uid="{00000000-0005-0000-0000-000054190000}"/>
    <cellStyle name="Accent5 58 2 2" xfId="6485" xr:uid="{00000000-0005-0000-0000-000055190000}"/>
    <cellStyle name="Accent5 58 2 2 2" xfId="33652" xr:uid="{E904FC0E-D753-4555-9312-FF6599B6396C}"/>
    <cellStyle name="Accent5 58 2 3" xfId="33651" xr:uid="{BF312FD7-7F36-4B25-9E1E-31A28265808E}"/>
    <cellStyle name="Accent5 58 3" xfId="6486" xr:uid="{00000000-0005-0000-0000-000056190000}"/>
    <cellStyle name="Accent5 58 3 2" xfId="6487" xr:uid="{00000000-0005-0000-0000-000057190000}"/>
    <cellStyle name="Accent5 58 3 2 2" xfId="6488" xr:uid="{00000000-0005-0000-0000-000058190000}"/>
    <cellStyle name="Accent5 58 3 2 2 2" xfId="33655" xr:uid="{028FC23E-FCCF-4FC2-B01D-5A23A13FFA7A}"/>
    <cellStyle name="Accent5 58 3 2 3" xfId="33654" xr:uid="{67A76CBF-3687-4825-B0F9-24DFDAD5005F}"/>
    <cellStyle name="Accent5 58 3 3" xfId="6489" xr:uid="{00000000-0005-0000-0000-000059190000}"/>
    <cellStyle name="Accent5 58 3 3 2" xfId="33656" xr:uid="{36C0AA6D-7006-46D8-9028-DD63D36ECF40}"/>
    <cellStyle name="Accent5 58 3 4" xfId="33653" xr:uid="{590B644D-B813-488C-B699-B546FFE00876}"/>
    <cellStyle name="Accent5 58 4" xfId="6490" xr:uid="{00000000-0005-0000-0000-00005A190000}"/>
    <cellStyle name="Accent5 58 4 2" xfId="33657" xr:uid="{7FC97D29-3538-44EA-80B6-F6D0FD253832}"/>
    <cellStyle name="Accent5 58 5" xfId="33650" xr:uid="{88B5A73C-3E59-4AB2-826A-A7FF575D07F6}"/>
    <cellStyle name="Accent5 59" xfId="6491" xr:uid="{00000000-0005-0000-0000-00005B190000}"/>
    <cellStyle name="Accent5 59 2" xfId="6492" xr:uid="{00000000-0005-0000-0000-00005C190000}"/>
    <cellStyle name="Accent5 59 2 2" xfId="6493" xr:uid="{00000000-0005-0000-0000-00005D190000}"/>
    <cellStyle name="Accent5 59 2 2 2" xfId="33660" xr:uid="{621B5EAE-B76D-4194-9EDA-3DFDF99FD932}"/>
    <cellStyle name="Accent5 59 2 3" xfId="33659" xr:uid="{1EEAED6D-3A06-4D6B-8800-C567997CBE5E}"/>
    <cellStyle name="Accent5 59 3" xfId="6494" xr:uid="{00000000-0005-0000-0000-00005E190000}"/>
    <cellStyle name="Accent5 59 3 2" xfId="6495" xr:uid="{00000000-0005-0000-0000-00005F190000}"/>
    <cellStyle name="Accent5 59 3 2 2" xfId="6496" xr:uid="{00000000-0005-0000-0000-000060190000}"/>
    <cellStyle name="Accent5 59 3 2 2 2" xfId="33663" xr:uid="{0CDB3C60-5D07-4EC2-B38C-4101CD3FCBD8}"/>
    <cellStyle name="Accent5 59 3 2 3" xfId="33662" xr:uid="{BC400051-21E6-4D6B-9FFA-018EEAF52D99}"/>
    <cellStyle name="Accent5 59 3 3" xfId="6497" xr:uid="{00000000-0005-0000-0000-000061190000}"/>
    <cellStyle name="Accent5 59 3 3 2" xfId="33664" xr:uid="{95B1069F-D397-4CBF-BB5E-02B16AF7FEC1}"/>
    <cellStyle name="Accent5 59 3 4" xfId="33661" xr:uid="{F58DF6C6-77F5-463D-A0EE-CA0E12B62A6E}"/>
    <cellStyle name="Accent5 59 4" xfId="6498" xr:uid="{00000000-0005-0000-0000-000062190000}"/>
    <cellStyle name="Accent5 59 4 2" xfId="33665" xr:uid="{B5C04BD5-CFBE-4097-910B-2453C8E645AF}"/>
    <cellStyle name="Accent5 59 5" xfId="33658" xr:uid="{5F0EA2E4-60B0-4550-8E2A-C20169A06782}"/>
    <cellStyle name="Accent5 6" xfId="6499" xr:uid="{00000000-0005-0000-0000-000063190000}"/>
    <cellStyle name="Accent5 6 2" xfId="6500" xr:uid="{00000000-0005-0000-0000-000064190000}"/>
    <cellStyle name="Accent5 6 2 2" xfId="6501" xr:uid="{00000000-0005-0000-0000-000065190000}"/>
    <cellStyle name="Accent5 6 2 2 2" xfId="6502" xr:uid="{00000000-0005-0000-0000-000066190000}"/>
    <cellStyle name="Accent5 6 2 3" xfId="6503" xr:uid="{00000000-0005-0000-0000-000067190000}"/>
    <cellStyle name="Accent5 6 2 3 2" xfId="6504" xr:uid="{00000000-0005-0000-0000-000068190000}"/>
    <cellStyle name="Accent5 6 2 3 2 2" xfId="6505" xr:uid="{00000000-0005-0000-0000-000069190000}"/>
    <cellStyle name="Accent5 6 2 3 3" xfId="6506" xr:uid="{00000000-0005-0000-0000-00006A190000}"/>
    <cellStyle name="Accent5 6 2 4" xfId="6507" xr:uid="{00000000-0005-0000-0000-00006B190000}"/>
    <cellStyle name="Accent5 6 3" xfId="6508" xr:uid="{00000000-0005-0000-0000-00006C190000}"/>
    <cellStyle name="Accent5 6 3 2" xfId="6509" xr:uid="{00000000-0005-0000-0000-00006D190000}"/>
    <cellStyle name="Accent5 6 4" xfId="6510" xr:uid="{00000000-0005-0000-0000-00006E190000}"/>
    <cellStyle name="Accent5 6 4 2" xfId="6511" xr:uid="{00000000-0005-0000-0000-00006F190000}"/>
    <cellStyle name="Accent5 6 4 2 2" xfId="6512" xr:uid="{00000000-0005-0000-0000-000070190000}"/>
    <cellStyle name="Accent5 6 4 3" xfId="6513" xr:uid="{00000000-0005-0000-0000-000071190000}"/>
    <cellStyle name="Accent5 6 5" xfId="6514" xr:uid="{00000000-0005-0000-0000-000072190000}"/>
    <cellStyle name="Accent5 60" xfId="6515" xr:uid="{00000000-0005-0000-0000-000073190000}"/>
    <cellStyle name="Accent5 60 2" xfId="6516" xr:uid="{00000000-0005-0000-0000-000074190000}"/>
    <cellStyle name="Accent5 60 2 2" xfId="6517" xr:uid="{00000000-0005-0000-0000-000075190000}"/>
    <cellStyle name="Accent5 60 2 2 2" xfId="33668" xr:uid="{7B068C27-AC00-4F85-B030-9306D44140AF}"/>
    <cellStyle name="Accent5 60 2 3" xfId="33667" xr:uid="{FCAA89B4-CBFB-4C7C-9BAC-A3B1F3E9D120}"/>
    <cellStyle name="Accent5 60 3" xfId="6518" xr:uid="{00000000-0005-0000-0000-000076190000}"/>
    <cellStyle name="Accent5 60 3 2" xfId="6519" xr:uid="{00000000-0005-0000-0000-000077190000}"/>
    <cellStyle name="Accent5 60 3 2 2" xfId="6520" xr:uid="{00000000-0005-0000-0000-000078190000}"/>
    <cellStyle name="Accent5 60 3 2 2 2" xfId="33671" xr:uid="{32F82B6E-0546-40F6-B77C-113EE212C287}"/>
    <cellStyle name="Accent5 60 3 2 3" xfId="33670" xr:uid="{B3E45EFA-0D88-4263-B71E-ABCE714923D2}"/>
    <cellStyle name="Accent5 60 3 3" xfId="6521" xr:uid="{00000000-0005-0000-0000-000079190000}"/>
    <cellStyle name="Accent5 60 3 3 2" xfId="33672" xr:uid="{6A6CB3FD-C660-44FC-ABD8-453B24D076DB}"/>
    <cellStyle name="Accent5 60 3 4" xfId="33669" xr:uid="{5C74B607-2EAC-4E40-83FA-884DD399F45C}"/>
    <cellStyle name="Accent5 60 4" xfId="6522" xr:uid="{00000000-0005-0000-0000-00007A190000}"/>
    <cellStyle name="Accent5 60 4 2" xfId="33673" xr:uid="{CC2FF526-23D1-4302-854A-3A32FE0D3D35}"/>
    <cellStyle name="Accent5 60 5" xfId="33666" xr:uid="{50D73A60-663F-414A-8370-FEC1C7F9703A}"/>
    <cellStyle name="Accent5 61" xfId="6523" xr:uid="{00000000-0005-0000-0000-00007B190000}"/>
    <cellStyle name="Accent5 61 2" xfId="6524" xr:uid="{00000000-0005-0000-0000-00007C190000}"/>
    <cellStyle name="Accent5 61 2 2" xfId="6525" xr:uid="{00000000-0005-0000-0000-00007D190000}"/>
    <cellStyle name="Accent5 61 2 2 2" xfId="33676" xr:uid="{77D5AC3F-1268-4816-B54F-2BC56A11C870}"/>
    <cellStyle name="Accent5 61 2 3" xfId="33675" xr:uid="{B19687F1-FEF4-4D1B-A5B0-FEBDC7558C9F}"/>
    <cellStyle name="Accent5 61 3" xfId="6526" xr:uid="{00000000-0005-0000-0000-00007E190000}"/>
    <cellStyle name="Accent5 61 3 2" xfId="6527" xr:uid="{00000000-0005-0000-0000-00007F190000}"/>
    <cellStyle name="Accent5 61 3 2 2" xfId="6528" xr:uid="{00000000-0005-0000-0000-000080190000}"/>
    <cellStyle name="Accent5 61 3 2 2 2" xfId="33679" xr:uid="{D36702AF-449F-490A-A72B-9AC8BD7D2EE4}"/>
    <cellStyle name="Accent5 61 3 2 3" xfId="33678" xr:uid="{FECD6D20-9518-4766-A813-E5AB6A17D8FD}"/>
    <cellStyle name="Accent5 61 3 3" xfId="6529" xr:uid="{00000000-0005-0000-0000-000081190000}"/>
    <cellStyle name="Accent5 61 3 3 2" xfId="33680" xr:uid="{F9955F40-A0D2-4C31-A98D-523007C55FEB}"/>
    <cellStyle name="Accent5 61 3 4" xfId="33677" xr:uid="{C1B19D4C-B8AC-4C29-B89B-A7A47F9842D6}"/>
    <cellStyle name="Accent5 61 4" xfId="6530" xr:uid="{00000000-0005-0000-0000-000082190000}"/>
    <cellStyle name="Accent5 61 4 2" xfId="33681" xr:uid="{F7EAB250-9C59-4BE9-9843-9533EFEE8BB1}"/>
    <cellStyle name="Accent5 61 5" xfId="33674" xr:uid="{1FF4373C-2BFE-451B-82E6-F7E710EFB424}"/>
    <cellStyle name="Accent5 62" xfId="6531" xr:uid="{00000000-0005-0000-0000-000083190000}"/>
    <cellStyle name="Accent5 62 2" xfId="6532" xr:uid="{00000000-0005-0000-0000-000084190000}"/>
    <cellStyle name="Accent5 62 2 2" xfId="6533" xr:uid="{00000000-0005-0000-0000-000085190000}"/>
    <cellStyle name="Accent5 62 2 2 2" xfId="33684" xr:uid="{8CFD71B9-D5AF-4E3C-B974-170B022A7BB3}"/>
    <cellStyle name="Accent5 62 2 3" xfId="33683" xr:uid="{6E35CF5D-0E70-4652-BC73-1E96CB182392}"/>
    <cellStyle name="Accent5 62 3" xfId="6534" xr:uid="{00000000-0005-0000-0000-000086190000}"/>
    <cellStyle name="Accent5 62 3 2" xfId="6535" xr:uid="{00000000-0005-0000-0000-000087190000}"/>
    <cellStyle name="Accent5 62 3 2 2" xfId="6536" xr:uid="{00000000-0005-0000-0000-000088190000}"/>
    <cellStyle name="Accent5 62 3 2 2 2" xfId="33687" xr:uid="{F5CF26FF-5C5F-475A-A773-62185ABAAF96}"/>
    <cellStyle name="Accent5 62 3 2 3" xfId="33686" xr:uid="{D523A66A-63DC-47E3-87F4-AA4BCD7FF8AA}"/>
    <cellStyle name="Accent5 62 3 3" xfId="6537" xr:uid="{00000000-0005-0000-0000-000089190000}"/>
    <cellStyle name="Accent5 62 3 3 2" xfId="33688" xr:uid="{DEBC15BF-F648-4137-B0FE-E095DE397822}"/>
    <cellStyle name="Accent5 62 3 4" xfId="33685" xr:uid="{746BB9B1-7773-42CB-9D6D-A67FCD2165C1}"/>
    <cellStyle name="Accent5 62 4" xfId="6538" xr:uid="{00000000-0005-0000-0000-00008A190000}"/>
    <cellStyle name="Accent5 62 4 2" xfId="33689" xr:uid="{8794B745-174D-4173-8DA3-A0B2D26CEA6B}"/>
    <cellStyle name="Accent5 62 5" xfId="33682" xr:uid="{2BF41D57-A24F-4461-8F0E-13C7168F6AF8}"/>
    <cellStyle name="Accent5 63" xfId="6539" xr:uid="{00000000-0005-0000-0000-00008B190000}"/>
    <cellStyle name="Accent5 63 2" xfId="6540" xr:uid="{00000000-0005-0000-0000-00008C190000}"/>
    <cellStyle name="Accent5 63 2 2" xfId="6541" xr:uid="{00000000-0005-0000-0000-00008D190000}"/>
    <cellStyle name="Accent5 63 2 2 2" xfId="33692" xr:uid="{4F3AB689-F9D1-435F-90E7-E1C72CD5C45C}"/>
    <cellStyle name="Accent5 63 2 3" xfId="33691" xr:uid="{E96BA65E-E22E-446E-8895-D05EB56327DD}"/>
    <cellStyle name="Accent5 63 3" xfId="6542" xr:uid="{00000000-0005-0000-0000-00008E190000}"/>
    <cellStyle name="Accent5 63 3 2" xfId="6543" xr:uid="{00000000-0005-0000-0000-00008F190000}"/>
    <cellStyle name="Accent5 63 3 2 2" xfId="6544" xr:uid="{00000000-0005-0000-0000-000090190000}"/>
    <cellStyle name="Accent5 63 3 2 2 2" xfId="33695" xr:uid="{B72C29AF-490D-49C7-855E-ECA07CD25CE8}"/>
    <cellStyle name="Accent5 63 3 2 3" xfId="33694" xr:uid="{D1C739D2-0F1E-4702-AC23-00DC13DAFD09}"/>
    <cellStyle name="Accent5 63 3 3" xfId="6545" xr:uid="{00000000-0005-0000-0000-000091190000}"/>
    <cellStyle name="Accent5 63 3 3 2" xfId="33696" xr:uid="{10DF4645-9830-4B97-BCCD-1504086E0A2F}"/>
    <cellStyle name="Accent5 63 3 4" xfId="33693" xr:uid="{F41374DC-8DCA-4ABC-BAF0-223CB3643EA9}"/>
    <cellStyle name="Accent5 63 4" xfId="6546" xr:uid="{00000000-0005-0000-0000-000092190000}"/>
    <cellStyle name="Accent5 63 4 2" xfId="33697" xr:uid="{42BDBD0E-9DC1-4D07-87FD-7B73DE5DA3CC}"/>
    <cellStyle name="Accent5 63 5" xfId="33690" xr:uid="{A0370799-ABDF-4AB0-ACC4-A1A5D0401DA5}"/>
    <cellStyle name="Accent5 64" xfId="6547" xr:uid="{00000000-0005-0000-0000-000093190000}"/>
    <cellStyle name="Accent5 64 2" xfId="6548" xr:uid="{00000000-0005-0000-0000-000094190000}"/>
    <cellStyle name="Accent5 64 2 2" xfId="6549" xr:uid="{00000000-0005-0000-0000-000095190000}"/>
    <cellStyle name="Accent5 64 2 2 2" xfId="33700" xr:uid="{51C70F68-D645-4C5F-8F73-EA11C0C4CB13}"/>
    <cellStyle name="Accent5 64 2 3" xfId="33699" xr:uid="{0C65A909-1BD7-437E-A249-72D346A3630E}"/>
    <cellStyle name="Accent5 64 3" xfId="6550" xr:uid="{00000000-0005-0000-0000-000096190000}"/>
    <cellStyle name="Accent5 64 3 2" xfId="6551" xr:uid="{00000000-0005-0000-0000-000097190000}"/>
    <cellStyle name="Accent5 64 3 2 2" xfId="6552" xr:uid="{00000000-0005-0000-0000-000098190000}"/>
    <cellStyle name="Accent5 64 3 2 2 2" xfId="33703" xr:uid="{376081B2-E80D-4475-8B19-95A67E3F0F66}"/>
    <cellStyle name="Accent5 64 3 2 3" xfId="33702" xr:uid="{56444C42-F38E-43DC-B9CD-12F006C3ACC4}"/>
    <cellStyle name="Accent5 64 3 3" xfId="6553" xr:uid="{00000000-0005-0000-0000-000099190000}"/>
    <cellStyle name="Accent5 64 3 3 2" xfId="33704" xr:uid="{358366D8-7DB3-4A37-8265-3A52B92030ED}"/>
    <cellStyle name="Accent5 64 3 4" xfId="33701" xr:uid="{B6C58CB8-CA03-44AA-B96E-510788113092}"/>
    <cellStyle name="Accent5 64 4" xfId="6554" xr:uid="{00000000-0005-0000-0000-00009A190000}"/>
    <cellStyle name="Accent5 64 4 2" xfId="33705" xr:uid="{07B591D3-E670-47BF-B877-87228609AE72}"/>
    <cellStyle name="Accent5 64 5" xfId="33698" xr:uid="{160B711F-D3B8-4555-AED1-F3F7A5DB2117}"/>
    <cellStyle name="Accent5 65" xfId="6555" xr:uid="{00000000-0005-0000-0000-00009B190000}"/>
    <cellStyle name="Accent5 65 2" xfId="6556" xr:uid="{00000000-0005-0000-0000-00009C190000}"/>
    <cellStyle name="Accent5 65 2 2" xfId="6557" xr:uid="{00000000-0005-0000-0000-00009D190000}"/>
    <cellStyle name="Accent5 65 2 2 2" xfId="33708" xr:uid="{241310DD-6734-4B40-807E-549BC5B02952}"/>
    <cellStyle name="Accent5 65 2 3" xfId="33707" xr:uid="{3D6A1E61-86F0-47C0-84F3-19CA19FDECA8}"/>
    <cellStyle name="Accent5 65 3" xfId="6558" xr:uid="{00000000-0005-0000-0000-00009E190000}"/>
    <cellStyle name="Accent5 65 3 2" xfId="6559" xr:uid="{00000000-0005-0000-0000-00009F190000}"/>
    <cellStyle name="Accent5 65 3 2 2" xfId="6560" xr:uid="{00000000-0005-0000-0000-0000A0190000}"/>
    <cellStyle name="Accent5 65 3 2 2 2" xfId="33711" xr:uid="{54CB5E95-AC9C-4599-A910-0FBD2B35F3C6}"/>
    <cellStyle name="Accent5 65 3 2 3" xfId="33710" xr:uid="{506FA603-72BF-4F7A-9043-7BC76D16A5D3}"/>
    <cellStyle name="Accent5 65 3 3" xfId="6561" xr:uid="{00000000-0005-0000-0000-0000A1190000}"/>
    <cellStyle name="Accent5 65 3 3 2" xfId="33712" xr:uid="{1359D59E-088E-4156-8708-A109EA21537B}"/>
    <cellStyle name="Accent5 65 3 4" xfId="33709" xr:uid="{5E63A944-8F96-4FA5-9174-DC2FD52BC613}"/>
    <cellStyle name="Accent5 65 4" xfId="6562" xr:uid="{00000000-0005-0000-0000-0000A2190000}"/>
    <cellStyle name="Accent5 65 4 2" xfId="33713" xr:uid="{9357828E-FF22-4577-A47C-57E86E4D56EE}"/>
    <cellStyle name="Accent5 65 5" xfId="33706" xr:uid="{56D02548-24A2-4134-A95C-619F7E5F534F}"/>
    <cellStyle name="Accent5 66" xfId="6563" xr:uid="{00000000-0005-0000-0000-0000A3190000}"/>
    <cellStyle name="Accent5 66 2" xfId="6564" xr:uid="{00000000-0005-0000-0000-0000A4190000}"/>
    <cellStyle name="Accent5 66 2 2" xfId="6565" xr:uid="{00000000-0005-0000-0000-0000A5190000}"/>
    <cellStyle name="Accent5 66 2 2 2" xfId="33716" xr:uid="{446CE456-00B7-4A6B-AC36-2CD0EB49BDCB}"/>
    <cellStyle name="Accent5 66 2 3" xfId="33715" xr:uid="{8F9B7A49-9F5E-4FA2-B8D2-FDC8A49E69A9}"/>
    <cellStyle name="Accent5 66 3" xfId="6566" xr:uid="{00000000-0005-0000-0000-0000A6190000}"/>
    <cellStyle name="Accent5 66 3 2" xfId="6567" xr:uid="{00000000-0005-0000-0000-0000A7190000}"/>
    <cellStyle name="Accent5 66 3 2 2" xfId="6568" xr:uid="{00000000-0005-0000-0000-0000A8190000}"/>
    <cellStyle name="Accent5 66 3 2 2 2" xfId="33719" xr:uid="{CF31DEAF-0189-4A94-B7F5-C4E60DA9F9E8}"/>
    <cellStyle name="Accent5 66 3 2 3" xfId="33718" xr:uid="{C930E5A2-311A-4FFC-829A-CDFD6FC1C2F5}"/>
    <cellStyle name="Accent5 66 3 3" xfId="6569" xr:uid="{00000000-0005-0000-0000-0000A9190000}"/>
    <cellStyle name="Accent5 66 3 3 2" xfId="33720" xr:uid="{8091EBE9-14A3-4CA7-BC26-77F5AA73827B}"/>
    <cellStyle name="Accent5 66 3 4" xfId="33717" xr:uid="{36058923-FE31-4267-B147-219690409DD2}"/>
    <cellStyle name="Accent5 66 4" xfId="6570" xr:uid="{00000000-0005-0000-0000-0000AA190000}"/>
    <cellStyle name="Accent5 66 4 2" xfId="33721" xr:uid="{BCB909BC-9E69-48F1-80FF-E46659FF4ED2}"/>
    <cellStyle name="Accent5 66 5" xfId="33714" xr:uid="{4AE556FD-DE90-4E42-ACB0-4416217AF266}"/>
    <cellStyle name="Accent5 67" xfId="6571" xr:uid="{00000000-0005-0000-0000-0000AB190000}"/>
    <cellStyle name="Accent5 67 2" xfId="6572" xr:uid="{00000000-0005-0000-0000-0000AC190000}"/>
    <cellStyle name="Accent5 67 2 2" xfId="6573" xr:uid="{00000000-0005-0000-0000-0000AD190000}"/>
    <cellStyle name="Accent5 67 2 2 2" xfId="33724" xr:uid="{E123919A-1DA5-4064-8BAD-0537DB74F9DF}"/>
    <cellStyle name="Accent5 67 2 3" xfId="33723" xr:uid="{7E5F3EE0-0B4A-4424-B729-AA0B84B6778A}"/>
    <cellStyle name="Accent5 67 3" xfId="6574" xr:uid="{00000000-0005-0000-0000-0000AE190000}"/>
    <cellStyle name="Accent5 67 3 2" xfId="6575" xr:uid="{00000000-0005-0000-0000-0000AF190000}"/>
    <cellStyle name="Accent5 67 3 2 2" xfId="6576" xr:uid="{00000000-0005-0000-0000-0000B0190000}"/>
    <cellStyle name="Accent5 67 3 2 2 2" xfId="33727" xr:uid="{485CA314-84DF-4955-8370-DF60D2A2F8FF}"/>
    <cellStyle name="Accent5 67 3 2 3" xfId="33726" xr:uid="{F9DF9BF1-E279-4B7C-981D-D0954DB9243C}"/>
    <cellStyle name="Accent5 67 3 3" xfId="6577" xr:uid="{00000000-0005-0000-0000-0000B1190000}"/>
    <cellStyle name="Accent5 67 3 3 2" xfId="33728" xr:uid="{09855A09-89A2-4639-A4B3-7F73D3D9697E}"/>
    <cellStyle name="Accent5 67 3 4" xfId="33725" xr:uid="{E73D7298-684F-41AC-992D-D3744862D869}"/>
    <cellStyle name="Accent5 67 4" xfId="6578" xr:uid="{00000000-0005-0000-0000-0000B2190000}"/>
    <cellStyle name="Accent5 67 4 2" xfId="33729" xr:uid="{3D39D01B-9EB6-45BD-8D75-FCDA33D66B0D}"/>
    <cellStyle name="Accent5 67 5" xfId="33722" xr:uid="{8D0C685E-3A68-4B16-A713-8DB0BCFC8365}"/>
    <cellStyle name="Accent5 68" xfId="6579" xr:uid="{00000000-0005-0000-0000-0000B3190000}"/>
    <cellStyle name="Accent5 68 2" xfId="6580" xr:uid="{00000000-0005-0000-0000-0000B4190000}"/>
    <cellStyle name="Accent5 68 2 2" xfId="6581" xr:uid="{00000000-0005-0000-0000-0000B5190000}"/>
    <cellStyle name="Accent5 68 2 2 2" xfId="33732" xr:uid="{AA664106-1810-49AA-AAA6-778962FC79B6}"/>
    <cellStyle name="Accent5 68 2 3" xfId="33731" xr:uid="{C14AE5F7-D91F-4BEE-AE7E-58569B163B39}"/>
    <cellStyle name="Accent5 68 3" xfId="6582" xr:uid="{00000000-0005-0000-0000-0000B6190000}"/>
    <cellStyle name="Accent5 68 3 2" xfId="6583" xr:uid="{00000000-0005-0000-0000-0000B7190000}"/>
    <cellStyle name="Accent5 68 3 2 2" xfId="6584" xr:uid="{00000000-0005-0000-0000-0000B8190000}"/>
    <cellStyle name="Accent5 68 3 2 2 2" xfId="33735" xr:uid="{4ADBA87C-654E-48A6-BC3F-38D49D5B2A3B}"/>
    <cellStyle name="Accent5 68 3 2 3" xfId="33734" xr:uid="{4D3CBFDB-E48B-4FBE-9E60-5504BDB4BB4D}"/>
    <cellStyle name="Accent5 68 3 3" xfId="6585" xr:uid="{00000000-0005-0000-0000-0000B9190000}"/>
    <cellStyle name="Accent5 68 3 3 2" xfId="33736" xr:uid="{28481E0D-CBF3-4392-9763-5E815BE9D297}"/>
    <cellStyle name="Accent5 68 3 4" xfId="33733" xr:uid="{9554A088-ABFB-4DBB-98E3-22B2F7C356A0}"/>
    <cellStyle name="Accent5 68 4" xfId="6586" xr:uid="{00000000-0005-0000-0000-0000BA190000}"/>
    <cellStyle name="Accent5 68 4 2" xfId="33737" xr:uid="{A56E29BE-E1B8-4B49-BF8F-71825D67B9B5}"/>
    <cellStyle name="Accent5 68 5" xfId="33730" xr:uid="{31ECDE6C-1DF2-47BD-AEF1-180D3E2BB3CE}"/>
    <cellStyle name="Accent5 69" xfId="6587" xr:uid="{00000000-0005-0000-0000-0000BB190000}"/>
    <cellStyle name="Accent5 69 2" xfId="6588" xr:uid="{00000000-0005-0000-0000-0000BC190000}"/>
    <cellStyle name="Accent5 69 2 2" xfId="6589" xr:uid="{00000000-0005-0000-0000-0000BD190000}"/>
    <cellStyle name="Accent5 69 2 2 2" xfId="33740" xr:uid="{6179440C-049A-4873-9BD3-2E12C2F4F55E}"/>
    <cellStyle name="Accent5 69 2 3" xfId="33739" xr:uid="{C5881AC8-7B88-43C4-A534-37EB02B71A99}"/>
    <cellStyle name="Accent5 69 3" xfId="6590" xr:uid="{00000000-0005-0000-0000-0000BE190000}"/>
    <cellStyle name="Accent5 69 3 2" xfId="6591" xr:uid="{00000000-0005-0000-0000-0000BF190000}"/>
    <cellStyle name="Accent5 69 3 2 2" xfId="6592" xr:uid="{00000000-0005-0000-0000-0000C0190000}"/>
    <cellStyle name="Accent5 69 3 2 2 2" xfId="33743" xr:uid="{ADADBA75-7014-47D5-894D-4A1BEB1F86E3}"/>
    <cellStyle name="Accent5 69 3 2 3" xfId="33742" xr:uid="{DD03A067-D7DC-4E4B-B9B6-B273ABFC2A3B}"/>
    <cellStyle name="Accent5 69 3 3" xfId="6593" xr:uid="{00000000-0005-0000-0000-0000C1190000}"/>
    <cellStyle name="Accent5 69 3 3 2" xfId="33744" xr:uid="{6D2627D0-9D98-440B-823A-5808F64E5CCA}"/>
    <cellStyle name="Accent5 69 3 4" xfId="33741" xr:uid="{BE9DC062-116A-4F42-A23C-CBBED203F2A8}"/>
    <cellStyle name="Accent5 69 4" xfId="6594" xr:uid="{00000000-0005-0000-0000-0000C2190000}"/>
    <cellStyle name="Accent5 69 4 2" xfId="33745" xr:uid="{D30892E0-5B29-4D8C-B635-2265B551B4C1}"/>
    <cellStyle name="Accent5 69 5" xfId="33738" xr:uid="{CA217177-29E5-46CE-9967-351386260A7D}"/>
    <cellStyle name="Accent5 7" xfId="6595" xr:uid="{00000000-0005-0000-0000-0000C3190000}"/>
    <cellStyle name="Accent5 7 2" xfId="6596" xr:uid="{00000000-0005-0000-0000-0000C4190000}"/>
    <cellStyle name="Accent5 7 2 2" xfId="6597" xr:uid="{00000000-0005-0000-0000-0000C5190000}"/>
    <cellStyle name="Accent5 7 2 2 2" xfId="6598" xr:uid="{00000000-0005-0000-0000-0000C6190000}"/>
    <cellStyle name="Accent5 7 2 3" xfId="6599" xr:uid="{00000000-0005-0000-0000-0000C7190000}"/>
    <cellStyle name="Accent5 7 2 3 2" xfId="6600" xr:uid="{00000000-0005-0000-0000-0000C8190000}"/>
    <cellStyle name="Accent5 7 2 3 2 2" xfId="6601" xr:uid="{00000000-0005-0000-0000-0000C9190000}"/>
    <cellStyle name="Accent5 7 2 3 3" xfId="6602" xr:uid="{00000000-0005-0000-0000-0000CA190000}"/>
    <cellStyle name="Accent5 7 2 4" xfId="6603" xr:uid="{00000000-0005-0000-0000-0000CB190000}"/>
    <cellStyle name="Accent5 7 3" xfId="6604" xr:uid="{00000000-0005-0000-0000-0000CC190000}"/>
    <cellStyle name="Accent5 7 3 2" xfId="6605" xr:uid="{00000000-0005-0000-0000-0000CD190000}"/>
    <cellStyle name="Accent5 7 4" xfId="6606" xr:uid="{00000000-0005-0000-0000-0000CE190000}"/>
    <cellStyle name="Accent5 7 4 2" xfId="6607" xr:uid="{00000000-0005-0000-0000-0000CF190000}"/>
    <cellStyle name="Accent5 7 4 2 2" xfId="6608" xr:uid="{00000000-0005-0000-0000-0000D0190000}"/>
    <cellStyle name="Accent5 7 4 3" xfId="6609" xr:uid="{00000000-0005-0000-0000-0000D1190000}"/>
    <cellStyle name="Accent5 7 5" xfId="6610" xr:uid="{00000000-0005-0000-0000-0000D2190000}"/>
    <cellStyle name="Accent5 70" xfId="6611" xr:uid="{00000000-0005-0000-0000-0000D3190000}"/>
    <cellStyle name="Accent5 70 2" xfId="6612" xr:uid="{00000000-0005-0000-0000-0000D4190000}"/>
    <cellStyle name="Accent5 70 2 2" xfId="6613" xr:uid="{00000000-0005-0000-0000-0000D5190000}"/>
    <cellStyle name="Accent5 70 2 2 2" xfId="33748" xr:uid="{F4382A69-67E1-4B99-8791-52DD24EFA1BF}"/>
    <cellStyle name="Accent5 70 2 3" xfId="33747" xr:uid="{83F767E6-A39D-4C80-AE58-D881F8F0704E}"/>
    <cellStyle name="Accent5 70 3" xfId="6614" xr:uid="{00000000-0005-0000-0000-0000D6190000}"/>
    <cellStyle name="Accent5 70 3 2" xfId="6615" xr:uid="{00000000-0005-0000-0000-0000D7190000}"/>
    <cellStyle name="Accent5 70 3 2 2" xfId="6616" xr:uid="{00000000-0005-0000-0000-0000D8190000}"/>
    <cellStyle name="Accent5 70 3 2 2 2" xfId="33751" xr:uid="{44775A5B-686E-4DFC-99AA-77013B03D7D6}"/>
    <cellStyle name="Accent5 70 3 2 3" xfId="33750" xr:uid="{4D72C251-0CEC-4644-870F-962FAEF1A87E}"/>
    <cellStyle name="Accent5 70 3 3" xfId="6617" xr:uid="{00000000-0005-0000-0000-0000D9190000}"/>
    <cellStyle name="Accent5 70 3 3 2" xfId="33752" xr:uid="{4679C6AA-AD92-45A4-A53C-39B9136C77B1}"/>
    <cellStyle name="Accent5 70 3 4" xfId="33749" xr:uid="{DA06F593-9832-48E4-834A-C782A13EE79A}"/>
    <cellStyle name="Accent5 70 4" xfId="6618" xr:uid="{00000000-0005-0000-0000-0000DA190000}"/>
    <cellStyle name="Accent5 70 4 2" xfId="33753" xr:uid="{2233AECD-D0AC-4E0F-97E3-7F189581BF67}"/>
    <cellStyle name="Accent5 70 5" xfId="33746" xr:uid="{56D2308D-0548-47F0-AD2E-74B0CD7D5A9E}"/>
    <cellStyle name="Accent5 71" xfId="6619" xr:uid="{00000000-0005-0000-0000-0000DB190000}"/>
    <cellStyle name="Accent5 71 2" xfId="6620" xr:uid="{00000000-0005-0000-0000-0000DC190000}"/>
    <cellStyle name="Accent5 71 2 2" xfId="6621" xr:uid="{00000000-0005-0000-0000-0000DD190000}"/>
    <cellStyle name="Accent5 71 2 2 2" xfId="33756" xr:uid="{A894A448-5B4B-48F4-9E82-CE003C51B9C5}"/>
    <cellStyle name="Accent5 71 2 3" xfId="33755" xr:uid="{EB3F0179-1E9D-4348-919E-75292FD01A73}"/>
    <cellStyle name="Accent5 71 3" xfId="6622" xr:uid="{00000000-0005-0000-0000-0000DE190000}"/>
    <cellStyle name="Accent5 71 3 2" xfId="6623" xr:uid="{00000000-0005-0000-0000-0000DF190000}"/>
    <cellStyle name="Accent5 71 3 2 2" xfId="6624" xr:uid="{00000000-0005-0000-0000-0000E0190000}"/>
    <cellStyle name="Accent5 71 3 2 2 2" xfId="33759" xr:uid="{C55CEE4B-38B9-4628-8042-782D3DEC6732}"/>
    <cellStyle name="Accent5 71 3 2 3" xfId="33758" xr:uid="{238C56EC-B2A1-40DE-B7FC-FEC1A1521863}"/>
    <cellStyle name="Accent5 71 3 3" xfId="6625" xr:uid="{00000000-0005-0000-0000-0000E1190000}"/>
    <cellStyle name="Accent5 71 3 3 2" xfId="33760" xr:uid="{A6AE9620-F40B-404A-BB2B-6826835C0C3C}"/>
    <cellStyle name="Accent5 71 3 4" xfId="33757" xr:uid="{F8BDD4C9-8929-4402-B72F-302C5F8F9A7B}"/>
    <cellStyle name="Accent5 71 4" xfId="6626" xr:uid="{00000000-0005-0000-0000-0000E2190000}"/>
    <cellStyle name="Accent5 71 4 2" xfId="33761" xr:uid="{1890514C-6BB8-4F5A-92CF-5E86191CE16C}"/>
    <cellStyle name="Accent5 71 5" xfId="33754" xr:uid="{F89D8829-7E77-4959-AA59-3BFC43D6B702}"/>
    <cellStyle name="Accent5 72" xfId="6627" xr:uid="{00000000-0005-0000-0000-0000E3190000}"/>
    <cellStyle name="Accent5 72 2" xfId="6628" xr:uid="{00000000-0005-0000-0000-0000E4190000}"/>
    <cellStyle name="Accent5 72 2 2" xfId="6629" xr:uid="{00000000-0005-0000-0000-0000E5190000}"/>
    <cellStyle name="Accent5 72 2 2 2" xfId="33764" xr:uid="{4B4C8313-9044-49EF-B97B-C315C95D5813}"/>
    <cellStyle name="Accent5 72 2 3" xfId="33763" xr:uid="{4E2A178A-E4AF-4138-9B95-7ED8A7C17447}"/>
    <cellStyle name="Accent5 72 3" xfId="6630" xr:uid="{00000000-0005-0000-0000-0000E6190000}"/>
    <cellStyle name="Accent5 72 3 2" xfId="6631" xr:uid="{00000000-0005-0000-0000-0000E7190000}"/>
    <cellStyle name="Accent5 72 3 2 2" xfId="6632" xr:uid="{00000000-0005-0000-0000-0000E8190000}"/>
    <cellStyle name="Accent5 72 3 2 2 2" xfId="33767" xr:uid="{D1D1AC08-AAFE-497B-B852-8ED7515F3413}"/>
    <cellStyle name="Accent5 72 3 2 3" xfId="33766" xr:uid="{70700913-C39C-4C36-98EE-1325007E52D8}"/>
    <cellStyle name="Accent5 72 3 3" xfId="6633" xr:uid="{00000000-0005-0000-0000-0000E9190000}"/>
    <cellStyle name="Accent5 72 3 3 2" xfId="33768" xr:uid="{56702203-70B6-4580-A629-9C9401B00C35}"/>
    <cellStyle name="Accent5 72 3 4" xfId="33765" xr:uid="{89DAC0C2-4189-45E6-8EA6-23BDAD92D0AB}"/>
    <cellStyle name="Accent5 72 4" xfId="6634" xr:uid="{00000000-0005-0000-0000-0000EA190000}"/>
    <cellStyle name="Accent5 72 4 2" xfId="33769" xr:uid="{6C3B575B-75D0-48A3-B821-78B5A844C922}"/>
    <cellStyle name="Accent5 72 5" xfId="33762" xr:uid="{4BA3879A-77A4-4BB2-8E04-F9D3C4DA8CE0}"/>
    <cellStyle name="Accent5 73" xfId="6635" xr:uid="{00000000-0005-0000-0000-0000EB190000}"/>
    <cellStyle name="Accent5 73 2" xfId="6636" xr:uid="{00000000-0005-0000-0000-0000EC190000}"/>
    <cellStyle name="Accent5 73 2 2" xfId="6637" xr:uid="{00000000-0005-0000-0000-0000ED190000}"/>
    <cellStyle name="Accent5 73 2 2 2" xfId="33772" xr:uid="{435844D7-BBFC-43D5-9441-E45FDF93E3FC}"/>
    <cellStyle name="Accent5 73 2 3" xfId="33771" xr:uid="{FF8F8CDD-B233-4D66-9CF0-51B4AB89552B}"/>
    <cellStyle name="Accent5 73 3" xfId="6638" xr:uid="{00000000-0005-0000-0000-0000EE190000}"/>
    <cellStyle name="Accent5 73 3 2" xfId="6639" xr:uid="{00000000-0005-0000-0000-0000EF190000}"/>
    <cellStyle name="Accent5 73 3 2 2" xfId="6640" xr:uid="{00000000-0005-0000-0000-0000F0190000}"/>
    <cellStyle name="Accent5 73 3 2 2 2" xfId="33775" xr:uid="{9FC0B69B-716D-46BA-B535-50678A291063}"/>
    <cellStyle name="Accent5 73 3 2 3" xfId="33774" xr:uid="{3CDE038A-C0DE-4039-A058-874630BAFA67}"/>
    <cellStyle name="Accent5 73 3 3" xfId="6641" xr:uid="{00000000-0005-0000-0000-0000F1190000}"/>
    <cellStyle name="Accent5 73 3 3 2" xfId="33776" xr:uid="{567E3242-C48A-47AF-BCCF-6D9444A9D598}"/>
    <cellStyle name="Accent5 73 3 4" xfId="33773" xr:uid="{2B1591FF-4469-4B94-B462-FBB29AEC319B}"/>
    <cellStyle name="Accent5 73 4" xfId="6642" xr:uid="{00000000-0005-0000-0000-0000F2190000}"/>
    <cellStyle name="Accent5 73 4 2" xfId="33777" xr:uid="{2915BE35-5841-41B3-9C34-810A253BFCE5}"/>
    <cellStyle name="Accent5 73 5" xfId="33770" xr:uid="{B6D1AFE6-3147-492E-A271-B7648D453CB5}"/>
    <cellStyle name="Accent5 74" xfId="6643" xr:uid="{00000000-0005-0000-0000-0000F3190000}"/>
    <cellStyle name="Accent5 74 2" xfId="6644" xr:uid="{00000000-0005-0000-0000-0000F4190000}"/>
    <cellStyle name="Accent5 74 2 2" xfId="6645" xr:uid="{00000000-0005-0000-0000-0000F5190000}"/>
    <cellStyle name="Accent5 74 2 2 2" xfId="33780" xr:uid="{A5063678-BF4D-4BB0-8CB3-96C5F9B4EE1B}"/>
    <cellStyle name="Accent5 74 2 3" xfId="33779" xr:uid="{1F4E8270-0046-4521-8297-3B062BC72333}"/>
    <cellStyle name="Accent5 74 3" xfId="6646" xr:uid="{00000000-0005-0000-0000-0000F6190000}"/>
    <cellStyle name="Accent5 74 3 2" xfId="6647" xr:uid="{00000000-0005-0000-0000-0000F7190000}"/>
    <cellStyle name="Accent5 74 3 2 2" xfId="6648" xr:uid="{00000000-0005-0000-0000-0000F8190000}"/>
    <cellStyle name="Accent5 74 3 2 2 2" xfId="33783" xr:uid="{1B593682-5B8A-4582-BFFC-48AB52156778}"/>
    <cellStyle name="Accent5 74 3 2 3" xfId="33782" xr:uid="{E7BE67C7-CE93-4304-BF60-6E0883200C2F}"/>
    <cellStyle name="Accent5 74 3 3" xfId="6649" xr:uid="{00000000-0005-0000-0000-0000F9190000}"/>
    <cellStyle name="Accent5 74 3 3 2" xfId="33784" xr:uid="{30525883-E2A2-4E73-A95D-C7EF85A11BC5}"/>
    <cellStyle name="Accent5 74 3 4" xfId="33781" xr:uid="{CEDC87C7-F055-4E38-9659-FD804F87C346}"/>
    <cellStyle name="Accent5 74 4" xfId="6650" xr:uid="{00000000-0005-0000-0000-0000FA190000}"/>
    <cellStyle name="Accent5 74 4 2" xfId="33785" xr:uid="{C238392A-E56F-4989-A696-BDD053501005}"/>
    <cellStyle name="Accent5 74 5" xfId="33778" xr:uid="{318E9579-C0E7-40C0-BD82-2160869D5C3A}"/>
    <cellStyle name="Accent5 75" xfId="6651" xr:uid="{00000000-0005-0000-0000-0000FB190000}"/>
    <cellStyle name="Accent5 75 2" xfId="6652" xr:uid="{00000000-0005-0000-0000-0000FC190000}"/>
    <cellStyle name="Accent5 75 2 2" xfId="6653" xr:uid="{00000000-0005-0000-0000-0000FD190000}"/>
    <cellStyle name="Accent5 75 2 2 2" xfId="33788" xr:uid="{E4220B07-673A-4D88-9D5D-91D872500630}"/>
    <cellStyle name="Accent5 75 2 3" xfId="33787" xr:uid="{F8CFFB88-B608-4E19-9902-891079E2A663}"/>
    <cellStyle name="Accent5 75 3" xfId="6654" xr:uid="{00000000-0005-0000-0000-0000FE190000}"/>
    <cellStyle name="Accent5 75 3 2" xfId="6655" xr:uid="{00000000-0005-0000-0000-0000FF190000}"/>
    <cellStyle name="Accent5 75 3 2 2" xfId="6656" xr:uid="{00000000-0005-0000-0000-0000001A0000}"/>
    <cellStyle name="Accent5 75 3 2 2 2" xfId="33791" xr:uid="{F6517286-391F-43AA-9D1C-F198CB565FDF}"/>
    <cellStyle name="Accent5 75 3 2 3" xfId="33790" xr:uid="{6A3EC4D6-736E-4CE1-ACE5-BAA016985C4B}"/>
    <cellStyle name="Accent5 75 3 3" xfId="6657" xr:uid="{00000000-0005-0000-0000-0000011A0000}"/>
    <cellStyle name="Accent5 75 3 3 2" xfId="33792" xr:uid="{FFBEE993-41DF-4039-9608-F51A6210354C}"/>
    <cellStyle name="Accent5 75 3 4" xfId="33789" xr:uid="{7C0FE8A8-9746-4572-88A2-AE401C813EEB}"/>
    <cellStyle name="Accent5 75 4" xfId="6658" xr:uid="{00000000-0005-0000-0000-0000021A0000}"/>
    <cellStyle name="Accent5 75 4 2" xfId="33793" xr:uid="{9AC94902-7A6B-4F78-9EDF-5C055FC2C269}"/>
    <cellStyle name="Accent5 75 5" xfId="33786" xr:uid="{0D89FDC2-0C0F-4FF3-98F9-B189CD60A2B1}"/>
    <cellStyle name="Accent5 76" xfId="6659" xr:uid="{00000000-0005-0000-0000-0000031A0000}"/>
    <cellStyle name="Accent5 76 2" xfId="6660" xr:uid="{00000000-0005-0000-0000-0000041A0000}"/>
    <cellStyle name="Accent5 76 2 2" xfId="6661" xr:uid="{00000000-0005-0000-0000-0000051A0000}"/>
    <cellStyle name="Accent5 76 2 2 2" xfId="33796" xr:uid="{F42E9948-5EE4-4C04-B70F-2EB3CD7CF78E}"/>
    <cellStyle name="Accent5 76 2 3" xfId="33795" xr:uid="{2058DBDC-1780-420C-A28B-0AD8AD3B6E0F}"/>
    <cellStyle name="Accent5 76 3" xfId="6662" xr:uid="{00000000-0005-0000-0000-0000061A0000}"/>
    <cellStyle name="Accent5 76 3 2" xfId="6663" xr:uid="{00000000-0005-0000-0000-0000071A0000}"/>
    <cellStyle name="Accent5 76 3 2 2" xfId="6664" xr:uid="{00000000-0005-0000-0000-0000081A0000}"/>
    <cellStyle name="Accent5 76 3 2 2 2" xfId="33799" xr:uid="{87CD0B28-A04E-4AE4-BA56-CABE6D4E717D}"/>
    <cellStyle name="Accent5 76 3 2 3" xfId="33798" xr:uid="{1D49724C-5280-41E2-839A-2C01475E46F9}"/>
    <cellStyle name="Accent5 76 3 3" xfId="6665" xr:uid="{00000000-0005-0000-0000-0000091A0000}"/>
    <cellStyle name="Accent5 76 3 3 2" xfId="33800" xr:uid="{9E3A9D38-CBF9-4933-91C5-ACF63E38D566}"/>
    <cellStyle name="Accent5 76 3 4" xfId="33797" xr:uid="{2EE869CC-C768-46F1-B0AD-B980931364BF}"/>
    <cellStyle name="Accent5 76 4" xfId="6666" xr:uid="{00000000-0005-0000-0000-00000A1A0000}"/>
    <cellStyle name="Accent5 76 4 2" xfId="33801" xr:uid="{5F251FA2-D413-40C8-8DD5-9229A95FB851}"/>
    <cellStyle name="Accent5 76 5" xfId="33794" xr:uid="{4B4050DB-B23B-45FF-958B-29AAD1BC3A84}"/>
    <cellStyle name="Accent5 77" xfId="6667" xr:uid="{00000000-0005-0000-0000-00000B1A0000}"/>
    <cellStyle name="Accent5 77 2" xfId="6668" xr:uid="{00000000-0005-0000-0000-00000C1A0000}"/>
    <cellStyle name="Accent5 77 2 2" xfId="6669" xr:uid="{00000000-0005-0000-0000-00000D1A0000}"/>
    <cellStyle name="Accent5 77 2 2 2" xfId="33804" xr:uid="{E54E72D3-CDDA-4C45-82F1-199753D8883A}"/>
    <cellStyle name="Accent5 77 2 3" xfId="33803" xr:uid="{9CC63B7A-B11E-4590-AD09-6308736B391E}"/>
    <cellStyle name="Accent5 77 3" xfId="6670" xr:uid="{00000000-0005-0000-0000-00000E1A0000}"/>
    <cellStyle name="Accent5 77 3 2" xfId="6671" xr:uid="{00000000-0005-0000-0000-00000F1A0000}"/>
    <cellStyle name="Accent5 77 3 2 2" xfId="6672" xr:uid="{00000000-0005-0000-0000-0000101A0000}"/>
    <cellStyle name="Accent5 77 3 2 2 2" xfId="33807" xr:uid="{CC5D7444-AC80-4E15-9A01-9F81E8A4A00D}"/>
    <cellStyle name="Accent5 77 3 2 3" xfId="33806" xr:uid="{98A19D51-AB09-4C89-B0EF-9382EDEB314D}"/>
    <cellStyle name="Accent5 77 3 3" xfId="6673" xr:uid="{00000000-0005-0000-0000-0000111A0000}"/>
    <cellStyle name="Accent5 77 3 3 2" xfId="33808" xr:uid="{509FD757-3F4C-45C0-A83D-6AC40561F8AC}"/>
    <cellStyle name="Accent5 77 3 4" xfId="33805" xr:uid="{0F5D91D4-5036-4CB4-A381-B20B2DA38D28}"/>
    <cellStyle name="Accent5 77 4" xfId="6674" xr:uid="{00000000-0005-0000-0000-0000121A0000}"/>
    <cellStyle name="Accent5 77 4 2" xfId="33809" xr:uid="{B38EB928-19E0-459B-AAFB-6F1999105E83}"/>
    <cellStyle name="Accent5 77 5" xfId="33802" xr:uid="{E63058C3-5675-4429-A62D-C82DFF1D12FA}"/>
    <cellStyle name="Accent5 78" xfId="6675" xr:uid="{00000000-0005-0000-0000-0000131A0000}"/>
    <cellStyle name="Accent5 78 2" xfId="6676" xr:uid="{00000000-0005-0000-0000-0000141A0000}"/>
    <cellStyle name="Accent5 78 2 2" xfId="6677" xr:uid="{00000000-0005-0000-0000-0000151A0000}"/>
    <cellStyle name="Accent5 78 2 2 2" xfId="33812" xr:uid="{1361E85F-7A18-4B9B-A85C-29FB11402578}"/>
    <cellStyle name="Accent5 78 2 3" xfId="33811" xr:uid="{CBAB014A-FEDC-4E7C-8F98-D9BB54221574}"/>
    <cellStyle name="Accent5 78 3" xfId="6678" xr:uid="{00000000-0005-0000-0000-0000161A0000}"/>
    <cellStyle name="Accent5 78 3 2" xfId="6679" xr:uid="{00000000-0005-0000-0000-0000171A0000}"/>
    <cellStyle name="Accent5 78 3 2 2" xfId="6680" xr:uid="{00000000-0005-0000-0000-0000181A0000}"/>
    <cellStyle name="Accent5 78 3 2 2 2" xfId="33815" xr:uid="{1645D02D-ADD7-4777-B84A-99F157FCB273}"/>
    <cellStyle name="Accent5 78 3 2 3" xfId="33814" xr:uid="{9EB309A9-829D-4417-8B34-3E4681F13644}"/>
    <cellStyle name="Accent5 78 3 3" xfId="6681" xr:uid="{00000000-0005-0000-0000-0000191A0000}"/>
    <cellStyle name="Accent5 78 3 3 2" xfId="33816" xr:uid="{D6104300-7E1D-4786-A9A5-9B57321D8AEB}"/>
    <cellStyle name="Accent5 78 3 4" xfId="33813" xr:uid="{07F6C17B-6CAE-4D6A-AF11-1006B892260E}"/>
    <cellStyle name="Accent5 78 4" xfId="6682" xr:uid="{00000000-0005-0000-0000-00001A1A0000}"/>
    <cellStyle name="Accent5 78 4 2" xfId="33817" xr:uid="{FB08879B-B46E-467D-A9A9-BCDFC28AA9DA}"/>
    <cellStyle name="Accent5 78 5" xfId="33810" xr:uid="{A1524CB4-038A-44D0-8E03-076DD69AED0F}"/>
    <cellStyle name="Accent5 79" xfId="6683" xr:uid="{00000000-0005-0000-0000-00001B1A0000}"/>
    <cellStyle name="Accent5 79 2" xfId="6684" xr:uid="{00000000-0005-0000-0000-00001C1A0000}"/>
    <cellStyle name="Accent5 79 2 2" xfId="6685" xr:uid="{00000000-0005-0000-0000-00001D1A0000}"/>
    <cellStyle name="Accent5 79 2 2 2" xfId="33820" xr:uid="{9C14D827-2AB3-49C4-83C9-559A5209D11B}"/>
    <cellStyle name="Accent5 79 2 3" xfId="33819" xr:uid="{ABDF30B8-95F6-4658-B862-22719D5F33EC}"/>
    <cellStyle name="Accent5 79 3" xfId="6686" xr:uid="{00000000-0005-0000-0000-00001E1A0000}"/>
    <cellStyle name="Accent5 79 3 2" xfId="6687" xr:uid="{00000000-0005-0000-0000-00001F1A0000}"/>
    <cellStyle name="Accent5 79 3 2 2" xfId="6688" xr:uid="{00000000-0005-0000-0000-0000201A0000}"/>
    <cellStyle name="Accent5 79 3 2 2 2" xfId="33823" xr:uid="{429672BC-4F6A-443B-A862-81AB3FF91903}"/>
    <cellStyle name="Accent5 79 3 2 3" xfId="33822" xr:uid="{720791DC-0C0E-4413-950A-5D9394BEF027}"/>
    <cellStyle name="Accent5 79 3 3" xfId="6689" xr:uid="{00000000-0005-0000-0000-0000211A0000}"/>
    <cellStyle name="Accent5 79 3 3 2" xfId="33824" xr:uid="{50C4E67B-5FC8-43F9-9F16-FC9617559B45}"/>
    <cellStyle name="Accent5 79 3 4" xfId="33821" xr:uid="{20C7253B-817D-4DE2-A282-0FD1CCC0258F}"/>
    <cellStyle name="Accent5 79 4" xfId="6690" xr:uid="{00000000-0005-0000-0000-0000221A0000}"/>
    <cellStyle name="Accent5 79 4 2" xfId="33825" xr:uid="{5BEE2952-32A4-4D2C-9502-3AC0A80B10B3}"/>
    <cellStyle name="Accent5 79 5" xfId="33818" xr:uid="{3960E549-4052-432D-8D83-75BF86210A74}"/>
    <cellStyle name="Accent5 8" xfId="6691" xr:uid="{00000000-0005-0000-0000-0000231A0000}"/>
    <cellStyle name="Accent5 8 2" xfId="6692" xr:uid="{00000000-0005-0000-0000-0000241A0000}"/>
    <cellStyle name="Accent5 8 2 2" xfId="6693" xr:uid="{00000000-0005-0000-0000-0000251A0000}"/>
    <cellStyle name="Accent5 8 3" xfId="6694" xr:uid="{00000000-0005-0000-0000-0000261A0000}"/>
    <cellStyle name="Accent5 80" xfId="6695" xr:uid="{00000000-0005-0000-0000-0000271A0000}"/>
    <cellStyle name="Accent5 80 2" xfId="6696" xr:uid="{00000000-0005-0000-0000-0000281A0000}"/>
    <cellStyle name="Accent5 80 2 2" xfId="6697" xr:uid="{00000000-0005-0000-0000-0000291A0000}"/>
    <cellStyle name="Accent5 80 2 2 2" xfId="33828" xr:uid="{D004DCC7-6F01-4D6A-82FC-A75AAF84AD27}"/>
    <cellStyle name="Accent5 80 2 3" xfId="33827" xr:uid="{56D0B62D-572E-4F37-8C08-86E0D7CE1843}"/>
    <cellStyle name="Accent5 80 3" xfId="6698" xr:uid="{00000000-0005-0000-0000-00002A1A0000}"/>
    <cellStyle name="Accent5 80 3 2" xfId="6699" xr:uid="{00000000-0005-0000-0000-00002B1A0000}"/>
    <cellStyle name="Accent5 80 3 2 2" xfId="6700" xr:uid="{00000000-0005-0000-0000-00002C1A0000}"/>
    <cellStyle name="Accent5 80 3 2 2 2" xfId="33831" xr:uid="{16C86A54-F0C1-4029-AD30-B22E5F4CCF58}"/>
    <cellStyle name="Accent5 80 3 2 3" xfId="33830" xr:uid="{31E5A375-86F2-4577-91F4-3DB7FB3879AB}"/>
    <cellStyle name="Accent5 80 3 3" xfId="6701" xr:uid="{00000000-0005-0000-0000-00002D1A0000}"/>
    <cellStyle name="Accent5 80 3 3 2" xfId="33832" xr:uid="{0252F3B8-2830-46A7-8B66-D6E4831ACE4D}"/>
    <cellStyle name="Accent5 80 3 4" xfId="33829" xr:uid="{A83FF6B5-3953-4FE0-88A1-19F71651038B}"/>
    <cellStyle name="Accent5 80 4" xfId="6702" xr:uid="{00000000-0005-0000-0000-00002E1A0000}"/>
    <cellStyle name="Accent5 80 4 2" xfId="33833" xr:uid="{4A65D4E3-7989-4AB6-89D7-CB918AE427F0}"/>
    <cellStyle name="Accent5 80 5" xfId="33826" xr:uid="{3FBFA558-93C5-433A-BD85-660090C613B8}"/>
    <cellStyle name="Accent5 81" xfId="6703" xr:uid="{00000000-0005-0000-0000-00002F1A0000}"/>
    <cellStyle name="Accent5 81 2" xfId="6704" xr:uid="{00000000-0005-0000-0000-0000301A0000}"/>
    <cellStyle name="Accent5 81 2 2" xfId="6705" xr:uid="{00000000-0005-0000-0000-0000311A0000}"/>
    <cellStyle name="Accent5 81 2 2 2" xfId="33836" xr:uid="{0791B9F2-7649-4458-A20B-C8A485AA9951}"/>
    <cellStyle name="Accent5 81 2 3" xfId="33835" xr:uid="{DC9C833A-E0AC-4F4C-8798-9D2C2110FFD1}"/>
    <cellStyle name="Accent5 81 3" xfId="6706" xr:uid="{00000000-0005-0000-0000-0000321A0000}"/>
    <cellStyle name="Accent5 81 3 2" xfId="6707" xr:uid="{00000000-0005-0000-0000-0000331A0000}"/>
    <cellStyle name="Accent5 81 3 2 2" xfId="6708" xr:uid="{00000000-0005-0000-0000-0000341A0000}"/>
    <cellStyle name="Accent5 81 3 2 2 2" xfId="33839" xr:uid="{D684109D-F83A-45FF-864B-6DB6CED80860}"/>
    <cellStyle name="Accent5 81 3 2 3" xfId="33838" xr:uid="{3DC5018F-A5C9-43A7-8237-E567E2D20CE9}"/>
    <cellStyle name="Accent5 81 3 3" xfId="6709" xr:uid="{00000000-0005-0000-0000-0000351A0000}"/>
    <cellStyle name="Accent5 81 3 3 2" xfId="33840" xr:uid="{88A49676-57C2-473E-8887-F0B60D2BD75A}"/>
    <cellStyle name="Accent5 81 3 4" xfId="33837" xr:uid="{4DBEBDF9-42D4-41B0-A8E0-4A002F8A963B}"/>
    <cellStyle name="Accent5 81 4" xfId="6710" xr:uid="{00000000-0005-0000-0000-0000361A0000}"/>
    <cellStyle name="Accent5 81 4 2" xfId="33841" xr:uid="{4F41B9E6-5611-4EDA-B865-FDA3B8220A10}"/>
    <cellStyle name="Accent5 81 5" xfId="33834" xr:uid="{6053DD81-F8CD-48DE-BA0B-85944BC84986}"/>
    <cellStyle name="Accent5 82" xfId="6711" xr:uid="{00000000-0005-0000-0000-0000371A0000}"/>
    <cellStyle name="Accent5 82 2" xfId="6712" xr:uid="{00000000-0005-0000-0000-0000381A0000}"/>
    <cellStyle name="Accent5 82 2 2" xfId="6713" xr:uid="{00000000-0005-0000-0000-0000391A0000}"/>
    <cellStyle name="Accent5 82 2 2 2" xfId="33844" xr:uid="{8F56587D-4EF2-4B71-BD6E-B44ADD4739C2}"/>
    <cellStyle name="Accent5 82 2 3" xfId="33843" xr:uid="{655C4841-12C6-4909-86BB-F0F8AF565F5F}"/>
    <cellStyle name="Accent5 82 3" xfId="6714" xr:uid="{00000000-0005-0000-0000-00003A1A0000}"/>
    <cellStyle name="Accent5 82 3 2" xfId="6715" xr:uid="{00000000-0005-0000-0000-00003B1A0000}"/>
    <cellStyle name="Accent5 82 3 2 2" xfId="6716" xr:uid="{00000000-0005-0000-0000-00003C1A0000}"/>
    <cellStyle name="Accent5 82 3 2 2 2" xfId="33847" xr:uid="{D499B2FB-D44D-4533-88C0-E10ACA47E1BC}"/>
    <cellStyle name="Accent5 82 3 2 3" xfId="33846" xr:uid="{F363B791-D7DE-42B0-A38A-0C1F6116134A}"/>
    <cellStyle name="Accent5 82 3 3" xfId="6717" xr:uid="{00000000-0005-0000-0000-00003D1A0000}"/>
    <cellStyle name="Accent5 82 3 3 2" xfId="33848" xr:uid="{F512E034-0D22-4AED-9B07-402980DC4208}"/>
    <cellStyle name="Accent5 82 3 4" xfId="33845" xr:uid="{8EC2E9B4-8BEF-4CA7-B119-43E0D77C2D6A}"/>
    <cellStyle name="Accent5 82 4" xfId="6718" xr:uid="{00000000-0005-0000-0000-00003E1A0000}"/>
    <cellStyle name="Accent5 82 4 2" xfId="33849" xr:uid="{CC1C2D14-97A1-424A-BD6C-8EFB27365AF7}"/>
    <cellStyle name="Accent5 82 5" xfId="33842" xr:uid="{8EE7C000-E350-4E76-9AE9-7A633D2715AC}"/>
    <cellStyle name="Accent5 83" xfId="6719" xr:uid="{00000000-0005-0000-0000-00003F1A0000}"/>
    <cellStyle name="Accent5 83 2" xfId="6720" xr:uid="{00000000-0005-0000-0000-0000401A0000}"/>
    <cellStyle name="Accent5 83 2 2" xfId="6721" xr:uid="{00000000-0005-0000-0000-0000411A0000}"/>
    <cellStyle name="Accent5 83 2 2 2" xfId="33852" xr:uid="{14B7AD24-45A9-4B8D-9C03-A2260DAB7925}"/>
    <cellStyle name="Accent5 83 2 3" xfId="33851" xr:uid="{02A7B4C3-59AD-47D4-A8A6-0CD6ECA4BF32}"/>
    <cellStyle name="Accent5 83 3" xfId="6722" xr:uid="{00000000-0005-0000-0000-0000421A0000}"/>
    <cellStyle name="Accent5 83 3 2" xfId="6723" xr:uid="{00000000-0005-0000-0000-0000431A0000}"/>
    <cellStyle name="Accent5 83 3 2 2" xfId="6724" xr:uid="{00000000-0005-0000-0000-0000441A0000}"/>
    <cellStyle name="Accent5 83 3 2 2 2" xfId="33855" xr:uid="{38519350-EC02-4F16-BC0F-CAF596C975F9}"/>
    <cellStyle name="Accent5 83 3 2 3" xfId="33854" xr:uid="{B0613A7E-A648-4D56-A9A9-D0A391AF7033}"/>
    <cellStyle name="Accent5 83 3 3" xfId="6725" xr:uid="{00000000-0005-0000-0000-0000451A0000}"/>
    <cellStyle name="Accent5 83 3 3 2" xfId="33856" xr:uid="{836757E7-9AD2-4208-BE1C-9246829F0DE1}"/>
    <cellStyle name="Accent5 83 3 4" xfId="33853" xr:uid="{CC944150-2472-4102-B0D6-F7A09902A7A7}"/>
    <cellStyle name="Accent5 83 4" xfId="6726" xr:uid="{00000000-0005-0000-0000-0000461A0000}"/>
    <cellStyle name="Accent5 83 4 2" xfId="33857" xr:uid="{6EE24292-6D5C-4823-A098-6EE56B160E84}"/>
    <cellStyle name="Accent5 83 5" xfId="33850" xr:uid="{FD856B00-E1C9-4D24-94D1-2EC75E605280}"/>
    <cellStyle name="Accent5 84" xfId="6727" xr:uid="{00000000-0005-0000-0000-0000471A0000}"/>
    <cellStyle name="Accent5 84 2" xfId="6728" xr:uid="{00000000-0005-0000-0000-0000481A0000}"/>
    <cellStyle name="Accent5 84 2 2" xfId="6729" xr:uid="{00000000-0005-0000-0000-0000491A0000}"/>
    <cellStyle name="Accent5 84 3" xfId="6730" xr:uid="{00000000-0005-0000-0000-00004A1A0000}"/>
    <cellStyle name="Accent5 85" xfId="6731" xr:uid="{00000000-0005-0000-0000-00004B1A0000}"/>
    <cellStyle name="Accent5 85 2" xfId="6732" xr:uid="{00000000-0005-0000-0000-00004C1A0000}"/>
    <cellStyle name="Accent5 85 2 2" xfId="6733" xr:uid="{00000000-0005-0000-0000-00004D1A0000}"/>
    <cellStyle name="Accent5 85 3" xfId="6734" xr:uid="{00000000-0005-0000-0000-00004E1A0000}"/>
    <cellStyle name="Accent5 86" xfId="6735" xr:uid="{00000000-0005-0000-0000-00004F1A0000}"/>
    <cellStyle name="Accent5 86 2" xfId="6736" xr:uid="{00000000-0005-0000-0000-0000501A0000}"/>
    <cellStyle name="Accent5 86 2 2" xfId="6737" xr:uid="{00000000-0005-0000-0000-0000511A0000}"/>
    <cellStyle name="Accent5 86 3" xfId="6738" xr:uid="{00000000-0005-0000-0000-0000521A0000}"/>
    <cellStyle name="Accent5 87" xfId="6739" xr:uid="{00000000-0005-0000-0000-0000531A0000}"/>
    <cellStyle name="Accent5 87 2" xfId="6740" xr:uid="{00000000-0005-0000-0000-0000541A0000}"/>
    <cellStyle name="Accent5 87 2 2" xfId="6741" xr:uid="{00000000-0005-0000-0000-0000551A0000}"/>
    <cellStyle name="Accent5 87 3" xfId="6742" xr:uid="{00000000-0005-0000-0000-0000561A0000}"/>
    <cellStyle name="Accent5 88" xfId="6743" xr:uid="{00000000-0005-0000-0000-0000571A0000}"/>
    <cellStyle name="Accent5 88 2" xfId="6744" xr:uid="{00000000-0005-0000-0000-0000581A0000}"/>
    <cellStyle name="Accent5 88 2 2" xfId="6745" xr:uid="{00000000-0005-0000-0000-0000591A0000}"/>
    <cellStyle name="Accent5 88 3" xfId="6746" xr:uid="{00000000-0005-0000-0000-00005A1A0000}"/>
    <cellStyle name="Accent5 89" xfId="6747" xr:uid="{00000000-0005-0000-0000-00005B1A0000}"/>
    <cellStyle name="Accent5 89 2" xfId="6748" xr:uid="{00000000-0005-0000-0000-00005C1A0000}"/>
    <cellStyle name="Accent5 89 2 2" xfId="6749" xr:uid="{00000000-0005-0000-0000-00005D1A0000}"/>
    <cellStyle name="Accent5 89 3" xfId="6750" xr:uid="{00000000-0005-0000-0000-00005E1A0000}"/>
    <cellStyle name="Accent5 9" xfId="6751" xr:uid="{00000000-0005-0000-0000-00005F1A0000}"/>
    <cellStyle name="Accent5 9 2" xfId="6752" xr:uid="{00000000-0005-0000-0000-0000601A0000}"/>
    <cellStyle name="Accent5 9 2 2" xfId="6753" xr:uid="{00000000-0005-0000-0000-0000611A0000}"/>
    <cellStyle name="Accent5 9 3" xfId="6754" xr:uid="{00000000-0005-0000-0000-0000621A0000}"/>
    <cellStyle name="Accent5 90" xfId="6755" xr:uid="{00000000-0005-0000-0000-0000631A0000}"/>
    <cellStyle name="Accent5 90 2" xfId="6756" xr:uid="{00000000-0005-0000-0000-0000641A0000}"/>
    <cellStyle name="Accent5 90 2 2" xfId="6757" xr:uid="{00000000-0005-0000-0000-0000651A0000}"/>
    <cellStyle name="Accent5 90 3" xfId="6758" xr:uid="{00000000-0005-0000-0000-0000661A0000}"/>
    <cellStyle name="Accent5 91" xfId="6759" xr:uid="{00000000-0005-0000-0000-0000671A0000}"/>
    <cellStyle name="Accent5 91 2" xfId="6760" xr:uid="{00000000-0005-0000-0000-0000681A0000}"/>
    <cellStyle name="Accent5 91 2 2" xfId="6761" xr:uid="{00000000-0005-0000-0000-0000691A0000}"/>
    <cellStyle name="Accent5 91 2 2 2" xfId="33860" xr:uid="{CAEA985A-3A48-45D7-AC10-F5C5BC9F08D4}"/>
    <cellStyle name="Accent5 91 2 3" xfId="33859" xr:uid="{641C59C3-8F41-4A5F-BF46-B474DA3484F2}"/>
    <cellStyle name="Accent5 91 3" xfId="6762" xr:uid="{00000000-0005-0000-0000-00006A1A0000}"/>
    <cellStyle name="Accent5 91 3 2" xfId="33861" xr:uid="{95E29836-A1E1-4D21-8B0B-889DB42D36DC}"/>
    <cellStyle name="Accent5 91 4" xfId="33858" xr:uid="{25C5ED65-578E-40C1-8D7D-36339E1F62F4}"/>
    <cellStyle name="Accent5 92" xfId="6763" xr:uid="{00000000-0005-0000-0000-00006B1A0000}"/>
    <cellStyle name="Accent5 92 2" xfId="6764" xr:uid="{00000000-0005-0000-0000-00006C1A0000}"/>
    <cellStyle name="Accent5 92 2 2" xfId="6765" xr:uid="{00000000-0005-0000-0000-00006D1A0000}"/>
    <cellStyle name="Accent5 92 2 2 2" xfId="33864" xr:uid="{C9307D27-9DE3-45B3-B58B-AEB78F1AE874}"/>
    <cellStyle name="Accent5 92 2 3" xfId="33863" xr:uid="{7A6863BA-0AE3-46D1-A8FD-7E9345B8DA30}"/>
    <cellStyle name="Accent5 92 3" xfId="6766" xr:uid="{00000000-0005-0000-0000-00006E1A0000}"/>
    <cellStyle name="Accent5 92 3 2" xfId="33865" xr:uid="{94F08A83-21FA-4ABE-B06F-593BF2886C5F}"/>
    <cellStyle name="Accent5 92 4" xfId="33862" xr:uid="{4198120F-A9C9-4DC5-BF13-8477909916CE}"/>
    <cellStyle name="Accent5 93" xfId="6767" xr:uid="{00000000-0005-0000-0000-00006F1A0000}"/>
    <cellStyle name="Accent5 93 2" xfId="6768" xr:uid="{00000000-0005-0000-0000-0000701A0000}"/>
    <cellStyle name="Accent5 93 2 2" xfId="6769" xr:uid="{00000000-0005-0000-0000-0000711A0000}"/>
    <cellStyle name="Accent5 93 2 2 2" xfId="33868" xr:uid="{943B35E1-FE6D-446A-A3DE-798017B13905}"/>
    <cellStyle name="Accent5 93 2 3" xfId="33867" xr:uid="{4F96ED54-CE9B-4AEB-A4A9-E9741BE690AB}"/>
    <cellStyle name="Accent5 93 3" xfId="6770" xr:uid="{00000000-0005-0000-0000-0000721A0000}"/>
    <cellStyle name="Accent5 93 3 2" xfId="33869" xr:uid="{8B521A79-FE17-420E-A75B-A8895962DC44}"/>
    <cellStyle name="Accent5 93 4" xfId="33866" xr:uid="{422B26C8-8C1E-4BCB-B340-668499B1CF2D}"/>
    <cellStyle name="Accent5 94" xfId="6771" xr:uid="{00000000-0005-0000-0000-0000731A0000}"/>
    <cellStyle name="Accent5 94 2" xfId="6772" xr:uid="{00000000-0005-0000-0000-0000741A0000}"/>
    <cellStyle name="Accent5 94 2 2" xfId="6773" xr:uid="{00000000-0005-0000-0000-0000751A0000}"/>
    <cellStyle name="Accent5 94 2 2 2" xfId="33872" xr:uid="{E341C228-59AC-4AE0-916D-C893E8D91242}"/>
    <cellStyle name="Accent5 94 2 3" xfId="33871" xr:uid="{2E91727A-7FFA-4CA5-8215-0A6092C5B08F}"/>
    <cellStyle name="Accent5 94 3" xfId="6774" xr:uid="{00000000-0005-0000-0000-0000761A0000}"/>
    <cellStyle name="Accent5 94 3 2" xfId="33873" xr:uid="{68DAED97-3710-4AB4-811E-6FB0EC5A92D1}"/>
    <cellStyle name="Accent5 94 4" xfId="33870" xr:uid="{E096DB66-86CF-413E-ACA7-C6D688B75F2D}"/>
    <cellStyle name="Accent5 95" xfId="6775" xr:uid="{00000000-0005-0000-0000-0000771A0000}"/>
    <cellStyle name="Accent5 95 2" xfId="6776" xr:uid="{00000000-0005-0000-0000-0000781A0000}"/>
    <cellStyle name="Accent5 95 2 2" xfId="6777" xr:uid="{00000000-0005-0000-0000-0000791A0000}"/>
    <cellStyle name="Accent5 95 2 2 2" xfId="33876" xr:uid="{614D18CD-814C-48F9-98B7-D6EC635105E2}"/>
    <cellStyle name="Accent5 95 2 3" xfId="33875" xr:uid="{E6020C17-3C75-4CA9-B00A-7A8828DABD44}"/>
    <cellStyle name="Accent5 95 3" xfId="6778" xr:uid="{00000000-0005-0000-0000-00007A1A0000}"/>
    <cellStyle name="Accent5 95 3 2" xfId="33877" xr:uid="{898EB142-21D7-425A-94ED-EF3BB11D15CE}"/>
    <cellStyle name="Accent5 95 4" xfId="33874" xr:uid="{153224CB-0432-4F1A-84DF-C6DEF6DFCBB0}"/>
    <cellStyle name="Accent5 96" xfId="6779" xr:uid="{00000000-0005-0000-0000-00007B1A0000}"/>
    <cellStyle name="Accent5 96 2" xfId="6780" xr:uid="{00000000-0005-0000-0000-00007C1A0000}"/>
    <cellStyle name="Accent5 96 2 2" xfId="6781" xr:uid="{00000000-0005-0000-0000-00007D1A0000}"/>
    <cellStyle name="Accent5 96 2 2 2" xfId="33880" xr:uid="{1F9D6EF2-B986-4C2A-AD52-06BD5EA53BD5}"/>
    <cellStyle name="Accent5 96 2 3" xfId="33879" xr:uid="{2527D00E-4BD6-4269-BC6E-75A7A61F275A}"/>
    <cellStyle name="Accent5 96 3" xfId="6782" xr:uid="{00000000-0005-0000-0000-00007E1A0000}"/>
    <cellStyle name="Accent5 96 3 2" xfId="33881" xr:uid="{1C19179F-08E3-4E5C-A695-3B78BCD59E48}"/>
    <cellStyle name="Accent5 96 4" xfId="33878" xr:uid="{24F20C57-A387-4539-B240-10113532FEE9}"/>
    <cellStyle name="Accent5 97" xfId="6783" xr:uid="{00000000-0005-0000-0000-00007F1A0000}"/>
    <cellStyle name="Accent5 97 2" xfId="6784" xr:uid="{00000000-0005-0000-0000-0000801A0000}"/>
    <cellStyle name="Accent5 97 2 2" xfId="6785" xr:uid="{00000000-0005-0000-0000-0000811A0000}"/>
    <cellStyle name="Accent5 97 2 2 2" xfId="33884" xr:uid="{6D3CC727-504D-4242-8D22-8B5AF04D653E}"/>
    <cellStyle name="Accent5 97 2 3" xfId="33883" xr:uid="{18E45D72-4544-4F8F-BC14-FC5FE99BE00D}"/>
    <cellStyle name="Accent5 97 3" xfId="6786" xr:uid="{00000000-0005-0000-0000-0000821A0000}"/>
    <cellStyle name="Accent5 97 3 2" xfId="33885" xr:uid="{8F467BA1-B665-4C44-81F6-BBC21B45C924}"/>
    <cellStyle name="Accent5 97 4" xfId="33882" xr:uid="{B72DBBDD-0F4B-41F6-A94B-0FB697FE3668}"/>
    <cellStyle name="Accent5 98" xfId="6787" xr:uid="{00000000-0005-0000-0000-0000831A0000}"/>
    <cellStyle name="Accent5 98 2" xfId="6788" xr:uid="{00000000-0005-0000-0000-0000841A0000}"/>
    <cellStyle name="Accent5 98 2 2" xfId="6789" xr:uid="{00000000-0005-0000-0000-0000851A0000}"/>
    <cellStyle name="Accent5 98 2 2 2" xfId="33888" xr:uid="{4560D588-B862-413F-9CB4-69FAEEB2029A}"/>
    <cellStyle name="Accent5 98 2 3" xfId="33887" xr:uid="{324E4CC5-59FB-497A-86E4-516520F6D915}"/>
    <cellStyle name="Accent5 98 3" xfId="6790" xr:uid="{00000000-0005-0000-0000-0000861A0000}"/>
    <cellStyle name="Accent5 98 3 2" xfId="33889" xr:uid="{C5055E99-C231-4951-9BE2-6D1E02268152}"/>
    <cellStyle name="Accent5 98 4" xfId="33886" xr:uid="{5A3EDE11-11E0-4438-8904-D9F165C2BB18}"/>
    <cellStyle name="Accent5 99" xfId="6791" xr:uid="{00000000-0005-0000-0000-0000871A0000}"/>
    <cellStyle name="Accent5 99 2" xfId="6792" xr:uid="{00000000-0005-0000-0000-0000881A0000}"/>
    <cellStyle name="Accent5 99 2 2" xfId="6793" xr:uid="{00000000-0005-0000-0000-0000891A0000}"/>
    <cellStyle name="Accent5 99 2 2 2" xfId="33892" xr:uid="{BFB36D3B-06DD-4D31-8E64-261DE6DB955E}"/>
    <cellStyle name="Accent5 99 2 3" xfId="33891" xr:uid="{00783C96-4C4A-43A7-9EEF-9566F12CFDAD}"/>
    <cellStyle name="Accent5 99 3" xfId="6794" xr:uid="{00000000-0005-0000-0000-00008A1A0000}"/>
    <cellStyle name="Accent5 99 3 2" xfId="33893" xr:uid="{AC2923D2-D274-4713-A76D-BFC46BBE872B}"/>
    <cellStyle name="Accent5 99 4" xfId="33890" xr:uid="{C6451897-E51A-47AF-A912-5B46D061E140}"/>
    <cellStyle name="Accent6 - 20%" xfId="6795" xr:uid="{00000000-0005-0000-0000-00008B1A0000}"/>
    <cellStyle name="Accent6 - 20% 2" xfId="6796" xr:uid="{00000000-0005-0000-0000-00008C1A0000}"/>
    <cellStyle name="Accent6 - 20% 2 2" xfId="6797" xr:uid="{00000000-0005-0000-0000-00008D1A0000}"/>
    <cellStyle name="Accent6 - 20% 2 2 2" xfId="6798" xr:uid="{00000000-0005-0000-0000-00008E1A0000}"/>
    <cellStyle name="Accent6 - 20% 2 2 2 2" xfId="6799" xr:uid="{00000000-0005-0000-0000-00008F1A0000}"/>
    <cellStyle name="Accent6 - 20% 2 2 3" xfId="6800" xr:uid="{00000000-0005-0000-0000-0000901A0000}"/>
    <cellStyle name="Accent6 - 20% 2 3" xfId="6801" xr:uid="{00000000-0005-0000-0000-0000911A0000}"/>
    <cellStyle name="Accent6 - 20% 2 3 2" xfId="6802" xr:uid="{00000000-0005-0000-0000-0000921A0000}"/>
    <cellStyle name="Accent6 - 20% 2 3 2 2" xfId="6803" xr:uid="{00000000-0005-0000-0000-0000931A0000}"/>
    <cellStyle name="Accent6 - 20% 2 3 2 2 2" xfId="6804" xr:uid="{00000000-0005-0000-0000-0000941A0000}"/>
    <cellStyle name="Accent6 - 20% 2 3 2 3" xfId="6805" xr:uid="{00000000-0005-0000-0000-0000951A0000}"/>
    <cellStyle name="Accent6 - 20% 2 3 3" xfId="6806" xr:uid="{00000000-0005-0000-0000-0000961A0000}"/>
    <cellStyle name="Accent6 - 20% 2 3 3 2" xfId="6807" xr:uid="{00000000-0005-0000-0000-0000971A0000}"/>
    <cellStyle name="Accent6 - 20% 2 3 4" xfId="6808" xr:uid="{00000000-0005-0000-0000-0000981A0000}"/>
    <cellStyle name="Accent6 - 20% 2 4" xfId="6809" xr:uid="{00000000-0005-0000-0000-0000991A0000}"/>
    <cellStyle name="Accent6 - 20% 2 4 2" xfId="6810" xr:uid="{00000000-0005-0000-0000-00009A1A0000}"/>
    <cellStyle name="Accent6 - 20% 2 5" xfId="6811" xr:uid="{00000000-0005-0000-0000-00009B1A0000}"/>
    <cellStyle name="Accent6 - 20% 2 5 2" xfId="6812" xr:uid="{00000000-0005-0000-0000-00009C1A0000}"/>
    <cellStyle name="Accent6 - 20% 2 6" xfId="6813" xr:uid="{00000000-0005-0000-0000-00009D1A0000}"/>
    <cellStyle name="Accent6 - 20% 3" xfId="6814" xr:uid="{00000000-0005-0000-0000-00009E1A0000}"/>
    <cellStyle name="Accent6 - 20% 3 2" xfId="6815" xr:uid="{00000000-0005-0000-0000-00009F1A0000}"/>
    <cellStyle name="Accent6 - 20% 3 2 2" xfId="6816" xr:uid="{00000000-0005-0000-0000-0000A01A0000}"/>
    <cellStyle name="Accent6 - 20% 3 2 2 2" xfId="6817" xr:uid="{00000000-0005-0000-0000-0000A11A0000}"/>
    <cellStyle name="Accent6 - 20% 3 2 3" xfId="6818" xr:uid="{00000000-0005-0000-0000-0000A21A0000}"/>
    <cellStyle name="Accent6 - 20% 3 3" xfId="6819" xr:uid="{00000000-0005-0000-0000-0000A31A0000}"/>
    <cellStyle name="Accent6 - 20% 3 3 2" xfId="6820" xr:uid="{00000000-0005-0000-0000-0000A41A0000}"/>
    <cellStyle name="Accent6 - 20% 3 4" xfId="6821" xr:uid="{00000000-0005-0000-0000-0000A51A0000}"/>
    <cellStyle name="Accent6 - 20% 4" xfId="6822" xr:uid="{00000000-0005-0000-0000-0000A61A0000}"/>
    <cellStyle name="Accent6 - 20% 4 2" xfId="6823" xr:uid="{00000000-0005-0000-0000-0000A71A0000}"/>
    <cellStyle name="Accent6 - 20% 4 2 2" xfId="6824" xr:uid="{00000000-0005-0000-0000-0000A81A0000}"/>
    <cellStyle name="Accent6 - 20% 4 3" xfId="6825" xr:uid="{00000000-0005-0000-0000-0000A91A0000}"/>
    <cellStyle name="Accent6 - 20% 5" xfId="6826" xr:uid="{00000000-0005-0000-0000-0000AA1A0000}"/>
    <cellStyle name="Accent6 - 20% 5 2" xfId="6827" xr:uid="{00000000-0005-0000-0000-0000AB1A0000}"/>
    <cellStyle name="Accent6 - 20% 6" xfId="6828" xr:uid="{00000000-0005-0000-0000-0000AC1A0000}"/>
    <cellStyle name="Accent6 - 20% 6 2" xfId="6829" xr:uid="{00000000-0005-0000-0000-0000AD1A0000}"/>
    <cellStyle name="Accent6 - 20% 7" xfId="6830" xr:uid="{00000000-0005-0000-0000-0000AE1A0000}"/>
    <cellStyle name="Accent6 - 20% 8" xfId="6831" xr:uid="{00000000-0005-0000-0000-0000AF1A0000}"/>
    <cellStyle name="Accent6 - 40%" xfId="6832" xr:uid="{00000000-0005-0000-0000-0000B01A0000}"/>
    <cellStyle name="Accent6 - 40% 10" xfId="6833" xr:uid="{00000000-0005-0000-0000-0000B11A0000}"/>
    <cellStyle name="Accent6 - 40% 11" xfId="6834" xr:uid="{00000000-0005-0000-0000-0000B21A0000}"/>
    <cellStyle name="Accent6 - 40% 2" xfId="6835" xr:uid="{00000000-0005-0000-0000-0000B31A0000}"/>
    <cellStyle name="Accent6 - 40% 2 2" xfId="6836" xr:uid="{00000000-0005-0000-0000-0000B41A0000}"/>
    <cellStyle name="Accent6 - 40% 2 2 2" xfId="6837" xr:uid="{00000000-0005-0000-0000-0000B51A0000}"/>
    <cellStyle name="Accent6 - 40% 2 2 2 2" xfId="6838" xr:uid="{00000000-0005-0000-0000-0000B61A0000}"/>
    <cellStyle name="Accent6 - 40% 2 2 3" xfId="6839" xr:uid="{00000000-0005-0000-0000-0000B71A0000}"/>
    <cellStyle name="Accent6 - 40% 2 3" xfId="6840" xr:uid="{00000000-0005-0000-0000-0000B81A0000}"/>
    <cellStyle name="Accent6 - 40% 2 3 2" xfId="6841" xr:uid="{00000000-0005-0000-0000-0000B91A0000}"/>
    <cellStyle name="Accent6 - 40% 2 3 2 2" xfId="6842" xr:uid="{00000000-0005-0000-0000-0000BA1A0000}"/>
    <cellStyle name="Accent6 - 40% 2 3 2 2 2" xfId="6843" xr:uid="{00000000-0005-0000-0000-0000BB1A0000}"/>
    <cellStyle name="Accent6 - 40% 2 3 2 3" xfId="6844" xr:uid="{00000000-0005-0000-0000-0000BC1A0000}"/>
    <cellStyle name="Accent6 - 40% 2 3 3" xfId="6845" xr:uid="{00000000-0005-0000-0000-0000BD1A0000}"/>
    <cellStyle name="Accent6 - 40% 2 3 3 2" xfId="6846" xr:uid="{00000000-0005-0000-0000-0000BE1A0000}"/>
    <cellStyle name="Accent6 - 40% 2 3 4" xfId="6847" xr:uid="{00000000-0005-0000-0000-0000BF1A0000}"/>
    <cellStyle name="Accent6 - 40% 2 4" xfId="6848" xr:uid="{00000000-0005-0000-0000-0000C01A0000}"/>
    <cellStyle name="Accent6 - 40% 2 4 2" xfId="6849" xr:uid="{00000000-0005-0000-0000-0000C11A0000}"/>
    <cellStyle name="Accent6 - 40% 2 4 2 2" xfId="6850" xr:uid="{00000000-0005-0000-0000-0000C21A0000}"/>
    <cellStyle name="Accent6 - 40% 2 4 2 2 2" xfId="6851" xr:uid="{00000000-0005-0000-0000-0000C31A0000}"/>
    <cellStyle name="Accent6 - 40% 2 4 2 3" xfId="6852" xr:uid="{00000000-0005-0000-0000-0000C41A0000}"/>
    <cellStyle name="Accent6 - 40% 2 4 3" xfId="6853" xr:uid="{00000000-0005-0000-0000-0000C51A0000}"/>
    <cellStyle name="Accent6 - 40% 2 4 3 2" xfId="6854" xr:uid="{00000000-0005-0000-0000-0000C61A0000}"/>
    <cellStyle name="Accent6 - 40% 2 4 4" xfId="6855" xr:uid="{00000000-0005-0000-0000-0000C71A0000}"/>
    <cellStyle name="Accent6 - 40% 2 5" xfId="6856" xr:uid="{00000000-0005-0000-0000-0000C81A0000}"/>
    <cellStyle name="Accent6 - 40% 2 5 2" xfId="6857" xr:uid="{00000000-0005-0000-0000-0000C91A0000}"/>
    <cellStyle name="Accent6 - 40% 2 6" xfId="6858" xr:uid="{00000000-0005-0000-0000-0000CA1A0000}"/>
    <cellStyle name="Accent6 - 40% 2 6 2" xfId="6859" xr:uid="{00000000-0005-0000-0000-0000CB1A0000}"/>
    <cellStyle name="Accent6 - 40% 2 7" xfId="6860" xr:uid="{00000000-0005-0000-0000-0000CC1A0000}"/>
    <cellStyle name="Accent6 - 40% 3" xfId="6861" xr:uid="{00000000-0005-0000-0000-0000CD1A0000}"/>
    <cellStyle name="Accent6 - 40% 3 2" xfId="6862" xr:uid="{00000000-0005-0000-0000-0000CE1A0000}"/>
    <cellStyle name="Accent6 - 40% 3 2 2" xfId="6863" xr:uid="{00000000-0005-0000-0000-0000CF1A0000}"/>
    <cellStyle name="Accent6 - 40% 3 2 2 2" xfId="6864" xr:uid="{00000000-0005-0000-0000-0000D01A0000}"/>
    <cellStyle name="Accent6 - 40% 3 2 3" xfId="6865" xr:uid="{00000000-0005-0000-0000-0000D11A0000}"/>
    <cellStyle name="Accent6 - 40% 3 3" xfId="6866" xr:uid="{00000000-0005-0000-0000-0000D21A0000}"/>
    <cellStyle name="Accent6 - 40% 3 3 2" xfId="6867" xr:uid="{00000000-0005-0000-0000-0000D31A0000}"/>
    <cellStyle name="Accent6 - 40% 3 4" xfId="6868" xr:uid="{00000000-0005-0000-0000-0000D41A0000}"/>
    <cellStyle name="Accent6 - 40% 4" xfId="6869" xr:uid="{00000000-0005-0000-0000-0000D51A0000}"/>
    <cellStyle name="Accent6 - 40% 4 2" xfId="6870" xr:uid="{00000000-0005-0000-0000-0000D61A0000}"/>
    <cellStyle name="Accent6 - 40% 4 2 2" xfId="6871" xr:uid="{00000000-0005-0000-0000-0000D71A0000}"/>
    <cellStyle name="Accent6 - 40% 4 3" xfId="6872" xr:uid="{00000000-0005-0000-0000-0000D81A0000}"/>
    <cellStyle name="Accent6 - 40% 5" xfId="6873" xr:uid="{00000000-0005-0000-0000-0000D91A0000}"/>
    <cellStyle name="Accent6 - 40% 5 2" xfId="6874" xr:uid="{00000000-0005-0000-0000-0000DA1A0000}"/>
    <cellStyle name="Accent6 - 40% 5 2 2" xfId="6875" xr:uid="{00000000-0005-0000-0000-0000DB1A0000}"/>
    <cellStyle name="Accent6 - 40% 5 3" xfId="6876" xr:uid="{00000000-0005-0000-0000-0000DC1A0000}"/>
    <cellStyle name="Accent6 - 40% 6" xfId="6877" xr:uid="{00000000-0005-0000-0000-0000DD1A0000}"/>
    <cellStyle name="Accent6 - 40% 6 2" xfId="6878" xr:uid="{00000000-0005-0000-0000-0000DE1A0000}"/>
    <cellStyle name="Accent6 - 40% 7" xfId="6879" xr:uid="{00000000-0005-0000-0000-0000DF1A0000}"/>
    <cellStyle name="Accent6 - 40% 7 2" xfId="6880" xr:uid="{00000000-0005-0000-0000-0000E01A0000}"/>
    <cellStyle name="Accent6 - 40% 8" xfId="6881" xr:uid="{00000000-0005-0000-0000-0000E11A0000}"/>
    <cellStyle name="Accent6 - 40% 8 2" xfId="6882" xr:uid="{00000000-0005-0000-0000-0000E21A0000}"/>
    <cellStyle name="Accent6 - 40% 9" xfId="6883" xr:uid="{00000000-0005-0000-0000-0000E31A0000}"/>
    <cellStyle name="Accent6 - 40% 9 2" xfId="6884" xr:uid="{00000000-0005-0000-0000-0000E41A0000}"/>
    <cellStyle name="Accent6 - 60%" xfId="6885" xr:uid="{00000000-0005-0000-0000-0000E51A0000}"/>
    <cellStyle name="Accent6 - 60% 10" xfId="6886" xr:uid="{00000000-0005-0000-0000-0000E61A0000}"/>
    <cellStyle name="Accent6 - 60% 2" xfId="6887" xr:uid="{00000000-0005-0000-0000-0000E71A0000}"/>
    <cellStyle name="Accent6 - 60% 2 2" xfId="6888" xr:uid="{00000000-0005-0000-0000-0000E81A0000}"/>
    <cellStyle name="Accent6 - 60% 2 2 2" xfId="6889" xr:uid="{00000000-0005-0000-0000-0000E91A0000}"/>
    <cellStyle name="Accent6 - 60% 2 3" xfId="6890" xr:uid="{00000000-0005-0000-0000-0000EA1A0000}"/>
    <cellStyle name="Accent6 - 60% 2 3 2" xfId="6891" xr:uid="{00000000-0005-0000-0000-0000EB1A0000}"/>
    <cellStyle name="Accent6 - 60% 2 3 2 2" xfId="6892" xr:uid="{00000000-0005-0000-0000-0000EC1A0000}"/>
    <cellStyle name="Accent6 - 60% 2 3 3" xfId="6893" xr:uid="{00000000-0005-0000-0000-0000ED1A0000}"/>
    <cellStyle name="Accent6 - 60% 2 4" xfId="6894" xr:uid="{00000000-0005-0000-0000-0000EE1A0000}"/>
    <cellStyle name="Accent6 - 60% 2 4 2" xfId="6895" xr:uid="{00000000-0005-0000-0000-0000EF1A0000}"/>
    <cellStyle name="Accent6 - 60% 2 4 2 2" xfId="6896" xr:uid="{00000000-0005-0000-0000-0000F01A0000}"/>
    <cellStyle name="Accent6 - 60% 2 4 3" xfId="6897" xr:uid="{00000000-0005-0000-0000-0000F11A0000}"/>
    <cellStyle name="Accent6 - 60% 2 5" xfId="6898" xr:uid="{00000000-0005-0000-0000-0000F21A0000}"/>
    <cellStyle name="Accent6 - 60% 3" xfId="6899" xr:uid="{00000000-0005-0000-0000-0000F31A0000}"/>
    <cellStyle name="Accent6 - 60% 3 2" xfId="6900" xr:uid="{00000000-0005-0000-0000-0000F41A0000}"/>
    <cellStyle name="Accent6 - 60% 3 2 2" xfId="6901" xr:uid="{00000000-0005-0000-0000-0000F51A0000}"/>
    <cellStyle name="Accent6 - 60% 3 3" xfId="6902" xr:uid="{00000000-0005-0000-0000-0000F61A0000}"/>
    <cellStyle name="Accent6 - 60% 4" xfId="6903" xr:uid="{00000000-0005-0000-0000-0000F71A0000}"/>
    <cellStyle name="Accent6 - 60% 4 2" xfId="6904" xr:uid="{00000000-0005-0000-0000-0000F81A0000}"/>
    <cellStyle name="Accent6 - 60% 5" xfId="6905" xr:uid="{00000000-0005-0000-0000-0000F91A0000}"/>
    <cellStyle name="Accent6 - 60% 5 2" xfId="6906" xr:uid="{00000000-0005-0000-0000-0000FA1A0000}"/>
    <cellStyle name="Accent6 - 60% 6" xfId="6907" xr:uid="{00000000-0005-0000-0000-0000FB1A0000}"/>
    <cellStyle name="Accent6 - 60% 6 2" xfId="6908" xr:uid="{00000000-0005-0000-0000-0000FC1A0000}"/>
    <cellStyle name="Accent6 - 60% 6 2 2" xfId="6909" xr:uid="{00000000-0005-0000-0000-0000FD1A0000}"/>
    <cellStyle name="Accent6 - 60% 6 3" xfId="6910" xr:uid="{00000000-0005-0000-0000-0000FE1A0000}"/>
    <cellStyle name="Accent6 - 60% 7" xfId="6911" xr:uid="{00000000-0005-0000-0000-0000FF1A0000}"/>
    <cellStyle name="Accent6 - 60% 7 2" xfId="6912" xr:uid="{00000000-0005-0000-0000-0000001B0000}"/>
    <cellStyle name="Accent6 - 60% 8" xfId="6913" xr:uid="{00000000-0005-0000-0000-0000011B0000}"/>
    <cellStyle name="Accent6 - 60% 8 2" xfId="6914" xr:uid="{00000000-0005-0000-0000-0000021B0000}"/>
    <cellStyle name="Accent6 - 60% 9" xfId="6915" xr:uid="{00000000-0005-0000-0000-0000031B0000}"/>
    <cellStyle name="Accent6 10" xfId="6916" xr:uid="{00000000-0005-0000-0000-0000041B0000}"/>
    <cellStyle name="Accent6 10 2" xfId="6917" xr:uid="{00000000-0005-0000-0000-0000051B0000}"/>
    <cellStyle name="Accent6 10 2 2" xfId="6918" xr:uid="{00000000-0005-0000-0000-0000061B0000}"/>
    <cellStyle name="Accent6 10 3" xfId="6919" xr:uid="{00000000-0005-0000-0000-0000071B0000}"/>
    <cellStyle name="Accent6 100" xfId="6920" xr:uid="{00000000-0005-0000-0000-0000081B0000}"/>
    <cellStyle name="Accent6 100 2" xfId="6921" xr:uid="{00000000-0005-0000-0000-0000091B0000}"/>
    <cellStyle name="Accent6 100 2 2" xfId="6922" xr:uid="{00000000-0005-0000-0000-00000A1B0000}"/>
    <cellStyle name="Accent6 100 2 2 2" xfId="33896" xr:uid="{50D99A22-CBB0-486F-9BF1-30F8FA9C21E9}"/>
    <cellStyle name="Accent6 100 2 3" xfId="33895" xr:uid="{55FDAE80-CD7B-4033-8475-D981E077A599}"/>
    <cellStyle name="Accent6 100 3" xfId="6923" xr:uid="{00000000-0005-0000-0000-00000B1B0000}"/>
    <cellStyle name="Accent6 100 3 2" xfId="33897" xr:uid="{BBFD05CE-0B87-42C8-99F9-7B09E9461253}"/>
    <cellStyle name="Accent6 100 4" xfId="33894" xr:uid="{F47CFC11-7927-4D04-9A03-0554C74723BF}"/>
    <cellStyle name="Accent6 101" xfId="6924" xr:uid="{00000000-0005-0000-0000-00000C1B0000}"/>
    <cellStyle name="Accent6 101 2" xfId="6925" xr:uid="{00000000-0005-0000-0000-00000D1B0000}"/>
    <cellStyle name="Accent6 101 2 2" xfId="6926" xr:uid="{00000000-0005-0000-0000-00000E1B0000}"/>
    <cellStyle name="Accent6 101 2 2 2" xfId="33900" xr:uid="{2DF3D51E-30E2-4778-811F-A9F236916407}"/>
    <cellStyle name="Accent6 101 2 3" xfId="33899" xr:uid="{476288F4-332F-4A3C-9C7F-6CDEB0CA32E8}"/>
    <cellStyle name="Accent6 101 3" xfId="6927" xr:uid="{00000000-0005-0000-0000-00000F1B0000}"/>
    <cellStyle name="Accent6 101 3 2" xfId="33901" xr:uid="{459CDF54-BF2E-4607-B96F-A9CA2ED398FB}"/>
    <cellStyle name="Accent6 101 4" xfId="33898" xr:uid="{9ADD0C0A-E769-46A4-AFCF-D88F3A00B1DA}"/>
    <cellStyle name="Accent6 102" xfId="6928" xr:uid="{00000000-0005-0000-0000-0000101B0000}"/>
    <cellStyle name="Accent6 102 2" xfId="6929" xr:uid="{00000000-0005-0000-0000-0000111B0000}"/>
    <cellStyle name="Accent6 103" xfId="6930" xr:uid="{00000000-0005-0000-0000-0000121B0000}"/>
    <cellStyle name="Accent6 103 2" xfId="6931" xr:uid="{00000000-0005-0000-0000-0000131B0000}"/>
    <cellStyle name="Accent6 104" xfId="6932" xr:uid="{00000000-0005-0000-0000-0000141B0000}"/>
    <cellStyle name="Accent6 104 2" xfId="6933" xr:uid="{00000000-0005-0000-0000-0000151B0000}"/>
    <cellStyle name="Accent6 104 2 2" xfId="6934" xr:uid="{00000000-0005-0000-0000-0000161B0000}"/>
    <cellStyle name="Accent6 104 3" xfId="6935" xr:uid="{00000000-0005-0000-0000-0000171B0000}"/>
    <cellStyle name="Accent6 105" xfId="6936" xr:uid="{00000000-0005-0000-0000-0000181B0000}"/>
    <cellStyle name="Accent6 105 2" xfId="6937" xr:uid="{00000000-0005-0000-0000-0000191B0000}"/>
    <cellStyle name="Accent6 105 2 2" xfId="6938" xr:uid="{00000000-0005-0000-0000-00001A1B0000}"/>
    <cellStyle name="Accent6 105 2 2 2" xfId="33904" xr:uid="{245DCDD3-D526-4F7F-AF4E-C3EF981D661A}"/>
    <cellStyle name="Accent6 105 2 3" xfId="33903" xr:uid="{EA563895-9E6E-4715-8764-B2EFBF317CAB}"/>
    <cellStyle name="Accent6 105 3" xfId="6939" xr:uid="{00000000-0005-0000-0000-00001B1B0000}"/>
    <cellStyle name="Accent6 105 3 2" xfId="33905" xr:uid="{73F683CB-67C6-4455-B4ED-B5854B84B2BF}"/>
    <cellStyle name="Accent6 105 4" xfId="33902" xr:uid="{D3F6A9E5-926E-410F-B34D-7660D8A761B0}"/>
    <cellStyle name="Accent6 106" xfId="6940" xr:uid="{00000000-0005-0000-0000-00001C1B0000}"/>
    <cellStyle name="Accent6 106 2" xfId="6941" xr:uid="{00000000-0005-0000-0000-00001D1B0000}"/>
    <cellStyle name="Accent6 106 2 2" xfId="6942" xr:uid="{00000000-0005-0000-0000-00001E1B0000}"/>
    <cellStyle name="Accent6 106 2 2 2" xfId="33908" xr:uid="{7FC94BE4-ED17-4C7D-ABBD-DA1C15AB6DBA}"/>
    <cellStyle name="Accent6 106 2 3" xfId="33907" xr:uid="{782506F1-2D13-401B-9693-B3BDFC434A93}"/>
    <cellStyle name="Accent6 106 3" xfId="6943" xr:uid="{00000000-0005-0000-0000-00001F1B0000}"/>
    <cellStyle name="Accent6 106 3 2" xfId="33909" xr:uid="{89A232A4-493B-4338-ABB0-A264C928FF30}"/>
    <cellStyle name="Accent6 106 4" xfId="33906" xr:uid="{8BC8E629-DF85-4305-9E56-B35F0B62F50E}"/>
    <cellStyle name="Accent6 107" xfId="6944" xr:uid="{00000000-0005-0000-0000-0000201B0000}"/>
    <cellStyle name="Accent6 107 2" xfId="6945" xr:uid="{00000000-0005-0000-0000-0000211B0000}"/>
    <cellStyle name="Accent6 107 2 2" xfId="6946" xr:uid="{00000000-0005-0000-0000-0000221B0000}"/>
    <cellStyle name="Accent6 107 2 2 2" xfId="33912" xr:uid="{3CB34CC7-6C13-4090-A8F2-1CA39C2FFB6F}"/>
    <cellStyle name="Accent6 107 2 3" xfId="33911" xr:uid="{A864313F-902C-451A-A2D0-416445001EBA}"/>
    <cellStyle name="Accent6 107 3" xfId="6947" xr:uid="{00000000-0005-0000-0000-0000231B0000}"/>
    <cellStyle name="Accent6 107 3 2" xfId="33913" xr:uid="{5558B6F3-406F-4421-B5D2-DF2361B474C4}"/>
    <cellStyle name="Accent6 107 4" xfId="33910" xr:uid="{9CF18EE5-DFF3-4618-9EF2-F8519D69B742}"/>
    <cellStyle name="Accent6 108" xfId="6948" xr:uid="{00000000-0005-0000-0000-0000241B0000}"/>
    <cellStyle name="Accent6 108 2" xfId="6949" xr:uid="{00000000-0005-0000-0000-0000251B0000}"/>
    <cellStyle name="Accent6 108 2 2" xfId="6950" xr:uid="{00000000-0005-0000-0000-0000261B0000}"/>
    <cellStyle name="Accent6 108 3" xfId="6951" xr:uid="{00000000-0005-0000-0000-0000271B0000}"/>
    <cellStyle name="Accent6 109" xfId="6952" xr:uid="{00000000-0005-0000-0000-0000281B0000}"/>
    <cellStyle name="Accent6 109 2" xfId="6953" xr:uid="{00000000-0005-0000-0000-0000291B0000}"/>
    <cellStyle name="Accent6 109 2 2" xfId="6954" xr:uid="{00000000-0005-0000-0000-00002A1B0000}"/>
    <cellStyle name="Accent6 109 3" xfId="6955" xr:uid="{00000000-0005-0000-0000-00002B1B0000}"/>
    <cellStyle name="Accent6 11" xfId="6956" xr:uid="{00000000-0005-0000-0000-00002C1B0000}"/>
    <cellStyle name="Accent6 11 2" xfId="6957" xr:uid="{00000000-0005-0000-0000-00002D1B0000}"/>
    <cellStyle name="Accent6 11 2 2" xfId="6958" xr:uid="{00000000-0005-0000-0000-00002E1B0000}"/>
    <cellStyle name="Accent6 11 3" xfId="6959" xr:uid="{00000000-0005-0000-0000-00002F1B0000}"/>
    <cellStyle name="Accent6 110" xfId="6960" xr:uid="{00000000-0005-0000-0000-0000301B0000}"/>
    <cellStyle name="Accent6 110 2" xfId="6961" xr:uid="{00000000-0005-0000-0000-0000311B0000}"/>
    <cellStyle name="Accent6 110 2 2" xfId="6962" xr:uid="{00000000-0005-0000-0000-0000321B0000}"/>
    <cellStyle name="Accent6 110 3" xfId="6963" xr:uid="{00000000-0005-0000-0000-0000331B0000}"/>
    <cellStyle name="Accent6 111" xfId="6964" xr:uid="{00000000-0005-0000-0000-0000341B0000}"/>
    <cellStyle name="Accent6 111 2" xfId="6965" xr:uid="{00000000-0005-0000-0000-0000351B0000}"/>
    <cellStyle name="Accent6 111 2 2" xfId="6966" xr:uid="{00000000-0005-0000-0000-0000361B0000}"/>
    <cellStyle name="Accent6 111 3" xfId="6967" xr:uid="{00000000-0005-0000-0000-0000371B0000}"/>
    <cellStyle name="Accent6 112" xfId="6968" xr:uid="{00000000-0005-0000-0000-0000381B0000}"/>
    <cellStyle name="Accent6 112 2" xfId="6969" xr:uid="{00000000-0005-0000-0000-0000391B0000}"/>
    <cellStyle name="Accent6 112 2 2" xfId="6970" xr:uid="{00000000-0005-0000-0000-00003A1B0000}"/>
    <cellStyle name="Accent6 112 3" xfId="6971" xr:uid="{00000000-0005-0000-0000-00003B1B0000}"/>
    <cellStyle name="Accent6 113" xfId="6972" xr:uid="{00000000-0005-0000-0000-00003C1B0000}"/>
    <cellStyle name="Accent6 113 2" xfId="6973" xr:uid="{00000000-0005-0000-0000-00003D1B0000}"/>
    <cellStyle name="Accent6 113 2 2" xfId="6974" xr:uid="{00000000-0005-0000-0000-00003E1B0000}"/>
    <cellStyle name="Accent6 113 3" xfId="6975" xr:uid="{00000000-0005-0000-0000-00003F1B0000}"/>
    <cellStyle name="Accent6 114" xfId="6976" xr:uid="{00000000-0005-0000-0000-0000401B0000}"/>
    <cellStyle name="Accent6 114 2" xfId="6977" xr:uid="{00000000-0005-0000-0000-0000411B0000}"/>
    <cellStyle name="Accent6 115" xfId="6978" xr:uid="{00000000-0005-0000-0000-0000421B0000}"/>
    <cellStyle name="Accent6 115 2" xfId="6979" xr:uid="{00000000-0005-0000-0000-0000431B0000}"/>
    <cellStyle name="Accent6 116" xfId="6980" xr:uid="{00000000-0005-0000-0000-0000441B0000}"/>
    <cellStyle name="Accent6 116 2" xfId="6981" xr:uid="{00000000-0005-0000-0000-0000451B0000}"/>
    <cellStyle name="Accent6 117" xfId="6982" xr:uid="{00000000-0005-0000-0000-0000461B0000}"/>
    <cellStyle name="Accent6 117 2" xfId="6983" xr:uid="{00000000-0005-0000-0000-0000471B0000}"/>
    <cellStyle name="Accent6 118" xfId="6984" xr:uid="{00000000-0005-0000-0000-0000481B0000}"/>
    <cellStyle name="Accent6 118 2" xfId="6985" xr:uid="{00000000-0005-0000-0000-0000491B0000}"/>
    <cellStyle name="Accent6 119" xfId="6986" xr:uid="{00000000-0005-0000-0000-00004A1B0000}"/>
    <cellStyle name="Accent6 119 2" xfId="6987" xr:uid="{00000000-0005-0000-0000-00004B1B0000}"/>
    <cellStyle name="Accent6 12" xfId="6988" xr:uid="{00000000-0005-0000-0000-00004C1B0000}"/>
    <cellStyle name="Accent6 12 2" xfId="6989" xr:uid="{00000000-0005-0000-0000-00004D1B0000}"/>
    <cellStyle name="Accent6 12 2 2" xfId="6990" xr:uid="{00000000-0005-0000-0000-00004E1B0000}"/>
    <cellStyle name="Accent6 12 3" xfId="6991" xr:uid="{00000000-0005-0000-0000-00004F1B0000}"/>
    <cellStyle name="Accent6 120" xfId="6992" xr:uid="{00000000-0005-0000-0000-0000501B0000}"/>
    <cellStyle name="Accent6 120 2" xfId="6993" xr:uid="{00000000-0005-0000-0000-0000511B0000}"/>
    <cellStyle name="Accent6 121" xfId="6994" xr:uid="{00000000-0005-0000-0000-0000521B0000}"/>
    <cellStyle name="Accent6 121 2" xfId="6995" xr:uid="{00000000-0005-0000-0000-0000531B0000}"/>
    <cellStyle name="Accent6 122" xfId="6996" xr:uid="{00000000-0005-0000-0000-0000541B0000}"/>
    <cellStyle name="Accent6 122 2" xfId="6997" xr:uid="{00000000-0005-0000-0000-0000551B0000}"/>
    <cellStyle name="Accent6 123" xfId="6998" xr:uid="{00000000-0005-0000-0000-0000561B0000}"/>
    <cellStyle name="Accent6 123 2" xfId="6999" xr:uid="{00000000-0005-0000-0000-0000571B0000}"/>
    <cellStyle name="Accent6 124" xfId="7000" xr:uid="{00000000-0005-0000-0000-0000581B0000}"/>
    <cellStyle name="Accent6 124 2" xfId="7001" xr:uid="{00000000-0005-0000-0000-0000591B0000}"/>
    <cellStyle name="Accent6 125" xfId="7002" xr:uid="{00000000-0005-0000-0000-00005A1B0000}"/>
    <cellStyle name="Accent6 125 2" xfId="7003" xr:uid="{00000000-0005-0000-0000-00005B1B0000}"/>
    <cellStyle name="Accent6 126" xfId="7004" xr:uid="{00000000-0005-0000-0000-00005C1B0000}"/>
    <cellStyle name="Accent6 127" xfId="7005" xr:uid="{00000000-0005-0000-0000-00005D1B0000}"/>
    <cellStyle name="Accent6 128" xfId="7006" xr:uid="{00000000-0005-0000-0000-00005E1B0000}"/>
    <cellStyle name="Accent6 129" xfId="7007" xr:uid="{00000000-0005-0000-0000-00005F1B0000}"/>
    <cellStyle name="Accent6 13" xfId="7008" xr:uid="{00000000-0005-0000-0000-0000601B0000}"/>
    <cellStyle name="Accent6 13 2" xfId="7009" xr:uid="{00000000-0005-0000-0000-0000611B0000}"/>
    <cellStyle name="Accent6 13 2 2" xfId="7010" xr:uid="{00000000-0005-0000-0000-0000621B0000}"/>
    <cellStyle name="Accent6 13 3" xfId="7011" xr:uid="{00000000-0005-0000-0000-0000631B0000}"/>
    <cellStyle name="Accent6 130" xfId="7012" xr:uid="{00000000-0005-0000-0000-0000641B0000}"/>
    <cellStyle name="Accent6 131" xfId="7013" xr:uid="{00000000-0005-0000-0000-0000651B0000}"/>
    <cellStyle name="Accent6 132" xfId="7014" xr:uid="{00000000-0005-0000-0000-0000661B0000}"/>
    <cellStyle name="Accent6 133" xfId="7015" xr:uid="{00000000-0005-0000-0000-0000671B0000}"/>
    <cellStyle name="Accent6 134" xfId="7016" xr:uid="{00000000-0005-0000-0000-0000681B0000}"/>
    <cellStyle name="Accent6 135" xfId="7017" xr:uid="{00000000-0005-0000-0000-0000691B0000}"/>
    <cellStyle name="Accent6 136" xfId="7018" xr:uid="{00000000-0005-0000-0000-00006A1B0000}"/>
    <cellStyle name="Accent6 137" xfId="7019" xr:uid="{00000000-0005-0000-0000-00006B1B0000}"/>
    <cellStyle name="Accent6 138" xfId="7020" xr:uid="{00000000-0005-0000-0000-00006C1B0000}"/>
    <cellStyle name="Accent6 139" xfId="7021" xr:uid="{00000000-0005-0000-0000-00006D1B0000}"/>
    <cellStyle name="Accent6 14" xfId="7022" xr:uid="{00000000-0005-0000-0000-00006E1B0000}"/>
    <cellStyle name="Accent6 14 2" xfId="7023" xr:uid="{00000000-0005-0000-0000-00006F1B0000}"/>
    <cellStyle name="Accent6 14 2 2" xfId="7024" xr:uid="{00000000-0005-0000-0000-0000701B0000}"/>
    <cellStyle name="Accent6 14 3" xfId="7025" xr:uid="{00000000-0005-0000-0000-0000711B0000}"/>
    <cellStyle name="Accent6 140" xfId="7026" xr:uid="{00000000-0005-0000-0000-0000721B0000}"/>
    <cellStyle name="Accent6 141" xfId="7027" xr:uid="{00000000-0005-0000-0000-0000731B0000}"/>
    <cellStyle name="Accent6 142" xfId="7028" xr:uid="{00000000-0005-0000-0000-0000741B0000}"/>
    <cellStyle name="Accent6 143" xfId="7029" xr:uid="{00000000-0005-0000-0000-0000751B0000}"/>
    <cellStyle name="Accent6 144" xfId="7030" xr:uid="{00000000-0005-0000-0000-0000761B0000}"/>
    <cellStyle name="Accent6 145" xfId="7031" xr:uid="{00000000-0005-0000-0000-0000771B0000}"/>
    <cellStyle name="Accent6 146" xfId="7032" xr:uid="{00000000-0005-0000-0000-0000781B0000}"/>
    <cellStyle name="Accent6 147" xfId="7033" xr:uid="{00000000-0005-0000-0000-0000791B0000}"/>
    <cellStyle name="Accent6 148" xfId="7034" xr:uid="{00000000-0005-0000-0000-00007A1B0000}"/>
    <cellStyle name="Accent6 149" xfId="7035" xr:uid="{00000000-0005-0000-0000-00007B1B0000}"/>
    <cellStyle name="Accent6 15" xfId="7036" xr:uid="{00000000-0005-0000-0000-00007C1B0000}"/>
    <cellStyle name="Accent6 15 2" xfId="7037" xr:uid="{00000000-0005-0000-0000-00007D1B0000}"/>
    <cellStyle name="Accent6 15 2 2" xfId="7038" xr:uid="{00000000-0005-0000-0000-00007E1B0000}"/>
    <cellStyle name="Accent6 15 3" xfId="7039" xr:uid="{00000000-0005-0000-0000-00007F1B0000}"/>
    <cellStyle name="Accent6 150" xfId="7040" xr:uid="{00000000-0005-0000-0000-0000801B0000}"/>
    <cellStyle name="Accent6 151" xfId="7041" xr:uid="{00000000-0005-0000-0000-0000811B0000}"/>
    <cellStyle name="Accent6 152" xfId="7042" xr:uid="{00000000-0005-0000-0000-0000821B0000}"/>
    <cellStyle name="Accent6 153" xfId="7043" xr:uid="{00000000-0005-0000-0000-0000831B0000}"/>
    <cellStyle name="Accent6 154" xfId="7044" xr:uid="{00000000-0005-0000-0000-0000841B0000}"/>
    <cellStyle name="Accent6 155" xfId="7045" xr:uid="{00000000-0005-0000-0000-0000851B0000}"/>
    <cellStyle name="Accent6 156" xfId="7046" xr:uid="{00000000-0005-0000-0000-0000861B0000}"/>
    <cellStyle name="Accent6 157" xfId="7047" xr:uid="{00000000-0005-0000-0000-0000871B0000}"/>
    <cellStyle name="Accent6 158" xfId="7048" xr:uid="{00000000-0005-0000-0000-0000881B0000}"/>
    <cellStyle name="Accent6 159" xfId="7049" xr:uid="{00000000-0005-0000-0000-0000891B0000}"/>
    <cellStyle name="Accent6 16" xfId="7050" xr:uid="{00000000-0005-0000-0000-00008A1B0000}"/>
    <cellStyle name="Accent6 16 2" xfId="7051" xr:uid="{00000000-0005-0000-0000-00008B1B0000}"/>
    <cellStyle name="Accent6 16 2 2" xfId="7052" xr:uid="{00000000-0005-0000-0000-00008C1B0000}"/>
    <cellStyle name="Accent6 16 3" xfId="7053" xr:uid="{00000000-0005-0000-0000-00008D1B0000}"/>
    <cellStyle name="Accent6 160" xfId="7054" xr:uid="{00000000-0005-0000-0000-00008E1B0000}"/>
    <cellStyle name="Accent6 161" xfId="7055" xr:uid="{00000000-0005-0000-0000-00008F1B0000}"/>
    <cellStyle name="Accent6 162" xfId="7056" xr:uid="{00000000-0005-0000-0000-0000901B0000}"/>
    <cellStyle name="Accent6 163" xfId="7057" xr:uid="{00000000-0005-0000-0000-0000911B0000}"/>
    <cellStyle name="Accent6 164" xfId="7058" xr:uid="{00000000-0005-0000-0000-0000921B0000}"/>
    <cellStyle name="Accent6 165" xfId="7059" xr:uid="{00000000-0005-0000-0000-0000931B0000}"/>
    <cellStyle name="Accent6 166" xfId="7060" xr:uid="{00000000-0005-0000-0000-0000941B0000}"/>
    <cellStyle name="Accent6 167" xfId="7061" xr:uid="{00000000-0005-0000-0000-0000951B0000}"/>
    <cellStyle name="Accent6 168" xfId="7062" xr:uid="{00000000-0005-0000-0000-0000961B0000}"/>
    <cellStyle name="Accent6 169" xfId="7063" xr:uid="{00000000-0005-0000-0000-0000971B0000}"/>
    <cellStyle name="Accent6 17" xfId="7064" xr:uid="{00000000-0005-0000-0000-0000981B0000}"/>
    <cellStyle name="Accent6 17 2" xfId="7065" xr:uid="{00000000-0005-0000-0000-0000991B0000}"/>
    <cellStyle name="Accent6 17 2 2" xfId="7066" xr:uid="{00000000-0005-0000-0000-00009A1B0000}"/>
    <cellStyle name="Accent6 17 3" xfId="7067" xr:uid="{00000000-0005-0000-0000-00009B1B0000}"/>
    <cellStyle name="Accent6 170" xfId="7068" xr:uid="{00000000-0005-0000-0000-00009C1B0000}"/>
    <cellStyle name="Accent6 171" xfId="7069" xr:uid="{00000000-0005-0000-0000-00009D1B0000}"/>
    <cellStyle name="Accent6 172" xfId="7070" xr:uid="{00000000-0005-0000-0000-00009E1B0000}"/>
    <cellStyle name="Accent6 173" xfId="7071" xr:uid="{00000000-0005-0000-0000-00009F1B0000}"/>
    <cellStyle name="Accent6 174" xfId="7072" xr:uid="{00000000-0005-0000-0000-0000A01B0000}"/>
    <cellStyle name="Accent6 175" xfId="7073" xr:uid="{00000000-0005-0000-0000-0000A11B0000}"/>
    <cellStyle name="Accent6 176" xfId="7074" xr:uid="{00000000-0005-0000-0000-0000A21B0000}"/>
    <cellStyle name="Accent6 177" xfId="7075" xr:uid="{00000000-0005-0000-0000-0000A31B0000}"/>
    <cellStyle name="Accent6 178" xfId="7076" xr:uid="{00000000-0005-0000-0000-0000A41B0000}"/>
    <cellStyle name="Accent6 179" xfId="7077" xr:uid="{00000000-0005-0000-0000-0000A51B0000}"/>
    <cellStyle name="Accent6 18" xfId="7078" xr:uid="{00000000-0005-0000-0000-0000A61B0000}"/>
    <cellStyle name="Accent6 18 2" xfId="7079" xr:uid="{00000000-0005-0000-0000-0000A71B0000}"/>
    <cellStyle name="Accent6 18 2 2" xfId="7080" xr:uid="{00000000-0005-0000-0000-0000A81B0000}"/>
    <cellStyle name="Accent6 18 3" xfId="7081" xr:uid="{00000000-0005-0000-0000-0000A91B0000}"/>
    <cellStyle name="Accent6 19" xfId="7082" xr:uid="{00000000-0005-0000-0000-0000AA1B0000}"/>
    <cellStyle name="Accent6 19 2" xfId="7083" xr:uid="{00000000-0005-0000-0000-0000AB1B0000}"/>
    <cellStyle name="Accent6 19 2 2" xfId="7084" xr:uid="{00000000-0005-0000-0000-0000AC1B0000}"/>
    <cellStyle name="Accent6 19 3" xfId="7085" xr:uid="{00000000-0005-0000-0000-0000AD1B0000}"/>
    <cellStyle name="Accent6 2" xfId="7086" xr:uid="{00000000-0005-0000-0000-0000AE1B0000}"/>
    <cellStyle name="Accent6 2 10" xfId="7087" xr:uid="{00000000-0005-0000-0000-0000AF1B0000}"/>
    <cellStyle name="Accent6 2 10 2" xfId="7088" xr:uid="{00000000-0005-0000-0000-0000B01B0000}"/>
    <cellStyle name="Accent6 2 10 2 2" xfId="33915" xr:uid="{61971A18-5C4E-4106-8BFD-28342CE0BB87}"/>
    <cellStyle name="Accent6 2 10 3" xfId="33914" xr:uid="{5A07AE55-B720-4D62-8C28-3E3397A382E8}"/>
    <cellStyle name="Accent6 2 11" xfId="7089" xr:uid="{00000000-0005-0000-0000-0000B11B0000}"/>
    <cellStyle name="Accent6 2 11 2" xfId="33916" xr:uid="{0DF28EC0-E649-4224-8265-33902CBF8EE7}"/>
    <cellStyle name="Accent6 2 12" xfId="7090" xr:uid="{00000000-0005-0000-0000-0000B21B0000}"/>
    <cellStyle name="Accent6 2 2" xfId="7091" xr:uid="{00000000-0005-0000-0000-0000B31B0000}"/>
    <cellStyle name="Accent6 2 2 2" xfId="7092" xr:uid="{00000000-0005-0000-0000-0000B41B0000}"/>
    <cellStyle name="Accent6 2 2 2 2" xfId="7093" xr:uid="{00000000-0005-0000-0000-0000B51B0000}"/>
    <cellStyle name="Accent6 2 2 3" xfId="7094" xr:uid="{00000000-0005-0000-0000-0000B61B0000}"/>
    <cellStyle name="Accent6 2 2 3 2" xfId="7095" xr:uid="{00000000-0005-0000-0000-0000B71B0000}"/>
    <cellStyle name="Accent6 2 2 3 2 2" xfId="7096" xr:uid="{00000000-0005-0000-0000-0000B81B0000}"/>
    <cellStyle name="Accent6 2 2 3 3" xfId="7097" xr:uid="{00000000-0005-0000-0000-0000B91B0000}"/>
    <cellStyle name="Accent6 2 2 4" xfId="7098" xr:uid="{00000000-0005-0000-0000-0000BA1B0000}"/>
    <cellStyle name="Accent6 2 3" xfId="7099" xr:uid="{00000000-0005-0000-0000-0000BB1B0000}"/>
    <cellStyle name="Accent6 2 3 2" xfId="7100" xr:uid="{00000000-0005-0000-0000-0000BC1B0000}"/>
    <cellStyle name="Accent6 2 3 2 2" xfId="7101" xr:uid="{00000000-0005-0000-0000-0000BD1B0000}"/>
    <cellStyle name="Accent6 2 3 3" xfId="7102" xr:uid="{00000000-0005-0000-0000-0000BE1B0000}"/>
    <cellStyle name="Accent6 2 3 3 2" xfId="7103" xr:uid="{00000000-0005-0000-0000-0000BF1B0000}"/>
    <cellStyle name="Accent6 2 3 3 2 2" xfId="7104" xr:uid="{00000000-0005-0000-0000-0000C01B0000}"/>
    <cellStyle name="Accent6 2 3 3 3" xfId="7105" xr:uid="{00000000-0005-0000-0000-0000C11B0000}"/>
    <cellStyle name="Accent6 2 3 4" xfId="7106" xr:uid="{00000000-0005-0000-0000-0000C21B0000}"/>
    <cellStyle name="Accent6 2 4" xfId="7107" xr:uid="{00000000-0005-0000-0000-0000C31B0000}"/>
    <cellStyle name="Accent6 2 4 2" xfId="7108" xr:uid="{00000000-0005-0000-0000-0000C41B0000}"/>
    <cellStyle name="Accent6 2 4 2 2" xfId="7109" xr:uid="{00000000-0005-0000-0000-0000C51B0000}"/>
    <cellStyle name="Accent6 2 4 3" xfId="7110" xr:uid="{00000000-0005-0000-0000-0000C61B0000}"/>
    <cellStyle name="Accent6 2 5" xfId="7111" xr:uid="{00000000-0005-0000-0000-0000C71B0000}"/>
    <cellStyle name="Accent6 2 5 2" xfId="7112" xr:uid="{00000000-0005-0000-0000-0000C81B0000}"/>
    <cellStyle name="Accent6 2 5 2 2" xfId="7113" xr:uid="{00000000-0005-0000-0000-0000C91B0000}"/>
    <cellStyle name="Accent6 2 5 3" xfId="7114" xr:uid="{00000000-0005-0000-0000-0000CA1B0000}"/>
    <cellStyle name="Accent6 2 5 3 2" xfId="7115" xr:uid="{00000000-0005-0000-0000-0000CB1B0000}"/>
    <cellStyle name="Accent6 2 5 3 2 2" xfId="7116" xr:uid="{00000000-0005-0000-0000-0000CC1B0000}"/>
    <cellStyle name="Accent6 2 5 3 3" xfId="7117" xr:uid="{00000000-0005-0000-0000-0000CD1B0000}"/>
    <cellStyle name="Accent6 2 5 4" xfId="7118" xr:uid="{00000000-0005-0000-0000-0000CE1B0000}"/>
    <cellStyle name="Accent6 2 6" xfId="7119" xr:uid="{00000000-0005-0000-0000-0000CF1B0000}"/>
    <cellStyle name="Accent6 2 6 2" xfId="7120" xr:uid="{00000000-0005-0000-0000-0000D01B0000}"/>
    <cellStyle name="Accent6 2 6 2 2" xfId="7121" xr:uid="{00000000-0005-0000-0000-0000D11B0000}"/>
    <cellStyle name="Accent6 2 6 3" xfId="7122" xr:uid="{00000000-0005-0000-0000-0000D21B0000}"/>
    <cellStyle name="Accent6 2 6 3 2" xfId="7123" xr:uid="{00000000-0005-0000-0000-0000D31B0000}"/>
    <cellStyle name="Accent6 2 6 4" xfId="7124" xr:uid="{00000000-0005-0000-0000-0000D41B0000}"/>
    <cellStyle name="Accent6 2 7" xfId="7125" xr:uid="{00000000-0005-0000-0000-0000D51B0000}"/>
    <cellStyle name="Accent6 2 7 2" xfId="7126" xr:uid="{00000000-0005-0000-0000-0000D61B0000}"/>
    <cellStyle name="Accent6 2 7 2 2" xfId="33918" xr:uid="{2BB98302-28CB-4809-A797-7FD2465A3DA0}"/>
    <cellStyle name="Accent6 2 7 3" xfId="33917" xr:uid="{F4693BDC-8D31-45BC-B4EE-162AED904465}"/>
    <cellStyle name="Accent6 2 8" xfId="7127" xr:uid="{00000000-0005-0000-0000-0000D71B0000}"/>
    <cellStyle name="Accent6 2 8 2" xfId="7128" xr:uid="{00000000-0005-0000-0000-0000D81B0000}"/>
    <cellStyle name="Accent6 2 8 2 2" xfId="7129" xr:uid="{00000000-0005-0000-0000-0000D91B0000}"/>
    <cellStyle name="Accent6 2 8 2 2 2" xfId="33921" xr:uid="{6CFD804E-CF38-4297-A6A2-7259417543C1}"/>
    <cellStyle name="Accent6 2 8 2 3" xfId="33920" xr:uid="{DE3F18CC-67FA-40F4-91A2-1DB49FF64C16}"/>
    <cellStyle name="Accent6 2 8 3" xfId="7130" xr:uid="{00000000-0005-0000-0000-0000DA1B0000}"/>
    <cellStyle name="Accent6 2 8 3 2" xfId="33922" xr:uid="{4EC1E4BD-82F9-4BC3-AD29-6B87798BC8C3}"/>
    <cellStyle name="Accent6 2 8 4" xfId="33919" xr:uid="{74CF2228-B69F-4F71-8859-53E079FC4ACC}"/>
    <cellStyle name="Accent6 2 9" xfId="7131" xr:uid="{00000000-0005-0000-0000-0000DB1B0000}"/>
    <cellStyle name="Accent6 2 9 2" xfId="7132" xr:uid="{00000000-0005-0000-0000-0000DC1B0000}"/>
    <cellStyle name="Accent6 2 9 2 2" xfId="7133" xr:uid="{00000000-0005-0000-0000-0000DD1B0000}"/>
    <cellStyle name="Accent6 2 9 2 2 2" xfId="33924" xr:uid="{2B724005-4DA3-47B9-9D9A-D50A7167176B}"/>
    <cellStyle name="Accent6 2 9 2 3" xfId="33923" xr:uid="{0CD030A9-BC4D-4453-9067-348E30E8DD9A}"/>
    <cellStyle name="Accent6 2 9 3" xfId="7134" xr:uid="{00000000-0005-0000-0000-0000DE1B0000}"/>
    <cellStyle name="Accent6 20" xfId="7135" xr:uid="{00000000-0005-0000-0000-0000DF1B0000}"/>
    <cellStyle name="Accent6 20 2" xfId="7136" xr:uid="{00000000-0005-0000-0000-0000E01B0000}"/>
    <cellStyle name="Accent6 20 2 2" xfId="7137" xr:uid="{00000000-0005-0000-0000-0000E11B0000}"/>
    <cellStyle name="Accent6 20 3" xfId="7138" xr:uid="{00000000-0005-0000-0000-0000E21B0000}"/>
    <cellStyle name="Accent6 21" xfId="7139" xr:uid="{00000000-0005-0000-0000-0000E31B0000}"/>
    <cellStyle name="Accent6 21 2" xfId="7140" xr:uid="{00000000-0005-0000-0000-0000E41B0000}"/>
    <cellStyle name="Accent6 21 2 2" xfId="7141" xr:uid="{00000000-0005-0000-0000-0000E51B0000}"/>
    <cellStyle name="Accent6 21 3" xfId="7142" xr:uid="{00000000-0005-0000-0000-0000E61B0000}"/>
    <cellStyle name="Accent6 22" xfId="7143" xr:uid="{00000000-0005-0000-0000-0000E71B0000}"/>
    <cellStyle name="Accent6 22 2" xfId="7144" xr:uid="{00000000-0005-0000-0000-0000E81B0000}"/>
    <cellStyle name="Accent6 22 2 2" xfId="7145" xr:uid="{00000000-0005-0000-0000-0000E91B0000}"/>
    <cellStyle name="Accent6 22 3" xfId="7146" xr:uid="{00000000-0005-0000-0000-0000EA1B0000}"/>
    <cellStyle name="Accent6 23" xfId="7147" xr:uid="{00000000-0005-0000-0000-0000EB1B0000}"/>
    <cellStyle name="Accent6 23 2" xfId="7148" xr:uid="{00000000-0005-0000-0000-0000EC1B0000}"/>
    <cellStyle name="Accent6 23 2 2" xfId="7149" xr:uid="{00000000-0005-0000-0000-0000ED1B0000}"/>
    <cellStyle name="Accent6 23 3" xfId="7150" xr:uid="{00000000-0005-0000-0000-0000EE1B0000}"/>
    <cellStyle name="Accent6 24" xfId="7151" xr:uid="{00000000-0005-0000-0000-0000EF1B0000}"/>
    <cellStyle name="Accent6 24 2" xfId="7152" xr:uid="{00000000-0005-0000-0000-0000F01B0000}"/>
    <cellStyle name="Accent6 24 2 2" xfId="7153" xr:uid="{00000000-0005-0000-0000-0000F11B0000}"/>
    <cellStyle name="Accent6 24 3" xfId="7154" xr:uid="{00000000-0005-0000-0000-0000F21B0000}"/>
    <cellStyle name="Accent6 25" xfId="7155" xr:uid="{00000000-0005-0000-0000-0000F31B0000}"/>
    <cellStyle name="Accent6 25 2" xfId="7156" xr:uid="{00000000-0005-0000-0000-0000F41B0000}"/>
    <cellStyle name="Accent6 25 2 2" xfId="7157" xr:uid="{00000000-0005-0000-0000-0000F51B0000}"/>
    <cellStyle name="Accent6 25 3" xfId="7158" xr:uid="{00000000-0005-0000-0000-0000F61B0000}"/>
    <cellStyle name="Accent6 26" xfId="7159" xr:uid="{00000000-0005-0000-0000-0000F71B0000}"/>
    <cellStyle name="Accent6 26 2" xfId="7160" xr:uid="{00000000-0005-0000-0000-0000F81B0000}"/>
    <cellStyle name="Accent6 26 2 2" xfId="7161" xr:uid="{00000000-0005-0000-0000-0000F91B0000}"/>
    <cellStyle name="Accent6 26 3" xfId="7162" xr:uid="{00000000-0005-0000-0000-0000FA1B0000}"/>
    <cellStyle name="Accent6 27" xfId="7163" xr:uid="{00000000-0005-0000-0000-0000FB1B0000}"/>
    <cellStyle name="Accent6 27 2" xfId="7164" xr:uid="{00000000-0005-0000-0000-0000FC1B0000}"/>
    <cellStyle name="Accent6 27 2 2" xfId="7165" xr:uid="{00000000-0005-0000-0000-0000FD1B0000}"/>
    <cellStyle name="Accent6 27 3" xfId="7166" xr:uid="{00000000-0005-0000-0000-0000FE1B0000}"/>
    <cellStyle name="Accent6 28" xfId="7167" xr:uid="{00000000-0005-0000-0000-0000FF1B0000}"/>
    <cellStyle name="Accent6 28 2" xfId="7168" xr:uid="{00000000-0005-0000-0000-0000001C0000}"/>
    <cellStyle name="Accent6 28 2 2" xfId="7169" xr:uid="{00000000-0005-0000-0000-0000011C0000}"/>
    <cellStyle name="Accent6 28 3" xfId="7170" xr:uid="{00000000-0005-0000-0000-0000021C0000}"/>
    <cellStyle name="Accent6 29" xfId="7171" xr:uid="{00000000-0005-0000-0000-0000031C0000}"/>
    <cellStyle name="Accent6 29 2" xfId="7172" xr:uid="{00000000-0005-0000-0000-0000041C0000}"/>
    <cellStyle name="Accent6 29 2 2" xfId="7173" xr:uid="{00000000-0005-0000-0000-0000051C0000}"/>
    <cellStyle name="Accent6 29 3" xfId="7174" xr:uid="{00000000-0005-0000-0000-0000061C0000}"/>
    <cellStyle name="Accent6 3" xfId="7175" xr:uid="{00000000-0005-0000-0000-0000071C0000}"/>
    <cellStyle name="Accent6 3 10" xfId="7176" xr:uid="{00000000-0005-0000-0000-0000081C0000}"/>
    <cellStyle name="Accent6 3 10 2" xfId="7177" xr:uid="{00000000-0005-0000-0000-0000091C0000}"/>
    <cellStyle name="Accent6 3 10 2 2" xfId="7178" xr:uid="{00000000-0005-0000-0000-00000A1C0000}"/>
    <cellStyle name="Accent6 3 10 2 2 2" xfId="33926" xr:uid="{EE90AF08-3262-4C13-9257-A143290745E4}"/>
    <cellStyle name="Accent6 3 10 2 3" xfId="33925" xr:uid="{19EAA715-60A7-4802-B990-658868BC5EDF}"/>
    <cellStyle name="Accent6 3 10 3" xfId="7179" xr:uid="{00000000-0005-0000-0000-00000B1C0000}"/>
    <cellStyle name="Accent6 3 11" xfId="7180" xr:uid="{00000000-0005-0000-0000-00000C1C0000}"/>
    <cellStyle name="Accent6 3 11 2" xfId="7181" xr:uid="{00000000-0005-0000-0000-00000D1C0000}"/>
    <cellStyle name="Accent6 3 11 2 2" xfId="33928" xr:uid="{9FAB5BE7-925B-4E8A-AA4A-C5E243D31296}"/>
    <cellStyle name="Accent6 3 11 3" xfId="33927" xr:uid="{B9D6DCC8-4EC1-4B6A-8892-C74A6C16E99F}"/>
    <cellStyle name="Accent6 3 12" xfId="7182" xr:uid="{00000000-0005-0000-0000-00000E1C0000}"/>
    <cellStyle name="Accent6 3 12 2" xfId="33929" xr:uid="{9D9F21FC-08FF-4257-9793-7C8426E9B916}"/>
    <cellStyle name="Accent6 3 2" xfId="7183" xr:uid="{00000000-0005-0000-0000-00000F1C0000}"/>
    <cellStyle name="Accent6 3 2 2" xfId="7184" xr:uid="{00000000-0005-0000-0000-0000101C0000}"/>
    <cellStyle name="Accent6 3 2 2 2" xfId="7185" xr:uid="{00000000-0005-0000-0000-0000111C0000}"/>
    <cellStyle name="Accent6 3 2 3" xfId="7186" xr:uid="{00000000-0005-0000-0000-0000121C0000}"/>
    <cellStyle name="Accent6 3 2 3 2" xfId="7187" xr:uid="{00000000-0005-0000-0000-0000131C0000}"/>
    <cellStyle name="Accent6 3 2 3 2 2" xfId="7188" xr:uid="{00000000-0005-0000-0000-0000141C0000}"/>
    <cellStyle name="Accent6 3 2 3 3" xfId="7189" xr:uid="{00000000-0005-0000-0000-0000151C0000}"/>
    <cellStyle name="Accent6 3 2 4" xfId="7190" xr:uid="{00000000-0005-0000-0000-0000161C0000}"/>
    <cellStyle name="Accent6 3 3" xfId="7191" xr:uid="{00000000-0005-0000-0000-0000171C0000}"/>
    <cellStyle name="Accent6 3 3 2" xfId="7192" xr:uid="{00000000-0005-0000-0000-0000181C0000}"/>
    <cellStyle name="Accent6 3 3 2 2" xfId="7193" xr:uid="{00000000-0005-0000-0000-0000191C0000}"/>
    <cellStyle name="Accent6 3 3 3" xfId="7194" xr:uid="{00000000-0005-0000-0000-00001A1C0000}"/>
    <cellStyle name="Accent6 3 3 3 2" xfId="7195" xr:uid="{00000000-0005-0000-0000-00001B1C0000}"/>
    <cellStyle name="Accent6 3 3 3 2 2" xfId="7196" xr:uid="{00000000-0005-0000-0000-00001C1C0000}"/>
    <cellStyle name="Accent6 3 3 3 3" xfId="7197" xr:uid="{00000000-0005-0000-0000-00001D1C0000}"/>
    <cellStyle name="Accent6 3 3 4" xfId="7198" xr:uid="{00000000-0005-0000-0000-00001E1C0000}"/>
    <cellStyle name="Accent6 3 4" xfId="7199" xr:uid="{00000000-0005-0000-0000-00001F1C0000}"/>
    <cellStyle name="Accent6 3 4 2" xfId="7200" xr:uid="{00000000-0005-0000-0000-0000201C0000}"/>
    <cellStyle name="Accent6 3 4 2 2" xfId="7201" xr:uid="{00000000-0005-0000-0000-0000211C0000}"/>
    <cellStyle name="Accent6 3 4 3" xfId="7202" xr:uid="{00000000-0005-0000-0000-0000221C0000}"/>
    <cellStyle name="Accent6 3 5" xfId="7203" xr:uid="{00000000-0005-0000-0000-0000231C0000}"/>
    <cellStyle name="Accent6 3 5 2" xfId="7204" xr:uid="{00000000-0005-0000-0000-0000241C0000}"/>
    <cellStyle name="Accent6 3 5 2 2" xfId="7205" xr:uid="{00000000-0005-0000-0000-0000251C0000}"/>
    <cellStyle name="Accent6 3 5 3" xfId="7206" xr:uid="{00000000-0005-0000-0000-0000261C0000}"/>
    <cellStyle name="Accent6 3 5 3 2" xfId="7207" xr:uid="{00000000-0005-0000-0000-0000271C0000}"/>
    <cellStyle name="Accent6 3 5 3 2 2" xfId="7208" xr:uid="{00000000-0005-0000-0000-0000281C0000}"/>
    <cellStyle name="Accent6 3 5 3 3" xfId="7209" xr:uid="{00000000-0005-0000-0000-0000291C0000}"/>
    <cellStyle name="Accent6 3 5 4" xfId="7210" xr:uid="{00000000-0005-0000-0000-00002A1C0000}"/>
    <cellStyle name="Accent6 3 6" xfId="7211" xr:uid="{00000000-0005-0000-0000-00002B1C0000}"/>
    <cellStyle name="Accent6 3 6 2" xfId="7212" xr:uid="{00000000-0005-0000-0000-00002C1C0000}"/>
    <cellStyle name="Accent6 3 7" xfId="7213" xr:uid="{00000000-0005-0000-0000-00002D1C0000}"/>
    <cellStyle name="Accent6 3 7 2" xfId="7214" xr:uid="{00000000-0005-0000-0000-00002E1C0000}"/>
    <cellStyle name="Accent6 3 7 2 2" xfId="33931" xr:uid="{B56EEF15-29EA-42B5-B98C-693553891C95}"/>
    <cellStyle name="Accent6 3 7 3" xfId="33930" xr:uid="{1D078AA7-7D4F-4440-8500-B9A3F091D81E}"/>
    <cellStyle name="Accent6 3 8" xfId="7215" xr:uid="{00000000-0005-0000-0000-00002F1C0000}"/>
    <cellStyle name="Accent6 3 8 2" xfId="7216" xr:uid="{00000000-0005-0000-0000-0000301C0000}"/>
    <cellStyle name="Accent6 3 8 2 2" xfId="7217" xr:uid="{00000000-0005-0000-0000-0000311C0000}"/>
    <cellStyle name="Accent6 3 8 2 2 2" xfId="33934" xr:uid="{B2370B6C-9AF7-4A5E-AE09-3A8FF28DBFB0}"/>
    <cellStyle name="Accent6 3 8 2 3" xfId="33933" xr:uid="{0F43C5EB-043B-4962-AB7C-EEA9F4740713}"/>
    <cellStyle name="Accent6 3 8 3" xfId="7218" xr:uid="{00000000-0005-0000-0000-0000321C0000}"/>
    <cellStyle name="Accent6 3 8 3 2" xfId="33935" xr:uid="{DB61283A-1256-40F2-85C6-98CE0C43008D}"/>
    <cellStyle name="Accent6 3 8 4" xfId="33932" xr:uid="{D47C1501-4133-4DFE-80C1-58D8FF2EA5E4}"/>
    <cellStyle name="Accent6 3 9" xfId="7219" xr:uid="{00000000-0005-0000-0000-0000331C0000}"/>
    <cellStyle name="Accent6 3 9 2" xfId="7220" xr:uid="{00000000-0005-0000-0000-0000341C0000}"/>
    <cellStyle name="Accent6 3 9 2 2" xfId="7221" xr:uid="{00000000-0005-0000-0000-0000351C0000}"/>
    <cellStyle name="Accent6 3 9 3" xfId="7222" xr:uid="{00000000-0005-0000-0000-0000361C0000}"/>
    <cellStyle name="Accent6 30" xfId="7223" xr:uid="{00000000-0005-0000-0000-0000371C0000}"/>
    <cellStyle name="Accent6 30 2" xfId="7224" xr:uid="{00000000-0005-0000-0000-0000381C0000}"/>
    <cellStyle name="Accent6 30 2 2" xfId="7225" xr:uid="{00000000-0005-0000-0000-0000391C0000}"/>
    <cellStyle name="Accent6 30 3" xfId="7226" xr:uid="{00000000-0005-0000-0000-00003A1C0000}"/>
    <cellStyle name="Accent6 31" xfId="7227" xr:uid="{00000000-0005-0000-0000-00003B1C0000}"/>
    <cellStyle name="Accent6 31 2" xfId="7228" xr:uid="{00000000-0005-0000-0000-00003C1C0000}"/>
    <cellStyle name="Accent6 31 2 2" xfId="7229" xr:uid="{00000000-0005-0000-0000-00003D1C0000}"/>
    <cellStyle name="Accent6 31 3" xfId="7230" xr:uid="{00000000-0005-0000-0000-00003E1C0000}"/>
    <cellStyle name="Accent6 32" xfId="7231" xr:uid="{00000000-0005-0000-0000-00003F1C0000}"/>
    <cellStyle name="Accent6 32 2" xfId="7232" xr:uid="{00000000-0005-0000-0000-0000401C0000}"/>
    <cellStyle name="Accent6 32 2 2" xfId="7233" xr:uid="{00000000-0005-0000-0000-0000411C0000}"/>
    <cellStyle name="Accent6 32 3" xfId="7234" xr:uid="{00000000-0005-0000-0000-0000421C0000}"/>
    <cellStyle name="Accent6 33" xfId="7235" xr:uid="{00000000-0005-0000-0000-0000431C0000}"/>
    <cellStyle name="Accent6 33 2" xfId="7236" xr:uid="{00000000-0005-0000-0000-0000441C0000}"/>
    <cellStyle name="Accent6 33 2 2" xfId="7237" xr:uid="{00000000-0005-0000-0000-0000451C0000}"/>
    <cellStyle name="Accent6 33 3" xfId="7238" xr:uid="{00000000-0005-0000-0000-0000461C0000}"/>
    <cellStyle name="Accent6 34" xfId="7239" xr:uid="{00000000-0005-0000-0000-0000471C0000}"/>
    <cellStyle name="Accent6 34 2" xfId="7240" xr:uid="{00000000-0005-0000-0000-0000481C0000}"/>
    <cellStyle name="Accent6 34 2 2" xfId="7241" xr:uid="{00000000-0005-0000-0000-0000491C0000}"/>
    <cellStyle name="Accent6 34 3" xfId="7242" xr:uid="{00000000-0005-0000-0000-00004A1C0000}"/>
    <cellStyle name="Accent6 35" xfId="7243" xr:uid="{00000000-0005-0000-0000-00004B1C0000}"/>
    <cellStyle name="Accent6 35 2" xfId="7244" xr:uid="{00000000-0005-0000-0000-00004C1C0000}"/>
    <cellStyle name="Accent6 35 2 2" xfId="7245" xr:uid="{00000000-0005-0000-0000-00004D1C0000}"/>
    <cellStyle name="Accent6 35 3" xfId="7246" xr:uid="{00000000-0005-0000-0000-00004E1C0000}"/>
    <cellStyle name="Accent6 36" xfId="7247" xr:uid="{00000000-0005-0000-0000-00004F1C0000}"/>
    <cellStyle name="Accent6 36 2" xfId="7248" xr:uid="{00000000-0005-0000-0000-0000501C0000}"/>
    <cellStyle name="Accent6 36 2 2" xfId="7249" xr:uid="{00000000-0005-0000-0000-0000511C0000}"/>
    <cellStyle name="Accent6 36 3" xfId="7250" xr:uid="{00000000-0005-0000-0000-0000521C0000}"/>
    <cellStyle name="Accent6 37" xfId="7251" xr:uid="{00000000-0005-0000-0000-0000531C0000}"/>
    <cellStyle name="Accent6 37 2" xfId="7252" xr:uid="{00000000-0005-0000-0000-0000541C0000}"/>
    <cellStyle name="Accent6 37 2 2" xfId="7253" xr:uid="{00000000-0005-0000-0000-0000551C0000}"/>
    <cellStyle name="Accent6 37 3" xfId="7254" xr:uid="{00000000-0005-0000-0000-0000561C0000}"/>
    <cellStyle name="Accent6 38" xfId="7255" xr:uid="{00000000-0005-0000-0000-0000571C0000}"/>
    <cellStyle name="Accent6 38 2" xfId="7256" xr:uid="{00000000-0005-0000-0000-0000581C0000}"/>
    <cellStyle name="Accent6 38 2 2" xfId="7257" xr:uid="{00000000-0005-0000-0000-0000591C0000}"/>
    <cellStyle name="Accent6 38 3" xfId="7258" xr:uid="{00000000-0005-0000-0000-00005A1C0000}"/>
    <cellStyle name="Accent6 39" xfId="7259" xr:uid="{00000000-0005-0000-0000-00005B1C0000}"/>
    <cellStyle name="Accent6 39 2" xfId="7260" xr:uid="{00000000-0005-0000-0000-00005C1C0000}"/>
    <cellStyle name="Accent6 39 2 2" xfId="7261" xr:uid="{00000000-0005-0000-0000-00005D1C0000}"/>
    <cellStyle name="Accent6 39 3" xfId="7262" xr:uid="{00000000-0005-0000-0000-00005E1C0000}"/>
    <cellStyle name="Accent6 4" xfId="7263" xr:uid="{00000000-0005-0000-0000-00005F1C0000}"/>
    <cellStyle name="Accent6 4 2" xfId="7264" xr:uid="{00000000-0005-0000-0000-0000601C0000}"/>
    <cellStyle name="Accent6 4 2 2" xfId="7265" xr:uid="{00000000-0005-0000-0000-0000611C0000}"/>
    <cellStyle name="Accent6 4 2 2 2" xfId="7266" xr:uid="{00000000-0005-0000-0000-0000621C0000}"/>
    <cellStyle name="Accent6 4 2 3" xfId="7267" xr:uid="{00000000-0005-0000-0000-0000631C0000}"/>
    <cellStyle name="Accent6 4 2 3 2" xfId="7268" xr:uid="{00000000-0005-0000-0000-0000641C0000}"/>
    <cellStyle name="Accent6 4 2 3 2 2" xfId="7269" xr:uid="{00000000-0005-0000-0000-0000651C0000}"/>
    <cellStyle name="Accent6 4 2 3 3" xfId="7270" xr:uid="{00000000-0005-0000-0000-0000661C0000}"/>
    <cellStyle name="Accent6 4 2 4" xfId="7271" xr:uid="{00000000-0005-0000-0000-0000671C0000}"/>
    <cellStyle name="Accent6 4 3" xfId="7272" xr:uid="{00000000-0005-0000-0000-0000681C0000}"/>
    <cellStyle name="Accent6 4 3 2" xfId="7273" xr:uid="{00000000-0005-0000-0000-0000691C0000}"/>
    <cellStyle name="Accent6 4 3 2 2" xfId="7274" xr:uid="{00000000-0005-0000-0000-00006A1C0000}"/>
    <cellStyle name="Accent6 4 3 3" xfId="7275" xr:uid="{00000000-0005-0000-0000-00006B1C0000}"/>
    <cellStyle name="Accent6 4 3 3 2" xfId="7276" xr:uid="{00000000-0005-0000-0000-00006C1C0000}"/>
    <cellStyle name="Accent6 4 3 3 2 2" xfId="7277" xr:uid="{00000000-0005-0000-0000-00006D1C0000}"/>
    <cellStyle name="Accent6 4 3 3 3" xfId="7278" xr:uid="{00000000-0005-0000-0000-00006E1C0000}"/>
    <cellStyle name="Accent6 4 3 4" xfId="7279" xr:uid="{00000000-0005-0000-0000-00006F1C0000}"/>
    <cellStyle name="Accent6 4 4" xfId="7280" xr:uid="{00000000-0005-0000-0000-0000701C0000}"/>
    <cellStyle name="Accent6 4 4 2" xfId="7281" xr:uid="{00000000-0005-0000-0000-0000711C0000}"/>
    <cellStyle name="Accent6 4 4 2 2" xfId="7282" xr:uid="{00000000-0005-0000-0000-0000721C0000}"/>
    <cellStyle name="Accent6 4 4 3" xfId="7283" xr:uid="{00000000-0005-0000-0000-0000731C0000}"/>
    <cellStyle name="Accent6 4 5" xfId="7284" xr:uid="{00000000-0005-0000-0000-0000741C0000}"/>
    <cellStyle name="Accent6 4 5 2" xfId="7285" xr:uid="{00000000-0005-0000-0000-0000751C0000}"/>
    <cellStyle name="Accent6 4 6" xfId="7286" xr:uid="{00000000-0005-0000-0000-0000761C0000}"/>
    <cellStyle name="Accent6 4 6 2" xfId="7287" xr:uid="{00000000-0005-0000-0000-0000771C0000}"/>
    <cellStyle name="Accent6 4 6 2 2" xfId="7288" xr:uid="{00000000-0005-0000-0000-0000781C0000}"/>
    <cellStyle name="Accent6 4 6 3" xfId="7289" xr:uid="{00000000-0005-0000-0000-0000791C0000}"/>
    <cellStyle name="Accent6 4 7" xfId="7290" xr:uid="{00000000-0005-0000-0000-00007A1C0000}"/>
    <cellStyle name="Accent6 4 7 2" xfId="7291" xr:uid="{00000000-0005-0000-0000-00007B1C0000}"/>
    <cellStyle name="Accent6 4 7 2 2" xfId="7292" xr:uid="{00000000-0005-0000-0000-00007C1C0000}"/>
    <cellStyle name="Accent6 4 7 3" xfId="7293" xr:uid="{00000000-0005-0000-0000-00007D1C0000}"/>
    <cellStyle name="Accent6 4 8" xfId="7294" xr:uid="{00000000-0005-0000-0000-00007E1C0000}"/>
    <cellStyle name="Accent6 40" xfId="7295" xr:uid="{00000000-0005-0000-0000-00007F1C0000}"/>
    <cellStyle name="Accent6 40 2" xfId="7296" xr:uid="{00000000-0005-0000-0000-0000801C0000}"/>
    <cellStyle name="Accent6 40 2 2" xfId="7297" xr:uid="{00000000-0005-0000-0000-0000811C0000}"/>
    <cellStyle name="Accent6 40 3" xfId="7298" xr:uid="{00000000-0005-0000-0000-0000821C0000}"/>
    <cellStyle name="Accent6 41" xfId="7299" xr:uid="{00000000-0005-0000-0000-0000831C0000}"/>
    <cellStyle name="Accent6 41 2" xfId="7300" xr:uid="{00000000-0005-0000-0000-0000841C0000}"/>
    <cellStyle name="Accent6 41 2 2" xfId="7301" xr:uid="{00000000-0005-0000-0000-0000851C0000}"/>
    <cellStyle name="Accent6 41 3" xfId="7302" xr:uid="{00000000-0005-0000-0000-0000861C0000}"/>
    <cellStyle name="Accent6 42" xfId="7303" xr:uid="{00000000-0005-0000-0000-0000871C0000}"/>
    <cellStyle name="Accent6 42 2" xfId="7304" xr:uid="{00000000-0005-0000-0000-0000881C0000}"/>
    <cellStyle name="Accent6 42 2 2" xfId="7305" xr:uid="{00000000-0005-0000-0000-0000891C0000}"/>
    <cellStyle name="Accent6 42 3" xfId="7306" xr:uid="{00000000-0005-0000-0000-00008A1C0000}"/>
    <cellStyle name="Accent6 43" xfId="7307" xr:uid="{00000000-0005-0000-0000-00008B1C0000}"/>
    <cellStyle name="Accent6 43 2" xfId="7308" xr:uid="{00000000-0005-0000-0000-00008C1C0000}"/>
    <cellStyle name="Accent6 43 2 2" xfId="7309" xr:uid="{00000000-0005-0000-0000-00008D1C0000}"/>
    <cellStyle name="Accent6 43 3" xfId="7310" xr:uid="{00000000-0005-0000-0000-00008E1C0000}"/>
    <cellStyle name="Accent6 44" xfId="7311" xr:uid="{00000000-0005-0000-0000-00008F1C0000}"/>
    <cellStyle name="Accent6 44 2" xfId="7312" xr:uid="{00000000-0005-0000-0000-0000901C0000}"/>
    <cellStyle name="Accent6 44 2 2" xfId="7313" xr:uid="{00000000-0005-0000-0000-0000911C0000}"/>
    <cellStyle name="Accent6 44 3" xfId="7314" xr:uid="{00000000-0005-0000-0000-0000921C0000}"/>
    <cellStyle name="Accent6 45" xfId="7315" xr:uid="{00000000-0005-0000-0000-0000931C0000}"/>
    <cellStyle name="Accent6 45 2" xfId="7316" xr:uid="{00000000-0005-0000-0000-0000941C0000}"/>
    <cellStyle name="Accent6 45 2 2" xfId="7317" xr:uid="{00000000-0005-0000-0000-0000951C0000}"/>
    <cellStyle name="Accent6 45 3" xfId="7318" xr:uid="{00000000-0005-0000-0000-0000961C0000}"/>
    <cellStyle name="Accent6 46" xfId="7319" xr:uid="{00000000-0005-0000-0000-0000971C0000}"/>
    <cellStyle name="Accent6 46 2" xfId="7320" xr:uid="{00000000-0005-0000-0000-0000981C0000}"/>
    <cellStyle name="Accent6 46 2 2" xfId="7321" xr:uid="{00000000-0005-0000-0000-0000991C0000}"/>
    <cellStyle name="Accent6 46 3" xfId="7322" xr:uid="{00000000-0005-0000-0000-00009A1C0000}"/>
    <cellStyle name="Accent6 47" xfId="7323" xr:uid="{00000000-0005-0000-0000-00009B1C0000}"/>
    <cellStyle name="Accent6 47 2" xfId="7324" xr:uid="{00000000-0005-0000-0000-00009C1C0000}"/>
    <cellStyle name="Accent6 47 2 2" xfId="7325" xr:uid="{00000000-0005-0000-0000-00009D1C0000}"/>
    <cellStyle name="Accent6 47 3" xfId="7326" xr:uid="{00000000-0005-0000-0000-00009E1C0000}"/>
    <cellStyle name="Accent6 48" xfId="7327" xr:uid="{00000000-0005-0000-0000-00009F1C0000}"/>
    <cellStyle name="Accent6 48 2" xfId="7328" xr:uid="{00000000-0005-0000-0000-0000A01C0000}"/>
    <cellStyle name="Accent6 48 2 2" xfId="7329" xr:uid="{00000000-0005-0000-0000-0000A11C0000}"/>
    <cellStyle name="Accent6 48 2 2 2" xfId="33938" xr:uid="{FD4F7F44-4F05-4F83-AF46-EC56AD8DAD14}"/>
    <cellStyle name="Accent6 48 2 3" xfId="33937" xr:uid="{64320623-E2D8-4926-BF19-C74CF2D6C38A}"/>
    <cellStyle name="Accent6 48 3" xfId="7330" xr:uid="{00000000-0005-0000-0000-0000A21C0000}"/>
    <cellStyle name="Accent6 48 3 2" xfId="7331" xr:uid="{00000000-0005-0000-0000-0000A31C0000}"/>
    <cellStyle name="Accent6 48 3 2 2" xfId="7332" xr:uid="{00000000-0005-0000-0000-0000A41C0000}"/>
    <cellStyle name="Accent6 48 3 2 2 2" xfId="33941" xr:uid="{703CE427-6B4D-4380-A1BA-CAD5A853C197}"/>
    <cellStyle name="Accent6 48 3 2 3" xfId="33940" xr:uid="{599DEF4D-EDA4-440C-B886-6356292871C7}"/>
    <cellStyle name="Accent6 48 3 3" xfId="7333" xr:uid="{00000000-0005-0000-0000-0000A51C0000}"/>
    <cellStyle name="Accent6 48 3 3 2" xfId="33942" xr:uid="{E2AD5C6C-D88D-4D11-9C5E-B4B2FD6D9693}"/>
    <cellStyle name="Accent6 48 3 4" xfId="33939" xr:uid="{D275DAF5-D849-4AFB-ACFC-F0394950580F}"/>
    <cellStyle name="Accent6 48 4" xfId="7334" xr:uid="{00000000-0005-0000-0000-0000A61C0000}"/>
    <cellStyle name="Accent6 48 4 2" xfId="33943" xr:uid="{F3F2CF28-8EAE-49C7-AA03-F79671EE8848}"/>
    <cellStyle name="Accent6 48 5" xfId="33936" xr:uid="{580E6A90-F752-453F-B408-2F54F1C819DC}"/>
    <cellStyle name="Accent6 49" xfId="7335" xr:uid="{00000000-0005-0000-0000-0000A71C0000}"/>
    <cellStyle name="Accent6 49 2" xfId="7336" xr:uid="{00000000-0005-0000-0000-0000A81C0000}"/>
    <cellStyle name="Accent6 49 2 2" xfId="7337" xr:uid="{00000000-0005-0000-0000-0000A91C0000}"/>
    <cellStyle name="Accent6 49 2 2 2" xfId="33946" xr:uid="{A46BCD6C-E896-4B63-9459-F4E84FF61528}"/>
    <cellStyle name="Accent6 49 2 3" xfId="33945" xr:uid="{F3234C90-92A9-48C2-8446-AB5D6BFD4098}"/>
    <cellStyle name="Accent6 49 3" xfId="7338" xr:uid="{00000000-0005-0000-0000-0000AA1C0000}"/>
    <cellStyle name="Accent6 49 3 2" xfId="7339" xr:uid="{00000000-0005-0000-0000-0000AB1C0000}"/>
    <cellStyle name="Accent6 49 3 2 2" xfId="7340" xr:uid="{00000000-0005-0000-0000-0000AC1C0000}"/>
    <cellStyle name="Accent6 49 3 2 2 2" xfId="33949" xr:uid="{F8A63B46-4D20-45E2-86C0-A21FB05FB397}"/>
    <cellStyle name="Accent6 49 3 2 3" xfId="33948" xr:uid="{22C5054E-1725-49EF-AF72-D6F9CF5B11D4}"/>
    <cellStyle name="Accent6 49 3 3" xfId="7341" xr:uid="{00000000-0005-0000-0000-0000AD1C0000}"/>
    <cellStyle name="Accent6 49 3 3 2" xfId="33950" xr:uid="{7D639730-9CE7-4E5B-8552-8E19425F94EA}"/>
    <cellStyle name="Accent6 49 3 4" xfId="33947" xr:uid="{7BE7F0B9-8637-42D3-A238-93B131593AD7}"/>
    <cellStyle name="Accent6 49 4" xfId="7342" xr:uid="{00000000-0005-0000-0000-0000AE1C0000}"/>
    <cellStyle name="Accent6 49 4 2" xfId="33951" xr:uid="{4612648A-BF7C-49A5-8B78-DAFA92E525F6}"/>
    <cellStyle name="Accent6 49 5" xfId="33944" xr:uid="{DE6DD295-4CC4-44AF-A94B-1EDCF72097F2}"/>
    <cellStyle name="Accent6 5" xfId="7343" xr:uid="{00000000-0005-0000-0000-0000AF1C0000}"/>
    <cellStyle name="Accent6 5 2" xfId="7344" xr:uid="{00000000-0005-0000-0000-0000B01C0000}"/>
    <cellStyle name="Accent6 5 2 2" xfId="7345" xr:uid="{00000000-0005-0000-0000-0000B11C0000}"/>
    <cellStyle name="Accent6 5 2 2 2" xfId="7346" xr:uid="{00000000-0005-0000-0000-0000B21C0000}"/>
    <cellStyle name="Accent6 5 2 3" xfId="7347" xr:uid="{00000000-0005-0000-0000-0000B31C0000}"/>
    <cellStyle name="Accent6 5 2 3 2" xfId="7348" xr:uid="{00000000-0005-0000-0000-0000B41C0000}"/>
    <cellStyle name="Accent6 5 2 3 2 2" xfId="7349" xr:uid="{00000000-0005-0000-0000-0000B51C0000}"/>
    <cellStyle name="Accent6 5 2 3 3" xfId="7350" xr:uid="{00000000-0005-0000-0000-0000B61C0000}"/>
    <cellStyle name="Accent6 5 2 4" xfId="7351" xr:uid="{00000000-0005-0000-0000-0000B71C0000}"/>
    <cellStyle name="Accent6 5 3" xfId="7352" xr:uid="{00000000-0005-0000-0000-0000B81C0000}"/>
    <cellStyle name="Accent6 5 3 2" xfId="7353" xr:uid="{00000000-0005-0000-0000-0000B91C0000}"/>
    <cellStyle name="Accent6 5 3 2 2" xfId="7354" xr:uid="{00000000-0005-0000-0000-0000BA1C0000}"/>
    <cellStyle name="Accent6 5 3 2 2 2" xfId="33954" xr:uid="{8E3E012D-F689-4B65-916E-61B781961D1E}"/>
    <cellStyle name="Accent6 5 3 2 3" xfId="33953" xr:uid="{A477FBBE-684A-4F4A-9CF3-8C3DEB3DBDE5}"/>
    <cellStyle name="Accent6 5 3 3" xfId="7355" xr:uid="{00000000-0005-0000-0000-0000BB1C0000}"/>
    <cellStyle name="Accent6 5 3 3 2" xfId="7356" xr:uid="{00000000-0005-0000-0000-0000BC1C0000}"/>
    <cellStyle name="Accent6 5 3 3 2 2" xfId="7357" xr:uid="{00000000-0005-0000-0000-0000BD1C0000}"/>
    <cellStyle name="Accent6 5 3 3 2 2 2" xfId="33957" xr:uid="{0FE9851F-721F-40DC-9A7E-A0E3C0F6091F}"/>
    <cellStyle name="Accent6 5 3 3 2 3" xfId="33956" xr:uid="{DCB96B03-E5AA-45A5-91D3-729F17B417E5}"/>
    <cellStyle name="Accent6 5 3 3 3" xfId="7358" xr:uid="{00000000-0005-0000-0000-0000BE1C0000}"/>
    <cellStyle name="Accent6 5 3 3 3 2" xfId="33958" xr:uid="{DD3D45BA-2104-49DF-8090-439C7B32B611}"/>
    <cellStyle name="Accent6 5 3 3 4" xfId="33955" xr:uid="{C74C1599-7AB2-4E48-9316-CD59BF6123A9}"/>
    <cellStyle name="Accent6 5 3 4" xfId="7359" xr:uid="{00000000-0005-0000-0000-0000BF1C0000}"/>
    <cellStyle name="Accent6 5 3 4 2" xfId="33959" xr:uid="{DF486B43-E3D0-45B2-B6EB-FD9215438408}"/>
    <cellStyle name="Accent6 5 3 5" xfId="33952" xr:uid="{66337B21-0135-4004-B6F6-4AFFE8638F12}"/>
    <cellStyle name="Accent6 5 4" xfId="7360" xr:uid="{00000000-0005-0000-0000-0000C01C0000}"/>
    <cellStyle name="Accent6 5 4 2" xfId="7361" xr:uid="{00000000-0005-0000-0000-0000C11C0000}"/>
    <cellStyle name="Accent6 5 5" xfId="7362" xr:uid="{00000000-0005-0000-0000-0000C21C0000}"/>
    <cellStyle name="Accent6 5 5 2" xfId="7363" xr:uid="{00000000-0005-0000-0000-0000C31C0000}"/>
    <cellStyle name="Accent6 5 5 2 2" xfId="7364" xr:uid="{00000000-0005-0000-0000-0000C41C0000}"/>
    <cellStyle name="Accent6 5 5 3" xfId="7365" xr:uid="{00000000-0005-0000-0000-0000C51C0000}"/>
    <cellStyle name="Accent6 5 6" xfId="7366" xr:uid="{00000000-0005-0000-0000-0000C61C0000}"/>
    <cellStyle name="Accent6 5 6 2" xfId="7367" xr:uid="{00000000-0005-0000-0000-0000C71C0000}"/>
    <cellStyle name="Accent6 5 7" xfId="7368" xr:uid="{00000000-0005-0000-0000-0000C81C0000}"/>
    <cellStyle name="Accent6 50" xfId="7369" xr:uid="{00000000-0005-0000-0000-0000C91C0000}"/>
    <cellStyle name="Accent6 50 2" xfId="7370" xr:uid="{00000000-0005-0000-0000-0000CA1C0000}"/>
    <cellStyle name="Accent6 50 2 2" xfId="7371" xr:uid="{00000000-0005-0000-0000-0000CB1C0000}"/>
    <cellStyle name="Accent6 50 2 2 2" xfId="33962" xr:uid="{2FA47D25-2811-4F93-AD86-C8558380812D}"/>
    <cellStyle name="Accent6 50 2 3" xfId="33961" xr:uid="{E37EE267-29C7-4BCF-95AA-67716E80C4D2}"/>
    <cellStyle name="Accent6 50 3" xfId="7372" xr:uid="{00000000-0005-0000-0000-0000CC1C0000}"/>
    <cellStyle name="Accent6 50 3 2" xfId="7373" xr:uid="{00000000-0005-0000-0000-0000CD1C0000}"/>
    <cellStyle name="Accent6 50 3 2 2" xfId="7374" xr:uid="{00000000-0005-0000-0000-0000CE1C0000}"/>
    <cellStyle name="Accent6 50 3 2 2 2" xfId="33965" xr:uid="{75FB1742-E262-47A1-B384-908F61B4D3DD}"/>
    <cellStyle name="Accent6 50 3 2 3" xfId="33964" xr:uid="{24164564-F8E2-4951-805B-3CD62B9E63D9}"/>
    <cellStyle name="Accent6 50 3 3" xfId="7375" xr:uid="{00000000-0005-0000-0000-0000CF1C0000}"/>
    <cellStyle name="Accent6 50 3 3 2" xfId="33966" xr:uid="{70E4D0B3-DE05-423B-AA6B-45B526BB088A}"/>
    <cellStyle name="Accent6 50 3 4" xfId="33963" xr:uid="{100351FB-5C43-4227-8C82-31F0BE79AAF0}"/>
    <cellStyle name="Accent6 50 4" xfId="7376" xr:uid="{00000000-0005-0000-0000-0000D01C0000}"/>
    <cellStyle name="Accent6 50 4 2" xfId="33967" xr:uid="{ACDC4855-EFB4-4F6C-88C3-9C292306E5C8}"/>
    <cellStyle name="Accent6 50 5" xfId="33960" xr:uid="{4FB73EDA-A017-4647-89A7-082720E534F8}"/>
    <cellStyle name="Accent6 51" xfId="7377" xr:uid="{00000000-0005-0000-0000-0000D11C0000}"/>
    <cellStyle name="Accent6 51 2" xfId="7378" xr:uid="{00000000-0005-0000-0000-0000D21C0000}"/>
    <cellStyle name="Accent6 51 2 2" xfId="7379" xr:uid="{00000000-0005-0000-0000-0000D31C0000}"/>
    <cellStyle name="Accent6 51 2 2 2" xfId="33970" xr:uid="{534826EA-B416-4641-8B39-137A8249018B}"/>
    <cellStyle name="Accent6 51 2 3" xfId="33969" xr:uid="{B50F3828-F3F1-4566-8413-28BDED192188}"/>
    <cellStyle name="Accent6 51 3" xfId="7380" xr:uid="{00000000-0005-0000-0000-0000D41C0000}"/>
    <cellStyle name="Accent6 51 3 2" xfId="7381" xr:uid="{00000000-0005-0000-0000-0000D51C0000}"/>
    <cellStyle name="Accent6 51 3 2 2" xfId="7382" xr:uid="{00000000-0005-0000-0000-0000D61C0000}"/>
    <cellStyle name="Accent6 51 3 2 2 2" xfId="33973" xr:uid="{A8ABDB90-8199-4A00-8ABF-E3110B73A36F}"/>
    <cellStyle name="Accent6 51 3 2 3" xfId="33972" xr:uid="{EC7E3FBE-1A05-49E1-B3EF-9C4906BD4C0D}"/>
    <cellStyle name="Accent6 51 3 3" xfId="7383" xr:uid="{00000000-0005-0000-0000-0000D71C0000}"/>
    <cellStyle name="Accent6 51 3 3 2" xfId="33974" xr:uid="{E9F799C4-FC68-44C4-9D8D-864699EAD169}"/>
    <cellStyle name="Accent6 51 3 4" xfId="33971" xr:uid="{5BA27237-8F15-4082-8E35-D9FD0FB513F1}"/>
    <cellStyle name="Accent6 51 4" xfId="7384" xr:uid="{00000000-0005-0000-0000-0000D81C0000}"/>
    <cellStyle name="Accent6 51 4 2" xfId="33975" xr:uid="{542D4E22-08A7-4F4E-B584-8F48A55224E8}"/>
    <cellStyle name="Accent6 51 5" xfId="33968" xr:uid="{EFF31E9E-3825-4AB1-8F3C-3E1FD55EBC71}"/>
    <cellStyle name="Accent6 52" xfId="7385" xr:uid="{00000000-0005-0000-0000-0000D91C0000}"/>
    <cellStyle name="Accent6 52 2" xfId="7386" xr:uid="{00000000-0005-0000-0000-0000DA1C0000}"/>
    <cellStyle name="Accent6 52 2 2" xfId="7387" xr:uid="{00000000-0005-0000-0000-0000DB1C0000}"/>
    <cellStyle name="Accent6 52 3" xfId="7388" xr:uid="{00000000-0005-0000-0000-0000DC1C0000}"/>
    <cellStyle name="Accent6 53" xfId="7389" xr:uid="{00000000-0005-0000-0000-0000DD1C0000}"/>
    <cellStyle name="Accent6 53 2" xfId="7390" xr:uid="{00000000-0005-0000-0000-0000DE1C0000}"/>
    <cellStyle name="Accent6 53 2 2" xfId="7391" xr:uid="{00000000-0005-0000-0000-0000DF1C0000}"/>
    <cellStyle name="Accent6 53 3" xfId="7392" xr:uid="{00000000-0005-0000-0000-0000E01C0000}"/>
    <cellStyle name="Accent6 54" xfId="7393" xr:uid="{00000000-0005-0000-0000-0000E11C0000}"/>
    <cellStyle name="Accent6 54 2" xfId="7394" xr:uid="{00000000-0005-0000-0000-0000E21C0000}"/>
    <cellStyle name="Accent6 54 2 2" xfId="7395" xr:uid="{00000000-0005-0000-0000-0000E31C0000}"/>
    <cellStyle name="Accent6 54 3" xfId="7396" xr:uid="{00000000-0005-0000-0000-0000E41C0000}"/>
    <cellStyle name="Accent6 55" xfId="7397" xr:uid="{00000000-0005-0000-0000-0000E51C0000}"/>
    <cellStyle name="Accent6 55 2" xfId="7398" xr:uid="{00000000-0005-0000-0000-0000E61C0000}"/>
    <cellStyle name="Accent6 55 2 2" xfId="7399" xr:uid="{00000000-0005-0000-0000-0000E71C0000}"/>
    <cellStyle name="Accent6 55 3" xfId="7400" xr:uid="{00000000-0005-0000-0000-0000E81C0000}"/>
    <cellStyle name="Accent6 56" xfId="7401" xr:uid="{00000000-0005-0000-0000-0000E91C0000}"/>
    <cellStyle name="Accent6 56 2" xfId="7402" xr:uid="{00000000-0005-0000-0000-0000EA1C0000}"/>
    <cellStyle name="Accent6 56 2 2" xfId="7403" xr:uid="{00000000-0005-0000-0000-0000EB1C0000}"/>
    <cellStyle name="Accent6 56 3" xfId="7404" xr:uid="{00000000-0005-0000-0000-0000EC1C0000}"/>
    <cellStyle name="Accent6 57" xfId="7405" xr:uid="{00000000-0005-0000-0000-0000ED1C0000}"/>
    <cellStyle name="Accent6 57 2" xfId="7406" xr:uid="{00000000-0005-0000-0000-0000EE1C0000}"/>
    <cellStyle name="Accent6 57 2 2" xfId="7407" xr:uid="{00000000-0005-0000-0000-0000EF1C0000}"/>
    <cellStyle name="Accent6 57 3" xfId="7408" xr:uid="{00000000-0005-0000-0000-0000F01C0000}"/>
    <cellStyle name="Accent6 58" xfId="7409" xr:uid="{00000000-0005-0000-0000-0000F11C0000}"/>
    <cellStyle name="Accent6 58 2" xfId="7410" xr:uid="{00000000-0005-0000-0000-0000F21C0000}"/>
    <cellStyle name="Accent6 58 2 2" xfId="7411" xr:uid="{00000000-0005-0000-0000-0000F31C0000}"/>
    <cellStyle name="Accent6 58 2 2 2" xfId="33978" xr:uid="{F8D21A8D-C700-40B3-8717-336A520B2E35}"/>
    <cellStyle name="Accent6 58 2 3" xfId="33977" xr:uid="{633B6828-9CDB-476C-83DF-EA55AF63CAEE}"/>
    <cellStyle name="Accent6 58 3" xfId="7412" xr:uid="{00000000-0005-0000-0000-0000F41C0000}"/>
    <cellStyle name="Accent6 58 3 2" xfId="7413" xr:uid="{00000000-0005-0000-0000-0000F51C0000}"/>
    <cellStyle name="Accent6 58 3 2 2" xfId="7414" xr:uid="{00000000-0005-0000-0000-0000F61C0000}"/>
    <cellStyle name="Accent6 58 3 2 2 2" xfId="33981" xr:uid="{23D3D0DE-3000-496F-9985-3808EC36F8B6}"/>
    <cellStyle name="Accent6 58 3 2 3" xfId="33980" xr:uid="{2DE30ED4-C8D3-4E43-B9DC-FBC8B642B29A}"/>
    <cellStyle name="Accent6 58 3 3" xfId="7415" xr:uid="{00000000-0005-0000-0000-0000F71C0000}"/>
    <cellStyle name="Accent6 58 3 3 2" xfId="33982" xr:uid="{14B3AC14-696D-4129-A106-05144D6A0C7A}"/>
    <cellStyle name="Accent6 58 3 4" xfId="33979" xr:uid="{5F958651-C3A0-473F-B943-28C9737A1AE2}"/>
    <cellStyle name="Accent6 58 4" xfId="7416" xr:uid="{00000000-0005-0000-0000-0000F81C0000}"/>
    <cellStyle name="Accent6 58 4 2" xfId="33983" xr:uid="{4257B2A8-6C2B-45F3-9BDB-E5944E246098}"/>
    <cellStyle name="Accent6 58 5" xfId="33976" xr:uid="{3B77C1E8-E575-418E-B19C-3DA98517234A}"/>
    <cellStyle name="Accent6 59" xfId="7417" xr:uid="{00000000-0005-0000-0000-0000F91C0000}"/>
    <cellStyle name="Accent6 59 2" xfId="7418" xr:uid="{00000000-0005-0000-0000-0000FA1C0000}"/>
    <cellStyle name="Accent6 59 2 2" xfId="7419" xr:uid="{00000000-0005-0000-0000-0000FB1C0000}"/>
    <cellStyle name="Accent6 59 2 2 2" xfId="33986" xr:uid="{43A63E15-29A9-4402-BBFB-80FD4955F902}"/>
    <cellStyle name="Accent6 59 2 3" xfId="33985" xr:uid="{E6CE260D-5238-417D-B981-DE447F568AB6}"/>
    <cellStyle name="Accent6 59 3" xfId="7420" xr:uid="{00000000-0005-0000-0000-0000FC1C0000}"/>
    <cellStyle name="Accent6 59 3 2" xfId="7421" xr:uid="{00000000-0005-0000-0000-0000FD1C0000}"/>
    <cellStyle name="Accent6 59 3 2 2" xfId="7422" xr:uid="{00000000-0005-0000-0000-0000FE1C0000}"/>
    <cellStyle name="Accent6 59 3 2 2 2" xfId="33989" xr:uid="{00D0D703-CF0E-4054-9C5B-A8F9A4FC7113}"/>
    <cellStyle name="Accent6 59 3 2 3" xfId="33988" xr:uid="{7C5804DA-7D93-4212-890D-FDEA2174B126}"/>
    <cellStyle name="Accent6 59 3 3" xfId="7423" xr:uid="{00000000-0005-0000-0000-0000FF1C0000}"/>
    <cellStyle name="Accent6 59 3 3 2" xfId="33990" xr:uid="{5BD44924-DC1D-444F-841E-74884031987B}"/>
    <cellStyle name="Accent6 59 3 4" xfId="33987" xr:uid="{955C6F10-D709-438E-9E84-0D0CA47425BC}"/>
    <cellStyle name="Accent6 59 4" xfId="7424" xr:uid="{00000000-0005-0000-0000-0000001D0000}"/>
    <cellStyle name="Accent6 59 4 2" xfId="33991" xr:uid="{817DACF5-8CEA-4143-8B31-30AAED090AD4}"/>
    <cellStyle name="Accent6 59 5" xfId="33984" xr:uid="{F286C56A-3FA8-4480-B0FF-9C4F6E3345CB}"/>
    <cellStyle name="Accent6 6" xfId="7425" xr:uid="{00000000-0005-0000-0000-0000011D0000}"/>
    <cellStyle name="Accent6 6 2" xfId="7426" xr:uid="{00000000-0005-0000-0000-0000021D0000}"/>
    <cellStyle name="Accent6 6 2 2" xfId="7427" xr:uid="{00000000-0005-0000-0000-0000031D0000}"/>
    <cellStyle name="Accent6 6 2 2 2" xfId="7428" xr:uid="{00000000-0005-0000-0000-0000041D0000}"/>
    <cellStyle name="Accent6 6 2 3" xfId="7429" xr:uid="{00000000-0005-0000-0000-0000051D0000}"/>
    <cellStyle name="Accent6 6 2 3 2" xfId="7430" xr:uid="{00000000-0005-0000-0000-0000061D0000}"/>
    <cellStyle name="Accent6 6 2 3 2 2" xfId="7431" xr:uid="{00000000-0005-0000-0000-0000071D0000}"/>
    <cellStyle name="Accent6 6 2 3 3" xfId="7432" xr:uid="{00000000-0005-0000-0000-0000081D0000}"/>
    <cellStyle name="Accent6 6 2 4" xfId="7433" xr:uid="{00000000-0005-0000-0000-0000091D0000}"/>
    <cellStyle name="Accent6 6 3" xfId="7434" xr:uid="{00000000-0005-0000-0000-00000A1D0000}"/>
    <cellStyle name="Accent6 6 3 2" xfId="7435" xr:uid="{00000000-0005-0000-0000-00000B1D0000}"/>
    <cellStyle name="Accent6 6 4" xfId="7436" xr:uid="{00000000-0005-0000-0000-00000C1D0000}"/>
    <cellStyle name="Accent6 6 4 2" xfId="7437" xr:uid="{00000000-0005-0000-0000-00000D1D0000}"/>
    <cellStyle name="Accent6 6 4 2 2" xfId="7438" xr:uid="{00000000-0005-0000-0000-00000E1D0000}"/>
    <cellStyle name="Accent6 6 4 3" xfId="7439" xr:uid="{00000000-0005-0000-0000-00000F1D0000}"/>
    <cellStyle name="Accent6 6 5" xfId="7440" xr:uid="{00000000-0005-0000-0000-0000101D0000}"/>
    <cellStyle name="Accent6 60" xfId="7441" xr:uid="{00000000-0005-0000-0000-0000111D0000}"/>
    <cellStyle name="Accent6 60 2" xfId="7442" xr:uid="{00000000-0005-0000-0000-0000121D0000}"/>
    <cellStyle name="Accent6 60 2 2" xfId="7443" xr:uid="{00000000-0005-0000-0000-0000131D0000}"/>
    <cellStyle name="Accent6 60 2 2 2" xfId="33994" xr:uid="{90904E60-6908-4A70-B0C0-A6C43157ABF3}"/>
    <cellStyle name="Accent6 60 2 3" xfId="33993" xr:uid="{FFE25456-7ADB-4A3F-930C-83C6D1290DE0}"/>
    <cellStyle name="Accent6 60 3" xfId="7444" xr:uid="{00000000-0005-0000-0000-0000141D0000}"/>
    <cellStyle name="Accent6 60 3 2" xfId="7445" xr:uid="{00000000-0005-0000-0000-0000151D0000}"/>
    <cellStyle name="Accent6 60 3 2 2" xfId="7446" xr:uid="{00000000-0005-0000-0000-0000161D0000}"/>
    <cellStyle name="Accent6 60 3 2 2 2" xfId="33997" xr:uid="{D994417B-7F50-4820-AAFE-E1095A4CFBBA}"/>
    <cellStyle name="Accent6 60 3 2 3" xfId="33996" xr:uid="{67DF0D7E-9E66-49D7-B5BA-A5F48FF2A8A7}"/>
    <cellStyle name="Accent6 60 3 3" xfId="7447" xr:uid="{00000000-0005-0000-0000-0000171D0000}"/>
    <cellStyle name="Accent6 60 3 3 2" xfId="33998" xr:uid="{55EBCB62-74B0-4403-90A7-4BB275039B9F}"/>
    <cellStyle name="Accent6 60 3 4" xfId="33995" xr:uid="{D34D9FEA-4EC1-4C3C-B649-D548857DA2D9}"/>
    <cellStyle name="Accent6 60 4" xfId="7448" xr:uid="{00000000-0005-0000-0000-0000181D0000}"/>
    <cellStyle name="Accent6 60 4 2" xfId="33999" xr:uid="{7A31A1C4-CD5E-4688-A5DA-378B9D833642}"/>
    <cellStyle name="Accent6 60 5" xfId="33992" xr:uid="{7FACF76C-1BBE-4AB6-8900-139223BF2EB2}"/>
    <cellStyle name="Accent6 61" xfId="7449" xr:uid="{00000000-0005-0000-0000-0000191D0000}"/>
    <cellStyle name="Accent6 61 2" xfId="7450" xr:uid="{00000000-0005-0000-0000-00001A1D0000}"/>
    <cellStyle name="Accent6 61 2 2" xfId="7451" xr:uid="{00000000-0005-0000-0000-00001B1D0000}"/>
    <cellStyle name="Accent6 61 2 2 2" xfId="34002" xr:uid="{2A493B67-04AE-4568-ABE2-616F58837195}"/>
    <cellStyle name="Accent6 61 2 3" xfId="34001" xr:uid="{353E7288-CEFF-46C5-AF55-CC56C1701EA7}"/>
    <cellStyle name="Accent6 61 3" xfId="7452" xr:uid="{00000000-0005-0000-0000-00001C1D0000}"/>
    <cellStyle name="Accent6 61 3 2" xfId="7453" xr:uid="{00000000-0005-0000-0000-00001D1D0000}"/>
    <cellStyle name="Accent6 61 3 2 2" xfId="7454" xr:uid="{00000000-0005-0000-0000-00001E1D0000}"/>
    <cellStyle name="Accent6 61 3 2 2 2" xfId="34005" xr:uid="{F82EAB47-F358-4662-B045-3304ED777342}"/>
    <cellStyle name="Accent6 61 3 2 3" xfId="34004" xr:uid="{882546B0-B2CC-4E38-ACC9-894D31E2010F}"/>
    <cellStyle name="Accent6 61 3 3" xfId="7455" xr:uid="{00000000-0005-0000-0000-00001F1D0000}"/>
    <cellStyle name="Accent6 61 3 3 2" xfId="34006" xr:uid="{F651820F-9302-4489-B1AB-29CDCD76BFDA}"/>
    <cellStyle name="Accent6 61 3 4" xfId="34003" xr:uid="{9005A537-6012-4267-8A13-B8F33AF0560A}"/>
    <cellStyle name="Accent6 61 4" xfId="7456" xr:uid="{00000000-0005-0000-0000-0000201D0000}"/>
    <cellStyle name="Accent6 61 4 2" xfId="34007" xr:uid="{6533298F-5223-4E8A-A0CE-F99F4CDECE36}"/>
    <cellStyle name="Accent6 61 5" xfId="34000" xr:uid="{1882AC96-2760-4F8A-A2E3-076A95267E67}"/>
    <cellStyle name="Accent6 62" xfId="7457" xr:uid="{00000000-0005-0000-0000-0000211D0000}"/>
    <cellStyle name="Accent6 62 2" xfId="7458" xr:uid="{00000000-0005-0000-0000-0000221D0000}"/>
    <cellStyle name="Accent6 62 2 2" xfId="7459" xr:uid="{00000000-0005-0000-0000-0000231D0000}"/>
    <cellStyle name="Accent6 62 2 2 2" xfId="34010" xr:uid="{0F6DF10D-A318-46E5-9D93-3742F32F7FD1}"/>
    <cellStyle name="Accent6 62 2 3" xfId="34009" xr:uid="{00D64923-FFB8-4B78-A2CD-FA7D84FF86B2}"/>
    <cellStyle name="Accent6 62 3" xfId="7460" xr:uid="{00000000-0005-0000-0000-0000241D0000}"/>
    <cellStyle name="Accent6 62 3 2" xfId="7461" xr:uid="{00000000-0005-0000-0000-0000251D0000}"/>
    <cellStyle name="Accent6 62 3 2 2" xfId="7462" xr:uid="{00000000-0005-0000-0000-0000261D0000}"/>
    <cellStyle name="Accent6 62 3 2 2 2" xfId="34013" xr:uid="{F84D4FBB-3970-4A64-A497-3FFD8223AA0A}"/>
    <cellStyle name="Accent6 62 3 2 3" xfId="34012" xr:uid="{6DCE004F-2E8E-4F66-A5F7-767A4CD88864}"/>
    <cellStyle name="Accent6 62 3 3" xfId="7463" xr:uid="{00000000-0005-0000-0000-0000271D0000}"/>
    <cellStyle name="Accent6 62 3 3 2" xfId="34014" xr:uid="{0BC9E898-8D47-4865-969C-198B2E4AC235}"/>
    <cellStyle name="Accent6 62 3 4" xfId="34011" xr:uid="{63C43BAA-617D-4B8E-AC13-86BA4F5FF942}"/>
    <cellStyle name="Accent6 62 4" xfId="7464" xr:uid="{00000000-0005-0000-0000-0000281D0000}"/>
    <cellStyle name="Accent6 62 4 2" xfId="34015" xr:uid="{26A53672-45F1-45A2-AF4C-88596FF6EF8E}"/>
    <cellStyle name="Accent6 62 5" xfId="34008" xr:uid="{036C6A2F-83C2-4123-B69E-F0FC3FD0FBBC}"/>
    <cellStyle name="Accent6 63" xfId="7465" xr:uid="{00000000-0005-0000-0000-0000291D0000}"/>
    <cellStyle name="Accent6 63 2" xfId="7466" xr:uid="{00000000-0005-0000-0000-00002A1D0000}"/>
    <cellStyle name="Accent6 63 2 2" xfId="7467" xr:uid="{00000000-0005-0000-0000-00002B1D0000}"/>
    <cellStyle name="Accent6 63 2 2 2" xfId="34018" xr:uid="{1BA004F9-B20F-43AB-B645-C94B0FF6B134}"/>
    <cellStyle name="Accent6 63 2 3" xfId="34017" xr:uid="{3F7D903F-9606-4DD2-881F-4891FA0F7035}"/>
    <cellStyle name="Accent6 63 3" xfId="7468" xr:uid="{00000000-0005-0000-0000-00002C1D0000}"/>
    <cellStyle name="Accent6 63 3 2" xfId="7469" xr:uid="{00000000-0005-0000-0000-00002D1D0000}"/>
    <cellStyle name="Accent6 63 3 2 2" xfId="7470" xr:uid="{00000000-0005-0000-0000-00002E1D0000}"/>
    <cellStyle name="Accent6 63 3 2 2 2" xfId="34021" xr:uid="{B4F850FB-CF5E-4513-B76E-701B97A61E6E}"/>
    <cellStyle name="Accent6 63 3 2 3" xfId="34020" xr:uid="{FCC936DB-E9EE-4B70-A55B-8FA2A863CC17}"/>
    <cellStyle name="Accent6 63 3 3" xfId="7471" xr:uid="{00000000-0005-0000-0000-00002F1D0000}"/>
    <cellStyle name="Accent6 63 3 3 2" xfId="34022" xr:uid="{4F8CEC30-92F2-4AA0-A111-41EA98E9AB71}"/>
    <cellStyle name="Accent6 63 3 4" xfId="34019" xr:uid="{FB42456E-326F-43D7-90F4-0B0C729CFF94}"/>
    <cellStyle name="Accent6 63 4" xfId="7472" xr:uid="{00000000-0005-0000-0000-0000301D0000}"/>
    <cellStyle name="Accent6 63 4 2" xfId="34023" xr:uid="{A86FBC51-CC55-4BDB-B9E9-8D83500A1EB5}"/>
    <cellStyle name="Accent6 63 5" xfId="34016" xr:uid="{CBBC67E3-C46A-42A7-9CD5-5105B1D93C1E}"/>
    <cellStyle name="Accent6 64" xfId="7473" xr:uid="{00000000-0005-0000-0000-0000311D0000}"/>
    <cellStyle name="Accent6 64 2" xfId="7474" xr:uid="{00000000-0005-0000-0000-0000321D0000}"/>
    <cellStyle name="Accent6 64 2 2" xfId="7475" xr:uid="{00000000-0005-0000-0000-0000331D0000}"/>
    <cellStyle name="Accent6 64 2 2 2" xfId="34026" xr:uid="{47E43FD6-B29A-42DD-82CE-9649FB55552F}"/>
    <cellStyle name="Accent6 64 2 3" xfId="34025" xr:uid="{E46DBA29-8C39-4609-A0D4-8DAF4D8B2942}"/>
    <cellStyle name="Accent6 64 3" xfId="7476" xr:uid="{00000000-0005-0000-0000-0000341D0000}"/>
    <cellStyle name="Accent6 64 3 2" xfId="7477" xr:uid="{00000000-0005-0000-0000-0000351D0000}"/>
    <cellStyle name="Accent6 64 3 2 2" xfId="7478" xr:uid="{00000000-0005-0000-0000-0000361D0000}"/>
    <cellStyle name="Accent6 64 3 2 2 2" xfId="34029" xr:uid="{37974C92-5BEF-4B06-88D0-29E0BCFBE387}"/>
    <cellStyle name="Accent6 64 3 2 3" xfId="34028" xr:uid="{4B8D1F11-1E60-41CA-9E41-8792D4C19A6E}"/>
    <cellStyle name="Accent6 64 3 3" xfId="7479" xr:uid="{00000000-0005-0000-0000-0000371D0000}"/>
    <cellStyle name="Accent6 64 3 3 2" xfId="34030" xr:uid="{04FB578A-9E77-43E8-A69B-08850D295278}"/>
    <cellStyle name="Accent6 64 3 4" xfId="34027" xr:uid="{83F9BD59-1331-48D1-8B79-C0AB4E330B05}"/>
    <cellStyle name="Accent6 64 4" xfId="7480" xr:uid="{00000000-0005-0000-0000-0000381D0000}"/>
    <cellStyle name="Accent6 64 4 2" xfId="34031" xr:uid="{76F0F619-7D9F-4A98-9246-4401E1539E8A}"/>
    <cellStyle name="Accent6 64 5" xfId="34024" xr:uid="{D92FFAFA-AB28-4E66-8A4B-C1A681EDE733}"/>
    <cellStyle name="Accent6 65" xfId="7481" xr:uid="{00000000-0005-0000-0000-0000391D0000}"/>
    <cellStyle name="Accent6 65 2" xfId="7482" xr:uid="{00000000-0005-0000-0000-00003A1D0000}"/>
    <cellStyle name="Accent6 65 2 2" xfId="7483" xr:uid="{00000000-0005-0000-0000-00003B1D0000}"/>
    <cellStyle name="Accent6 65 2 2 2" xfId="34034" xr:uid="{67A94467-7ED7-4197-A130-A6C452146DD2}"/>
    <cellStyle name="Accent6 65 2 3" xfId="34033" xr:uid="{2A4A621D-2E53-4B14-9A0F-A63AEB9CF4A7}"/>
    <cellStyle name="Accent6 65 3" xfId="7484" xr:uid="{00000000-0005-0000-0000-00003C1D0000}"/>
    <cellStyle name="Accent6 65 3 2" xfId="7485" xr:uid="{00000000-0005-0000-0000-00003D1D0000}"/>
    <cellStyle name="Accent6 65 3 2 2" xfId="7486" xr:uid="{00000000-0005-0000-0000-00003E1D0000}"/>
    <cellStyle name="Accent6 65 3 2 2 2" xfId="34037" xr:uid="{5125AB9D-3672-4B9E-A140-78752878B604}"/>
    <cellStyle name="Accent6 65 3 2 3" xfId="34036" xr:uid="{785DC5F4-2EEA-4FAD-A073-F3BDAF4467C0}"/>
    <cellStyle name="Accent6 65 3 3" xfId="7487" xr:uid="{00000000-0005-0000-0000-00003F1D0000}"/>
    <cellStyle name="Accent6 65 3 3 2" xfId="34038" xr:uid="{AEC8691A-21E4-4D7A-9FB3-E69A9F89CD8A}"/>
    <cellStyle name="Accent6 65 3 4" xfId="34035" xr:uid="{34AD27A6-6829-476C-ABE4-0454545805D2}"/>
    <cellStyle name="Accent6 65 4" xfId="7488" xr:uid="{00000000-0005-0000-0000-0000401D0000}"/>
    <cellStyle name="Accent6 65 4 2" xfId="34039" xr:uid="{F3AF0836-CE77-4447-870E-DCA1D3A9B353}"/>
    <cellStyle name="Accent6 65 5" xfId="34032" xr:uid="{B31394EC-763D-4B98-A5EB-91552AAC9FB1}"/>
    <cellStyle name="Accent6 66" xfId="7489" xr:uid="{00000000-0005-0000-0000-0000411D0000}"/>
    <cellStyle name="Accent6 66 2" xfId="7490" xr:uid="{00000000-0005-0000-0000-0000421D0000}"/>
    <cellStyle name="Accent6 66 2 2" xfId="7491" xr:uid="{00000000-0005-0000-0000-0000431D0000}"/>
    <cellStyle name="Accent6 66 2 2 2" xfId="34042" xr:uid="{D4BEE2E2-97FD-4641-AAD8-9D8026FC3D64}"/>
    <cellStyle name="Accent6 66 2 3" xfId="34041" xr:uid="{801A2EDF-F906-4773-AF67-E69AD20548DC}"/>
    <cellStyle name="Accent6 66 3" xfId="7492" xr:uid="{00000000-0005-0000-0000-0000441D0000}"/>
    <cellStyle name="Accent6 66 3 2" xfId="7493" xr:uid="{00000000-0005-0000-0000-0000451D0000}"/>
    <cellStyle name="Accent6 66 3 2 2" xfId="7494" xr:uid="{00000000-0005-0000-0000-0000461D0000}"/>
    <cellStyle name="Accent6 66 3 2 2 2" xfId="34045" xr:uid="{1387E4C6-D37E-4490-967C-CF05E4762ADE}"/>
    <cellStyle name="Accent6 66 3 2 3" xfId="34044" xr:uid="{E757FE03-32B2-4FED-A7DF-B1D00BA0F9FD}"/>
    <cellStyle name="Accent6 66 3 3" xfId="7495" xr:uid="{00000000-0005-0000-0000-0000471D0000}"/>
    <cellStyle name="Accent6 66 3 3 2" xfId="34046" xr:uid="{650567BC-E1D7-4731-94F8-C6EF7EBDFF1C}"/>
    <cellStyle name="Accent6 66 3 4" xfId="34043" xr:uid="{35D7FE72-77A4-4903-8BB1-DAB598658D40}"/>
    <cellStyle name="Accent6 66 4" xfId="7496" xr:uid="{00000000-0005-0000-0000-0000481D0000}"/>
    <cellStyle name="Accent6 66 4 2" xfId="34047" xr:uid="{71FDC6C5-B81D-440F-89D9-8574477AD6CB}"/>
    <cellStyle name="Accent6 66 5" xfId="34040" xr:uid="{C8B4E2C7-D795-48AF-A3E8-D8341CBC79AB}"/>
    <cellStyle name="Accent6 67" xfId="7497" xr:uid="{00000000-0005-0000-0000-0000491D0000}"/>
    <cellStyle name="Accent6 67 2" xfId="7498" xr:uid="{00000000-0005-0000-0000-00004A1D0000}"/>
    <cellStyle name="Accent6 67 2 2" xfId="7499" xr:uid="{00000000-0005-0000-0000-00004B1D0000}"/>
    <cellStyle name="Accent6 67 2 2 2" xfId="34050" xr:uid="{7BF3566B-1AF5-4BEA-97CF-DAE85D7ABC09}"/>
    <cellStyle name="Accent6 67 2 3" xfId="34049" xr:uid="{0E841C92-77D4-4D6A-ADB3-4DA1C2308FF2}"/>
    <cellStyle name="Accent6 67 3" xfId="7500" xr:uid="{00000000-0005-0000-0000-00004C1D0000}"/>
    <cellStyle name="Accent6 67 3 2" xfId="7501" xr:uid="{00000000-0005-0000-0000-00004D1D0000}"/>
    <cellStyle name="Accent6 67 3 2 2" xfId="7502" xr:uid="{00000000-0005-0000-0000-00004E1D0000}"/>
    <cellStyle name="Accent6 67 3 2 2 2" xfId="34053" xr:uid="{6F97AFD1-F9B4-477F-A6FB-5FDA0C9C419A}"/>
    <cellStyle name="Accent6 67 3 2 3" xfId="34052" xr:uid="{EC49E2C0-3F63-43DB-86D1-369F8327625B}"/>
    <cellStyle name="Accent6 67 3 3" xfId="7503" xr:uid="{00000000-0005-0000-0000-00004F1D0000}"/>
    <cellStyle name="Accent6 67 3 3 2" xfId="34054" xr:uid="{457076E2-CA66-487E-8650-AD83A11F3BF7}"/>
    <cellStyle name="Accent6 67 3 4" xfId="34051" xr:uid="{BDF3A3B6-8850-4550-A017-543A14527E05}"/>
    <cellStyle name="Accent6 67 4" xfId="7504" xr:uid="{00000000-0005-0000-0000-0000501D0000}"/>
    <cellStyle name="Accent6 67 4 2" xfId="34055" xr:uid="{C60BA3B7-CF31-4EB2-891D-76E72F276267}"/>
    <cellStyle name="Accent6 67 5" xfId="34048" xr:uid="{2B4AA602-7710-492E-908B-0182C45885F5}"/>
    <cellStyle name="Accent6 68" xfId="7505" xr:uid="{00000000-0005-0000-0000-0000511D0000}"/>
    <cellStyle name="Accent6 68 2" xfId="7506" xr:uid="{00000000-0005-0000-0000-0000521D0000}"/>
    <cellStyle name="Accent6 68 2 2" xfId="7507" xr:uid="{00000000-0005-0000-0000-0000531D0000}"/>
    <cellStyle name="Accent6 68 2 2 2" xfId="34058" xr:uid="{6DEB589C-4C69-45F4-B426-F4AFC6FCE0DA}"/>
    <cellStyle name="Accent6 68 2 3" xfId="34057" xr:uid="{642F1C31-1412-4EF9-8CE0-7E6E516C82B0}"/>
    <cellStyle name="Accent6 68 3" xfId="7508" xr:uid="{00000000-0005-0000-0000-0000541D0000}"/>
    <cellStyle name="Accent6 68 3 2" xfId="7509" xr:uid="{00000000-0005-0000-0000-0000551D0000}"/>
    <cellStyle name="Accent6 68 3 2 2" xfId="7510" xr:uid="{00000000-0005-0000-0000-0000561D0000}"/>
    <cellStyle name="Accent6 68 3 2 2 2" xfId="34061" xr:uid="{F9D4CF20-4FA7-477D-87AD-9E4AE7E5EED5}"/>
    <cellStyle name="Accent6 68 3 2 3" xfId="34060" xr:uid="{3A658A86-4DCC-47A0-B5F7-ADE579AAC9EC}"/>
    <cellStyle name="Accent6 68 3 3" xfId="7511" xr:uid="{00000000-0005-0000-0000-0000571D0000}"/>
    <cellStyle name="Accent6 68 3 3 2" xfId="34062" xr:uid="{EF4F642E-ACC2-4E88-936C-144409F4A941}"/>
    <cellStyle name="Accent6 68 3 4" xfId="34059" xr:uid="{FAB92D13-5331-4FD5-92FB-899FDA0E658A}"/>
    <cellStyle name="Accent6 68 4" xfId="7512" xr:uid="{00000000-0005-0000-0000-0000581D0000}"/>
    <cellStyle name="Accent6 68 4 2" xfId="34063" xr:uid="{7783CA43-E3D9-48F9-9798-E77CB8F12A3F}"/>
    <cellStyle name="Accent6 68 5" xfId="34056" xr:uid="{E0AC19A5-5F33-47D0-8256-43FDDF1EE861}"/>
    <cellStyle name="Accent6 69" xfId="7513" xr:uid="{00000000-0005-0000-0000-0000591D0000}"/>
    <cellStyle name="Accent6 69 2" xfId="7514" xr:uid="{00000000-0005-0000-0000-00005A1D0000}"/>
    <cellStyle name="Accent6 69 2 2" xfId="7515" xr:uid="{00000000-0005-0000-0000-00005B1D0000}"/>
    <cellStyle name="Accent6 69 2 2 2" xfId="34066" xr:uid="{92954824-7009-4817-AFED-8D2032165E44}"/>
    <cellStyle name="Accent6 69 2 3" xfId="34065" xr:uid="{661096EA-A6F5-482E-A78F-708CF0959021}"/>
    <cellStyle name="Accent6 69 3" xfId="7516" xr:uid="{00000000-0005-0000-0000-00005C1D0000}"/>
    <cellStyle name="Accent6 69 3 2" xfId="7517" xr:uid="{00000000-0005-0000-0000-00005D1D0000}"/>
    <cellStyle name="Accent6 69 3 2 2" xfId="7518" xr:uid="{00000000-0005-0000-0000-00005E1D0000}"/>
    <cellStyle name="Accent6 69 3 2 2 2" xfId="34069" xr:uid="{95D8A626-2922-42FB-BC40-321C8CF12C68}"/>
    <cellStyle name="Accent6 69 3 2 3" xfId="34068" xr:uid="{20D47729-A36D-489C-9146-4878D8F20A74}"/>
    <cellStyle name="Accent6 69 3 3" xfId="7519" xr:uid="{00000000-0005-0000-0000-00005F1D0000}"/>
    <cellStyle name="Accent6 69 3 3 2" xfId="34070" xr:uid="{9529AB76-2588-4108-9C0F-D81EF331238A}"/>
    <cellStyle name="Accent6 69 3 4" xfId="34067" xr:uid="{1E6141D0-5A33-485C-9A61-170A81B94B19}"/>
    <cellStyle name="Accent6 69 4" xfId="7520" xr:uid="{00000000-0005-0000-0000-0000601D0000}"/>
    <cellStyle name="Accent6 69 4 2" xfId="34071" xr:uid="{E54FFB7B-5D28-448D-9431-F911945A87AB}"/>
    <cellStyle name="Accent6 69 5" xfId="34064" xr:uid="{2BB3D485-C185-4E43-9FD9-4604765F47C4}"/>
    <cellStyle name="Accent6 7" xfId="7521" xr:uid="{00000000-0005-0000-0000-0000611D0000}"/>
    <cellStyle name="Accent6 7 2" xfId="7522" xr:uid="{00000000-0005-0000-0000-0000621D0000}"/>
    <cellStyle name="Accent6 7 2 2" xfId="7523" xr:uid="{00000000-0005-0000-0000-0000631D0000}"/>
    <cellStyle name="Accent6 7 2 2 2" xfId="7524" xr:uid="{00000000-0005-0000-0000-0000641D0000}"/>
    <cellStyle name="Accent6 7 2 3" xfId="7525" xr:uid="{00000000-0005-0000-0000-0000651D0000}"/>
    <cellStyle name="Accent6 7 2 3 2" xfId="7526" xr:uid="{00000000-0005-0000-0000-0000661D0000}"/>
    <cellStyle name="Accent6 7 2 3 2 2" xfId="7527" xr:uid="{00000000-0005-0000-0000-0000671D0000}"/>
    <cellStyle name="Accent6 7 2 3 3" xfId="7528" xr:uid="{00000000-0005-0000-0000-0000681D0000}"/>
    <cellStyle name="Accent6 7 2 4" xfId="7529" xr:uid="{00000000-0005-0000-0000-0000691D0000}"/>
    <cellStyle name="Accent6 7 3" xfId="7530" xr:uid="{00000000-0005-0000-0000-00006A1D0000}"/>
    <cellStyle name="Accent6 7 3 2" xfId="7531" xr:uid="{00000000-0005-0000-0000-00006B1D0000}"/>
    <cellStyle name="Accent6 7 4" xfId="7532" xr:uid="{00000000-0005-0000-0000-00006C1D0000}"/>
    <cellStyle name="Accent6 7 4 2" xfId="7533" xr:uid="{00000000-0005-0000-0000-00006D1D0000}"/>
    <cellStyle name="Accent6 7 4 2 2" xfId="7534" xr:uid="{00000000-0005-0000-0000-00006E1D0000}"/>
    <cellStyle name="Accent6 7 4 3" xfId="7535" xr:uid="{00000000-0005-0000-0000-00006F1D0000}"/>
    <cellStyle name="Accent6 7 5" xfId="7536" xr:uid="{00000000-0005-0000-0000-0000701D0000}"/>
    <cellStyle name="Accent6 70" xfId="7537" xr:uid="{00000000-0005-0000-0000-0000711D0000}"/>
    <cellStyle name="Accent6 70 2" xfId="7538" xr:uid="{00000000-0005-0000-0000-0000721D0000}"/>
    <cellStyle name="Accent6 70 2 2" xfId="7539" xr:uid="{00000000-0005-0000-0000-0000731D0000}"/>
    <cellStyle name="Accent6 70 2 2 2" xfId="34074" xr:uid="{17B019F0-8E1B-4DD0-AAF4-75230ED88C17}"/>
    <cellStyle name="Accent6 70 2 3" xfId="34073" xr:uid="{8ABA0B47-F2DB-4718-B414-12591153CB69}"/>
    <cellStyle name="Accent6 70 3" xfId="7540" xr:uid="{00000000-0005-0000-0000-0000741D0000}"/>
    <cellStyle name="Accent6 70 3 2" xfId="7541" xr:uid="{00000000-0005-0000-0000-0000751D0000}"/>
    <cellStyle name="Accent6 70 3 2 2" xfId="7542" xr:uid="{00000000-0005-0000-0000-0000761D0000}"/>
    <cellStyle name="Accent6 70 3 2 2 2" xfId="34077" xr:uid="{D1430FAD-D5DC-4196-A7DA-5C23A31ABA1B}"/>
    <cellStyle name="Accent6 70 3 2 3" xfId="34076" xr:uid="{5114759C-05D5-4E7C-A1F0-8299FE18E98F}"/>
    <cellStyle name="Accent6 70 3 3" xfId="7543" xr:uid="{00000000-0005-0000-0000-0000771D0000}"/>
    <cellStyle name="Accent6 70 3 3 2" xfId="34078" xr:uid="{56260F8A-D1AA-4589-8EC1-20CC88068863}"/>
    <cellStyle name="Accent6 70 3 4" xfId="34075" xr:uid="{96D178AC-F4FA-4344-ACD7-708CD4199250}"/>
    <cellStyle name="Accent6 70 4" xfId="7544" xr:uid="{00000000-0005-0000-0000-0000781D0000}"/>
    <cellStyle name="Accent6 70 4 2" xfId="34079" xr:uid="{03648325-B103-4091-A802-B480C19E9921}"/>
    <cellStyle name="Accent6 70 5" xfId="34072" xr:uid="{8591953C-D04B-4491-91C4-C30E18B18786}"/>
    <cellStyle name="Accent6 71" xfId="7545" xr:uid="{00000000-0005-0000-0000-0000791D0000}"/>
    <cellStyle name="Accent6 71 2" xfId="7546" xr:uid="{00000000-0005-0000-0000-00007A1D0000}"/>
    <cellStyle name="Accent6 71 2 2" xfId="7547" xr:uid="{00000000-0005-0000-0000-00007B1D0000}"/>
    <cellStyle name="Accent6 71 2 2 2" xfId="34082" xr:uid="{63012C31-5583-442D-9978-76BEC75C1661}"/>
    <cellStyle name="Accent6 71 2 3" xfId="34081" xr:uid="{56B0AA5A-CAF6-4861-BEB3-2E18DF49E7C0}"/>
    <cellStyle name="Accent6 71 3" xfId="7548" xr:uid="{00000000-0005-0000-0000-00007C1D0000}"/>
    <cellStyle name="Accent6 71 3 2" xfId="7549" xr:uid="{00000000-0005-0000-0000-00007D1D0000}"/>
    <cellStyle name="Accent6 71 3 2 2" xfId="7550" xr:uid="{00000000-0005-0000-0000-00007E1D0000}"/>
    <cellStyle name="Accent6 71 3 2 2 2" xfId="34085" xr:uid="{0FE32215-EEC9-4EE8-9D40-4DF8F5869218}"/>
    <cellStyle name="Accent6 71 3 2 3" xfId="34084" xr:uid="{6041FB28-FCAA-43B4-B149-FD447E789C1F}"/>
    <cellStyle name="Accent6 71 3 3" xfId="7551" xr:uid="{00000000-0005-0000-0000-00007F1D0000}"/>
    <cellStyle name="Accent6 71 3 3 2" xfId="34086" xr:uid="{92ED7228-9FB7-40C2-9C27-FCB40BF41A3E}"/>
    <cellStyle name="Accent6 71 3 4" xfId="34083" xr:uid="{345E0481-E74B-4C7C-85FC-1EDCF27CFEAE}"/>
    <cellStyle name="Accent6 71 4" xfId="7552" xr:uid="{00000000-0005-0000-0000-0000801D0000}"/>
    <cellStyle name="Accent6 71 4 2" xfId="34087" xr:uid="{37209453-1E05-40FB-A215-B0FB0081F913}"/>
    <cellStyle name="Accent6 71 5" xfId="34080" xr:uid="{42324D83-FB42-4AE0-8931-ED0439BE3E7F}"/>
    <cellStyle name="Accent6 72" xfId="7553" xr:uid="{00000000-0005-0000-0000-0000811D0000}"/>
    <cellStyle name="Accent6 72 2" xfId="7554" xr:uid="{00000000-0005-0000-0000-0000821D0000}"/>
    <cellStyle name="Accent6 72 2 2" xfId="7555" xr:uid="{00000000-0005-0000-0000-0000831D0000}"/>
    <cellStyle name="Accent6 72 2 2 2" xfId="34090" xr:uid="{FE8F99E9-A2D4-4B2D-94A1-FFC5D6DFAF9E}"/>
    <cellStyle name="Accent6 72 2 3" xfId="34089" xr:uid="{8B1D5623-9DFB-4407-AED9-0C454D2D3B46}"/>
    <cellStyle name="Accent6 72 3" xfId="7556" xr:uid="{00000000-0005-0000-0000-0000841D0000}"/>
    <cellStyle name="Accent6 72 3 2" xfId="7557" xr:uid="{00000000-0005-0000-0000-0000851D0000}"/>
    <cellStyle name="Accent6 72 3 2 2" xfId="7558" xr:uid="{00000000-0005-0000-0000-0000861D0000}"/>
    <cellStyle name="Accent6 72 3 2 2 2" xfId="34093" xr:uid="{4CE4198F-3DF9-4CFE-A070-C37F45906EB9}"/>
    <cellStyle name="Accent6 72 3 2 3" xfId="34092" xr:uid="{581242D4-F9E7-475F-A7CC-2DD81481E0AB}"/>
    <cellStyle name="Accent6 72 3 3" xfId="7559" xr:uid="{00000000-0005-0000-0000-0000871D0000}"/>
    <cellStyle name="Accent6 72 3 3 2" xfId="34094" xr:uid="{1A5A82C1-9FE7-4433-B9FB-4C1757BE3F72}"/>
    <cellStyle name="Accent6 72 3 4" xfId="34091" xr:uid="{F2EA80EB-11BC-4988-B6DF-ADAF35BCEACC}"/>
    <cellStyle name="Accent6 72 4" xfId="7560" xr:uid="{00000000-0005-0000-0000-0000881D0000}"/>
    <cellStyle name="Accent6 72 4 2" xfId="34095" xr:uid="{72890A46-B8A2-4F61-8A0A-449CF4169A68}"/>
    <cellStyle name="Accent6 72 5" xfId="34088" xr:uid="{BEFAD6A9-D6AE-4E00-BFC2-7622C9040E0B}"/>
    <cellStyle name="Accent6 73" xfId="7561" xr:uid="{00000000-0005-0000-0000-0000891D0000}"/>
    <cellStyle name="Accent6 73 2" xfId="7562" xr:uid="{00000000-0005-0000-0000-00008A1D0000}"/>
    <cellStyle name="Accent6 73 2 2" xfId="7563" xr:uid="{00000000-0005-0000-0000-00008B1D0000}"/>
    <cellStyle name="Accent6 73 2 2 2" xfId="34098" xr:uid="{D03E97A4-E452-45E3-B2A5-226675645BFE}"/>
    <cellStyle name="Accent6 73 2 3" xfId="34097" xr:uid="{659844C6-7A20-4CB7-B5AB-D59046C9D5D3}"/>
    <cellStyle name="Accent6 73 3" xfId="7564" xr:uid="{00000000-0005-0000-0000-00008C1D0000}"/>
    <cellStyle name="Accent6 73 3 2" xfId="7565" xr:uid="{00000000-0005-0000-0000-00008D1D0000}"/>
    <cellStyle name="Accent6 73 3 2 2" xfId="7566" xr:uid="{00000000-0005-0000-0000-00008E1D0000}"/>
    <cellStyle name="Accent6 73 3 2 2 2" xfId="34101" xr:uid="{7BE89071-BE6F-4587-82E9-CDAD2F9FC0F6}"/>
    <cellStyle name="Accent6 73 3 2 3" xfId="34100" xr:uid="{84E27698-CBFD-407C-8765-0CE39F4F96A4}"/>
    <cellStyle name="Accent6 73 3 3" xfId="7567" xr:uid="{00000000-0005-0000-0000-00008F1D0000}"/>
    <cellStyle name="Accent6 73 3 3 2" xfId="34102" xr:uid="{CBAA0156-4D1E-4387-B0DB-FF56112919E8}"/>
    <cellStyle name="Accent6 73 3 4" xfId="34099" xr:uid="{5F9D13F1-101F-4F6D-BB42-16D83C9A3042}"/>
    <cellStyle name="Accent6 73 4" xfId="7568" xr:uid="{00000000-0005-0000-0000-0000901D0000}"/>
    <cellStyle name="Accent6 73 4 2" xfId="34103" xr:uid="{8755F071-575C-4CBE-B700-F99EBEED3688}"/>
    <cellStyle name="Accent6 73 5" xfId="34096" xr:uid="{5F176E94-D691-42F7-A8B2-8C967CAB0D89}"/>
    <cellStyle name="Accent6 74" xfId="7569" xr:uid="{00000000-0005-0000-0000-0000911D0000}"/>
    <cellStyle name="Accent6 74 2" xfId="7570" xr:uid="{00000000-0005-0000-0000-0000921D0000}"/>
    <cellStyle name="Accent6 74 2 2" xfId="7571" xr:uid="{00000000-0005-0000-0000-0000931D0000}"/>
    <cellStyle name="Accent6 74 2 2 2" xfId="34106" xr:uid="{F7E7509F-C8EF-4F8E-9F5A-71E2F3BA999A}"/>
    <cellStyle name="Accent6 74 2 3" xfId="34105" xr:uid="{C0FC1652-2FED-4344-8A31-19AAB7B33587}"/>
    <cellStyle name="Accent6 74 3" xfId="7572" xr:uid="{00000000-0005-0000-0000-0000941D0000}"/>
    <cellStyle name="Accent6 74 3 2" xfId="7573" xr:uid="{00000000-0005-0000-0000-0000951D0000}"/>
    <cellStyle name="Accent6 74 3 2 2" xfId="7574" xr:uid="{00000000-0005-0000-0000-0000961D0000}"/>
    <cellStyle name="Accent6 74 3 2 2 2" xfId="34109" xr:uid="{C07FA8E2-C484-4F5F-98B8-21AC52742DE8}"/>
    <cellStyle name="Accent6 74 3 2 3" xfId="34108" xr:uid="{ED4BB5CB-897A-4D45-8BDC-92AD431EBEB7}"/>
    <cellStyle name="Accent6 74 3 3" xfId="7575" xr:uid="{00000000-0005-0000-0000-0000971D0000}"/>
    <cellStyle name="Accent6 74 3 3 2" xfId="34110" xr:uid="{DF29A1F6-7818-46E5-BD31-C54ED3059B7D}"/>
    <cellStyle name="Accent6 74 3 4" xfId="34107" xr:uid="{0B1F98D4-52C6-420A-AB88-CAB5D2F01C42}"/>
    <cellStyle name="Accent6 74 4" xfId="7576" xr:uid="{00000000-0005-0000-0000-0000981D0000}"/>
    <cellStyle name="Accent6 74 4 2" xfId="34111" xr:uid="{E43954A8-493F-4829-B7AD-A60F4BE36D85}"/>
    <cellStyle name="Accent6 74 5" xfId="34104" xr:uid="{C6B2015D-AE88-4AE4-A21C-80FD1125C635}"/>
    <cellStyle name="Accent6 75" xfId="7577" xr:uid="{00000000-0005-0000-0000-0000991D0000}"/>
    <cellStyle name="Accent6 75 2" xfId="7578" xr:uid="{00000000-0005-0000-0000-00009A1D0000}"/>
    <cellStyle name="Accent6 75 2 2" xfId="7579" xr:uid="{00000000-0005-0000-0000-00009B1D0000}"/>
    <cellStyle name="Accent6 75 2 2 2" xfId="34114" xr:uid="{0D2E7912-AACC-408B-80D5-6244C40A6A41}"/>
    <cellStyle name="Accent6 75 2 3" xfId="34113" xr:uid="{F0880EB9-A506-4F92-A030-581B3CB11D61}"/>
    <cellStyle name="Accent6 75 3" xfId="7580" xr:uid="{00000000-0005-0000-0000-00009C1D0000}"/>
    <cellStyle name="Accent6 75 3 2" xfId="7581" xr:uid="{00000000-0005-0000-0000-00009D1D0000}"/>
    <cellStyle name="Accent6 75 3 2 2" xfId="7582" xr:uid="{00000000-0005-0000-0000-00009E1D0000}"/>
    <cellStyle name="Accent6 75 3 2 2 2" xfId="34117" xr:uid="{F980C885-A642-46DB-AB16-26AF8E1F816C}"/>
    <cellStyle name="Accent6 75 3 2 3" xfId="34116" xr:uid="{548E4209-29F1-484C-8D5C-16561B87898C}"/>
    <cellStyle name="Accent6 75 3 3" xfId="7583" xr:uid="{00000000-0005-0000-0000-00009F1D0000}"/>
    <cellStyle name="Accent6 75 3 3 2" xfId="34118" xr:uid="{D2B27A05-958B-4D1B-B1FE-120AE4F183A4}"/>
    <cellStyle name="Accent6 75 3 4" xfId="34115" xr:uid="{FEC0138B-74FB-465B-B102-F7337B4396E7}"/>
    <cellStyle name="Accent6 75 4" xfId="7584" xr:uid="{00000000-0005-0000-0000-0000A01D0000}"/>
    <cellStyle name="Accent6 75 4 2" xfId="34119" xr:uid="{EAD8E9CC-0469-4687-B5C6-68C70F21E0B9}"/>
    <cellStyle name="Accent6 75 5" xfId="34112" xr:uid="{08EA321E-78CA-468C-8006-55B83E39D899}"/>
    <cellStyle name="Accent6 76" xfId="7585" xr:uid="{00000000-0005-0000-0000-0000A11D0000}"/>
    <cellStyle name="Accent6 76 2" xfId="7586" xr:uid="{00000000-0005-0000-0000-0000A21D0000}"/>
    <cellStyle name="Accent6 76 2 2" xfId="7587" xr:uid="{00000000-0005-0000-0000-0000A31D0000}"/>
    <cellStyle name="Accent6 76 2 2 2" xfId="34122" xr:uid="{DF91F6C6-CA8F-4BDB-8654-74BE082757D0}"/>
    <cellStyle name="Accent6 76 2 3" xfId="34121" xr:uid="{1971E49D-CB66-4F32-B321-9BE736619256}"/>
    <cellStyle name="Accent6 76 3" xfId="7588" xr:uid="{00000000-0005-0000-0000-0000A41D0000}"/>
    <cellStyle name="Accent6 76 3 2" xfId="7589" xr:uid="{00000000-0005-0000-0000-0000A51D0000}"/>
    <cellStyle name="Accent6 76 3 2 2" xfId="7590" xr:uid="{00000000-0005-0000-0000-0000A61D0000}"/>
    <cellStyle name="Accent6 76 3 2 2 2" xfId="34125" xr:uid="{1D70D258-9196-49AD-A9D4-4859378FF228}"/>
    <cellStyle name="Accent6 76 3 2 3" xfId="34124" xr:uid="{C1F72F8B-55B5-433F-A2FB-6A5C426F373B}"/>
    <cellStyle name="Accent6 76 3 3" xfId="7591" xr:uid="{00000000-0005-0000-0000-0000A71D0000}"/>
    <cellStyle name="Accent6 76 3 3 2" xfId="34126" xr:uid="{BA7A0CD1-1AB0-4286-ACCA-31E1CED9D1C6}"/>
    <cellStyle name="Accent6 76 3 4" xfId="34123" xr:uid="{1B86F47C-9423-46E3-AD4F-C661F154F649}"/>
    <cellStyle name="Accent6 76 4" xfId="7592" xr:uid="{00000000-0005-0000-0000-0000A81D0000}"/>
    <cellStyle name="Accent6 76 4 2" xfId="34127" xr:uid="{CAF39B6C-5B7B-402D-B43F-F05D447FD640}"/>
    <cellStyle name="Accent6 76 5" xfId="34120" xr:uid="{1B17F47D-AFE4-4E75-BB26-BB61DB3D844E}"/>
    <cellStyle name="Accent6 77" xfId="7593" xr:uid="{00000000-0005-0000-0000-0000A91D0000}"/>
    <cellStyle name="Accent6 77 2" xfId="7594" xr:uid="{00000000-0005-0000-0000-0000AA1D0000}"/>
    <cellStyle name="Accent6 77 2 2" xfId="7595" xr:uid="{00000000-0005-0000-0000-0000AB1D0000}"/>
    <cellStyle name="Accent6 77 2 2 2" xfId="34130" xr:uid="{C40A1FF9-4369-4DBF-BA70-461136A94A84}"/>
    <cellStyle name="Accent6 77 2 3" xfId="34129" xr:uid="{1678B6A7-60B5-4914-9E48-8D718A32EFA7}"/>
    <cellStyle name="Accent6 77 3" xfId="7596" xr:uid="{00000000-0005-0000-0000-0000AC1D0000}"/>
    <cellStyle name="Accent6 77 3 2" xfId="7597" xr:uid="{00000000-0005-0000-0000-0000AD1D0000}"/>
    <cellStyle name="Accent6 77 3 2 2" xfId="7598" xr:uid="{00000000-0005-0000-0000-0000AE1D0000}"/>
    <cellStyle name="Accent6 77 3 2 2 2" xfId="34133" xr:uid="{34412D05-2021-4058-9FCB-86E49A7E19F0}"/>
    <cellStyle name="Accent6 77 3 2 3" xfId="34132" xr:uid="{C3464F89-1AFD-43C4-8027-5D4B65E010D7}"/>
    <cellStyle name="Accent6 77 3 3" xfId="7599" xr:uid="{00000000-0005-0000-0000-0000AF1D0000}"/>
    <cellStyle name="Accent6 77 3 3 2" xfId="34134" xr:uid="{DEEE2E1D-3949-4FB8-897A-8E0A8FC9E14F}"/>
    <cellStyle name="Accent6 77 3 4" xfId="34131" xr:uid="{1FC5C35C-C4BE-47AA-BF81-96673967B5A1}"/>
    <cellStyle name="Accent6 77 4" xfId="7600" xr:uid="{00000000-0005-0000-0000-0000B01D0000}"/>
    <cellStyle name="Accent6 77 4 2" xfId="34135" xr:uid="{29C0856F-A534-439C-912A-543CCB09D1F7}"/>
    <cellStyle name="Accent6 77 5" xfId="34128" xr:uid="{25737E0E-D0D8-4EE3-827C-B08365A072D5}"/>
    <cellStyle name="Accent6 78" xfId="7601" xr:uid="{00000000-0005-0000-0000-0000B11D0000}"/>
    <cellStyle name="Accent6 78 2" xfId="7602" xr:uid="{00000000-0005-0000-0000-0000B21D0000}"/>
    <cellStyle name="Accent6 78 2 2" xfId="7603" xr:uid="{00000000-0005-0000-0000-0000B31D0000}"/>
    <cellStyle name="Accent6 78 2 2 2" xfId="34138" xr:uid="{B3FD3DF2-EAFB-4A51-9D20-134B8C63E3AE}"/>
    <cellStyle name="Accent6 78 2 3" xfId="34137" xr:uid="{BF22493E-7B43-4BED-99A0-A67C089EC5A6}"/>
    <cellStyle name="Accent6 78 3" xfId="7604" xr:uid="{00000000-0005-0000-0000-0000B41D0000}"/>
    <cellStyle name="Accent6 78 3 2" xfId="7605" xr:uid="{00000000-0005-0000-0000-0000B51D0000}"/>
    <cellStyle name="Accent6 78 3 2 2" xfId="7606" xr:uid="{00000000-0005-0000-0000-0000B61D0000}"/>
    <cellStyle name="Accent6 78 3 2 2 2" xfId="34141" xr:uid="{9AB0FAEF-A07F-4B61-8E76-150F5BCD763B}"/>
    <cellStyle name="Accent6 78 3 2 3" xfId="34140" xr:uid="{B35647C1-C665-40AF-A0C1-306CAF52BA14}"/>
    <cellStyle name="Accent6 78 3 3" xfId="7607" xr:uid="{00000000-0005-0000-0000-0000B71D0000}"/>
    <cellStyle name="Accent6 78 3 3 2" xfId="34142" xr:uid="{D5D7774E-88E4-448C-B9CB-B00007E0DCBB}"/>
    <cellStyle name="Accent6 78 3 4" xfId="34139" xr:uid="{518C1CDE-BEBD-4569-B004-B3F8FB2B01E0}"/>
    <cellStyle name="Accent6 78 4" xfId="7608" xr:uid="{00000000-0005-0000-0000-0000B81D0000}"/>
    <cellStyle name="Accent6 78 4 2" xfId="34143" xr:uid="{4955D072-D86F-4A42-A539-1D355B774B8B}"/>
    <cellStyle name="Accent6 78 5" xfId="34136" xr:uid="{A39574B8-3586-4003-8BC2-BBA08EA75146}"/>
    <cellStyle name="Accent6 79" xfId="7609" xr:uid="{00000000-0005-0000-0000-0000B91D0000}"/>
    <cellStyle name="Accent6 79 2" xfId="7610" xr:uid="{00000000-0005-0000-0000-0000BA1D0000}"/>
    <cellStyle name="Accent6 79 2 2" xfId="7611" xr:uid="{00000000-0005-0000-0000-0000BB1D0000}"/>
    <cellStyle name="Accent6 79 2 2 2" xfId="34146" xr:uid="{0210EA78-F735-4A07-B692-875818DE7EA1}"/>
    <cellStyle name="Accent6 79 2 3" xfId="34145" xr:uid="{B366D86E-D0EF-42EE-AE74-9EC35ECB7387}"/>
    <cellStyle name="Accent6 79 3" xfId="7612" xr:uid="{00000000-0005-0000-0000-0000BC1D0000}"/>
    <cellStyle name="Accent6 79 3 2" xfId="7613" xr:uid="{00000000-0005-0000-0000-0000BD1D0000}"/>
    <cellStyle name="Accent6 79 3 2 2" xfId="7614" xr:uid="{00000000-0005-0000-0000-0000BE1D0000}"/>
    <cellStyle name="Accent6 79 3 2 2 2" xfId="34149" xr:uid="{1F212516-9060-4F7E-BB59-B073F45526F5}"/>
    <cellStyle name="Accent6 79 3 2 3" xfId="34148" xr:uid="{60F4B5DD-EC6D-4EE0-A14A-F86F49CA7F81}"/>
    <cellStyle name="Accent6 79 3 3" xfId="7615" xr:uid="{00000000-0005-0000-0000-0000BF1D0000}"/>
    <cellStyle name="Accent6 79 3 3 2" xfId="34150" xr:uid="{EC00F846-2FAA-433D-B128-4136C74B1B02}"/>
    <cellStyle name="Accent6 79 3 4" xfId="34147" xr:uid="{6725C801-E1D4-44D5-8A24-FCA670A38A7E}"/>
    <cellStyle name="Accent6 79 4" xfId="7616" xr:uid="{00000000-0005-0000-0000-0000C01D0000}"/>
    <cellStyle name="Accent6 79 4 2" xfId="34151" xr:uid="{1D7C70F0-FECA-4CE0-8736-12363812913F}"/>
    <cellStyle name="Accent6 79 5" xfId="34144" xr:uid="{2738EAE3-0B9E-4EE0-94F1-D8936DD03861}"/>
    <cellStyle name="Accent6 8" xfId="7617" xr:uid="{00000000-0005-0000-0000-0000C11D0000}"/>
    <cellStyle name="Accent6 8 2" xfId="7618" xr:uid="{00000000-0005-0000-0000-0000C21D0000}"/>
    <cellStyle name="Accent6 8 2 2" xfId="7619" xr:uid="{00000000-0005-0000-0000-0000C31D0000}"/>
    <cellStyle name="Accent6 8 3" xfId="7620" xr:uid="{00000000-0005-0000-0000-0000C41D0000}"/>
    <cellStyle name="Accent6 80" xfId="7621" xr:uid="{00000000-0005-0000-0000-0000C51D0000}"/>
    <cellStyle name="Accent6 80 2" xfId="7622" xr:uid="{00000000-0005-0000-0000-0000C61D0000}"/>
    <cellStyle name="Accent6 80 2 2" xfId="7623" xr:uid="{00000000-0005-0000-0000-0000C71D0000}"/>
    <cellStyle name="Accent6 80 2 2 2" xfId="34154" xr:uid="{8C203487-FAB7-451B-9BEC-7093D42A1DE5}"/>
    <cellStyle name="Accent6 80 2 3" xfId="34153" xr:uid="{81974133-280D-4637-B4E8-B31EE00AE459}"/>
    <cellStyle name="Accent6 80 3" xfId="7624" xr:uid="{00000000-0005-0000-0000-0000C81D0000}"/>
    <cellStyle name="Accent6 80 3 2" xfId="7625" xr:uid="{00000000-0005-0000-0000-0000C91D0000}"/>
    <cellStyle name="Accent6 80 3 2 2" xfId="7626" xr:uid="{00000000-0005-0000-0000-0000CA1D0000}"/>
    <cellStyle name="Accent6 80 3 2 2 2" xfId="34157" xr:uid="{26240711-47CB-47E0-A1D2-D5DFEB8A6C39}"/>
    <cellStyle name="Accent6 80 3 2 3" xfId="34156" xr:uid="{0EEB50DD-B977-4426-B25D-9CB3D82D256E}"/>
    <cellStyle name="Accent6 80 3 3" xfId="7627" xr:uid="{00000000-0005-0000-0000-0000CB1D0000}"/>
    <cellStyle name="Accent6 80 3 3 2" xfId="34158" xr:uid="{8C8A5BF7-0CE7-447C-AF0C-38292E161362}"/>
    <cellStyle name="Accent6 80 3 4" xfId="34155" xr:uid="{D9182BAC-154A-4619-89A8-BFBA1629D8BC}"/>
    <cellStyle name="Accent6 80 4" xfId="7628" xr:uid="{00000000-0005-0000-0000-0000CC1D0000}"/>
    <cellStyle name="Accent6 80 4 2" xfId="34159" xr:uid="{3BBA0257-341C-4D06-9B24-6F464E800F75}"/>
    <cellStyle name="Accent6 80 5" xfId="34152" xr:uid="{E92CE222-B64E-4F82-AAED-9929AC86E0BC}"/>
    <cellStyle name="Accent6 81" xfId="7629" xr:uid="{00000000-0005-0000-0000-0000CD1D0000}"/>
    <cellStyle name="Accent6 81 2" xfId="7630" xr:uid="{00000000-0005-0000-0000-0000CE1D0000}"/>
    <cellStyle name="Accent6 81 2 2" xfId="7631" xr:uid="{00000000-0005-0000-0000-0000CF1D0000}"/>
    <cellStyle name="Accent6 81 2 2 2" xfId="34162" xr:uid="{67A79770-7E6F-4580-91E2-13D0E9FD329F}"/>
    <cellStyle name="Accent6 81 2 3" xfId="34161" xr:uid="{59BEB24B-D2AF-4DE5-981D-689B1E58DA11}"/>
    <cellStyle name="Accent6 81 3" xfId="7632" xr:uid="{00000000-0005-0000-0000-0000D01D0000}"/>
    <cellStyle name="Accent6 81 3 2" xfId="7633" xr:uid="{00000000-0005-0000-0000-0000D11D0000}"/>
    <cellStyle name="Accent6 81 3 2 2" xfId="7634" xr:uid="{00000000-0005-0000-0000-0000D21D0000}"/>
    <cellStyle name="Accent6 81 3 2 2 2" xfId="34165" xr:uid="{947D79A8-4B9C-45A1-B991-F2E101B70330}"/>
    <cellStyle name="Accent6 81 3 2 3" xfId="34164" xr:uid="{2D432DAD-2F58-4358-92FD-ABAC79BB21F2}"/>
    <cellStyle name="Accent6 81 3 3" xfId="7635" xr:uid="{00000000-0005-0000-0000-0000D31D0000}"/>
    <cellStyle name="Accent6 81 3 3 2" xfId="34166" xr:uid="{FF057C96-5106-483A-95E4-02601A8535E3}"/>
    <cellStyle name="Accent6 81 3 4" xfId="34163" xr:uid="{89F614D1-232A-4DE4-951B-625934707E2C}"/>
    <cellStyle name="Accent6 81 4" xfId="7636" xr:uid="{00000000-0005-0000-0000-0000D41D0000}"/>
    <cellStyle name="Accent6 81 4 2" xfId="34167" xr:uid="{9EA9A52F-166B-4DF8-A399-41BB4278A5B0}"/>
    <cellStyle name="Accent6 81 5" xfId="34160" xr:uid="{E3E24BD6-032C-40A9-8AC2-37DC071E06F7}"/>
    <cellStyle name="Accent6 82" xfId="7637" xr:uid="{00000000-0005-0000-0000-0000D51D0000}"/>
    <cellStyle name="Accent6 82 2" xfId="7638" xr:uid="{00000000-0005-0000-0000-0000D61D0000}"/>
    <cellStyle name="Accent6 82 2 2" xfId="7639" xr:uid="{00000000-0005-0000-0000-0000D71D0000}"/>
    <cellStyle name="Accent6 82 2 2 2" xfId="34170" xr:uid="{65000E0F-463B-48F6-B2E2-943E7E000D9B}"/>
    <cellStyle name="Accent6 82 2 3" xfId="34169" xr:uid="{A552E40E-050D-413B-96D4-6E138D5FE5E7}"/>
    <cellStyle name="Accent6 82 3" xfId="7640" xr:uid="{00000000-0005-0000-0000-0000D81D0000}"/>
    <cellStyle name="Accent6 82 3 2" xfId="7641" xr:uid="{00000000-0005-0000-0000-0000D91D0000}"/>
    <cellStyle name="Accent6 82 3 2 2" xfId="7642" xr:uid="{00000000-0005-0000-0000-0000DA1D0000}"/>
    <cellStyle name="Accent6 82 3 2 2 2" xfId="34173" xr:uid="{5A089246-352F-4317-9899-F78A737B5D91}"/>
    <cellStyle name="Accent6 82 3 2 3" xfId="34172" xr:uid="{2F95B312-BEF1-47C2-91DC-B45606ED3C09}"/>
    <cellStyle name="Accent6 82 3 3" xfId="7643" xr:uid="{00000000-0005-0000-0000-0000DB1D0000}"/>
    <cellStyle name="Accent6 82 3 3 2" xfId="34174" xr:uid="{CD595149-62AD-491A-8318-F7816EF1B055}"/>
    <cellStyle name="Accent6 82 3 4" xfId="34171" xr:uid="{77A19196-DE64-4146-B2BA-FA51749B76E8}"/>
    <cellStyle name="Accent6 82 4" xfId="7644" xr:uid="{00000000-0005-0000-0000-0000DC1D0000}"/>
    <cellStyle name="Accent6 82 4 2" xfId="34175" xr:uid="{6A760300-A3E4-4BD8-A503-D7333350174C}"/>
    <cellStyle name="Accent6 82 5" xfId="34168" xr:uid="{4409A65B-5350-4B1C-82B4-8A32F0940E84}"/>
    <cellStyle name="Accent6 83" xfId="7645" xr:uid="{00000000-0005-0000-0000-0000DD1D0000}"/>
    <cellStyle name="Accent6 83 2" xfId="7646" xr:uid="{00000000-0005-0000-0000-0000DE1D0000}"/>
    <cellStyle name="Accent6 83 2 2" xfId="7647" xr:uid="{00000000-0005-0000-0000-0000DF1D0000}"/>
    <cellStyle name="Accent6 83 2 2 2" xfId="34178" xr:uid="{29179900-2D8C-4F44-B7F2-1F295ACA82B1}"/>
    <cellStyle name="Accent6 83 2 3" xfId="34177" xr:uid="{FE6B4C55-5BD8-4E21-89BF-E0E8896B70CC}"/>
    <cellStyle name="Accent6 83 3" xfId="7648" xr:uid="{00000000-0005-0000-0000-0000E01D0000}"/>
    <cellStyle name="Accent6 83 3 2" xfId="7649" xr:uid="{00000000-0005-0000-0000-0000E11D0000}"/>
    <cellStyle name="Accent6 83 3 2 2" xfId="7650" xr:uid="{00000000-0005-0000-0000-0000E21D0000}"/>
    <cellStyle name="Accent6 83 3 2 2 2" xfId="34181" xr:uid="{64181E2F-AE15-4985-B930-39337A5C1107}"/>
    <cellStyle name="Accent6 83 3 2 3" xfId="34180" xr:uid="{818135D7-6901-4638-BAF7-6D778F3CFE04}"/>
    <cellStyle name="Accent6 83 3 3" xfId="7651" xr:uid="{00000000-0005-0000-0000-0000E31D0000}"/>
    <cellStyle name="Accent6 83 3 3 2" xfId="34182" xr:uid="{0765BD78-56EC-46B5-BF3D-68CF5E467250}"/>
    <cellStyle name="Accent6 83 3 4" xfId="34179" xr:uid="{415F8B93-9AB0-46B3-AEE9-FD8A178E59E1}"/>
    <cellStyle name="Accent6 83 4" xfId="7652" xr:uid="{00000000-0005-0000-0000-0000E41D0000}"/>
    <cellStyle name="Accent6 83 4 2" xfId="34183" xr:uid="{920B6C9A-0B9E-4E2F-9151-424D0140B2EB}"/>
    <cellStyle name="Accent6 83 5" xfId="34176" xr:uid="{E8CE3AA0-47F1-43FC-961F-F470D6348A72}"/>
    <cellStyle name="Accent6 84" xfId="7653" xr:uid="{00000000-0005-0000-0000-0000E51D0000}"/>
    <cellStyle name="Accent6 84 2" xfId="7654" xr:uid="{00000000-0005-0000-0000-0000E61D0000}"/>
    <cellStyle name="Accent6 84 2 2" xfId="7655" xr:uid="{00000000-0005-0000-0000-0000E71D0000}"/>
    <cellStyle name="Accent6 84 3" xfId="7656" xr:uid="{00000000-0005-0000-0000-0000E81D0000}"/>
    <cellStyle name="Accent6 85" xfId="7657" xr:uid="{00000000-0005-0000-0000-0000E91D0000}"/>
    <cellStyle name="Accent6 85 2" xfId="7658" xr:uid="{00000000-0005-0000-0000-0000EA1D0000}"/>
    <cellStyle name="Accent6 85 2 2" xfId="7659" xr:uid="{00000000-0005-0000-0000-0000EB1D0000}"/>
    <cellStyle name="Accent6 85 3" xfId="7660" xr:uid="{00000000-0005-0000-0000-0000EC1D0000}"/>
    <cellStyle name="Accent6 86" xfId="7661" xr:uid="{00000000-0005-0000-0000-0000ED1D0000}"/>
    <cellStyle name="Accent6 86 2" xfId="7662" xr:uid="{00000000-0005-0000-0000-0000EE1D0000}"/>
    <cellStyle name="Accent6 86 2 2" xfId="7663" xr:uid="{00000000-0005-0000-0000-0000EF1D0000}"/>
    <cellStyle name="Accent6 86 3" xfId="7664" xr:uid="{00000000-0005-0000-0000-0000F01D0000}"/>
    <cellStyle name="Accent6 87" xfId="7665" xr:uid="{00000000-0005-0000-0000-0000F11D0000}"/>
    <cellStyle name="Accent6 87 2" xfId="7666" xr:uid="{00000000-0005-0000-0000-0000F21D0000}"/>
    <cellStyle name="Accent6 87 2 2" xfId="7667" xr:uid="{00000000-0005-0000-0000-0000F31D0000}"/>
    <cellStyle name="Accent6 87 3" xfId="7668" xr:uid="{00000000-0005-0000-0000-0000F41D0000}"/>
    <cellStyle name="Accent6 88" xfId="7669" xr:uid="{00000000-0005-0000-0000-0000F51D0000}"/>
    <cellStyle name="Accent6 88 2" xfId="7670" xr:uid="{00000000-0005-0000-0000-0000F61D0000}"/>
    <cellStyle name="Accent6 88 2 2" xfId="7671" xr:uid="{00000000-0005-0000-0000-0000F71D0000}"/>
    <cellStyle name="Accent6 88 3" xfId="7672" xr:uid="{00000000-0005-0000-0000-0000F81D0000}"/>
    <cellStyle name="Accent6 89" xfId="7673" xr:uid="{00000000-0005-0000-0000-0000F91D0000}"/>
    <cellStyle name="Accent6 89 2" xfId="7674" xr:uid="{00000000-0005-0000-0000-0000FA1D0000}"/>
    <cellStyle name="Accent6 89 2 2" xfId="7675" xr:uid="{00000000-0005-0000-0000-0000FB1D0000}"/>
    <cellStyle name="Accent6 89 3" xfId="7676" xr:uid="{00000000-0005-0000-0000-0000FC1D0000}"/>
    <cellStyle name="Accent6 9" xfId="7677" xr:uid="{00000000-0005-0000-0000-0000FD1D0000}"/>
    <cellStyle name="Accent6 9 2" xfId="7678" xr:uid="{00000000-0005-0000-0000-0000FE1D0000}"/>
    <cellStyle name="Accent6 9 2 2" xfId="7679" xr:uid="{00000000-0005-0000-0000-0000FF1D0000}"/>
    <cellStyle name="Accent6 9 3" xfId="7680" xr:uid="{00000000-0005-0000-0000-0000001E0000}"/>
    <cellStyle name="Accent6 90" xfId="7681" xr:uid="{00000000-0005-0000-0000-0000011E0000}"/>
    <cellStyle name="Accent6 90 2" xfId="7682" xr:uid="{00000000-0005-0000-0000-0000021E0000}"/>
    <cellStyle name="Accent6 90 2 2" xfId="7683" xr:uid="{00000000-0005-0000-0000-0000031E0000}"/>
    <cellStyle name="Accent6 90 3" xfId="7684" xr:uid="{00000000-0005-0000-0000-0000041E0000}"/>
    <cellStyle name="Accent6 91" xfId="7685" xr:uid="{00000000-0005-0000-0000-0000051E0000}"/>
    <cellStyle name="Accent6 91 2" xfId="7686" xr:uid="{00000000-0005-0000-0000-0000061E0000}"/>
    <cellStyle name="Accent6 91 2 2" xfId="7687" xr:uid="{00000000-0005-0000-0000-0000071E0000}"/>
    <cellStyle name="Accent6 91 2 2 2" xfId="34186" xr:uid="{215A0FA5-25F0-4E78-A29B-4D6ECC5B66F5}"/>
    <cellStyle name="Accent6 91 2 3" xfId="34185" xr:uid="{390C0CF3-270C-402D-BBB5-B0BA34464457}"/>
    <cellStyle name="Accent6 91 3" xfId="7688" xr:uid="{00000000-0005-0000-0000-0000081E0000}"/>
    <cellStyle name="Accent6 91 3 2" xfId="34187" xr:uid="{BD81E98F-E5EB-45E4-981B-AD2F63709DD5}"/>
    <cellStyle name="Accent6 91 4" xfId="34184" xr:uid="{624634AC-FBF5-42D6-B99F-E7862746AB0A}"/>
    <cellStyle name="Accent6 92" xfId="7689" xr:uid="{00000000-0005-0000-0000-0000091E0000}"/>
    <cellStyle name="Accent6 92 2" xfId="7690" xr:uid="{00000000-0005-0000-0000-00000A1E0000}"/>
    <cellStyle name="Accent6 92 2 2" xfId="7691" xr:uid="{00000000-0005-0000-0000-00000B1E0000}"/>
    <cellStyle name="Accent6 92 2 2 2" xfId="34190" xr:uid="{7741022B-A95D-44A8-8D1B-393E2E590A72}"/>
    <cellStyle name="Accent6 92 2 3" xfId="34189" xr:uid="{9EC3C855-706A-454F-A20D-1B920C7E716A}"/>
    <cellStyle name="Accent6 92 3" xfId="7692" xr:uid="{00000000-0005-0000-0000-00000C1E0000}"/>
    <cellStyle name="Accent6 92 3 2" xfId="34191" xr:uid="{D731DE61-5F1A-42D9-AD74-1DDB335B759D}"/>
    <cellStyle name="Accent6 92 4" xfId="34188" xr:uid="{2E9E0A7F-FF3C-413E-B934-F2868FE413B3}"/>
    <cellStyle name="Accent6 93" xfId="7693" xr:uid="{00000000-0005-0000-0000-00000D1E0000}"/>
    <cellStyle name="Accent6 93 2" xfId="7694" xr:uid="{00000000-0005-0000-0000-00000E1E0000}"/>
    <cellStyle name="Accent6 93 2 2" xfId="7695" xr:uid="{00000000-0005-0000-0000-00000F1E0000}"/>
    <cellStyle name="Accent6 93 2 2 2" xfId="34194" xr:uid="{7A67C1D0-A5AF-419C-B5A5-86D62BDB99B0}"/>
    <cellStyle name="Accent6 93 2 3" xfId="34193" xr:uid="{EA01CCF3-4C2D-40CC-83B7-A4CD45D29428}"/>
    <cellStyle name="Accent6 93 3" xfId="7696" xr:uid="{00000000-0005-0000-0000-0000101E0000}"/>
    <cellStyle name="Accent6 93 3 2" xfId="34195" xr:uid="{BDD0AF8F-76F1-442F-A62B-0CEA40623345}"/>
    <cellStyle name="Accent6 93 4" xfId="34192" xr:uid="{83FC5D86-924C-4FDB-AC04-74756D37ACC3}"/>
    <cellStyle name="Accent6 94" xfId="7697" xr:uid="{00000000-0005-0000-0000-0000111E0000}"/>
    <cellStyle name="Accent6 94 2" xfId="7698" xr:uid="{00000000-0005-0000-0000-0000121E0000}"/>
    <cellStyle name="Accent6 94 2 2" xfId="7699" xr:uid="{00000000-0005-0000-0000-0000131E0000}"/>
    <cellStyle name="Accent6 94 2 2 2" xfId="34198" xr:uid="{1F1BD27E-1BB6-4146-AD94-9867B9C824B2}"/>
    <cellStyle name="Accent6 94 2 3" xfId="34197" xr:uid="{D72539F1-DCC0-44BC-80C4-953F7440E823}"/>
    <cellStyle name="Accent6 94 3" xfId="7700" xr:uid="{00000000-0005-0000-0000-0000141E0000}"/>
    <cellStyle name="Accent6 94 3 2" xfId="34199" xr:uid="{C8295A76-F4BF-4DB5-A49C-3CB24295222D}"/>
    <cellStyle name="Accent6 94 4" xfId="34196" xr:uid="{EEDA4004-AF0D-4310-84FE-EE288737D35C}"/>
    <cellStyle name="Accent6 95" xfId="7701" xr:uid="{00000000-0005-0000-0000-0000151E0000}"/>
    <cellStyle name="Accent6 95 2" xfId="7702" xr:uid="{00000000-0005-0000-0000-0000161E0000}"/>
    <cellStyle name="Accent6 95 2 2" xfId="7703" xr:uid="{00000000-0005-0000-0000-0000171E0000}"/>
    <cellStyle name="Accent6 95 2 2 2" xfId="34202" xr:uid="{F0CE7405-B98D-4574-BC92-110CB41BD161}"/>
    <cellStyle name="Accent6 95 2 3" xfId="34201" xr:uid="{8A214FCD-24E5-4C75-ACAF-5F802C0C6450}"/>
    <cellStyle name="Accent6 95 3" xfId="7704" xr:uid="{00000000-0005-0000-0000-0000181E0000}"/>
    <cellStyle name="Accent6 95 3 2" xfId="34203" xr:uid="{C0041EE3-2DB8-4BAD-B0B5-AF4F0D13140E}"/>
    <cellStyle name="Accent6 95 4" xfId="34200" xr:uid="{60E75152-8CFE-4128-AE0A-C43FD7850AC0}"/>
    <cellStyle name="Accent6 96" xfId="7705" xr:uid="{00000000-0005-0000-0000-0000191E0000}"/>
    <cellStyle name="Accent6 96 2" xfId="7706" xr:uid="{00000000-0005-0000-0000-00001A1E0000}"/>
    <cellStyle name="Accent6 96 2 2" xfId="7707" xr:uid="{00000000-0005-0000-0000-00001B1E0000}"/>
    <cellStyle name="Accent6 96 2 2 2" xfId="34206" xr:uid="{4A3CAB92-DC31-42A6-9D1F-2ED1777755E9}"/>
    <cellStyle name="Accent6 96 2 3" xfId="34205" xr:uid="{2DE0C76F-F416-45D0-A752-F79C4FA9AA3F}"/>
    <cellStyle name="Accent6 96 3" xfId="7708" xr:uid="{00000000-0005-0000-0000-00001C1E0000}"/>
    <cellStyle name="Accent6 96 3 2" xfId="34207" xr:uid="{52312B3F-BC42-4548-8136-1084BE991C60}"/>
    <cellStyle name="Accent6 96 4" xfId="34204" xr:uid="{9A39E20F-D6F5-4076-9BDE-75DD249E8A98}"/>
    <cellStyle name="Accent6 97" xfId="7709" xr:uid="{00000000-0005-0000-0000-00001D1E0000}"/>
    <cellStyle name="Accent6 97 2" xfId="7710" xr:uid="{00000000-0005-0000-0000-00001E1E0000}"/>
    <cellStyle name="Accent6 97 2 2" xfId="7711" xr:uid="{00000000-0005-0000-0000-00001F1E0000}"/>
    <cellStyle name="Accent6 97 2 2 2" xfId="34210" xr:uid="{5FE5E0BB-C3E9-40F4-97EB-6AAD9153BB5F}"/>
    <cellStyle name="Accent6 97 2 3" xfId="34209" xr:uid="{AC7A5F25-CED7-4AD9-98E5-188D4C5D11B3}"/>
    <cellStyle name="Accent6 97 3" xfId="7712" xr:uid="{00000000-0005-0000-0000-0000201E0000}"/>
    <cellStyle name="Accent6 97 3 2" xfId="34211" xr:uid="{EE7DB968-F052-4DE2-8F45-E784891E9E07}"/>
    <cellStyle name="Accent6 97 4" xfId="34208" xr:uid="{27B1F84D-37A4-4ED9-AD81-C8255F90E8D7}"/>
    <cellStyle name="Accent6 98" xfId="7713" xr:uid="{00000000-0005-0000-0000-0000211E0000}"/>
    <cellStyle name="Accent6 98 2" xfId="7714" xr:uid="{00000000-0005-0000-0000-0000221E0000}"/>
    <cellStyle name="Accent6 98 2 2" xfId="7715" xr:uid="{00000000-0005-0000-0000-0000231E0000}"/>
    <cellStyle name="Accent6 98 2 2 2" xfId="34214" xr:uid="{9C7E7B99-A7F5-4D7C-9DAE-4DCCFB45C8BC}"/>
    <cellStyle name="Accent6 98 2 3" xfId="34213" xr:uid="{A7AADA76-6CE9-47F1-A014-082F66685036}"/>
    <cellStyle name="Accent6 98 3" xfId="7716" xr:uid="{00000000-0005-0000-0000-0000241E0000}"/>
    <cellStyle name="Accent6 98 3 2" xfId="34215" xr:uid="{DAC8763E-4E9B-4A0A-88DB-031273CD3306}"/>
    <cellStyle name="Accent6 98 4" xfId="34212" xr:uid="{795DDF70-FAA4-436B-8800-5EDBDB5196E2}"/>
    <cellStyle name="Accent6 99" xfId="7717" xr:uid="{00000000-0005-0000-0000-0000251E0000}"/>
    <cellStyle name="Accent6 99 2" xfId="7718" xr:uid="{00000000-0005-0000-0000-0000261E0000}"/>
    <cellStyle name="Accent6 99 2 2" xfId="7719" xr:uid="{00000000-0005-0000-0000-0000271E0000}"/>
    <cellStyle name="Accent6 99 2 2 2" xfId="34218" xr:uid="{E2C62AE0-B90F-415E-B4FA-EDC38BBC9C73}"/>
    <cellStyle name="Accent6 99 2 3" xfId="34217" xr:uid="{193E72D1-17B0-444B-BD4B-36D1A669A414}"/>
    <cellStyle name="Accent6 99 3" xfId="7720" xr:uid="{00000000-0005-0000-0000-0000281E0000}"/>
    <cellStyle name="Accent6 99 3 2" xfId="34219" xr:uid="{34E60D71-F677-45D7-9809-5EDD13150ADE}"/>
    <cellStyle name="Accent6 99 4" xfId="34216" xr:uid="{03713DC1-9CBA-47D5-B42C-58321337383C}"/>
    <cellStyle name="active" xfId="7721" xr:uid="{00000000-0005-0000-0000-0000291E0000}"/>
    <cellStyle name="active 2" xfId="7722" xr:uid="{00000000-0005-0000-0000-00002A1E0000}"/>
    <cellStyle name="active 2 2" xfId="7723" xr:uid="{00000000-0005-0000-0000-00002B1E0000}"/>
    <cellStyle name="active 2 2 2" xfId="7724" xr:uid="{00000000-0005-0000-0000-00002C1E0000}"/>
    <cellStyle name="active 2 3" xfId="7725" xr:uid="{00000000-0005-0000-0000-00002D1E0000}"/>
    <cellStyle name="active 2 3 2" xfId="7726" xr:uid="{00000000-0005-0000-0000-00002E1E0000}"/>
    <cellStyle name="active 2 3 2 2" xfId="7727" xr:uid="{00000000-0005-0000-0000-00002F1E0000}"/>
    <cellStyle name="active 2 3 3" xfId="7728" xr:uid="{00000000-0005-0000-0000-0000301E0000}"/>
    <cellStyle name="active 2 4" xfId="7729" xr:uid="{00000000-0005-0000-0000-0000311E0000}"/>
    <cellStyle name="active 3" xfId="7730" xr:uid="{00000000-0005-0000-0000-0000321E0000}"/>
    <cellStyle name="active 3 2" xfId="7731" xr:uid="{00000000-0005-0000-0000-0000331E0000}"/>
    <cellStyle name="active 3 2 2" xfId="7732" xr:uid="{00000000-0005-0000-0000-0000341E0000}"/>
    <cellStyle name="active 3 3" xfId="7733" xr:uid="{00000000-0005-0000-0000-0000351E0000}"/>
    <cellStyle name="active 4" xfId="7734" xr:uid="{00000000-0005-0000-0000-0000361E0000}"/>
    <cellStyle name="active 4 2" xfId="7735" xr:uid="{00000000-0005-0000-0000-0000371E0000}"/>
    <cellStyle name="active 5" xfId="7736" xr:uid="{00000000-0005-0000-0000-0000381E0000}"/>
    <cellStyle name="active 5 2" xfId="7737" xr:uid="{00000000-0005-0000-0000-0000391E0000}"/>
    <cellStyle name="active 6" xfId="7738" xr:uid="{00000000-0005-0000-0000-00003A1E0000}"/>
    <cellStyle name="Actual Date" xfId="7739" xr:uid="{00000000-0005-0000-0000-00003B1E0000}"/>
    <cellStyle name="Actual Date 2" xfId="7740" xr:uid="{00000000-0005-0000-0000-00003C1E0000}"/>
    <cellStyle name="Actual Date 2 2" xfId="7741" xr:uid="{00000000-0005-0000-0000-00003D1E0000}"/>
    <cellStyle name="Actual Date 2 2 2" xfId="34222" xr:uid="{BEE49C68-459B-4E67-9480-EC76C65D150B}"/>
    <cellStyle name="Actual Date 2 3" xfId="34221" xr:uid="{2086E4A9-277A-4CBA-B5AE-7A3F765DEF63}"/>
    <cellStyle name="Actual Date 3" xfId="7742" xr:uid="{00000000-0005-0000-0000-00003E1E0000}"/>
    <cellStyle name="Actual Date 3 2" xfId="7743" xr:uid="{00000000-0005-0000-0000-00003F1E0000}"/>
    <cellStyle name="Actual Date 3 2 2" xfId="34224" xr:uid="{2BB14D40-51B2-4008-9564-064DA632AF8F}"/>
    <cellStyle name="Actual Date 3 3" xfId="34223" xr:uid="{1D6DE4CD-1321-4357-AFDC-16317F0DB46F}"/>
    <cellStyle name="Actual Date 4" xfId="7744" xr:uid="{00000000-0005-0000-0000-0000401E0000}"/>
    <cellStyle name="Actual Date 4 2" xfId="34225" xr:uid="{527B8B54-C8EB-406E-8D8B-0D3B667B17EB}"/>
    <cellStyle name="Actual Date 5" xfId="7745" xr:uid="{00000000-0005-0000-0000-0000411E0000}"/>
    <cellStyle name="Actual Date 5 2" xfId="34226" xr:uid="{2CC8D5BA-053E-40B6-B9AB-1FDA6A7322E8}"/>
    <cellStyle name="Actual Date 6" xfId="34220" xr:uid="{6348F67E-64E2-41D8-95B1-C77B0EF9F713}"/>
    <cellStyle name="args.style" xfId="7746" xr:uid="{00000000-0005-0000-0000-0000421E0000}"/>
    <cellStyle name="args.style 2" xfId="7747" xr:uid="{00000000-0005-0000-0000-0000431E0000}"/>
    <cellStyle name="args.style 2 2" xfId="7748" xr:uid="{00000000-0005-0000-0000-0000441E0000}"/>
    <cellStyle name="args.style 2 2 2" xfId="7749" xr:uid="{00000000-0005-0000-0000-0000451E0000}"/>
    <cellStyle name="args.style 2 3" xfId="7750" xr:uid="{00000000-0005-0000-0000-0000461E0000}"/>
    <cellStyle name="args.style 2 3 2" xfId="7751" xr:uid="{00000000-0005-0000-0000-0000471E0000}"/>
    <cellStyle name="args.style 2 3 2 2" xfId="7752" xr:uid="{00000000-0005-0000-0000-0000481E0000}"/>
    <cellStyle name="args.style 2 3 3" xfId="7753" xr:uid="{00000000-0005-0000-0000-0000491E0000}"/>
    <cellStyle name="args.style 2 4" xfId="7754" xr:uid="{00000000-0005-0000-0000-00004A1E0000}"/>
    <cellStyle name="args.style 3" xfId="7755" xr:uid="{00000000-0005-0000-0000-00004B1E0000}"/>
    <cellStyle name="args.style 3 2" xfId="7756" xr:uid="{00000000-0005-0000-0000-00004C1E0000}"/>
    <cellStyle name="args.style 3 2 2" xfId="7757" xr:uid="{00000000-0005-0000-0000-00004D1E0000}"/>
    <cellStyle name="args.style 3 3" xfId="7758" xr:uid="{00000000-0005-0000-0000-00004E1E0000}"/>
    <cellStyle name="args.style 4" xfId="7759" xr:uid="{00000000-0005-0000-0000-00004F1E0000}"/>
    <cellStyle name="args.style 4 2" xfId="7760" xr:uid="{00000000-0005-0000-0000-0000501E0000}"/>
    <cellStyle name="args.style 4 2 2" xfId="7761" xr:uid="{00000000-0005-0000-0000-0000511E0000}"/>
    <cellStyle name="args.style 4 3" xfId="7762" xr:uid="{00000000-0005-0000-0000-0000521E0000}"/>
    <cellStyle name="args.style 5" xfId="7763" xr:uid="{00000000-0005-0000-0000-0000531E0000}"/>
    <cellStyle name="args.style 5 2" xfId="7764" xr:uid="{00000000-0005-0000-0000-0000541E0000}"/>
    <cellStyle name="args.style 6" xfId="7765" xr:uid="{00000000-0005-0000-0000-0000551E0000}"/>
    <cellStyle name="args.style 6 2" xfId="7766" xr:uid="{00000000-0005-0000-0000-0000561E0000}"/>
    <cellStyle name="args.style 7" xfId="7767" xr:uid="{00000000-0005-0000-0000-0000571E0000}"/>
    <cellStyle name="Bad 2" xfId="7768" xr:uid="{00000000-0005-0000-0000-0000581E0000}"/>
    <cellStyle name="Bad 2 10" xfId="7769" xr:uid="{00000000-0005-0000-0000-0000591E0000}"/>
    <cellStyle name="Bad 2 10 2" xfId="7770" xr:uid="{00000000-0005-0000-0000-00005A1E0000}"/>
    <cellStyle name="Bad 2 10 2 2" xfId="34229" xr:uid="{F525E286-E5DD-48E1-8003-2E192D1764C9}"/>
    <cellStyle name="Bad 2 10 3" xfId="34228" xr:uid="{7D3E3EC2-45B6-4D6A-9E65-6D1337EF805D}"/>
    <cellStyle name="Bad 2 11" xfId="7771" xr:uid="{00000000-0005-0000-0000-00005B1E0000}"/>
    <cellStyle name="Bad 2 11 2" xfId="34230" xr:uid="{971E0679-55F2-4142-830A-1637E341A9B2}"/>
    <cellStyle name="Bad 2 12" xfId="7772" xr:uid="{00000000-0005-0000-0000-00005C1E0000}"/>
    <cellStyle name="Bad 2 13" xfId="34227" xr:uid="{35A3856F-47F9-4A0D-99F6-89CE5F2E4D10}"/>
    <cellStyle name="Bad 2 2" xfId="7773" xr:uid="{00000000-0005-0000-0000-00005D1E0000}"/>
    <cellStyle name="Bad 2 2 2" xfId="7774" xr:uid="{00000000-0005-0000-0000-00005E1E0000}"/>
    <cellStyle name="Bad 2 2 2 2" xfId="7775" xr:uid="{00000000-0005-0000-0000-00005F1E0000}"/>
    <cellStyle name="Bad 2 2 3" xfId="7776" xr:uid="{00000000-0005-0000-0000-0000601E0000}"/>
    <cellStyle name="Bad 2 2 3 2" xfId="7777" xr:uid="{00000000-0005-0000-0000-0000611E0000}"/>
    <cellStyle name="Bad 2 2 3 2 2" xfId="7778" xr:uid="{00000000-0005-0000-0000-0000621E0000}"/>
    <cellStyle name="Bad 2 2 3 3" xfId="7779" xr:uid="{00000000-0005-0000-0000-0000631E0000}"/>
    <cellStyle name="Bad 2 2 4" xfId="7780" xr:uid="{00000000-0005-0000-0000-0000641E0000}"/>
    <cellStyle name="Bad 2 2 4 2" xfId="7781" xr:uid="{00000000-0005-0000-0000-0000651E0000}"/>
    <cellStyle name="Bad 2 2 5" xfId="7782" xr:uid="{00000000-0005-0000-0000-0000661E0000}"/>
    <cellStyle name="Bad 2 3" xfId="7783" xr:uid="{00000000-0005-0000-0000-0000671E0000}"/>
    <cellStyle name="Bad 2 3 2" xfId="7784" xr:uid="{00000000-0005-0000-0000-0000681E0000}"/>
    <cellStyle name="Bad 2 3 2 2" xfId="7785" xr:uid="{00000000-0005-0000-0000-0000691E0000}"/>
    <cellStyle name="Bad 2 3 3" xfId="7786" xr:uid="{00000000-0005-0000-0000-00006A1E0000}"/>
    <cellStyle name="Bad 2 3 3 2" xfId="7787" xr:uid="{00000000-0005-0000-0000-00006B1E0000}"/>
    <cellStyle name="Bad 2 3 3 2 2" xfId="7788" xr:uid="{00000000-0005-0000-0000-00006C1E0000}"/>
    <cellStyle name="Bad 2 3 3 3" xfId="7789" xr:uid="{00000000-0005-0000-0000-00006D1E0000}"/>
    <cellStyle name="Bad 2 3 4" xfId="7790" xr:uid="{00000000-0005-0000-0000-00006E1E0000}"/>
    <cellStyle name="Bad 2 4" xfId="7791" xr:uid="{00000000-0005-0000-0000-00006F1E0000}"/>
    <cellStyle name="Bad 2 4 2" xfId="7792" xr:uid="{00000000-0005-0000-0000-0000701E0000}"/>
    <cellStyle name="Bad 2 4 2 2" xfId="7793" xr:uid="{00000000-0005-0000-0000-0000711E0000}"/>
    <cellStyle name="Bad 2 4 3" xfId="7794" xr:uid="{00000000-0005-0000-0000-0000721E0000}"/>
    <cellStyle name="Bad 2 5" xfId="7795" xr:uid="{00000000-0005-0000-0000-0000731E0000}"/>
    <cellStyle name="Bad 2 5 2" xfId="7796" xr:uid="{00000000-0005-0000-0000-0000741E0000}"/>
    <cellStyle name="Bad 2 5 2 2" xfId="7797" xr:uid="{00000000-0005-0000-0000-0000751E0000}"/>
    <cellStyle name="Bad 2 5 3" xfId="7798" xr:uid="{00000000-0005-0000-0000-0000761E0000}"/>
    <cellStyle name="Bad 2 5 3 2" xfId="7799" xr:uid="{00000000-0005-0000-0000-0000771E0000}"/>
    <cellStyle name="Bad 2 5 3 2 2" xfId="7800" xr:uid="{00000000-0005-0000-0000-0000781E0000}"/>
    <cellStyle name="Bad 2 5 3 3" xfId="7801" xr:uid="{00000000-0005-0000-0000-0000791E0000}"/>
    <cellStyle name="Bad 2 5 4" xfId="7802" xr:uid="{00000000-0005-0000-0000-00007A1E0000}"/>
    <cellStyle name="Bad 2 6" xfId="7803" xr:uid="{00000000-0005-0000-0000-00007B1E0000}"/>
    <cellStyle name="Bad 2 6 2" xfId="7804" xr:uid="{00000000-0005-0000-0000-00007C1E0000}"/>
    <cellStyle name="Bad 2 6 2 2" xfId="7805" xr:uid="{00000000-0005-0000-0000-00007D1E0000}"/>
    <cellStyle name="Bad 2 6 3" xfId="7806" xr:uid="{00000000-0005-0000-0000-00007E1E0000}"/>
    <cellStyle name="Bad 2 6 3 2" xfId="7807" xr:uid="{00000000-0005-0000-0000-00007F1E0000}"/>
    <cellStyle name="Bad 2 6 4" xfId="7808" xr:uid="{00000000-0005-0000-0000-0000801E0000}"/>
    <cellStyle name="Bad 2 7" xfId="7809" xr:uid="{00000000-0005-0000-0000-0000811E0000}"/>
    <cellStyle name="Bad 2 7 2" xfId="7810" xr:uid="{00000000-0005-0000-0000-0000821E0000}"/>
    <cellStyle name="Bad 2 7 2 2" xfId="34232" xr:uid="{6F937739-8E7D-42F3-8330-F1E87933DE93}"/>
    <cellStyle name="Bad 2 7 3" xfId="34231" xr:uid="{BFCA7B67-215F-4F2C-9B23-0067E17DB6C8}"/>
    <cellStyle name="Bad 2 8" xfId="7811" xr:uid="{00000000-0005-0000-0000-0000831E0000}"/>
    <cellStyle name="Bad 2 8 2" xfId="7812" xr:uid="{00000000-0005-0000-0000-0000841E0000}"/>
    <cellStyle name="Bad 2 8 2 2" xfId="7813" xr:uid="{00000000-0005-0000-0000-0000851E0000}"/>
    <cellStyle name="Bad 2 8 2 2 2" xfId="34235" xr:uid="{A5151373-E948-49AB-98A8-B6D9170A094D}"/>
    <cellStyle name="Bad 2 8 2 3" xfId="34234" xr:uid="{A3C2DC02-2CD1-4863-BB19-1BAAF9E01EF0}"/>
    <cellStyle name="Bad 2 8 3" xfId="7814" xr:uid="{00000000-0005-0000-0000-0000861E0000}"/>
    <cellStyle name="Bad 2 8 3 2" xfId="34236" xr:uid="{0AADDBD6-C8E0-4F87-8DD5-16CD3A72D770}"/>
    <cellStyle name="Bad 2 8 4" xfId="34233" xr:uid="{45FFB64D-88A5-4007-A216-03D78325792F}"/>
    <cellStyle name="Bad 2 9" xfId="7815" xr:uid="{00000000-0005-0000-0000-0000871E0000}"/>
    <cellStyle name="Bad 2 9 2" xfId="7816" xr:uid="{00000000-0005-0000-0000-0000881E0000}"/>
    <cellStyle name="Bad 2 9 2 2" xfId="7817" xr:uid="{00000000-0005-0000-0000-0000891E0000}"/>
    <cellStyle name="Bad 2 9 2 2 2" xfId="34238" xr:uid="{8889411D-8E11-4A80-AFF5-71F504BAD891}"/>
    <cellStyle name="Bad 2 9 2 3" xfId="34237" xr:uid="{56B4151E-2A64-4F1E-8A51-ADC013714627}"/>
    <cellStyle name="Bad 2 9 3" xfId="7818" xr:uid="{00000000-0005-0000-0000-00008A1E0000}"/>
    <cellStyle name="Bad 3" xfId="7819" xr:uid="{00000000-0005-0000-0000-00008B1E0000}"/>
    <cellStyle name="Bad 3 2" xfId="7820" xr:uid="{00000000-0005-0000-0000-00008C1E0000}"/>
    <cellStyle name="Bad 3 2 2" xfId="7821" xr:uid="{00000000-0005-0000-0000-00008D1E0000}"/>
    <cellStyle name="Bad 3 3" xfId="7822" xr:uid="{00000000-0005-0000-0000-00008E1E0000}"/>
    <cellStyle name="Bad 3 3 2" xfId="7823" xr:uid="{00000000-0005-0000-0000-00008F1E0000}"/>
    <cellStyle name="Bad 3 4" xfId="7824" xr:uid="{00000000-0005-0000-0000-0000901E0000}"/>
    <cellStyle name="Bad 3 4 2" xfId="7825" xr:uid="{00000000-0005-0000-0000-0000911E0000}"/>
    <cellStyle name="Bad 3 4 2 2" xfId="7826" xr:uid="{00000000-0005-0000-0000-0000921E0000}"/>
    <cellStyle name="Bad 3 4 3" xfId="7827" xr:uid="{00000000-0005-0000-0000-0000931E0000}"/>
    <cellStyle name="Bad 3 5" xfId="7828" xr:uid="{00000000-0005-0000-0000-0000941E0000}"/>
    <cellStyle name="Bad 3 6" xfId="34239" xr:uid="{E9E62098-F776-4388-8FEB-02777E20ABF8}"/>
    <cellStyle name="Bad 4" xfId="7829" xr:uid="{00000000-0005-0000-0000-0000951E0000}"/>
    <cellStyle name="Bad 4 2" xfId="7830" xr:uid="{00000000-0005-0000-0000-0000961E0000}"/>
    <cellStyle name="Bad 4 2 2" xfId="7831" xr:uid="{00000000-0005-0000-0000-0000971E0000}"/>
    <cellStyle name="Bad 4 3" xfId="7832" xr:uid="{00000000-0005-0000-0000-0000981E0000}"/>
    <cellStyle name="Bad 4 3 2" xfId="7833" xr:uid="{00000000-0005-0000-0000-0000991E0000}"/>
    <cellStyle name="Bad 4 3 2 2" xfId="7834" xr:uid="{00000000-0005-0000-0000-00009A1E0000}"/>
    <cellStyle name="Bad 4 3 3" xfId="7835" xr:uid="{00000000-0005-0000-0000-00009B1E0000}"/>
    <cellStyle name="Bad 4 4" xfId="7836" xr:uid="{00000000-0005-0000-0000-00009C1E0000}"/>
    <cellStyle name="Bad 4 5" xfId="34240" xr:uid="{83448F26-AC05-42B1-82F5-785FD7EE51BC}"/>
    <cellStyle name="Bad 5" xfId="7837" xr:uid="{00000000-0005-0000-0000-00009D1E0000}"/>
    <cellStyle name="Bad 5 2" xfId="7838" xr:uid="{00000000-0005-0000-0000-00009E1E0000}"/>
    <cellStyle name="Bad 5 2 2" xfId="7839" xr:uid="{00000000-0005-0000-0000-00009F1E0000}"/>
    <cellStyle name="Bad 5 2 2 2" xfId="7840" xr:uid="{00000000-0005-0000-0000-0000A01E0000}"/>
    <cellStyle name="Bad 5 2 2 2 2" xfId="7841" xr:uid="{00000000-0005-0000-0000-0000A11E0000}"/>
    <cellStyle name="Bad 5 2 2 2 2 2" xfId="34244" xr:uid="{84D43300-D329-429A-9B4A-0F3675ECAC31}"/>
    <cellStyle name="Bad 5 2 2 2 3" xfId="34243" xr:uid="{FE80DD9F-B8F9-4F53-8582-BF3BA03F46E8}"/>
    <cellStyle name="Bad 5 2 2 3" xfId="7842" xr:uid="{00000000-0005-0000-0000-0000A21E0000}"/>
    <cellStyle name="Bad 5 2 2 3 2" xfId="7843" xr:uid="{00000000-0005-0000-0000-0000A31E0000}"/>
    <cellStyle name="Bad 5 2 2 3 2 2" xfId="7844" xr:uid="{00000000-0005-0000-0000-0000A41E0000}"/>
    <cellStyle name="Bad 5 2 2 3 2 2 2" xfId="34247" xr:uid="{1EC15E7F-5CFF-4CC4-B96C-5D7B449FE7C9}"/>
    <cellStyle name="Bad 5 2 2 3 2 3" xfId="34246" xr:uid="{98C3B310-0DCC-4845-A7A9-E694AFA5766A}"/>
    <cellStyle name="Bad 5 2 2 3 3" xfId="7845" xr:uid="{00000000-0005-0000-0000-0000A51E0000}"/>
    <cellStyle name="Bad 5 2 2 3 3 2" xfId="34248" xr:uid="{37B85D3F-5CBF-44A8-B5B1-5A18841D5802}"/>
    <cellStyle name="Bad 5 2 2 3 4" xfId="34245" xr:uid="{2C8EF5DF-6B11-4A5A-A092-7733B5BC6404}"/>
    <cellStyle name="Bad 5 2 2 4" xfId="7846" xr:uid="{00000000-0005-0000-0000-0000A61E0000}"/>
    <cellStyle name="Bad 5 2 2 4 2" xfId="34249" xr:uid="{0488BB22-0178-4E4B-A6F4-BF355631D807}"/>
    <cellStyle name="Bad 5 2 2 5" xfId="34242" xr:uid="{C7E8D213-1222-4CF8-A5B7-B0E9D55D1A14}"/>
    <cellStyle name="Bad 5 2 3" xfId="7847" xr:uid="{00000000-0005-0000-0000-0000A71E0000}"/>
    <cellStyle name="Bad 5 2 3 2" xfId="7848" xr:uid="{00000000-0005-0000-0000-0000A81E0000}"/>
    <cellStyle name="Bad 5 2 4" xfId="7849" xr:uid="{00000000-0005-0000-0000-0000A91E0000}"/>
    <cellStyle name="Bad 5 2 4 2" xfId="7850" xr:uid="{00000000-0005-0000-0000-0000AA1E0000}"/>
    <cellStyle name="Bad 5 2 4 2 2" xfId="7851" xr:uid="{00000000-0005-0000-0000-0000AB1E0000}"/>
    <cellStyle name="Bad 5 2 4 3" xfId="7852" xr:uid="{00000000-0005-0000-0000-0000AC1E0000}"/>
    <cellStyle name="Bad 5 2 5" xfId="7853" xr:uid="{00000000-0005-0000-0000-0000AD1E0000}"/>
    <cellStyle name="Bad 5 3" xfId="7854" xr:uid="{00000000-0005-0000-0000-0000AE1E0000}"/>
    <cellStyle name="Bad 5 3 2" xfId="7855" xr:uid="{00000000-0005-0000-0000-0000AF1E0000}"/>
    <cellStyle name="Bad 5 3 2 2" xfId="7856" xr:uid="{00000000-0005-0000-0000-0000B01E0000}"/>
    <cellStyle name="Bad 5 3 3" xfId="7857" xr:uid="{00000000-0005-0000-0000-0000B11E0000}"/>
    <cellStyle name="Bad 5 4" xfId="7858" xr:uid="{00000000-0005-0000-0000-0000B21E0000}"/>
    <cellStyle name="Bad 5 4 2" xfId="7859" xr:uid="{00000000-0005-0000-0000-0000B31E0000}"/>
    <cellStyle name="Bad 5 4 2 2" xfId="34251" xr:uid="{792B2BB9-B970-43FC-AE2C-C580BDF699A8}"/>
    <cellStyle name="Bad 5 4 3" xfId="34250" xr:uid="{24C06B1B-307A-4E06-99EC-3E6DA42B8CF4}"/>
    <cellStyle name="Bad 5 5" xfId="7860" xr:uid="{00000000-0005-0000-0000-0000B41E0000}"/>
    <cellStyle name="Bad 5 5 2" xfId="7861" xr:uid="{00000000-0005-0000-0000-0000B51E0000}"/>
    <cellStyle name="Bad 5 5 2 2" xfId="7862" xr:uid="{00000000-0005-0000-0000-0000B61E0000}"/>
    <cellStyle name="Bad 5 5 2 2 2" xfId="34254" xr:uid="{5EB91F4F-F636-4B90-AE29-A209A7A0E44A}"/>
    <cellStyle name="Bad 5 5 2 3" xfId="34253" xr:uid="{92A2B86F-8769-43B1-8A8A-B1A049C36A8F}"/>
    <cellStyle name="Bad 5 5 3" xfId="7863" xr:uid="{00000000-0005-0000-0000-0000B71E0000}"/>
    <cellStyle name="Bad 5 5 3 2" xfId="34255" xr:uid="{8A494BDF-97FB-43E4-9ADE-4A0A8A9F707A}"/>
    <cellStyle name="Bad 5 5 4" xfId="34252" xr:uid="{D3DEBC78-24F0-4619-A6F1-F56EF5D624AA}"/>
    <cellStyle name="Bad 5 6" xfId="7864" xr:uid="{00000000-0005-0000-0000-0000B81E0000}"/>
    <cellStyle name="Bad 5 6 2" xfId="34256" xr:uid="{BCF5D056-44C3-4F6C-8EEE-DDACBB2BEC39}"/>
    <cellStyle name="Bad 5 7" xfId="34241" xr:uid="{CC884339-CAF0-4C25-BFB0-4B806B904BFA}"/>
    <cellStyle name="Bad 6" xfId="7865" xr:uid="{00000000-0005-0000-0000-0000B91E0000}"/>
    <cellStyle name="Bad 6 2" xfId="7866" xr:uid="{00000000-0005-0000-0000-0000BA1E0000}"/>
    <cellStyle name="Bad 6 2 2" xfId="7867" xr:uid="{00000000-0005-0000-0000-0000BB1E0000}"/>
    <cellStyle name="Bad 6 3" xfId="7868" xr:uid="{00000000-0005-0000-0000-0000BC1E0000}"/>
    <cellStyle name="Bad 7" xfId="7869" xr:uid="{00000000-0005-0000-0000-0000BD1E0000}"/>
    <cellStyle name="Bad 7 2" xfId="7870" xr:uid="{00000000-0005-0000-0000-0000BE1E0000}"/>
    <cellStyle name="Bad 8" xfId="7871" xr:uid="{00000000-0005-0000-0000-0000BF1E0000}"/>
    <cellStyle name="Bad 9" xfId="7872" xr:uid="{00000000-0005-0000-0000-0000C01E0000}"/>
    <cellStyle name="Body" xfId="7873" xr:uid="{00000000-0005-0000-0000-0000C11E0000}"/>
    <cellStyle name="Body 2" xfId="7874" xr:uid="{00000000-0005-0000-0000-0000C21E0000}"/>
    <cellStyle name="Body 2 2" xfId="7875" xr:uid="{00000000-0005-0000-0000-0000C31E0000}"/>
    <cellStyle name="Body 2 2 2" xfId="7876" xr:uid="{00000000-0005-0000-0000-0000C41E0000}"/>
    <cellStyle name="Body 2 3" xfId="7877" xr:uid="{00000000-0005-0000-0000-0000C51E0000}"/>
    <cellStyle name="Body 2 3 2" xfId="7878" xr:uid="{00000000-0005-0000-0000-0000C61E0000}"/>
    <cellStyle name="Body 2 3 2 2" xfId="7879" xr:uid="{00000000-0005-0000-0000-0000C71E0000}"/>
    <cellStyle name="Body 2 3 3" xfId="7880" xr:uid="{00000000-0005-0000-0000-0000C81E0000}"/>
    <cellStyle name="Body 2 4" xfId="7881" xr:uid="{00000000-0005-0000-0000-0000C91E0000}"/>
    <cellStyle name="Body 3" xfId="7882" xr:uid="{00000000-0005-0000-0000-0000CA1E0000}"/>
    <cellStyle name="Body 3 2" xfId="7883" xr:uid="{00000000-0005-0000-0000-0000CB1E0000}"/>
    <cellStyle name="Body 3 2 2" xfId="7884" xr:uid="{00000000-0005-0000-0000-0000CC1E0000}"/>
    <cellStyle name="Body 3 3" xfId="7885" xr:uid="{00000000-0005-0000-0000-0000CD1E0000}"/>
    <cellStyle name="Body 4" xfId="7886" xr:uid="{00000000-0005-0000-0000-0000CE1E0000}"/>
    <cellStyle name="Body 4 2" xfId="7887" xr:uid="{00000000-0005-0000-0000-0000CF1E0000}"/>
    <cellStyle name="Body 5" xfId="7888" xr:uid="{00000000-0005-0000-0000-0000D01E0000}"/>
    <cellStyle name="Body 5 2" xfId="7889" xr:uid="{00000000-0005-0000-0000-0000D11E0000}"/>
    <cellStyle name="Body 6" xfId="7890" xr:uid="{00000000-0005-0000-0000-0000D21E0000}"/>
    <cellStyle name="BorderedPercent" xfId="7891" xr:uid="{00000000-0005-0000-0000-0000D31E0000}"/>
    <cellStyle name="BorderedPercent 2" xfId="34257" xr:uid="{02904CFD-AF20-44B9-B032-32EBB73BA93A}"/>
    <cellStyle name="Boxed Integer" xfId="7892" xr:uid="{00000000-0005-0000-0000-0000D41E0000}"/>
    <cellStyle name="Boxed Integer 2" xfId="34258" xr:uid="{6F3FBD20-1FC8-4A27-BCAA-568FB99B6F64}"/>
    <cellStyle name="Calc" xfId="7893" xr:uid="{00000000-0005-0000-0000-0000D51E0000}"/>
    <cellStyle name="Calc Currency (0)" xfId="7894" xr:uid="{00000000-0005-0000-0000-0000D61E0000}"/>
    <cellStyle name="Calc Currency (0) 2" xfId="7895" xr:uid="{00000000-0005-0000-0000-0000D71E0000}"/>
    <cellStyle name="Calc Currency (0) 2 2" xfId="7896" xr:uid="{00000000-0005-0000-0000-0000D81E0000}"/>
    <cellStyle name="Calc Currency (0) 3" xfId="7897" xr:uid="{00000000-0005-0000-0000-0000D91E0000}"/>
    <cellStyle name="Calculation 10" xfId="7898" xr:uid="{00000000-0005-0000-0000-0000DA1E0000}"/>
    <cellStyle name="Calculation 2" xfId="7899" xr:uid="{00000000-0005-0000-0000-0000DB1E0000}"/>
    <cellStyle name="Calculation 2 10" xfId="7900" xr:uid="{00000000-0005-0000-0000-0000DC1E0000}"/>
    <cellStyle name="Calculation 2 10 2" xfId="7901" xr:uid="{00000000-0005-0000-0000-0000DD1E0000}"/>
    <cellStyle name="Calculation 2 10 2 2" xfId="34261" xr:uid="{9839A132-1D61-4203-9065-BD591EB80671}"/>
    <cellStyle name="Calculation 2 10 3" xfId="7902" xr:uid="{00000000-0005-0000-0000-0000DE1E0000}"/>
    <cellStyle name="Calculation 2 10 3 2" xfId="34262" xr:uid="{BC7734AB-ADEF-49D1-8B19-727224D9BDA7}"/>
    <cellStyle name="Calculation 2 10 4" xfId="34260" xr:uid="{8609BDA3-CE2A-48BF-AF3F-F2AB08EA74A7}"/>
    <cellStyle name="Calculation 2 11" xfId="7903" xr:uid="{00000000-0005-0000-0000-0000DF1E0000}"/>
    <cellStyle name="Calculation 2 11 2" xfId="7904" xr:uid="{00000000-0005-0000-0000-0000E01E0000}"/>
    <cellStyle name="Calculation 2 11 2 2" xfId="34264" xr:uid="{86BD613C-8902-41E0-AB64-928F9DE0E10B}"/>
    <cellStyle name="Calculation 2 11 3" xfId="34263" xr:uid="{576AF4EE-3131-4EB5-BC0A-B7FB3BDDA283}"/>
    <cellStyle name="Calculation 2 12" xfId="7905" xr:uid="{00000000-0005-0000-0000-0000E11E0000}"/>
    <cellStyle name="Calculation 2 12 2" xfId="34265" xr:uid="{F8C2DBA7-674A-49F3-A012-F55E6FBE8CDD}"/>
    <cellStyle name="Calculation 2 13" xfId="7906" xr:uid="{00000000-0005-0000-0000-0000E21E0000}"/>
    <cellStyle name="Calculation 2 13 2" xfId="34266" xr:uid="{055E954C-27FA-4F2B-945A-E689CD80B9AC}"/>
    <cellStyle name="Calculation 2 14" xfId="34259" xr:uid="{7CF5DD8A-5ED4-4FB0-BBEF-B4F1E8837BCA}"/>
    <cellStyle name="Calculation 2 2" xfId="7907" xr:uid="{00000000-0005-0000-0000-0000E31E0000}"/>
    <cellStyle name="Calculation 2 2 2" xfId="7908" xr:uid="{00000000-0005-0000-0000-0000E41E0000}"/>
    <cellStyle name="Calculation 2 2 2 2" xfId="7909" xr:uid="{00000000-0005-0000-0000-0000E51E0000}"/>
    <cellStyle name="Calculation 2 2 3" xfId="7910" xr:uid="{00000000-0005-0000-0000-0000E61E0000}"/>
    <cellStyle name="Calculation 2 2 3 2" xfId="7911" xr:uid="{00000000-0005-0000-0000-0000E71E0000}"/>
    <cellStyle name="Calculation 2 2 3 2 2" xfId="7912" xr:uid="{00000000-0005-0000-0000-0000E81E0000}"/>
    <cellStyle name="Calculation 2 2 3 3" xfId="7913" xr:uid="{00000000-0005-0000-0000-0000E91E0000}"/>
    <cellStyle name="Calculation 2 2 4" xfId="7914" xr:uid="{00000000-0005-0000-0000-0000EA1E0000}"/>
    <cellStyle name="Calculation 2 3" xfId="7915" xr:uid="{00000000-0005-0000-0000-0000EB1E0000}"/>
    <cellStyle name="Calculation 2 3 2" xfId="7916" xr:uid="{00000000-0005-0000-0000-0000EC1E0000}"/>
    <cellStyle name="Calculation 2 3 2 2" xfId="7917" xr:uid="{00000000-0005-0000-0000-0000ED1E0000}"/>
    <cellStyle name="Calculation 2 3 2 2 2" xfId="7918" xr:uid="{00000000-0005-0000-0000-0000EE1E0000}"/>
    <cellStyle name="Calculation 2 3 2 2 2 2" xfId="34270" xr:uid="{F6F723A2-72A6-4409-8509-4C873923E502}"/>
    <cellStyle name="Calculation 2 3 2 2 3" xfId="34269" xr:uid="{B2083403-CB59-4824-B6A1-17A56DCE1BE1}"/>
    <cellStyle name="Calculation 2 3 2 3" xfId="7919" xr:uid="{00000000-0005-0000-0000-0000EF1E0000}"/>
    <cellStyle name="Calculation 2 3 2 3 2" xfId="34271" xr:uid="{1C26A684-E651-4192-AE4D-9549CC50A279}"/>
    <cellStyle name="Calculation 2 3 2 4" xfId="34268" xr:uid="{E3B5D255-B9C2-4255-AE9C-453FBF5C00EF}"/>
    <cellStyle name="Calculation 2 3 3" xfId="7920" xr:uid="{00000000-0005-0000-0000-0000F01E0000}"/>
    <cellStyle name="Calculation 2 3 3 2" xfId="7921" xr:uid="{00000000-0005-0000-0000-0000F11E0000}"/>
    <cellStyle name="Calculation 2 3 3 2 2" xfId="7922" xr:uid="{00000000-0005-0000-0000-0000F21E0000}"/>
    <cellStyle name="Calculation 2 3 3 2 2 2" xfId="7923" xr:uid="{00000000-0005-0000-0000-0000F31E0000}"/>
    <cellStyle name="Calculation 2 3 3 2 2 2 2" xfId="34275" xr:uid="{9E40EA11-3B68-45CC-AA10-00D5B99D5674}"/>
    <cellStyle name="Calculation 2 3 3 2 2 3" xfId="34274" xr:uid="{18EC669D-8ADC-4828-A7FA-1EDA59C27DED}"/>
    <cellStyle name="Calculation 2 3 3 2 3" xfId="7924" xr:uid="{00000000-0005-0000-0000-0000F41E0000}"/>
    <cellStyle name="Calculation 2 3 3 2 3 2" xfId="34276" xr:uid="{478353DD-02C1-4F67-BB81-1DFD4FE5132A}"/>
    <cellStyle name="Calculation 2 3 3 2 4" xfId="34273" xr:uid="{8CCB8DBA-06AB-480A-AF62-33AD4F592A43}"/>
    <cellStyle name="Calculation 2 3 3 3" xfId="7925" xr:uid="{00000000-0005-0000-0000-0000F51E0000}"/>
    <cellStyle name="Calculation 2 3 3 3 2" xfId="7926" xr:uid="{00000000-0005-0000-0000-0000F61E0000}"/>
    <cellStyle name="Calculation 2 3 3 3 2 2" xfId="34278" xr:uid="{3D494155-A209-48E8-B128-EDE2F33B6D77}"/>
    <cellStyle name="Calculation 2 3 3 3 3" xfId="34277" xr:uid="{AFA54231-077C-4922-971E-794910739220}"/>
    <cellStyle name="Calculation 2 3 3 4" xfId="7927" xr:uid="{00000000-0005-0000-0000-0000F71E0000}"/>
    <cellStyle name="Calculation 2 3 3 4 2" xfId="34279" xr:uid="{1EB7D9FF-E858-447B-A88B-F2FABE558349}"/>
    <cellStyle name="Calculation 2 3 3 5" xfId="34272" xr:uid="{E7D528E0-2E79-408F-AC46-AD2CC9473BC4}"/>
    <cellStyle name="Calculation 2 3 4" xfId="7928" xr:uid="{00000000-0005-0000-0000-0000F81E0000}"/>
    <cellStyle name="Calculation 2 3 4 2" xfId="7929" xr:uid="{00000000-0005-0000-0000-0000F91E0000}"/>
    <cellStyle name="Calculation 2 3 4 2 2" xfId="34281" xr:uid="{C08A7537-24CE-4110-B54E-2D2BCFDB8A65}"/>
    <cellStyle name="Calculation 2 3 4 3" xfId="34280" xr:uid="{ED875341-7BCA-4588-82F5-C58B5065E572}"/>
    <cellStyle name="Calculation 2 3 5" xfId="7930" xr:uid="{00000000-0005-0000-0000-0000FA1E0000}"/>
    <cellStyle name="Calculation 2 3 5 2" xfId="34282" xr:uid="{01DD1F21-568C-4409-BAD7-A676158F7451}"/>
    <cellStyle name="Calculation 2 3 6" xfId="34267" xr:uid="{AA78761A-E558-4769-B900-8A11E17F49E5}"/>
    <cellStyle name="Calculation 2 4" xfId="7931" xr:uid="{00000000-0005-0000-0000-0000FB1E0000}"/>
    <cellStyle name="Calculation 2 4 2" xfId="7932" xr:uid="{00000000-0005-0000-0000-0000FC1E0000}"/>
    <cellStyle name="Calculation 2 4 2 2" xfId="7933" xr:uid="{00000000-0005-0000-0000-0000FD1E0000}"/>
    <cellStyle name="Calculation 2 4 2 2 2" xfId="7934" xr:uid="{00000000-0005-0000-0000-0000FE1E0000}"/>
    <cellStyle name="Calculation 2 4 2 2 2 2" xfId="34286" xr:uid="{FC7BFED9-EFFD-4B77-AD6D-9ACA7E4236E3}"/>
    <cellStyle name="Calculation 2 4 2 2 3" xfId="34285" xr:uid="{C562E9C2-4298-4AEA-8BC3-540B047AAA74}"/>
    <cellStyle name="Calculation 2 4 2 3" xfId="7935" xr:uid="{00000000-0005-0000-0000-0000FF1E0000}"/>
    <cellStyle name="Calculation 2 4 2 3 2" xfId="34287" xr:uid="{27B0BDE3-68E0-4A65-8B8B-56EC571209A9}"/>
    <cellStyle name="Calculation 2 4 2 4" xfId="34284" xr:uid="{F6B23A36-FB71-4AF9-BF60-C9E23CC8A303}"/>
    <cellStyle name="Calculation 2 4 3" xfId="7936" xr:uid="{00000000-0005-0000-0000-0000001F0000}"/>
    <cellStyle name="Calculation 2 4 3 2" xfId="7937" xr:uid="{00000000-0005-0000-0000-0000011F0000}"/>
    <cellStyle name="Calculation 2 4 3 2 2" xfId="34289" xr:uid="{83458FAA-5860-4DE2-8FD7-DF9A5E397548}"/>
    <cellStyle name="Calculation 2 4 3 3" xfId="34288" xr:uid="{C74C3B1E-C583-4F47-BC04-93AAE8F6E98A}"/>
    <cellStyle name="Calculation 2 4 4" xfId="7938" xr:uid="{00000000-0005-0000-0000-0000021F0000}"/>
    <cellStyle name="Calculation 2 4 4 2" xfId="34290" xr:uid="{75006539-ACBF-4800-8226-FCFA4108521E}"/>
    <cellStyle name="Calculation 2 4 5" xfId="34283" xr:uid="{B639BBC2-A203-4A4D-920F-045EA1EACA40}"/>
    <cellStyle name="Calculation 2 5" xfId="7939" xr:uid="{00000000-0005-0000-0000-0000031F0000}"/>
    <cellStyle name="Calculation 2 5 2" xfId="7940" xr:uid="{00000000-0005-0000-0000-0000041F0000}"/>
    <cellStyle name="Calculation 2 5 2 2" xfId="7941" xr:uid="{00000000-0005-0000-0000-0000051F0000}"/>
    <cellStyle name="Calculation 2 5 2 2 2" xfId="7942" xr:uid="{00000000-0005-0000-0000-0000061F0000}"/>
    <cellStyle name="Calculation 2 5 2 2 2 2" xfId="34294" xr:uid="{C7F7DB5B-D38E-4301-AD0E-8B9A1E491A6F}"/>
    <cellStyle name="Calculation 2 5 2 2 3" xfId="34293" xr:uid="{8491157E-A43D-459B-B57B-2B1698E24027}"/>
    <cellStyle name="Calculation 2 5 2 3" xfId="7943" xr:uid="{00000000-0005-0000-0000-0000071F0000}"/>
    <cellStyle name="Calculation 2 5 2 3 2" xfId="34295" xr:uid="{1AC76E32-E6F6-4135-BEC8-C3B9CF3D0CF1}"/>
    <cellStyle name="Calculation 2 5 2 4" xfId="34292" xr:uid="{94AA9BD7-BA71-4B2A-90ED-CDDAC513B242}"/>
    <cellStyle name="Calculation 2 5 3" xfId="7944" xr:uid="{00000000-0005-0000-0000-0000081F0000}"/>
    <cellStyle name="Calculation 2 5 3 2" xfId="7945" xr:uid="{00000000-0005-0000-0000-0000091F0000}"/>
    <cellStyle name="Calculation 2 5 3 2 2" xfId="7946" xr:uid="{00000000-0005-0000-0000-00000A1F0000}"/>
    <cellStyle name="Calculation 2 5 3 2 2 2" xfId="7947" xr:uid="{00000000-0005-0000-0000-00000B1F0000}"/>
    <cellStyle name="Calculation 2 5 3 2 2 2 2" xfId="34299" xr:uid="{8239BA2B-8DB4-4B65-B8FC-47B8465EB028}"/>
    <cellStyle name="Calculation 2 5 3 2 2 3" xfId="34298" xr:uid="{5B92BAEB-12AC-4D7C-9A76-C7A772EFCB97}"/>
    <cellStyle name="Calculation 2 5 3 2 3" xfId="7948" xr:uid="{00000000-0005-0000-0000-00000C1F0000}"/>
    <cellStyle name="Calculation 2 5 3 2 3 2" xfId="34300" xr:uid="{ABB56C61-C69A-457E-BB3C-F0A42095E498}"/>
    <cellStyle name="Calculation 2 5 3 2 4" xfId="34297" xr:uid="{3AB04430-A717-4703-8CCB-70B17DBAE198}"/>
    <cellStyle name="Calculation 2 5 3 3" xfId="7949" xr:uid="{00000000-0005-0000-0000-00000D1F0000}"/>
    <cellStyle name="Calculation 2 5 3 3 2" xfId="7950" xr:uid="{00000000-0005-0000-0000-00000E1F0000}"/>
    <cellStyle name="Calculation 2 5 3 3 2 2" xfId="34302" xr:uid="{0ED73F15-19CC-4A9C-A665-A40D223A6771}"/>
    <cellStyle name="Calculation 2 5 3 3 3" xfId="34301" xr:uid="{D9F65DFA-89F5-4803-A661-C53080527718}"/>
    <cellStyle name="Calculation 2 5 3 4" xfId="7951" xr:uid="{00000000-0005-0000-0000-00000F1F0000}"/>
    <cellStyle name="Calculation 2 5 3 4 2" xfId="34303" xr:uid="{E5A039F3-C5A3-404C-9700-5488786B02C7}"/>
    <cellStyle name="Calculation 2 5 3 5" xfId="34296" xr:uid="{A96FA086-478A-460A-8618-419C21A1573D}"/>
    <cellStyle name="Calculation 2 5 4" xfId="7952" xr:uid="{00000000-0005-0000-0000-0000101F0000}"/>
    <cellStyle name="Calculation 2 5 4 2" xfId="7953" xr:uid="{00000000-0005-0000-0000-0000111F0000}"/>
    <cellStyle name="Calculation 2 5 4 2 2" xfId="34305" xr:uid="{1C606A09-98F4-4AAE-8642-39275D334B29}"/>
    <cellStyle name="Calculation 2 5 4 3" xfId="34304" xr:uid="{C0409A58-78CF-444B-955B-8053A4E1A87F}"/>
    <cellStyle name="Calculation 2 5 5" xfId="7954" xr:uid="{00000000-0005-0000-0000-0000121F0000}"/>
    <cellStyle name="Calculation 2 5 5 2" xfId="34306" xr:uid="{6146EB86-7B8F-40AC-84CE-3BED400BC8F4}"/>
    <cellStyle name="Calculation 2 5 6" xfId="34291" xr:uid="{A9BD9AFD-8E23-460C-A748-D8F3B5EFFF4C}"/>
    <cellStyle name="Calculation 2 6" xfId="7955" xr:uid="{00000000-0005-0000-0000-0000131F0000}"/>
    <cellStyle name="Calculation 2 6 2" xfId="7956" xr:uid="{00000000-0005-0000-0000-0000141F0000}"/>
    <cellStyle name="Calculation 2 6 2 2" xfId="7957" xr:uid="{00000000-0005-0000-0000-0000151F0000}"/>
    <cellStyle name="Calculation 2 6 2 2 2" xfId="7958" xr:uid="{00000000-0005-0000-0000-0000161F0000}"/>
    <cellStyle name="Calculation 2 6 2 2 2 2" xfId="34310" xr:uid="{799C8CCC-8CF3-4271-8F74-C80EE4BB103E}"/>
    <cellStyle name="Calculation 2 6 2 2 3" xfId="34309" xr:uid="{87442EA0-B1F7-4442-8830-E3555E6C6D1C}"/>
    <cellStyle name="Calculation 2 6 2 3" xfId="7959" xr:uid="{00000000-0005-0000-0000-0000171F0000}"/>
    <cellStyle name="Calculation 2 6 2 3 2" xfId="34311" xr:uid="{55BAD90C-7EA0-4B49-8AA6-81D511064EC2}"/>
    <cellStyle name="Calculation 2 6 2 4" xfId="34308" xr:uid="{4981D536-AE86-478B-AA4C-FCE2E2BBF07E}"/>
    <cellStyle name="Calculation 2 6 3" xfId="7960" xr:uid="{00000000-0005-0000-0000-0000181F0000}"/>
    <cellStyle name="Calculation 2 6 3 2" xfId="7961" xr:uid="{00000000-0005-0000-0000-0000191F0000}"/>
    <cellStyle name="Calculation 2 6 3 2 2" xfId="7962" xr:uid="{00000000-0005-0000-0000-00001A1F0000}"/>
    <cellStyle name="Calculation 2 6 3 2 2 2" xfId="7963" xr:uid="{00000000-0005-0000-0000-00001B1F0000}"/>
    <cellStyle name="Calculation 2 6 3 2 2 2 2" xfId="7964" xr:uid="{00000000-0005-0000-0000-00001C1F0000}"/>
    <cellStyle name="Calculation 2 6 3 2 2 2 2 2" xfId="34316" xr:uid="{8BF30E6A-C74A-4954-9BEC-8E80263771C9}"/>
    <cellStyle name="Calculation 2 6 3 2 2 2 3" xfId="34315" xr:uid="{5C853019-8B9C-4859-B4BB-815A7C370258}"/>
    <cellStyle name="Calculation 2 6 3 2 2 3" xfId="7965" xr:uid="{00000000-0005-0000-0000-00001D1F0000}"/>
    <cellStyle name="Calculation 2 6 3 2 2 3 2" xfId="34317" xr:uid="{BFEF4572-3BE6-4FD3-A413-9AB3D7BF7D91}"/>
    <cellStyle name="Calculation 2 6 3 2 2 4" xfId="34314" xr:uid="{47621D91-BA9C-499F-A04E-D4E8A005FC2C}"/>
    <cellStyle name="Calculation 2 6 3 2 3" xfId="7966" xr:uid="{00000000-0005-0000-0000-00001E1F0000}"/>
    <cellStyle name="Calculation 2 6 3 2 3 2" xfId="7967" xr:uid="{00000000-0005-0000-0000-00001F1F0000}"/>
    <cellStyle name="Calculation 2 6 3 2 3 2 2" xfId="34319" xr:uid="{44BE6E10-2867-4E18-9C45-E6CBBE587906}"/>
    <cellStyle name="Calculation 2 6 3 2 3 3" xfId="34318" xr:uid="{E64690A3-F75F-41A5-9FBA-EDD83B9BD9E9}"/>
    <cellStyle name="Calculation 2 6 3 2 4" xfId="7968" xr:uid="{00000000-0005-0000-0000-0000201F0000}"/>
    <cellStyle name="Calculation 2 6 3 2 4 2" xfId="34320" xr:uid="{E57387FD-FD10-4ADC-A954-759612BB896C}"/>
    <cellStyle name="Calculation 2 6 3 2 5" xfId="34313" xr:uid="{AD6AF2BB-7C8C-47FC-BB23-157DFA11E5DD}"/>
    <cellStyle name="Calculation 2 6 3 3" xfId="7969" xr:uid="{00000000-0005-0000-0000-0000211F0000}"/>
    <cellStyle name="Calculation 2 6 3 3 2" xfId="7970" xr:uid="{00000000-0005-0000-0000-0000221F0000}"/>
    <cellStyle name="Calculation 2 6 3 3 2 2" xfId="7971" xr:uid="{00000000-0005-0000-0000-0000231F0000}"/>
    <cellStyle name="Calculation 2 6 3 3 2 2 2" xfId="34323" xr:uid="{28EED177-CCB6-41CA-B359-0B90B0454130}"/>
    <cellStyle name="Calculation 2 6 3 3 2 3" xfId="34322" xr:uid="{D77615A7-0F18-46C2-9D57-CA0562056B15}"/>
    <cellStyle name="Calculation 2 6 3 3 3" xfId="7972" xr:uid="{00000000-0005-0000-0000-0000241F0000}"/>
    <cellStyle name="Calculation 2 6 3 3 3 2" xfId="34324" xr:uid="{E4347A7A-8E8C-48CD-B759-D896478DA80B}"/>
    <cellStyle name="Calculation 2 6 3 3 4" xfId="34321" xr:uid="{06455190-435F-465D-9D16-F2168029B136}"/>
    <cellStyle name="Calculation 2 6 3 4" xfId="7973" xr:uid="{00000000-0005-0000-0000-0000251F0000}"/>
    <cellStyle name="Calculation 2 6 3 4 2" xfId="7974" xr:uid="{00000000-0005-0000-0000-0000261F0000}"/>
    <cellStyle name="Calculation 2 6 3 4 2 2" xfId="34326" xr:uid="{5ABD6256-294B-4ABD-AAE0-6F78F6CBF63A}"/>
    <cellStyle name="Calculation 2 6 3 4 3" xfId="34325" xr:uid="{A63353C6-9E79-419A-AB12-424F30EE493B}"/>
    <cellStyle name="Calculation 2 6 3 5" xfId="7975" xr:uid="{00000000-0005-0000-0000-0000271F0000}"/>
    <cellStyle name="Calculation 2 6 3 5 2" xfId="34327" xr:uid="{D0BDEDC8-602A-49FA-B23E-5E8BC1778FA7}"/>
    <cellStyle name="Calculation 2 6 3 6" xfId="34312" xr:uid="{40EEE117-4F54-4361-AD28-B66F50EE1596}"/>
    <cellStyle name="Calculation 2 6 4" xfId="7976" xr:uid="{00000000-0005-0000-0000-0000281F0000}"/>
    <cellStyle name="Calculation 2 6 4 2" xfId="7977" xr:uid="{00000000-0005-0000-0000-0000291F0000}"/>
    <cellStyle name="Calculation 2 6 4 2 2" xfId="7978" xr:uid="{00000000-0005-0000-0000-00002A1F0000}"/>
    <cellStyle name="Calculation 2 6 4 2 2 2" xfId="7979" xr:uid="{00000000-0005-0000-0000-00002B1F0000}"/>
    <cellStyle name="Calculation 2 6 4 2 2 2 2" xfId="34331" xr:uid="{9FBB07A0-1309-4685-BDCC-E0059269E622}"/>
    <cellStyle name="Calculation 2 6 4 2 2 3" xfId="34330" xr:uid="{01F19C89-47A4-4771-ADE6-99A3358FEB6C}"/>
    <cellStyle name="Calculation 2 6 4 2 3" xfId="7980" xr:uid="{00000000-0005-0000-0000-00002C1F0000}"/>
    <cellStyle name="Calculation 2 6 4 2 3 2" xfId="34332" xr:uid="{78CD9B86-BA60-4996-95AF-0A18B0CAD9B5}"/>
    <cellStyle name="Calculation 2 6 4 2 4" xfId="34329" xr:uid="{806562A4-6CB4-417A-B26F-007323C93046}"/>
    <cellStyle name="Calculation 2 6 4 3" xfId="7981" xr:uid="{00000000-0005-0000-0000-00002D1F0000}"/>
    <cellStyle name="Calculation 2 6 4 3 2" xfId="7982" xr:uid="{00000000-0005-0000-0000-00002E1F0000}"/>
    <cellStyle name="Calculation 2 6 4 3 2 2" xfId="34334" xr:uid="{1D1BBDEF-48F1-4EB3-A476-BA2333DF2710}"/>
    <cellStyle name="Calculation 2 6 4 3 3" xfId="34333" xr:uid="{A087912E-8742-4A7E-B561-BC168EDD8454}"/>
    <cellStyle name="Calculation 2 6 4 4" xfId="7983" xr:uid="{00000000-0005-0000-0000-00002F1F0000}"/>
    <cellStyle name="Calculation 2 6 4 4 2" xfId="34335" xr:uid="{8A5DAD3C-D292-42DD-A242-671A4096BA2B}"/>
    <cellStyle name="Calculation 2 6 4 5" xfId="34328" xr:uid="{0904C0D2-CDB4-479C-A9BF-49EA6A20A291}"/>
    <cellStyle name="Calculation 2 6 5" xfId="7984" xr:uid="{00000000-0005-0000-0000-0000301F0000}"/>
    <cellStyle name="Calculation 2 6 5 2" xfId="7985" xr:uid="{00000000-0005-0000-0000-0000311F0000}"/>
    <cellStyle name="Calculation 2 6 5 2 2" xfId="7986" xr:uid="{00000000-0005-0000-0000-0000321F0000}"/>
    <cellStyle name="Calculation 2 6 5 2 2 2" xfId="34338" xr:uid="{DA0C4C92-4974-4C12-97B3-FDAE37842217}"/>
    <cellStyle name="Calculation 2 6 5 2 3" xfId="34337" xr:uid="{98E77EC3-1DA5-4304-B4CE-E5B8667F2904}"/>
    <cellStyle name="Calculation 2 6 5 3" xfId="7987" xr:uid="{00000000-0005-0000-0000-0000331F0000}"/>
    <cellStyle name="Calculation 2 6 5 3 2" xfId="34339" xr:uid="{3D9D5D9C-8EBB-4FEE-A894-EBDD7824CFED}"/>
    <cellStyle name="Calculation 2 6 5 4" xfId="34336" xr:uid="{1E41DC1A-5F40-4114-9CC4-AE458E3164CB}"/>
    <cellStyle name="Calculation 2 6 6" xfId="7988" xr:uid="{00000000-0005-0000-0000-0000341F0000}"/>
    <cellStyle name="Calculation 2 6 6 2" xfId="7989" xr:uid="{00000000-0005-0000-0000-0000351F0000}"/>
    <cellStyle name="Calculation 2 6 6 2 2" xfId="34341" xr:uid="{29ECFB07-EB71-4D11-BFEB-FDC7BC71C2F8}"/>
    <cellStyle name="Calculation 2 6 6 3" xfId="34340" xr:uid="{C5385E37-2AD8-4FB0-A6E5-392B9375CC87}"/>
    <cellStyle name="Calculation 2 6 7" xfId="7990" xr:uid="{00000000-0005-0000-0000-0000361F0000}"/>
    <cellStyle name="Calculation 2 6 7 2" xfId="34342" xr:uid="{36BF9653-813D-4B7A-BF3A-262C6D925512}"/>
    <cellStyle name="Calculation 2 6 8" xfId="34307" xr:uid="{A2C073C8-40BD-410C-B111-7A80102E38DB}"/>
    <cellStyle name="Calculation 2 7" xfId="7991" xr:uid="{00000000-0005-0000-0000-0000371F0000}"/>
    <cellStyle name="Calculation 2 7 2" xfId="7992" xr:uid="{00000000-0005-0000-0000-0000381F0000}"/>
    <cellStyle name="Calculation 2 7 2 2" xfId="7993" xr:uid="{00000000-0005-0000-0000-0000391F0000}"/>
    <cellStyle name="Calculation 2 7 2 2 2" xfId="34345" xr:uid="{25E85CC2-9E5B-4E0D-83FB-CAB50C80D776}"/>
    <cellStyle name="Calculation 2 7 2 3" xfId="34344" xr:uid="{5396BD9F-3A94-4DE7-8C42-14BC27A1FB3F}"/>
    <cellStyle name="Calculation 2 7 3" xfId="7994" xr:uid="{00000000-0005-0000-0000-00003A1F0000}"/>
    <cellStyle name="Calculation 2 7 3 2" xfId="34346" xr:uid="{CDB681EC-B6E4-4278-A7DC-23F11A5E1CBF}"/>
    <cellStyle name="Calculation 2 7 4" xfId="34343" xr:uid="{31ADF1C7-E3FD-4C50-8E74-CFECEE221875}"/>
    <cellStyle name="Calculation 2 8" xfId="7995" xr:uid="{00000000-0005-0000-0000-00003B1F0000}"/>
    <cellStyle name="Calculation 2 8 2" xfId="7996" xr:uid="{00000000-0005-0000-0000-00003C1F0000}"/>
    <cellStyle name="Calculation 2 8 2 2" xfId="7997" xr:uid="{00000000-0005-0000-0000-00003D1F0000}"/>
    <cellStyle name="Calculation 2 8 2 2 2" xfId="7998" xr:uid="{00000000-0005-0000-0000-00003E1F0000}"/>
    <cellStyle name="Calculation 2 8 2 2 2 2" xfId="34350" xr:uid="{2C9B2DC9-2942-431D-B7CF-F9A2D1500935}"/>
    <cellStyle name="Calculation 2 8 2 2 3" xfId="34349" xr:uid="{A23EC323-B9E9-47EF-8CEE-3218AB5D5F70}"/>
    <cellStyle name="Calculation 2 8 2 3" xfId="7999" xr:uid="{00000000-0005-0000-0000-00003F1F0000}"/>
    <cellStyle name="Calculation 2 8 2 3 2" xfId="34351" xr:uid="{31A10F45-C82E-4F98-AB42-25947568ED2E}"/>
    <cellStyle name="Calculation 2 8 2 4" xfId="34348" xr:uid="{93021D82-4332-4AC4-ABE0-380C736DE31B}"/>
    <cellStyle name="Calculation 2 8 3" xfId="8000" xr:uid="{00000000-0005-0000-0000-0000401F0000}"/>
    <cellStyle name="Calculation 2 8 3 2" xfId="8001" xr:uid="{00000000-0005-0000-0000-0000411F0000}"/>
    <cellStyle name="Calculation 2 8 3 2 2" xfId="34353" xr:uid="{A9406A5E-5ADA-4257-8B24-EE3E64D7890B}"/>
    <cellStyle name="Calculation 2 8 3 3" xfId="34352" xr:uid="{810A7372-05D0-4C55-8A7A-86B39DAF6A13}"/>
    <cellStyle name="Calculation 2 8 4" xfId="8002" xr:uid="{00000000-0005-0000-0000-0000421F0000}"/>
    <cellStyle name="Calculation 2 8 4 2" xfId="34354" xr:uid="{09E98C91-80A7-4C6A-85EE-C526F19535E8}"/>
    <cellStyle name="Calculation 2 8 5" xfId="34347" xr:uid="{89D45A20-08EF-4CB1-B522-23FD9DC86DFB}"/>
    <cellStyle name="Calculation 2 9" xfId="8003" xr:uid="{00000000-0005-0000-0000-0000431F0000}"/>
    <cellStyle name="Calculation 2 9 2" xfId="8004" xr:uid="{00000000-0005-0000-0000-0000441F0000}"/>
    <cellStyle name="Calculation 2 9 2 2" xfId="8005" xr:uid="{00000000-0005-0000-0000-0000451F0000}"/>
    <cellStyle name="Calculation 2 9 2 2 2" xfId="8006" xr:uid="{00000000-0005-0000-0000-0000461F0000}"/>
    <cellStyle name="Calculation 2 9 2 2 2 2" xfId="34358" xr:uid="{6B46712F-5F7A-43C7-9E57-4895778849F9}"/>
    <cellStyle name="Calculation 2 9 2 2 3" xfId="34357" xr:uid="{83CDF936-D68A-4A1E-B8FE-B2B14027056B}"/>
    <cellStyle name="Calculation 2 9 2 3" xfId="8007" xr:uid="{00000000-0005-0000-0000-0000471F0000}"/>
    <cellStyle name="Calculation 2 9 2 3 2" xfId="34359" xr:uid="{D5884BC5-F6E0-443F-84A6-0F41E66CD610}"/>
    <cellStyle name="Calculation 2 9 2 4" xfId="34356" xr:uid="{11CDCE26-F1ED-419B-87AB-61FB28203447}"/>
    <cellStyle name="Calculation 2 9 3" xfId="8008" xr:uid="{00000000-0005-0000-0000-0000481F0000}"/>
    <cellStyle name="Calculation 2 9 3 2" xfId="8009" xr:uid="{00000000-0005-0000-0000-0000491F0000}"/>
    <cellStyle name="Calculation 2 9 3 2 2" xfId="34361" xr:uid="{A5990A5B-0325-416A-A3DA-A1B74E4A5369}"/>
    <cellStyle name="Calculation 2 9 3 3" xfId="34360" xr:uid="{275B6E34-25A6-4B68-A16A-ACDD07AE5C59}"/>
    <cellStyle name="Calculation 2 9 4" xfId="8010" xr:uid="{00000000-0005-0000-0000-00004A1F0000}"/>
    <cellStyle name="Calculation 2 9 4 2" xfId="8011" xr:uid="{00000000-0005-0000-0000-00004B1F0000}"/>
    <cellStyle name="Calculation 2 9 4 2 2" xfId="34363" xr:uid="{07675D6F-CC17-4D09-9525-0827BFC5B2A5}"/>
    <cellStyle name="Calculation 2 9 4 3" xfId="34362" xr:uid="{1CB9D257-9CCE-4E18-9BE8-255AE295E7E6}"/>
    <cellStyle name="Calculation 2 9 5" xfId="8012" xr:uid="{00000000-0005-0000-0000-00004C1F0000}"/>
    <cellStyle name="Calculation 2 9 5 2" xfId="34364" xr:uid="{8FC2BBA2-9D02-4C49-85E4-2CC59B5CBEA4}"/>
    <cellStyle name="Calculation 2 9 6" xfId="34355" xr:uid="{28F58C4E-20E0-4654-A364-DD6C1768D690}"/>
    <cellStyle name="Calculation 3" xfId="8013" xr:uid="{00000000-0005-0000-0000-00004D1F0000}"/>
    <cellStyle name="Calculation 3 2" xfId="8014" xr:uid="{00000000-0005-0000-0000-00004E1F0000}"/>
    <cellStyle name="Calculation 3 2 2" xfId="8015" xr:uid="{00000000-0005-0000-0000-00004F1F0000}"/>
    <cellStyle name="Calculation 3 2 2 2" xfId="8016" xr:uid="{00000000-0005-0000-0000-0000501F0000}"/>
    <cellStyle name="Calculation 3 2 2 2 2" xfId="34368" xr:uid="{6A0ABA28-30B5-4106-8EE6-AFB81ADD875B}"/>
    <cellStyle name="Calculation 3 2 2 3" xfId="34367" xr:uid="{957611F0-794E-49EE-A1B7-532EC83B4535}"/>
    <cellStyle name="Calculation 3 2 3" xfId="8017" xr:uid="{00000000-0005-0000-0000-0000511F0000}"/>
    <cellStyle name="Calculation 3 2 3 2" xfId="34369" xr:uid="{06EF20B7-1F7B-4E26-AEBE-E4C87D2A9355}"/>
    <cellStyle name="Calculation 3 2 4" xfId="34366" xr:uid="{2D89A6CD-A579-429A-9930-0153CA76D561}"/>
    <cellStyle name="Calculation 3 3" xfId="8018" xr:uid="{00000000-0005-0000-0000-0000521F0000}"/>
    <cellStyle name="Calculation 3 3 2" xfId="8019" xr:uid="{00000000-0005-0000-0000-0000531F0000}"/>
    <cellStyle name="Calculation 3 4" xfId="8020" xr:uid="{00000000-0005-0000-0000-0000541F0000}"/>
    <cellStyle name="Calculation 3 4 2" xfId="8021" xr:uid="{00000000-0005-0000-0000-0000551F0000}"/>
    <cellStyle name="Calculation 3 4 2 2" xfId="8022" xr:uid="{00000000-0005-0000-0000-0000561F0000}"/>
    <cellStyle name="Calculation 3 4 3" xfId="8023" xr:uid="{00000000-0005-0000-0000-0000571F0000}"/>
    <cellStyle name="Calculation 3 5" xfId="8024" xr:uid="{00000000-0005-0000-0000-0000581F0000}"/>
    <cellStyle name="Calculation 3 6" xfId="34365" xr:uid="{F725E786-9AFC-4BC4-A272-EE1F40A62476}"/>
    <cellStyle name="Calculation 4" xfId="8025" xr:uid="{00000000-0005-0000-0000-0000591F0000}"/>
    <cellStyle name="Calculation 4 2" xfId="8026" xr:uid="{00000000-0005-0000-0000-00005A1F0000}"/>
    <cellStyle name="Calculation 4 2 2" xfId="8027" xr:uid="{00000000-0005-0000-0000-00005B1F0000}"/>
    <cellStyle name="Calculation 4 3" xfId="8028" xr:uid="{00000000-0005-0000-0000-00005C1F0000}"/>
    <cellStyle name="Calculation 4 3 2" xfId="8029" xr:uid="{00000000-0005-0000-0000-00005D1F0000}"/>
    <cellStyle name="Calculation 4 3 2 2" xfId="8030" xr:uid="{00000000-0005-0000-0000-00005E1F0000}"/>
    <cellStyle name="Calculation 4 3 3" xfId="8031" xr:uid="{00000000-0005-0000-0000-00005F1F0000}"/>
    <cellStyle name="Calculation 4 4" xfId="8032" xr:uid="{00000000-0005-0000-0000-0000601F0000}"/>
    <cellStyle name="Calculation 4 5" xfId="34370" xr:uid="{E27E50E8-CCCD-42B4-9321-AA42E42EC694}"/>
    <cellStyle name="Calculation 5" xfId="8033" xr:uid="{00000000-0005-0000-0000-0000611F0000}"/>
    <cellStyle name="Calculation 5 2" xfId="8034" xr:uid="{00000000-0005-0000-0000-0000621F0000}"/>
    <cellStyle name="Calculation 5 2 2" xfId="8035" xr:uid="{00000000-0005-0000-0000-0000631F0000}"/>
    <cellStyle name="Calculation 5 2 2 2" xfId="8036" xr:uid="{00000000-0005-0000-0000-0000641F0000}"/>
    <cellStyle name="Calculation 5 2 2 2 2" xfId="34374" xr:uid="{C9390AD6-8F7A-4E84-B348-193A61A4B236}"/>
    <cellStyle name="Calculation 5 2 2 3" xfId="34373" xr:uid="{9B9D5765-C5C4-4817-BBC0-F6B5F197E804}"/>
    <cellStyle name="Calculation 5 2 3" xfId="8037" xr:uid="{00000000-0005-0000-0000-0000651F0000}"/>
    <cellStyle name="Calculation 5 2 3 2" xfId="34375" xr:uid="{81BC189F-450C-4EA4-8E52-BDAC7273FBF9}"/>
    <cellStyle name="Calculation 5 2 4" xfId="34372" xr:uid="{19506D4C-975E-4181-B763-8A8E5BE1C00E}"/>
    <cellStyle name="Calculation 5 3" xfId="8038" xr:uid="{00000000-0005-0000-0000-0000661F0000}"/>
    <cellStyle name="Calculation 5 3 2" xfId="8039" xr:uid="{00000000-0005-0000-0000-0000671F0000}"/>
    <cellStyle name="Calculation 5 3 2 2" xfId="8040" xr:uid="{00000000-0005-0000-0000-0000681F0000}"/>
    <cellStyle name="Calculation 5 3 2 2 2" xfId="8041" xr:uid="{00000000-0005-0000-0000-0000691F0000}"/>
    <cellStyle name="Calculation 5 3 2 2 2 2" xfId="34379" xr:uid="{854C29BB-21F0-45A7-A0A3-AB189717766E}"/>
    <cellStyle name="Calculation 5 3 2 2 3" xfId="34378" xr:uid="{1C5E2ADB-00C1-4A41-9060-40784121EB31}"/>
    <cellStyle name="Calculation 5 3 2 3" xfId="8042" xr:uid="{00000000-0005-0000-0000-00006A1F0000}"/>
    <cellStyle name="Calculation 5 3 2 3 2" xfId="34380" xr:uid="{857A9AF0-6C4F-4EFF-9839-3B5365D54364}"/>
    <cellStyle name="Calculation 5 3 2 4" xfId="34377" xr:uid="{E15CD8A9-63F7-4928-A6E6-10488F67AC68}"/>
    <cellStyle name="Calculation 5 3 3" xfId="8043" xr:uid="{00000000-0005-0000-0000-00006B1F0000}"/>
    <cellStyle name="Calculation 5 3 3 2" xfId="8044" xr:uid="{00000000-0005-0000-0000-00006C1F0000}"/>
    <cellStyle name="Calculation 5 3 3 2 2" xfId="34382" xr:uid="{A60256CD-D2DE-46B0-9952-77363B88582D}"/>
    <cellStyle name="Calculation 5 3 3 3" xfId="34381" xr:uid="{7DAD2C84-304C-4214-B65A-77DF83B83D48}"/>
    <cellStyle name="Calculation 5 3 4" xfId="8045" xr:uid="{00000000-0005-0000-0000-00006D1F0000}"/>
    <cellStyle name="Calculation 5 3 4 2" xfId="34383" xr:uid="{425388F6-549A-4347-A96A-37DBE343193A}"/>
    <cellStyle name="Calculation 5 3 5" xfId="34376" xr:uid="{A4DA1F24-A436-453D-829C-A62A7C445608}"/>
    <cellStyle name="Calculation 5 4" xfId="8046" xr:uid="{00000000-0005-0000-0000-00006E1F0000}"/>
    <cellStyle name="Calculation 5 4 2" xfId="8047" xr:uid="{00000000-0005-0000-0000-00006F1F0000}"/>
    <cellStyle name="Calculation 5 4 2 2" xfId="34385" xr:uid="{B1B0B4E9-7805-40C2-8F3B-1600423C3ABA}"/>
    <cellStyle name="Calculation 5 4 3" xfId="34384" xr:uid="{F16B3E06-5719-4945-B3BB-004D5A653BCE}"/>
    <cellStyle name="Calculation 5 5" xfId="8048" xr:uid="{00000000-0005-0000-0000-0000701F0000}"/>
    <cellStyle name="Calculation 5 5 2" xfId="34386" xr:uid="{26AB0998-136B-4017-8CD2-1A69BA11D7E2}"/>
    <cellStyle name="Calculation 5 6" xfId="34371" xr:uid="{BB877725-8B97-4464-A5AC-230377AD94C8}"/>
    <cellStyle name="Calculation 6" xfId="8049" xr:uid="{00000000-0005-0000-0000-0000711F0000}"/>
    <cellStyle name="Calculation 6 2" xfId="8050" xr:uid="{00000000-0005-0000-0000-0000721F0000}"/>
    <cellStyle name="Calculation 6 2 2" xfId="8051" xr:uid="{00000000-0005-0000-0000-0000731F0000}"/>
    <cellStyle name="Calculation 6 2 2 2" xfId="8052" xr:uid="{00000000-0005-0000-0000-0000741F0000}"/>
    <cellStyle name="Calculation 6 2 2 2 2" xfId="34390" xr:uid="{101A178F-CDC0-44F2-AA34-A54C5E703133}"/>
    <cellStyle name="Calculation 6 2 2 3" xfId="34389" xr:uid="{AD960391-A058-4CC7-B780-3678E63691AD}"/>
    <cellStyle name="Calculation 6 2 3" xfId="8053" xr:uid="{00000000-0005-0000-0000-0000751F0000}"/>
    <cellStyle name="Calculation 6 2 3 2" xfId="34391" xr:uid="{37B12956-7B3C-4764-BD00-5977A9B71355}"/>
    <cellStyle name="Calculation 6 2 4" xfId="34388" xr:uid="{7E388C87-BB1E-404C-B18C-73CA3D77D9A3}"/>
    <cellStyle name="Calculation 6 3" xfId="8054" xr:uid="{00000000-0005-0000-0000-0000761F0000}"/>
    <cellStyle name="Calculation 6 3 2" xfId="8055" xr:uid="{00000000-0005-0000-0000-0000771F0000}"/>
    <cellStyle name="Calculation 6 3 2 2" xfId="34393" xr:uid="{2307EDFB-152C-455C-86E3-6DA383BBE838}"/>
    <cellStyle name="Calculation 6 3 3" xfId="34392" xr:uid="{EAA5687D-BFF4-44C7-BA4D-47073B2160B1}"/>
    <cellStyle name="Calculation 6 4" xfId="8056" xr:uid="{00000000-0005-0000-0000-0000781F0000}"/>
    <cellStyle name="Calculation 6 4 2" xfId="34394" xr:uid="{8BBCAD51-62E5-423E-995A-F14287C1D832}"/>
    <cellStyle name="Calculation 6 5" xfId="34387" xr:uid="{3A409003-AE47-4072-822E-809AE5899ADE}"/>
    <cellStyle name="Calculation 7" xfId="8057" xr:uid="{00000000-0005-0000-0000-0000791F0000}"/>
    <cellStyle name="Calculation 7 2" xfId="8058" xr:uid="{00000000-0005-0000-0000-00007A1F0000}"/>
    <cellStyle name="Calculation 8" xfId="8059" xr:uid="{00000000-0005-0000-0000-00007B1F0000}"/>
    <cellStyle name="Calculation 8 2" xfId="8060" xr:uid="{00000000-0005-0000-0000-00007C1F0000}"/>
    <cellStyle name="Calculation 8 2 2" xfId="34396" xr:uid="{0A496AB1-4383-4D38-B77E-0C605D694547}"/>
    <cellStyle name="Calculation 8 3" xfId="34395" xr:uid="{606F363A-490E-4FAA-963D-8D47934464E9}"/>
    <cellStyle name="Calculation 9" xfId="8061" xr:uid="{00000000-0005-0000-0000-00007D1F0000}"/>
    <cellStyle name="Center" xfId="8062" xr:uid="{00000000-0005-0000-0000-00007E1F0000}"/>
    <cellStyle name="Center 2" xfId="8063" xr:uid="{00000000-0005-0000-0000-00007F1F0000}"/>
    <cellStyle name="Center 2 2" xfId="8064" xr:uid="{00000000-0005-0000-0000-0000801F0000}"/>
    <cellStyle name="Center 3" xfId="8065" xr:uid="{00000000-0005-0000-0000-0000811F0000}"/>
    <cellStyle name="Center 3 2" xfId="8066" xr:uid="{00000000-0005-0000-0000-0000821F0000}"/>
    <cellStyle name="Center 3 2 2" xfId="8067" xr:uid="{00000000-0005-0000-0000-0000831F0000}"/>
    <cellStyle name="Center 3 3" xfId="8068" xr:uid="{00000000-0005-0000-0000-0000841F0000}"/>
    <cellStyle name="Center 4" xfId="8069" xr:uid="{00000000-0005-0000-0000-0000851F0000}"/>
    <cellStyle name="CenterWrap" xfId="8070" xr:uid="{00000000-0005-0000-0000-0000861F0000}"/>
    <cellStyle name="Cents" xfId="8071" xr:uid="{00000000-0005-0000-0000-0000871F0000}"/>
    <cellStyle name="Check Cell 2" xfId="8072" xr:uid="{00000000-0005-0000-0000-0000881F0000}"/>
    <cellStyle name="Check Cell 2 10" xfId="8073" xr:uid="{00000000-0005-0000-0000-0000891F0000}"/>
    <cellStyle name="Check Cell 2 10 2" xfId="8074" xr:uid="{00000000-0005-0000-0000-00008A1F0000}"/>
    <cellStyle name="Check Cell 2 11" xfId="8075" xr:uid="{00000000-0005-0000-0000-00008B1F0000}"/>
    <cellStyle name="Check Cell 2 12" xfId="8076" xr:uid="{00000000-0005-0000-0000-00008C1F0000}"/>
    <cellStyle name="Check Cell 2 2" xfId="8077" xr:uid="{00000000-0005-0000-0000-00008D1F0000}"/>
    <cellStyle name="Check Cell 2 2 2" xfId="8078" xr:uid="{00000000-0005-0000-0000-00008E1F0000}"/>
    <cellStyle name="Check Cell 2 2 2 2" xfId="8079" xr:uid="{00000000-0005-0000-0000-00008F1F0000}"/>
    <cellStyle name="Check Cell 2 2 3" xfId="8080" xr:uid="{00000000-0005-0000-0000-0000901F0000}"/>
    <cellStyle name="Check Cell 2 2 3 2" xfId="8081" xr:uid="{00000000-0005-0000-0000-0000911F0000}"/>
    <cellStyle name="Check Cell 2 2 3 2 2" xfId="8082" xr:uid="{00000000-0005-0000-0000-0000921F0000}"/>
    <cellStyle name="Check Cell 2 2 3 3" xfId="8083" xr:uid="{00000000-0005-0000-0000-0000931F0000}"/>
    <cellStyle name="Check Cell 2 2 4" xfId="8084" xr:uid="{00000000-0005-0000-0000-0000941F0000}"/>
    <cellStyle name="Check Cell 2 3" xfId="8085" xr:uid="{00000000-0005-0000-0000-0000951F0000}"/>
    <cellStyle name="Check Cell 2 3 2" xfId="8086" xr:uid="{00000000-0005-0000-0000-0000961F0000}"/>
    <cellStyle name="Check Cell 2 3 2 2" xfId="8087" xr:uid="{00000000-0005-0000-0000-0000971F0000}"/>
    <cellStyle name="Check Cell 2 3 2 2 2" xfId="34399" xr:uid="{8471019D-1DDA-4E06-883C-01F339535C3C}"/>
    <cellStyle name="Check Cell 2 3 2 3" xfId="34398" xr:uid="{F09A7E94-4490-4D56-9F9A-0DC00077A958}"/>
    <cellStyle name="Check Cell 2 3 3" xfId="8088" xr:uid="{00000000-0005-0000-0000-0000981F0000}"/>
    <cellStyle name="Check Cell 2 3 3 2" xfId="8089" xr:uid="{00000000-0005-0000-0000-0000991F0000}"/>
    <cellStyle name="Check Cell 2 3 3 2 2" xfId="8090" xr:uid="{00000000-0005-0000-0000-00009A1F0000}"/>
    <cellStyle name="Check Cell 2 3 3 2 2 2" xfId="34402" xr:uid="{A41A1B62-98D1-4CA7-9915-147023E45EC2}"/>
    <cellStyle name="Check Cell 2 3 3 2 3" xfId="34401" xr:uid="{E724A19D-76CD-401B-91D1-7060F9EB6FE6}"/>
    <cellStyle name="Check Cell 2 3 3 3" xfId="8091" xr:uid="{00000000-0005-0000-0000-00009B1F0000}"/>
    <cellStyle name="Check Cell 2 3 3 3 2" xfId="34403" xr:uid="{B79165A6-8A2F-4A21-8401-6F091F5F7C9E}"/>
    <cellStyle name="Check Cell 2 3 3 4" xfId="34400" xr:uid="{C5197E23-BE64-4374-B379-CD00A556780D}"/>
    <cellStyle name="Check Cell 2 3 4" xfId="8092" xr:uid="{00000000-0005-0000-0000-00009C1F0000}"/>
    <cellStyle name="Check Cell 2 3 4 2" xfId="34404" xr:uid="{6D40063A-998F-4CE9-8ED5-CEE98375C0D7}"/>
    <cellStyle name="Check Cell 2 3 5" xfId="34397" xr:uid="{3A25CC6F-F8B6-42C4-8B30-B46DAFD0D9D3}"/>
    <cellStyle name="Check Cell 2 4" xfId="8093" xr:uid="{00000000-0005-0000-0000-00009D1F0000}"/>
    <cellStyle name="Check Cell 2 4 2" xfId="8094" xr:uid="{00000000-0005-0000-0000-00009E1F0000}"/>
    <cellStyle name="Check Cell 2 4 2 2" xfId="8095" xr:uid="{00000000-0005-0000-0000-00009F1F0000}"/>
    <cellStyle name="Check Cell 2 4 2 2 2" xfId="34407" xr:uid="{410A4CCE-6518-4434-ADC2-D41571D55AEF}"/>
    <cellStyle name="Check Cell 2 4 2 3" xfId="34406" xr:uid="{1ACEF1D2-5D73-45A9-9620-28E2830FBC9A}"/>
    <cellStyle name="Check Cell 2 4 3" xfId="8096" xr:uid="{00000000-0005-0000-0000-0000A01F0000}"/>
    <cellStyle name="Check Cell 2 4 3 2" xfId="34408" xr:uid="{C83ED825-E763-4C03-9AD0-9B773C5D8700}"/>
    <cellStyle name="Check Cell 2 4 4" xfId="34405" xr:uid="{5F180768-CBA8-4CC5-B099-07FDAAC68D7C}"/>
    <cellStyle name="Check Cell 2 5" xfId="8097" xr:uid="{00000000-0005-0000-0000-0000A11F0000}"/>
    <cellStyle name="Check Cell 2 5 2" xfId="8098" xr:uid="{00000000-0005-0000-0000-0000A21F0000}"/>
    <cellStyle name="Check Cell 2 5 2 2" xfId="8099" xr:uid="{00000000-0005-0000-0000-0000A31F0000}"/>
    <cellStyle name="Check Cell 2 5 2 2 2" xfId="34411" xr:uid="{9E3E9970-B6F4-4C05-81D1-421271AECB93}"/>
    <cellStyle name="Check Cell 2 5 2 3" xfId="34410" xr:uid="{34E6797F-0799-4EBF-B6B7-054FEBDD0B40}"/>
    <cellStyle name="Check Cell 2 5 3" xfId="8100" xr:uid="{00000000-0005-0000-0000-0000A41F0000}"/>
    <cellStyle name="Check Cell 2 5 3 2" xfId="8101" xr:uid="{00000000-0005-0000-0000-0000A51F0000}"/>
    <cellStyle name="Check Cell 2 5 3 2 2" xfId="8102" xr:uid="{00000000-0005-0000-0000-0000A61F0000}"/>
    <cellStyle name="Check Cell 2 5 3 2 2 2" xfId="34414" xr:uid="{88C218DF-D412-496D-BF21-619B67141952}"/>
    <cellStyle name="Check Cell 2 5 3 2 3" xfId="34413" xr:uid="{C7520B07-3FC2-45CB-B8D8-A335E6DBBD1C}"/>
    <cellStyle name="Check Cell 2 5 3 3" xfId="8103" xr:uid="{00000000-0005-0000-0000-0000A71F0000}"/>
    <cellStyle name="Check Cell 2 5 3 3 2" xfId="34415" xr:uid="{4B01F018-541E-4B28-B955-37E165766214}"/>
    <cellStyle name="Check Cell 2 5 3 4" xfId="34412" xr:uid="{BF456D8B-386B-42BF-87B6-74B13BB6352E}"/>
    <cellStyle name="Check Cell 2 5 4" xfId="8104" xr:uid="{00000000-0005-0000-0000-0000A81F0000}"/>
    <cellStyle name="Check Cell 2 5 4 2" xfId="34416" xr:uid="{C04970C3-80A6-4E4D-B36A-5E4E95F9DF6F}"/>
    <cellStyle name="Check Cell 2 5 5" xfId="34409" xr:uid="{4FFEDD8A-2298-4EA0-BC46-6A8CF98D3CCD}"/>
    <cellStyle name="Check Cell 2 6" xfId="8105" xr:uid="{00000000-0005-0000-0000-0000A91F0000}"/>
    <cellStyle name="Check Cell 2 6 2" xfId="8106" xr:uid="{00000000-0005-0000-0000-0000AA1F0000}"/>
    <cellStyle name="Check Cell 2 6 2 2" xfId="8107" xr:uid="{00000000-0005-0000-0000-0000AB1F0000}"/>
    <cellStyle name="Check Cell 2 6 2 2 2" xfId="34418" xr:uid="{12A150A6-C93C-4AC4-84EC-4E4CC039A173}"/>
    <cellStyle name="Check Cell 2 6 2 3" xfId="34417" xr:uid="{02BF86C5-D4F0-46D4-A7F1-B6117650AC61}"/>
    <cellStyle name="Check Cell 2 6 3" xfId="8108" xr:uid="{00000000-0005-0000-0000-0000AC1F0000}"/>
    <cellStyle name="Check Cell 2 6 3 2" xfId="8109" xr:uid="{00000000-0005-0000-0000-0000AD1F0000}"/>
    <cellStyle name="Check Cell 2 6 4" xfId="8110" xr:uid="{00000000-0005-0000-0000-0000AE1F0000}"/>
    <cellStyle name="Check Cell 2 7" xfId="8111" xr:uid="{00000000-0005-0000-0000-0000AF1F0000}"/>
    <cellStyle name="Check Cell 2 7 2" xfId="8112" xr:uid="{00000000-0005-0000-0000-0000B01F0000}"/>
    <cellStyle name="Check Cell 2 8" xfId="8113" xr:uid="{00000000-0005-0000-0000-0000B11F0000}"/>
    <cellStyle name="Check Cell 2 8 2" xfId="8114" xr:uid="{00000000-0005-0000-0000-0000B21F0000}"/>
    <cellStyle name="Check Cell 2 8 2 2" xfId="8115" xr:uid="{00000000-0005-0000-0000-0000B31F0000}"/>
    <cellStyle name="Check Cell 2 8 3" xfId="8116" xr:uid="{00000000-0005-0000-0000-0000B41F0000}"/>
    <cellStyle name="Check Cell 2 9" xfId="8117" xr:uid="{00000000-0005-0000-0000-0000B51F0000}"/>
    <cellStyle name="Check Cell 2 9 2" xfId="8118" xr:uid="{00000000-0005-0000-0000-0000B61F0000}"/>
    <cellStyle name="Check Cell 2 9 2 2" xfId="8119" xr:uid="{00000000-0005-0000-0000-0000B71F0000}"/>
    <cellStyle name="Check Cell 2 9 3" xfId="8120" xr:uid="{00000000-0005-0000-0000-0000B81F0000}"/>
    <cellStyle name="Check Cell 2 9 3 2" xfId="34419" xr:uid="{44148871-27D3-4B1E-84C4-46396F855681}"/>
    <cellStyle name="Check Cell 3" xfId="8121" xr:uid="{00000000-0005-0000-0000-0000B91F0000}"/>
    <cellStyle name="Check Cell 3 2" xfId="8122" xr:uid="{00000000-0005-0000-0000-0000BA1F0000}"/>
    <cellStyle name="Check Cell 3 2 2" xfId="8123" xr:uid="{00000000-0005-0000-0000-0000BB1F0000}"/>
    <cellStyle name="Check Cell 3 2 2 2" xfId="34421" xr:uid="{3E5B5075-5384-4C5E-AEBF-516460F1919F}"/>
    <cellStyle name="Check Cell 3 2 3" xfId="34420" xr:uid="{61530388-D6CD-496F-9035-7180ACAB9B72}"/>
    <cellStyle name="Check Cell 3 3" xfId="8124" xr:uid="{00000000-0005-0000-0000-0000BC1F0000}"/>
    <cellStyle name="Check Cell 3 3 2" xfId="8125" xr:uid="{00000000-0005-0000-0000-0000BD1F0000}"/>
    <cellStyle name="Check Cell 3 4" xfId="8126" xr:uid="{00000000-0005-0000-0000-0000BE1F0000}"/>
    <cellStyle name="Check Cell 3 4 2" xfId="8127" xr:uid="{00000000-0005-0000-0000-0000BF1F0000}"/>
    <cellStyle name="Check Cell 3 4 2 2" xfId="8128" xr:uid="{00000000-0005-0000-0000-0000C01F0000}"/>
    <cellStyle name="Check Cell 3 4 3" xfId="8129" xr:uid="{00000000-0005-0000-0000-0000C11F0000}"/>
    <cellStyle name="Check Cell 3 5" xfId="8130" xr:uid="{00000000-0005-0000-0000-0000C21F0000}"/>
    <cellStyle name="Check Cell 4" xfId="8131" xr:uid="{00000000-0005-0000-0000-0000C31F0000}"/>
    <cellStyle name="Check Cell 4 2" xfId="8132" xr:uid="{00000000-0005-0000-0000-0000C41F0000}"/>
    <cellStyle name="Check Cell 4 2 2" xfId="8133" xr:uid="{00000000-0005-0000-0000-0000C51F0000}"/>
    <cellStyle name="Check Cell 4 3" xfId="8134" xr:uid="{00000000-0005-0000-0000-0000C61F0000}"/>
    <cellStyle name="Check Cell 4 3 2" xfId="8135" xr:uid="{00000000-0005-0000-0000-0000C71F0000}"/>
    <cellStyle name="Check Cell 4 3 2 2" xfId="8136" xr:uid="{00000000-0005-0000-0000-0000C81F0000}"/>
    <cellStyle name="Check Cell 4 3 3" xfId="8137" xr:uid="{00000000-0005-0000-0000-0000C91F0000}"/>
    <cellStyle name="Check Cell 4 4" xfId="8138" xr:uid="{00000000-0005-0000-0000-0000CA1F0000}"/>
    <cellStyle name="Check Cell 5" xfId="8139" xr:uid="{00000000-0005-0000-0000-0000CB1F0000}"/>
    <cellStyle name="Check Cell 5 2" xfId="8140" xr:uid="{00000000-0005-0000-0000-0000CC1F0000}"/>
    <cellStyle name="Check Cell 5 2 2" xfId="8141" xr:uid="{00000000-0005-0000-0000-0000CD1F0000}"/>
    <cellStyle name="Check Cell 5 3" xfId="8142" xr:uid="{00000000-0005-0000-0000-0000CE1F0000}"/>
    <cellStyle name="Check Cell 5 3 2" xfId="8143" xr:uid="{00000000-0005-0000-0000-0000CF1F0000}"/>
    <cellStyle name="Check Cell 5 3 2 2" xfId="8144" xr:uid="{00000000-0005-0000-0000-0000D01F0000}"/>
    <cellStyle name="Check Cell 5 3 3" xfId="8145" xr:uid="{00000000-0005-0000-0000-0000D11F0000}"/>
    <cellStyle name="Check Cell 5 4" xfId="8146" xr:uid="{00000000-0005-0000-0000-0000D21F0000}"/>
    <cellStyle name="Check Cell 6" xfId="8147" xr:uid="{00000000-0005-0000-0000-0000D31F0000}"/>
    <cellStyle name="Check Cell 6 2" xfId="8148" xr:uid="{00000000-0005-0000-0000-0000D41F0000}"/>
    <cellStyle name="Check Cell 6 2 2" xfId="8149" xr:uid="{00000000-0005-0000-0000-0000D51F0000}"/>
    <cellStyle name="Check Cell 6 2 2 2" xfId="34424" xr:uid="{6DEEB819-CF87-442A-B4DF-7ACC198B8838}"/>
    <cellStyle name="Check Cell 6 2 3" xfId="34423" xr:uid="{3AF2D1DA-4DA2-4CC8-A0A3-13B1380EFF18}"/>
    <cellStyle name="Check Cell 6 3" xfId="8150" xr:uid="{00000000-0005-0000-0000-0000D61F0000}"/>
    <cellStyle name="Check Cell 6 3 2" xfId="34425" xr:uid="{7E17B4F5-7D6E-4ACC-AE95-29900D22B6AD}"/>
    <cellStyle name="Check Cell 6 4" xfId="34422" xr:uid="{7B325AE4-A9A9-4C61-8E07-83BB329B8886}"/>
    <cellStyle name="Check Cell 7" xfId="8151" xr:uid="{00000000-0005-0000-0000-0000D71F0000}"/>
    <cellStyle name="Check Cell 7 2" xfId="8152" xr:uid="{00000000-0005-0000-0000-0000D81F0000}"/>
    <cellStyle name="Check Cell 8" xfId="8153" xr:uid="{00000000-0005-0000-0000-0000D91F0000}"/>
    <cellStyle name="Check Cell 9" xfId="8154" xr:uid="{00000000-0005-0000-0000-0000DA1F0000}"/>
    <cellStyle name="Comma" xfId="4" xr:uid="{00000000-0005-0000-0000-000004000000}"/>
    <cellStyle name="Comma [0]" xfId="5" xr:uid="{00000000-0005-0000-0000-000005000000}"/>
    <cellStyle name="Comma [0] 2" xfId="8155" xr:uid="{00000000-0005-0000-0000-0000DB1F0000}"/>
    <cellStyle name="Comma [0] 3" xfId="8156" xr:uid="{00000000-0005-0000-0000-0000DC1F0000}"/>
    <cellStyle name="Comma [0] 4" xfId="8157" xr:uid="{00000000-0005-0000-0000-0000DD1F0000}"/>
    <cellStyle name="Comma 10" xfId="8158" xr:uid="{00000000-0005-0000-0000-0000DE1F0000}"/>
    <cellStyle name="Comma 11" xfId="8159" xr:uid="{00000000-0005-0000-0000-0000DF1F0000}"/>
    <cellStyle name="Comma 12" xfId="50" xr:uid="{00000000-0005-0000-0000-000032000000}"/>
    <cellStyle name="Comma 13" xfId="51" xr:uid="{00000000-0005-0000-0000-000033000000}"/>
    <cellStyle name="Comma 14" xfId="8160" xr:uid="{00000000-0005-0000-0000-0000E01F0000}"/>
    <cellStyle name="Comma 15" xfId="8161" xr:uid="{00000000-0005-0000-0000-0000E11F0000}"/>
    <cellStyle name="Comma 16" xfId="8162" xr:uid="{00000000-0005-0000-0000-0000E21F0000}"/>
    <cellStyle name="Comma 17" xfId="8163" xr:uid="{00000000-0005-0000-0000-0000E31F0000}"/>
    <cellStyle name="Comma 176" xfId="8164" xr:uid="{00000000-0005-0000-0000-0000E41F0000}"/>
    <cellStyle name="Comma 18" xfId="8165" xr:uid="{00000000-0005-0000-0000-0000E51F0000}"/>
    <cellStyle name="Comma 19" xfId="8166" xr:uid="{00000000-0005-0000-0000-0000E61F0000}"/>
    <cellStyle name="Comma 2" xfId="8" xr:uid="{00000000-0005-0000-0000-000008000000}"/>
    <cellStyle name="Comma 2 2" xfId="8167" xr:uid="{00000000-0005-0000-0000-0000E71F0000}"/>
    <cellStyle name="Comma 2 2 2" xfId="9" xr:uid="{00000000-0005-0000-0000-000009000000}"/>
    <cellStyle name="Comma 2 2 2 2" xfId="8168" xr:uid="{00000000-0005-0000-0000-0000E81F0000}"/>
    <cellStyle name="Comma 2 2 3" xfId="8169" xr:uid="{00000000-0005-0000-0000-0000E91F0000}"/>
    <cellStyle name="Comma 2 3" xfId="8170" xr:uid="{00000000-0005-0000-0000-0000EA1F0000}"/>
    <cellStyle name="Comma 2 3 2" xfId="8171" xr:uid="{00000000-0005-0000-0000-0000EB1F0000}"/>
    <cellStyle name="Comma 2 3 3" xfId="8172" xr:uid="{00000000-0005-0000-0000-0000EC1F0000}"/>
    <cellStyle name="Comma 2 4" xfId="8173" xr:uid="{00000000-0005-0000-0000-0000ED1F0000}"/>
    <cellStyle name="Comma 2 4 2" xfId="8174" xr:uid="{00000000-0005-0000-0000-0000EE1F0000}"/>
    <cellStyle name="Comma 2 4 3" xfId="8175" xr:uid="{00000000-0005-0000-0000-0000EF1F0000}"/>
    <cellStyle name="Comma 2 4 3 2" xfId="8176" xr:uid="{00000000-0005-0000-0000-0000F01F0000}"/>
    <cellStyle name="Comma 2 4 4" xfId="8177" xr:uid="{00000000-0005-0000-0000-0000F11F0000}"/>
    <cellStyle name="Comma 2 5" xfId="8178" xr:uid="{00000000-0005-0000-0000-0000F21F0000}"/>
    <cellStyle name="Comma 20" xfId="8179" xr:uid="{00000000-0005-0000-0000-0000F31F0000}"/>
    <cellStyle name="Comma 21" xfId="8180" xr:uid="{00000000-0005-0000-0000-0000F41F0000}"/>
    <cellStyle name="Comma 22" xfId="8181" xr:uid="{00000000-0005-0000-0000-0000F51F0000}"/>
    <cellStyle name="Comma 23" xfId="8182" xr:uid="{00000000-0005-0000-0000-0000F61F0000}"/>
    <cellStyle name="Comma 24" xfId="8183" xr:uid="{00000000-0005-0000-0000-0000F71F0000}"/>
    <cellStyle name="Comma 25" xfId="8184" xr:uid="{00000000-0005-0000-0000-0000F81F0000}"/>
    <cellStyle name="Comma 26" xfId="8185" xr:uid="{00000000-0005-0000-0000-0000F91F0000}"/>
    <cellStyle name="Comma 27" xfId="8186" xr:uid="{00000000-0005-0000-0000-0000FA1F0000}"/>
    <cellStyle name="Comma 28" xfId="8187" xr:uid="{00000000-0005-0000-0000-0000FB1F0000}"/>
    <cellStyle name="Comma 29" xfId="8188" xr:uid="{00000000-0005-0000-0000-0000FC1F0000}"/>
    <cellStyle name="Comma 3" xfId="8189" xr:uid="{00000000-0005-0000-0000-0000FD1F0000}"/>
    <cellStyle name="Comma 3 2" xfId="8190" xr:uid="{00000000-0005-0000-0000-0000FE1F0000}"/>
    <cellStyle name="Comma 3 2 2" xfId="8191" xr:uid="{00000000-0005-0000-0000-0000FF1F0000}"/>
    <cellStyle name="Comma 3 2 2 2" xfId="8192" xr:uid="{00000000-0005-0000-0000-000000200000}"/>
    <cellStyle name="Comma 3 2 2 3" xfId="8193" xr:uid="{00000000-0005-0000-0000-000001200000}"/>
    <cellStyle name="Comma 3 2 2 3 2" xfId="8194" xr:uid="{00000000-0005-0000-0000-000002200000}"/>
    <cellStyle name="Comma 3 2 2 4" xfId="8195" xr:uid="{00000000-0005-0000-0000-000003200000}"/>
    <cellStyle name="Comma 3 2 2 4 2" xfId="8196" xr:uid="{00000000-0005-0000-0000-000004200000}"/>
    <cellStyle name="Comma 3 2 3" xfId="8197" xr:uid="{00000000-0005-0000-0000-000005200000}"/>
    <cellStyle name="Comma 3 2 3 2" xfId="8198" xr:uid="{00000000-0005-0000-0000-000006200000}"/>
    <cellStyle name="Comma 3 2 4" xfId="8199" xr:uid="{00000000-0005-0000-0000-000007200000}"/>
    <cellStyle name="Comma 3 2 5" xfId="8200" xr:uid="{00000000-0005-0000-0000-000008200000}"/>
    <cellStyle name="Comma 3 3" xfId="8201" xr:uid="{00000000-0005-0000-0000-000009200000}"/>
    <cellStyle name="Comma 3 3 2" xfId="8202" xr:uid="{00000000-0005-0000-0000-00000A200000}"/>
    <cellStyle name="Comma 3 4" xfId="8203" xr:uid="{00000000-0005-0000-0000-00000B200000}"/>
    <cellStyle name="Comma 3 4 2" xfId="8204" xr:uid="{00000000-0005-0000-0000-00000C200000}"/>
    <cellStyle name="Comma 3 5" xfId="8205" xr:uid="{00000000-0005-0000-0000-00000D200000}"/>
    <cellStyle name="Comma 3 5 2" xfId="8206" xr:uid="{00000000-0005-0000-0000-00000E200000}"/>
    <cellStyle name="Comma 3 5 3" xfId="8207" xr:uid="{00000000-0005-0000-0000-00000F200000}"/>
    <cellStyle name="Comma 3 5 3 2" xfId="8208" xr:uid="{00000000-0005-0000-0000-000010200000}"/>
    <cellStyle name="Comma 3 5 4" xfId="8209" xr:uid="{00000000-0005-0000-0000-000011200000}"/>
    <cellStyle name="Comma 3 5 4 2" xfId="8210" xr:uid="{00000000-0005-0000-0000-000012200000}"/>
    <cellStyle name="Comma 3 6" xfId="8211" xr:uid="{00000000-0005-0000-0000-000013200000}"/>
    <cellStyle name="Comma 3 6 2" xfId="8212" xr:uid="{00000000-0005-0000-0000-000014200000}"/>
    <cellStyle name="Comma 3 7" xfId="8213" xr:uid="{00000000-0005-0000-0000-000015200000}"/>
    <cellStyle name="Comma 3 8" xfId="8214" xr:uid="{00000000-0005-0000-0000-000016200000}"/>
    <cellStyle name="Comma 30" xfId="8215" xr:uid="{00000000-0005-0000-0000-000017200000}"/>
    <cellStyle name="Comma 31" xfId="8216" xr:uid="{00000000-0005-0000-0000-000018200000}"/>
    <cellStyle name="Comma 32" xfId="31687" xr:uid="{C6F50C0A-8A0D-4AD4-8BEE-9F4AFBDD76AE}"/>
    <cellStyle name="Comma 35" xfId="52" xr:uid="{00000000-0005-0000-0000-000034000000}"/>
    <cellStyle name="Comma 37" xfId="53" xr:uid="{00000000-0005-0000-0000-000035000000}"/>
    <cellStyle name="Comma 38" xfId="54" xr:uid="{00000000-0005-0000-0000-000036000000}"/>
    <cellStyle name="Comma 39" xfId="55" xr:uid="{00000000-0005-0000-0000-000037000000}"/>
    <cellStyle name="Comma 4" xfId="8217" xr:uid="{00000000-0005-0000-0000-000019200000}"/>
    <cellStyle name="Comma 4 2" xfId="8218" xr:uid="{00000000-0005-0000-0000-00001A200000}"/>
    <cellStyle name="Comma 4 2 2" xfId="8219" xr:uid="{00000000-0005-0000-0000-00001B200000}"/>
    <cellStyle name="Comma 4 3" xfId="8220" xr:uid="{00000000-0005-0000-0000-00001C200000}"/>
    <cellStyle name="Comma 5" xfId="10" xr:uid="{00000000-0005-0000-0000-00000A000000}"/>
    <cellStyle name="Comma 5 2" xfId="8221" xr:uid="{00000000-0005-0000-0000-00001D200000}"/>
    <cellStyle name="Comma 5 2 2" xfId="8222" xr:uid="{00000000-0005-0000-0000-00001E200000}"/>
    <cellStyle name="Comma 5 3" xfId="8223" xr:uid="{00000000-0005-0000-0000-00001F200000}"/>
    <cellStyle name="Comma 6" xfId="8224" xr:uid="{00000000-0005-0000-0000-000020200000}"/>
    <cellStyle name="Comma 6 2" xfId="8225" xr:uid="{00000000-0005-0000-0000-000021200000}"/>
    <cellStyle name="Comma 6 3" xfId="8226" xr:uid="{00000000-0005-0000-0000-000022200000}"/>
    <cellStyle name="Comma 7" xfId="56" xr:uid="{00000000-0005-0000-0000-000038000000}"/>
    <cellStyle name="Comma 7 2" xfId="8227" xr:uid="{00000000-0005-0000-0000-000023200000}"/>
    <cellStyle name="Comma 7 3" xfId="8228" xr:uid="{00000000-0005-0000-0000-000024200000}"/>
    <cellStyle name="Comma 7 3 2" xfId="8229" xr:uid="{00000000-0005-0000-0000-000025200000}"/>
    <cellStyle name="Comma 7 4" xfId="8230" xr:uid="{00000000-0005-0000-0000-000026200000}"/>
    <cellStyle name="Comma 7 4 2" xfId="8231" xr:uid="{00000000-0005-0000-0000-000027200000}"/>
    <cellStyle name="Comma 8" xfId="57" xr:uid="{00000000-0005-0000-0000-000039000000}"/>
    <cellStyle name="Comma 8 2" xfId="8232" xr:uid="{00000000-0005-0000-0000-000028200000}"/>
    <cellStyle name="Comma 8 2 2" xfId="8233" xr:uid="{00000000-0005-0000-0000-000029200000}"/>
    <cellStyle name="Comma 8 3" xfId="8234" xr:uid="{00000000-0005-0000-0000-00002A200000}"/>
    <cellStyle name="Comma 8 4" xfId="8235" xr:uid="{00000000-0005-0000-0000-00002B200000}"/>
    <cellStyle name="Comma 8 4 2" xfId="8236" xr:uid="{00000000-0005-0000-0000-00002C200000}"/>
    <cellStyle name="Comma 8 5" xfId="8237" xr:uid="{00000000-0005-0000-0000-00002D200000}"/>
    <cellStyle name="Comma 8 6" xfId="8238" xr:uid="{00000000-0005-0000-0000-00002E200000}"/>
    <cellStyle name="Comma 9" xfId="8239" xr:uid="{00000000-0005-0000-0000-00002F200000}"/>
    <cellStyle name="Comma 9 2" xfId="8240" xr:uid="{00000000-0005-0000-0000-000030200000}"/>
    <cellStyle name="Comma 9 3" xfId="8241" xr:uid="{00000000-0005-0000-0000-000031200000}"/>
    <cellStyle name="Comma 9 3 2" xfId="8242" xr:uid="{00000000-0005-0000-0000-000032200000}"/>
    <cellStyle name="Comma 9 4" xfId="8243" xr:uid="{00000000-0005-0000-0000-000033200000}"/>
    <cellStyle name="Comma 9 4 2" xfId="8244" xr:uid="{00000000-0005-0000-0000-000034200000}"/>
    <cellStyle name="Copied" xfId="8245" xr:uid="{00000000-0005-0000-0000-000035200000}"/>
    <cellStyle name="Copied 2" xfId="8246" xr:uid="{00000000-0005-0000-0000-000036200000}"/>
    <cellStyle name="Copied 2 2" xfId="8247" xr:uid="{00000000-0005-0000-0000-000037200000}"/>
    <cellStyle name="Copied 2 2 2" xfId="8248" xr:uid="{00000000-0005-0000-0000-000038200000}"/>
    <cellStyle name="Copied 2 3" xfId="8249" xr:uid="{00000000-0005-0000-0000-000039200000}"/>
    <cellStyle name="Copied 2 3 2" xfId="8250" xr:uid="{00000000-0005-0000-0000-00003A200000}"/>
    <cellStyle name="Copied 2 3 2 2" xfId="8251" xr:uid="{00000000-0005-0000-0000-00003B200000}"/>
    <cellStyle name="Copied 2 3 3" xfId="8252" xr:uid="{00000000-0005-0000-0000-00003C200000}"/>
    <cellStyle name="Copied 2 4" xfId="8253" xr:uid="{00000000-0005-0000-0000-00003D200000}"/>
    <cellStyle name="Copied 3" xfId="8254" xr:uid="{00000000-0005-0000-0000-00003E200000}"/>
    <cellStyle name="Copied 3 2" xfId="8255" xr:uid="{00000000-0005-0000-0000-00003F200000}"/>
    <cellStyle name="Copied 3 2 2" xfId="8256" xr:uid="{00000000-0005-0000-0000-000040200000}"/>
    <cellStyle name="Copied 3 3" xfId="8257" xr:uid="{00000000-0005-0000-0000-000041200000}"/>
    <cellStyle name="Copied 4" xfId="8258" xr:uid="{00000000-0005-0000-0000-000042200000}"/>
    <cellStyle name="Copied 4 2" xfId="8259" xr:uid="{00000000-0005-0000-0000-000043200000}"/>
    <cellStyle name="Copied 4 2 2" xfId="8260" xr:uid="{00000000-0005-0000-0000-000044200000}"/>
    <cellStyle name="Copied 4 3" xfId="8261" xr:uid="{00000000-0005-0000-0000-000045200000}"/>
    <cellStyle name="Copied 5" xfId="8262" xr:uid="{00000000-0005-0000-0000-000046200000}"/>
    <cellStyle name="Copied 5 2" xfId="8263" xr:uid="{00000000-0005-0000-0000-000047200000}"/>
    <cellStyle name="Copied 6" xfId="8264" xr:uid="{00000000-0005-0000-0000-000048200000}"/>
    <cellStyle name="Copied 6 2" xfId="8265" xr:uid="{00000000-0005-0000-0000-000049200000}"/>
    <cellStyle name="Copied 7" xfId="8266" xr:uid="{00000000-0005-0000-0000-00004A200000}"/>
    <cellStyle name="CostNoZero" xfId="8267" xr:uid="{00000000-0005-0000-0000-00004B200000}"/>
    <cellStyle name="CostNoZero 2" xfId="34426" xr:uid="{88F4A4DA-F16B-4AE5-8200-AB9A3CCA5D1A}"/>
    <cellStyle name="Currency" xfId="2" xr:uid="{00000000-0005-0000-0000-000002000000}"/>
    <cellStyle name="Currency [0]" xfId="3" xr:uid="{00000000-0005-0000-0000-000003000000}"/>
    <cellStyle name="Currency 10" xfId="8268" xr:uid="{00000000-0005-0000-0000-00004C200000}"/>
    <cellStyle name="Currency 11" xfId="8269" xr:uid="{00000000-0005-0000-0000-00004D200000}"/>
    <cellStyle name="Currency 12 2" xfId="31680" xr:uid="{00000000-0005-0000-0000-0000C17B0000}"/>
    <cellStyle name="Currency 2" xfId="58" xr:uid="{00000000-0005-0000-0000-00003A000000}"/>
    <cellStyle name="Currency 2 2" xfId="8270" xr:uid="{00000000-0005-0000-0000-00004E200000}"/>
    <cellStyle name="Currency 2 2 2" xfId="8271" xr:uid="{00000000-0005-0000-0000-00004F200000}"/>
    <cellStyle name="Currency 2 2 2 2" xfId="8272" xr:uid="{00000000-0005-0000-0000-000050200000}"/>
    <cellStyle name="Currency 2 2 2 3" xfId="8273" xr:uid="{00000000-0005-0000-0000-000051200000}"/>
    <cellStyle name="Currency 2 2 2 3 2" xfId="8274" xr:uid="{00000000-0005-0000-0000-000052200000}"/>
    <cellStyle name="Currency 2 2 2 4" xfId="8275" xr:uid="{00000000-0005-0000-0000-000053200000}"/>
    <cellStyle name="Currency 2 2 2 4 2" xfId="8276" xr:uid="{00000000-0005-0000-0000-000054200000}"/>
    <cellStyle name="Currency 2 2 3" xfId="8277" xr:uid="{00000000-0005-0000-0000-000055200000}"/>
    <cellStyle name="Currency 2 2 3 2" xfId="8278" xr:uid="{00000000-0005-0000-0000-000056200000}"/>
    <cellStyle name="Currency 2 2 4" xfId="8279" xr:uid="{00000000-0005-0000-0000-000057200000}"/>
    <cellStyle name="Currency 2 3" xfId="8280" xr:uid="{00000000-0005-0000-0000-000058200000}"/>
    <cellStyle name="Currency 2 3 2" xfId="8281" xr:uid="{00000000-0005-0000-0000-000059200000}"/>
    <cellStyle name="Currency 2 3 3" xfId="8282" xr:uid="{00000000-0005-0000-0000-00005A200000}"/>
    <cellStyle name="Currency 2 3 3 2" xfId="8283" xr:uid="{00000000-0005-0000-0000-00005B200000}"/>
    <cellStyle name="Currency 2 3 4" xfId="8284" xr:uid="{00000000-0005-0000-0000-00005C200000}"/>
    <cellStyle name="Currency 2 3 4 2" xfId="8285" xr:uid="{00000000-0005-0000-0000-00005D200000}"/>
    <cellStyle name="Currency 2 4" xfId="8286" xr:uid="{00000000-0005-0000-0000-00005E200000}"/>
    <cellStyle name="Currency 2 4 2" xfId="8287" xr:uid="{00000000-0005-0000-0000-00005F200000}"/>
    <cellStyle name="Currency 2 5" xfId="8288" xr:uid="{00000000-0005-0000-0000-000060200000}"/>
    <cellStyle name="Currency 2 6" xfId="8289" xr:uid="{00000000-0005-0000-0000-000061200000}"/>
    <cellStyle name="Currency 2 7" xfId="8290" xr:uid="{00000000-0005-0000-0000-000062200000}"/>
    <cellStyle name="Currency 3" xfId="8291" xr:uid="{00000000-0005-0000-0000-000063200000}"/>
    <cellStyle name="Currency 3 2" xfId="8292" xr:uid="{00000000-0005-0000-0000-000064200000}"/>
    <cellStyle name="Currency 3 2 2" xfId="8293" xr:uid="{00000000-0005-0000-0000-000065200000}"/>
    <cellStyle name="Currency 3 3" xfId="8294" xr:uid="{00000000-0005-0000-0000-000066200000}"/>
    <cellStyle name="Currency 3 3 2" xfId="8295" xr:uid="{00000000-0005-0000-0000-000067200000}"/>
    <cellStyle name="Currency 3 3 3" xfId="8296" xr:uid="{00000000-0005-0000-0000-000068200000}"/>
    <cellStyle name="Currency 3 3 3 2" xfId="8297" xr:uid="{00000000-0005-0000-0000-000069200000}"/>
    <cellStyle name="Currency 3 3 4" xfId="8298" xr:uid="{00000000-0005-0000-0000-00006A200000}"/>
    <cellStyle name="Currency 3 3 4 2" xfId="8299" xr:uid="{00000000-0005-0000-0000-00006B200000}"/>
    <cellStyle name="Currency 3 4" xfId="8300" xr:uid="{00000000-0005-0000-0000-00006C200000}"/>
    <cellStyle name="Currency 3 5" xfId="8301" xr:uid="{00000000-0005-0000-0000-00006D200000}"/>
    <cellStyle name="Currency 4" xfId="8302" xr:uid="{00000000-0005-0000-0000-00006E200000}"/>
    <cellStyle name="Currency 4 2" xfId="8303" xr:uid="{00000000-0005-0000-0000-00006F200000}"/>
    <cellStyle name="Currency 4 2 2" xfId="8304" xr:uid="{00000000-0005-0000-0000-000070200000}"/>
    <cellStyle name="Currency 4 3" xfId="8305" xr:uid="{00000000-0005-0000-0000-000071200000}"/>
    <cellStyle name="Currency 4 3 2" xfId="8306" xr:uid="{00000000-0005-0000-0000-000072200000}"/>
    <cellStyle name="Currency 4 4" xfId="8307" xr:uid="{00000000-0005-0000-0000-000073200000}"/>
    <cellStyle name="Currency 5" xfId="8308" xr:uid="{00000000-0005-0000-0000-000074200000}"/>
    <cellStyle name="Currency 5 2" xfId="8309" xr:uid="{00000000-0005-0000-0000-000075200000}"/>
    <cellStyle name="Currency 6" xfId="8310" xr:uid="{00000000-0005-0000-0000-000076200000}"/>
    <cellStyle name="Currency 6 2" xfId="8311" xr:uid="{00000000-0005-0000-0000-000077200000}"/>
    <cellStyle name="Currency 6 2 2" xfId="8312" xr:uid="{00000000-0005-0000-0000-000078200000}"/>
    <cellStyle name="Currency 6 3" xfId="8313" xr:uid="{00000000-0005-0000-0000-000079200000}"/>
    <cellStyle name="Currency 6 3 2" xfId="8314" xr:uid="{00000000-0005-0000-0000-00007A200000}"/>
    <cellStyle name="Currency 6 4" xfId="8315" xr:uid="{00000000-0005-0000-0000-00007B200000}"/>
    <cellStyle name="Currency 7" xfId="8316" xr:uid="{00000000-0005-0000-0000-00007C200000}"/>
    <cellStyle name="Currency 7 2" xfId="8317" xr:uid="{00000000-0005-0000-0000-00007D200000}"/>
    <cellStyle name="Currency 8" xfId="8318" xr:uid="{00000000-0005-0000-0000-00007E200000}"/>
    <cellStyle name="Currency 9" xfId="8319" xr:uid="{00000000-0005-0000-0000-00007F200000}"/>
    <cellStyle name="Currency.00" xfId="8320" xr:uid="{00000000-0005-0000-0000-000080200000}"/>
    <cellStyle name="Date" xfId="8321" xr:uid="{00000000-0005-0000-0000-000081200000}"/>
    <cellStyle name="Date (m/d/yy)" xfId="8322" xr:uid="{00000000-0005-0000-0000-000082200000}"/>
    <cellStyle name="Date (m/d/yy) 2" xfId="8323" xr:uid="{00000000-0005-0000-0000-000083200000}"/>
    <cellStyle name="Date_~6497230" xfId="8324" xr:uid="{00000000-0005-0000-0000-000084200000}"/>
    <cellStyle name="Decimal" xfId="8325" xr:uid="{00000000-0005-0000-0000-000085200000}"/>
    <cellStyle name="Emphasis 1" xfId="8326" xr:uid="{00000000-0005-0000-0000-000086200000}"/>
    <cellStyle name="Emphasis 1 10" xfId="8327" xr:uid="{00000000-0005-0000-0000-000087200000}"/>
    <cellStyle name="Emphasis 1 2" xfId="8328" xr:uid="{00000000-0005-0000-0000-000088200000}"/>
    <cellStyle name="Emphasis 1 2 2" xfId="8329" xr:uid="{00000000-0005-0000-0000-000089200000}"/>
    <cellStyle name="Emphasis 1 2 2 2" xfId="8330" xr:uid="{00000000-0005-0000-0000-00008A200000}"/>
    <cellStyle name="Emphasis 1 2 3" xfId="8331" xr:uid="{00000000-0005-0000-0000-00008B200000}"/>
    <cellStyle name="Emphasis 1 2 3 2" xfId="8332" xr:uid="{00000000-0005-0000-0000-00008C200000}"/>
    <cellStyle name="Emphasis 1 2 3 2 2" xfId="8333" xr:uid="{00000000-0005-0000-0000-00008D200000}"/>
    <cellStyle name="Emphasis 1 2 3 3" xfId="8334" xr:uid="{00000000-0005-0000-0000-00008E200000}"/>
    <cellStyle name="Emphasis 1 2 4" xfId="8335" xr:uid="{00000000-0005-0000-0000-00008F200000}"/>
    <cellStyle name="Emphasis 1 2 4 2" xfId="8336" xr:uid="{00000000-0005-0000-0000-000090200000}"/>
    <cellStyle name="Emphasis 1 2 4 2 2" xfId="8337" xr:uid="{00000000-0005-0000-0000-000091200000}"/>
    <cellStyle name="Emphasis 1 2 4 3" xfId="8338" xr:uid="{00000000-0005-0000-0000-000092200000}"/>
    <cellStyle name="Emphasis 1 2 5" xfId="8339" xr:uid="{00000000-0005-0000-0000-000093200000}"/>
    <cellStyle name="Emphasis 1 3" xfId="8340" xr:uid="{00000000-0005-0000-0000-000094200000}"/>
    <cellStyle name="Emphasis 1 3 2" xfId="8341" xr:uid="{00000000-0005-0000-0000-000095200000}"/>
    <cellStyle name="Emphasis 1 3 2 2" xfId="8342" xr:uid="{00000000-0005-0000-0000-000096200000}"/>
    <cellStyle name="Emphasis 1 3 3" xfId="8343" xr:uid="{00000000-0005-0000-0000-000097200000}"/>
    <cellStyle name="Emphasis 1 4" xfId="8344" xr:uid="{00000000-0005-0000-0000-000098200000}"/>
    <cellStyle name="Emphasis 1 4 2" xfId="8345" xr:uid="{00000000-0005-0000-0000-000099200000}"/>
    <cellStyle name="Emphasis 1 5" xfId="8346" xr:uid="{00000000-0005-0000-0000-00009A200000}"/>
    <cellStyle name="Emphasis 1 5 2" xfId="8347" xr:uid="{00000000-0005-0000-0000-00009B200000}"/>
    <cellStyle name="Emphasis 1 6" xfId="8348" xr:uid="{00000000-0005-0000-0000-00009C200000}"/>
    <cellStyle name="Emphasis 1 6 2" xfId="8349" xr:uid="{00000000-0005-0000-0000-00009D200000}"/>
    <cellStyle name="Emphasis 1 6 2 2" xfId="8350" xr:uid="{00000000-0005-0000-0000-00009E200000}"/>
    <cellStyle name="Emphasis 1 6 3" xfId="8351" xr:uid="{00000000-0005-0000-0000-00009F200000}"/>
    <cellStyle name="Emphasis 1 7" xfId="8352" xr:uid="{00000000-0005-0000-0000-0000A0200000}"/>
    <cellStyle name="Emphasis 1 7 2" xfId="8353" xr:uid="{00000000-0005-0000-0000-0000A1200000}"/>
    <cellStyle name="Emphasis 1 8" xfId="8354" xr:uid="{00000000-0005-0000-0000-0000A2200000}"/>
    <cellStyle name="Emphasis 1 8 2" xfId="8355" xr:uid="{00000000-0005-0000-0000-0000A3200000}"/>
    <cellStyle name="Emphasis 1 9" xfId="8356" xr:uid="{00000000-0005-0000-0000-0000A4200000}"/>
    <cellStyle name="Emphasis 2" xfId="8357" xr:uid="{00000000-0005-0000-0000-0000A5200000}"/>
    <cellStyle name="Emphasis 2 10" xfId="8358" xr:uid="{00000000-0005-0000-0000-0000A6200000}"/>
    <cellStyle name="Emphasis 2 2" xfId="8359" xr:uid="{00000000-0005-0000-0000-0000A7200000}"/>
    <cellStyle name="Emphasis 2 2 2" xfId="8360" xr:uid="{00000000-0005-0000-0000-0000A8200000}"/>
    <cellStyle name="Emphasis 2 2 2 2" xfId="8361" xr:uid="{00000000-0005-0000-0000-0000A9200000}"/>
    <cellStyle name="Emphasis 2 2 3" xfId="8362" xr:uid="{00000000-0005-0000-0000-0000AA200000}"/>
    <cellStyle name="Emphasis 2 2 3 2" xfId="8363" xr:uid="{00000000-0005-0000-0000-0000AB200000}"/>
    <cellStyle name="Emphasis 2 2 3 2 2" xfId="8364" xr:uid="{00000000-0005-0000-0000-0000AC200000}"/>
    <cellStyle name="Emphasis 2 2 3 3" xfId="8365" xr:uid="{00000000-0005-0000-0000-0000AD200000}"/>
    <cellStyle name="Emphasis 2 2 4" xfId="8366" xr:uid="{00000000-0005-0000-0000-0000AE200000}"/>
    <cellStyle name="Emphasis 2 2 4 2" xfId="8367" xr:uid="{00000000-0005-0000-0000-0000AF200000}"/>
    <cellStyle name="Emphasis 2 2 4 2 2" xfId="8368" xr:uid="{00000000-0005-0000-0000-0000B0200000}"/>
    <cellStyle name="Emphasis 2 2 4 3" xfId="8369" xr:uid="{00000000-0005-0000-0000-0000B1200000}"/>
    <cellStyle name="Emphasis 2 2 5" xfId="8370" xr:uid="{00000000-0005-0000-0000-0000B2200000}"/>
    <cellStyle name="Emphasis 2 3" xfId="8371" xr:uid="{00000000-0005-0000-0000-0000B3200000}"/>
    <cellStyle name="Emphasis 2 3 2" xfId="8372" xr:uid="{00000000-0005-0000-0000-0000B4200000}"/>
    <cellStyle name="Emphasis 2 3 2 2" xfId="8373" xr:uid="{00000000-0005-0000-0000-0000B5200000}"/>
    <cellStyle name="Emphasis 2 3 3" xfId="8374" xr:uid="{00000000-0005-0000-0000-0000B6200000}"/>
    <cellStyle name="Emphasis 2 4" xfId="8375" xr:uid="{00000000-0005-0000-0000-0000B7200000}"/>
    <cellStyle name="Emphasis 2 4 2" xfId="8376" xr:uid="{00000000-0005-0000-0000-0000B8200000}"/>
    <cellStyle name="Emphasis 2 5" xfId="8377" xr:uid="{00000000-0005-0000-0000-0000B9200000}"/>
    <cellStyle name="Emphasis 2 5 2" xfId="8378" xr:uid="{00000000-0005-0000-0000-0000BA200000}"/>
    <cellStyle name="Emphasis 2 6" xfId="8379" xr:uid="{00000000-0005-0000-0000-0000BB200000}"/>
    <cellStyle name="Emphasis 2 6 2" xfId="8380" xr:uid="{00000000-0005-0000-0000-0000BC200000}"/>
    <cellStyle name="Emphasis 2 6 2 2" xfId="8381" xr:uid="{00000000-0005-0000-0000-0000BD200000}"/>
    <cellStyle name="Emphasis 2 6 3" xfId="8382" xr:uid="{00000000-0005-0000-0000-0000BE200000}"/>
    <cellStyle name="Emphasis 2 7" xfId="8383" xr:uid="{00000000-0005-0000-0000-0000BF200000}"/>
    <cellStyle name="Emphasis 2 7 2" xfId="8384" xr:uid="{00000000-0005-0000-0000-0000C0200000}"/>
    <cellStyle name="Emphasis 2 8" xfId="8385" xr:uid="{00000000-0005-0000-0000-0000C1200000}"/>
    <cellStyle name="Emphasis 2 8 2" xfId="8386" xr:uid="{00000000-0005-0000-0000-0000C2200000}"/>
    <cellStyle name="Emphasis 2 9" xfId="8387" xr:uid="{00000000-0005-0000-0000-0000C3200000}"/>
    <cellStyle name="Emphasis 3" xfId="8388" xr:uid="{00000000-0005-0000-0000-0000C4200000}"/>
    <cellStyle name="Emphasis 3 2" xfId="8389" xr:uid="{00000000-0005-0000-0000-0000C5200000}"/>
    <cellStyle name="Emphasis 3 2 2" xfId="8390" xr:uid="{00000000-0005-0000-0000-0000C6200000}"/>
    <cellStyle name="Emphasis 3 2 2 2" xfId="8391" xr:uid="{00000000-0005-0000-0000-0000C7200000}"/>
    <cellStyle name="Emphasis 3 2 3" xfId="8392" xr:uid="{00000000-0005-0000-0000-0000C8200000}"/>
    <cellStyle name="Emphasis 3 2 3 2" xfId="8393" xr:uid="{00000000-0005-0000-0000-0000C9200000}"/>
    <cellStyle name="Emphasis 3 2 3 2 2" xfId="8394" xr:uid="{00000000-0005-0000-0000-0000CA200000}"/>
    <cellStyle name="Emphasis 3 2 3 3" xfId="8395" xr:uid="{00000000-0005-0000-0000-0000CB200000}"/>
    <cellStyle name="Emphasis 3 2 4" xfId="8396" xr:uid="{00000000-0005-0000-0000-0000CC200000}"/>
    <cellStyle name="Emphasis 3 3" xfId="8397" xr:uid="{00000000-0005-0000-0000-0000CD200000}"/>
    <cellStyle name="Emphasis 3 3 2" xfId="8398" xr:uid="{00000000-0005-0000-0000-0000CE200000}"/>
    <cellStyle name="Emphasis 3 3 2 2" xfId="8399" xr:uid="{00000000-0005-0000-0000-0000CF200000}"/>
    <cellStyle name="Emphasis 3 3 3" xfId="8400" xr:uid="{00000000-0005-0000-0000-0000D0200000}"/>
    <cellStyle name="Emphasis 3 4" xfId="8401" xr:uid="{00000000-0005-0000-0000-0000D1200000}"/>
    <cellStyle name="Emphasis 3 4 2" xfId="8402" xr:uid="{00000000-0005-0000-0000-0000D2200000}"/>
    <cellStyle name="Emphasis 3 5" xfId="8403" xr:uid="{00000000-0005-0000-0000-0000D3200000}"/>
    <cellStyle name="Emphasis 3 5 2" xfId="8404" xr:uid="{00000000-0005-0000-0000-0000D4200000}"/>
    <cellStyle name="Emphasis 3 6" xfId="8405" xr:uid="{00000000-0005-0000-0000-0000D5200000}"/>
    <cellStyle name="Emphasis 3 7" xfId="8406" xr:uid="{00000000-0005-0000-0000-0000D6200000}"/>
    <cellStyle name="Entered" xfId="8407" xr:uid="{00000000-0005-0000-0000-0000D7200000}"/>
    <cellStyle name="Entered 2" xfId="8408" xr:uid="{00000000-0005-0000-0000-0000D8200000}"/>
    <cellStyle name="Entered 2 2" xfId="8409" xr:uid="{00000000-0005-0000-0000-0000D9200000}"/>
    <cellStyle name="Entered 2 2 2" xfId="8410" xr:uid="{00000000-0005-0000-0000-0000DA200000}"/>
    <cellStyle name="Entered 2 3" xfId="8411" xr:uid="{00000000-0005-0000-0000-0000DB200000}"/>
    <cellStyle name="Entered 2 3 2" xfId="8412" xr:uid="{00000000-0005-0000-0000-0000DC200000}"/>
    <cellStyle name="Entered 2 3 2 2" xfId="8413" xr:uid="{00000000-0005-0000-0000-0000DD200000}"/>
    <cellStyle name="Entered 2 3 3" xfId="8414" xr:uid="{00000000-0005-0000-0000-0000DE200000}"/>
    <cellStyle name="Entered 2 4" xfId="8415" xr:uid="{00000000-0005-0000-0000-0000DF200000}"/>
    <cellStyle name="Entered 3" xfId="8416" xr:uid="{00000000-0005-0000-0000-0000E0200000}"/>
    <cellStyle name="Entered 3 2" xfId="8417" xr:uid="{00000000-0005-0000-0000-0000E1200000}"/>
    <cellStyle name="Entered 3 2 2" xfId="8418" xr:uid="{00000000-0005-0000-0000-0000E2200000}"/>
    <cellStyle name="Entered 3 3" xfId="8419" xr:uid="{00000000-0005-0000-0000-0000E3200000}"/>
    <cellStyle name="Entered 4" xfId="8420" xr:uid="{00000000-0005-0000-0000-0000E4200000}"/>
    <cellStyle name="Entered 4 2" xfId="8421" xr:uid="{00000000-0005-0000-0000-0000E5200000}"/>
    <cellStyle name="Entered 4 2 2" xfId="8422" xr:uid="{00000000-0005-0000-0000-0000E6200000}"/>
    <cellStyle name="Entered 4 3" xfId="8423" xr:uid="{00000000-0005-0000-0000-0000E7200000}"/>
    <cellStyle name="Entered 5" xfId="8424" xr:uid="{00000000-0005-0000-0000-0000E8200000}"/>
    <cellStyle name="Entered 5 2" xfId="8425" xr:uid="{00000000-0005-0000-0000-0000E9200000}"/>
    <cellStyle name="Entered 6" xfId="8426" xr:uid="{00000000-0005-0000-0000-0000EA200000}"/>
    <cellStyle name="Entered 6 2" xfId="8427" xr:uid="{00000000-0005-0000-0000-0000EB200000}"/>
    <cellStyle name="Entered 7" xfId="8428" xr:uid="{00000000-0005-0000-0000-0000EC200000}"/>
    <cellStyle name="Euro" xfId="8429" xr:uid="{00000000-0005-0000-0000-0000ED200000}"/>
    <cellStyle name="Euro 2" xfId="8430" xr:uid="{00000000-0005-0000-0000-0000EE200000}"/>
    <cellStyle name="Euro 2 2" xfId="8431" xr:uid="{00000000-0005-0000-0000-0000EF200000}"/>
    <cellStyle name="Euro 2 2 2" xfId="8432" xr:uid="{00000000-0005-0000-0000-0000F0200000}"/>
    <cellStyle name="Euro 2 2 2 2" xfId="8433" xr:uid="{00000000-0005-0000-0000-0000F1200000}"/>
    <cellStyle name="Euro 2 2 3" xfId="8434" xr:uid="{00000000-0005-0000-0000-0000F2200000}"/>
    <cellStyle name="Euro 2 3" xfId="8435" xr:uid="{00000000-0005-0000-0000-0000F3200000}"/>
    <cellStyle name="Euro 2 3 2" xfId="8436" xr:uid="{00000000-0005-0000-0000-0000F4200000}"/>
    <cellStyle name="Euro 2 3 2 2" xfId="8437" xr:uid="{00000000-0005-0000-0000-0000F5200000}"/>
    <cellStyle name="Euro 2 3 3" xfId="8438" xr:uid="{00000000-0005-0000-0000-0000F6200000}"/>
    <cellStyle name="Euro 2 4" xfId="8439" xr:uid="{00000000-0005-0000-0000-0000F7200000}"/>
    <cellStyle name="Euro 3" xfId="8440" xr:uid="{00000000-0005-0000-0000-0000F8200000}"/>
    <cellStyle name="Euro 3 2" xfId="8441" xr:uid="{00000000-0005-0000-0000-0000F9200000}"/>
    <cellStyle name="Euro 3 2 2" xfId="8442" xr:uid="{00000000-0005-0000-0000-0000FA200000}"/>
    <cellStyle name="Euro 3 3" xfId="8443" xr:uid="{00000000-0005-0000-0000-0000FB200000}"/>
    <cellStyle name="Euro 4" xfId="8444" xr:uid="{00000000-0005-0000-0000-0000FC200000}"/>
    <cellStyle name="Euro 4 2" xfId="8445" xr:uid="{00000000-0005-0000-0000-0000FD200000}"/>
    <cellStyle name="Euro 4 2 2" xfId="8446" xr:uid="{00000000-0005-0000-0000-0000FE200000}"/>
    <cellStyle name="Euro 4 3" xfId="8447" xr:uid="{00000000-0005-0000-0000-0000FF200000}"/>
    <cellStyle name="Euro 5" xfId="8448" xr:uid="{00000000-0005-0000-0000-000000210000}"/>
    <cellStyle name="Euro 5 2" xfId="8449" xr:uid="{00000000-0005-0000-0000-000001210000}"/>
    <cellStyle name="Euro 6" xfId="8450" xr:uid="{00000000-0005-0000-0000-000002210000}"/>
    <cellStyle name="Explanatory Text 2" xfId="8451" xr:uid="{00000000-0005-0000-0000-000003210000}"/>
    <cellStyle name="Explanatory Text 2 10" xfId="8452" xr:uid="{00000000-0005-0000-0000-000004210000}"/>
    <cellStyle name="Explanatory Text 2 2" xfId="8453" xr:uid="{00000000-0005-0000-0000-000005210000}"/>
    <cellStyle name="Explanatory Text 2 2 2" xfId="8454" xr:uid="{00000000-0005-0000-0000-000006210000}"/>
    <cellStyle name="Explanatory Text 2 2 2 2" xfId="8455" xr:uid="{00000000-0005-0000-0000-000007210000}"/>
    <cellStyle name="Explanatory Text 2 2 3" xfId="8456" xr:uid="{00000000-0005-0000-0000-000008210000}"/>
    <cellStyle name="Explanatory Text 2 2 3 2" xfId="8457" xr:uid="{00000000-0005-0000-0000-000009210000}"/>
    <cellStyle name="Explanatory Text 2 2 3 2 2" xfId="8458" xr:uid="{00000000-0005-0000-0000-00000A210000}"/>
    <cellStyle name="Explanatory Text 2 2 3 3" xfId="8459" xr:uid="{00000000-0005-0000-0000-00000B210000}"/>
    <cellStyle name="Explanatory Text 2 2 4" xfId="8460" xr:uid="{00000000-0005-0000-0000-00000C210000}"/>
    <cellStyle name="Explanatory Text 2 3" xfId="8461" xr:uid="{00000000-0005-0000-0000-00000D210000}"/>
    <cellStyle name="Explanatory Text 2 3 2" xfId="8462" xr:uid="{00000000-0005-0000-0000-00000E210000}"/>
    <cellStyle name="Explanatory Text 2 3 2 2" xfId="8463" xr:uid="{00000000-0005-0000-0000-00000F210000}"/>
    <cellStyle name="Explanatory Text 2 3 3" xfId="8464" xr:uid="{00000000-0005-0000-0000-000010210000}"/>
    <cellStyle name="Explanatory Text 2 3 3 2" xfId="8465" xr:uid="{00000000-0005-0000-0000-000011210000}"/>
    <cellStyle name="Explanatory Text 2 3 3 2 2" xfId="8466" xr:uid="{00000000-0005-0000-0000-000012210000}"/>
    <cellStyle name="Explanatory Text 2 3 3 3" xfId="8467" xr:uid="{00000000-0005-0000-0000-000013210000}"/>
    <cellStyle name="Explanatory Text 2 3 4" xfId="8468" xr:uid="{00000000-0005-0000-0000-000014210000}"/>
    <cellStyle name="Explanatory Text 2 4" xfId="8469" xr:uid="{00000000-0005-0000-0000-000015210000}"/>
    <cellStyle name="Explanatory Text 2 4 2" xfId="8470" xr:uid="{00000000-0005-0000-0000-000016210000}"/>
    <cellStyle name="Explanatory Text 2 4 2 2" xfId="8471" xr:uid="{00000000-0005-0000-0000-000017210000}"/>
    <cellStyle name="Explanatory Text 2 4 3" xfId="8472" xr:uid="{00000000-0005-0000-0000-000018210000}"/>
    <cellStyle name="Explanatory Text 2 5" xfId="8473" xr:uid="{00000000-0005-0000-0000-000019210000}"/>
    <cellStyle name="Explanatory Text 2 5 2" xfId="8474" xr:uid="{00000000-0005-0000-0000-00001A210000}"/>
    <cellStyle name="Explanatory Text 2 5 2 2" xfId="8475" xr:uid="{00000000-0005-0000-0000-00001B210000}"/>
    <cellStyle name="Explanatory Text 2 5 3" xfId="8476" xr:uid="{00000000-0005-0000-0000-00001C210000}"/>
    <cellStyle name="Explanatory Text 2 5 3 2" xfId="8477" xr:uid="{00000000-0005-0000-0000-00001D210000}"/>
    <cellStyle name="Explanatory Text 2 5 3 2 2" xfId="8478" xr:uid="{00000000-0005-0000-0000-00001E210000}"/>
    <cellStyle name="Explanatory Text 2 5 3 3" xfId="8479" xr:uid="{00000000-0005-0000-0000-00001F210000}"/>
    <cellStyle name="Explanatory Text 2 5 4" xfId="8480" xr:uid="{00000000-0005-0000-0000-000020210000}"/>
    <cellStyle name="Explanatory Text 2 6" xfId="8481" xr:uid="{00000000-0005-0000-0000-000021210000}"/>
    <cellStyle name="Explanatory Text 2 6 2" xfId="8482" xr:uid="{00000000-0005-0000-0000-000022210000}"/>
    <cellStyle name="Explanatory Text 2 7" xfId="8483" xr:uid="{00000000-0005-0000-0000-000023210000}"/>
    <cellStyle name="Explanatory Text 2 7 2" xfId="8484" xr:uid="{00000000-0005-0000-0000-000024210000}"/>
    <cellStyle name="Explanatory Text 2 8" xfId="8485" xr:uid="{00000000-0005-0000-0000-000025210000}"/>
    <cellStyle name="Explanatory Text 2 8 2" xfId="8486" xr:uid="{00000000-0005-0000-0000-000026210000}"/>
    <cellStyle name="Explanatory Text 2 8 2 2" xfId="8487" xr:uid="{00000000-0005-0000-0000-000027210000}"/>
    <cellStyle name="Explanatory Text 2 8 3" xfId="8488" xr:uid="{00000000-0005-0000-0000-000028210000}"/>
    <cellStyle name="Explanatory Text 2 9" xfId="8489" xr:uid="{00000000-0005-0000-0000-000029210000}"/>
    <cellStyle name="Explanatory Text 2 9 2" xfId="8490" xr:uid="{00000000-0005-0000-0000-00002A210000}"/>
    <cellStyle name="Explanatory Text 2 9 2 2" xfId="8491" xr:uid="{00000000-0005-0000-0000-00002B210000}"/>
    <cellStyle name="Explanatory Text 2 9 3" xfId="8492" xr:uid="{00000000-0005-0000-0000-00002C210000}"/>
    <cellStyle name="Explanatory Text 3" xfId="8493" xr:uid="{00000000-0005-0000-0000-00002D210000}"/>
    <cellStyle name="Explanatory Text 3 2" xfId="8494" xr:uid="{00000000-0005-0000-0000-00002E210000}"/>
    <cellStyle name="Explanatory Text 3 2 2" xfId="8495" xr:uid="{00000000-0005-0000-0000-00002F210000}"/>
    <cellStyle name="Explanatory Text 3 3" xfId="8496" xr:uid="{00000000-0005-0000-0000-000030210000}"/>
    <cellStyle name="Explanatory Text 3 3 2" xfId="8497" xr:uid="{00000000-0005-0000-0000-000031210000}"/>
    <cellStyle name="Explanatory Text 3 4" xfId="8498" xr:uid="{00000000-0005-0000-0000-000032210000}"/>
    <cellStyle name="Explanatory Text 3 4 2" xfId="8499" xr:uid="{00000000-0005-0000-0000-000033210000}"/>
    <cellStyle name="Explanatory Text 3 4 2 2" xfId="8500" xr:uid="{00000000-0005-0000-0000-000034210000}"/>
    <cellStyle name="Explanatory Text 3 4 3" xfId="8501" xr:uid="{00000000-0005-0000-0000-000035210000}"/>
    <cellStyle name="Explanatory Text 3 5" xfId="8502" xr:uid="{00000000-0005-0000-0000-000036210000}"/>
    <cellStyle name="Explanatory Text 4" xfId="8503" xr:uid="{00000000-0005-0000-0000-000037210000}"/>
    <cellStyle name="Explanatory Text 4 2" xfId="8504" xr:uid="{00000000-0005-0000-0000-000038210000}"/>
    <cellStyle name="Explanatory Text 4 2 2" xfId="8505" xr:uid="{00000000-0005-0000-0000-000039210000}"/>
    <cellStyle name="Explanatory Text 4 3" xfId="8506" xr:uid="{00000000-0005-0000-0000-00003A210000}"/>
    <cellStyle name="Explanatory Text 4 3 2" xfId="8507" xr:uid="{00000000-0005-0000-0000-00003B210000}"/>
    <cellStyle name="Explanatory Text 4 3 2 2" xfId="8508" xr:uid="{00000000-0005-0000-0000-00003C210000}"/>
    <cellStyle name="Explanatory Text 4 3 3" xfId="8509" xr:uid="{00000000-0005-0000-0000-00003D210000}"/>
    <cellStyle name="Explanatory Text 4 4" xfId="8510" xr:uid="{00000000-0005-0000-0000-00003E210000}"/>
    <cellStyle name="Explanatory Text 5" xfId="8511" xr:uid="{00000000-0005-0000-0000-00003F210000}"/>
    <cellStyle name="Explanatory Text 5 2" xfId="8512" xr:uid="{00000000-0005-0000-0000-000040210000}"/>
    <cellStyle name="Explanatory Text 5 2 2" xfId="8513" xr:uid="{00000000-0005-0000-0000-000041210000}"/>
    <cellStyle name="Explanatory Text 5 3" xfId="8514" xr:uid="{00000000-0005-0000-0000-000042210000}"/>
    <cellStyle name="Explanatory Text 5 3 2" xfId="8515" xr:uid="{00000000-0005-0000-0000-000043210000}"/>
    <cellStyle name="Explanatory Text 5 3 2 2" xfId="8516" xr:uid="{00000000-0005-0000-0000-000044210000}"/>
    <cellStyle name="Explanatory Text 5 3 3" xfId="8517" xr:uid="{00000000-0005-0000-0000-000045210000}"/>
    <cellStyle name="Explanatory Text 5 4" xfId="8518" xr:uid="{00000000-0005-0000-0000-000046210000}"/>
    <cellStyle name="Explanatory Text 6" xfId="8519" xr:uid="{00000000-0005-0000-0000-000047210000}"/>
    <cellStyle name="Explanatory Text 6 2" xfId="8520" xr:uid="{00000000-0005-0000-0000-000048210000}"/>
    <cellStyle name="Explanatory Text 6 2 2" xfId="8521" xr:uid="{00000000-0005-0000-0000-000049210000}"/>
    <cellStyle name="Explanatory Text 6 3" xfId="8522" xr:uid="{00000000-0005-0000-0000-00004A210000}"/>
    <cellStyle name="Explanatory Text 7" xfId="8523" xr:uid="{00000000-0005-0000-0000-00004B210000}"/>
    <cellStyle name="Explanatory Text 8" xfId="8524" xr:uid="{00000000-0005-0000-0000-00004C210000}"/>
    <cellStyle name="Fixed" xfId="8525" xr:uid="{00000000-0005-0000-0000-00004D210000}"/>
    <cellStyle name="Fixed 2" xfId="8526" xr:uid="{00000000-0005-0000-0000-00004E210000}"/>
    <cellStyle name="Fixed 2 2" xfId="8527" xr:uid="{00000000-0005-0000-0000-00004F210000}"/>
    <cellStyle name="Fixed 3" xfId="8528" xr:uid="{00000000-0005-0000-0000-000050210000}"/>
    <cellStyle name="Fixed 3 2" xfId="8529" xr:uid="{00000000-0005-0000-0000-000051210000}"/>
    <cellStyle name="Fixed 4" xfId="8530" xr:uid="{00000000-0005-0000-0000-000052210000}"/>
    <cellStyle name="Fixed 5" xfId="8531" xr:uid="{00000000-0005-0000-0000-000053210000}"/>
    <cellStyle name="Floating" xfId="8532" xr:uid="{00000000-0005-0000-0000-000054210000}"/>
    <cellStyle name="General" xfId="8533" xr:uid="{00000000-0005-0000-0000-000055210000}"/>
    <cellStyle name="General 2" xfId="8534" xr:uid="{00000000-0005-0000-0000-000056210000}"/>
    <cellStyle name="General 2 2" xfId="8535" xr:uid="{00000000-0005-0000-0000-000057210000}"/>
    <cellStyle name="General 2 2 2" xfId="8536" xr:uid="{00000000-0005-0000-0000-000058210000}"/>
    <cellStyle name="General 2 3" xfId="8537" xr:uid="{00000000-0005-0000-0000-000059210000}"/>
    <cellStyle name="General 3" xfId="8538" xr:uid="{00000000-0005-0000-0000-00005A210000}"/>
    <cellStyle name="General 3 2" xfId="8539" xr:uid="{00000000-0005-0000-0000-00005B210000}"/>
    <cellStyle name="General 3 2 2" xfId="8540" xr:uid="{00000000-0005-0000-0000-00005C210000}"/>
    <cellStyle name="General 3 3" xfId="8541" xr:uid="{00000000-0005-0000-0000-00005D210000}"/>
    <cellStyle name="General 3 3 2" xfId="8542" xr:uid="{00000000-0005-0000-0000-00005E210000}"/>
    <cellStyle name="General 3 3 2 2" xfId="8543" xr:uid="{00000000-0005-0000-0000-00005F210000}"/>
    <cellStyle name="General 3 3 3" xfId="8544" xr:uid="{00000000-0005-0000-0000-000060210000}"/>
    <cellStyle name="General 3 4" xfId="8545" xr:uid="{00000000-0005-0000-0000-000061210000}"/>
    <cellStyle name="General 4" xfId="8546" xr:uid="{00000000-0005-0000-0000-000062210000}"/>
    <cellStyle name="General 4 2" xfId="8547" xr:uid="{00000000-0005-0000-0000-000063210000}"/>
    <cellStyle name="General 4 2 2" xfId="8548" xr:uid="{00000000-0005-0000-0000-000064210000}"/>
    <cellStyle name="General 4 3" xfId="8549" xr:uid="{00000000-0005-0000-0000-000065210000}"/>
    <cellStyle name="General 5" xfId="8550" xr:uid="{00000000-0005-0000-0000-000066210000}"/>
    <cellStyle name="General2" xfId="8551" xr:uid="{00000000-0005-0000-0000-000067210000}"/>
    <cellStyle name="Good 2" xfId="8552" xr:uid="{00000000-0005-0000-0000-000068210000}"/>
    <cellStyle name="Good 2 10" xfId="8553" xr:uid="{00000000-0005-0000-0000-000069210000}"/>
    <cellStyle name="Good 2 10 2" xfId="8554" xr:uid="{00000000-0005-0000-0000-00006A210000}"/>
    <cellStyle name="Good 2 10 2 2" xfId="34428" xr:uid="{476BCBAF-782E-415D-92A6-C681E7C4D710}"/>
    <cellStyle name="Good 2 10 3" xfId="34427" xr:uid="{33A22DA3-05A8-4454-BAD9-D2DB819DF895}"/>
    <cellStyle name="Good 2 11" xfId="8555" xr:uid="{00000000-0005-0000-0000-00006B210000}"/>
    <cellStyle name="Good 2 11 2" xfId="34429" xr:uid="{0734220E-BD9D-4981-A112-648F8779D6BE}"/>
    <cellStyle name="Good 2 12" xfId="8556" xr:uid="{00000000-0005-0000-0000-00006C210000}"/>
    <cellStyle name="Good 2 2" xfId="8557" xr:uid="{00000000-0005-0000-0000-00006D210000}"/>
    <cellStyle name="Good 2 2 2" xfId="8558" xr:uid="{00000000-0005-0000-0000-00006E210000}"/>
    <cellStyle name="Good 2 2 2 2" xfId="8559" xr:uid="{00000000-0005-0000-0000-00006F210000}"/>
    <cellStyle name="Good 2 2 3" xfId="8560" xr:uid="{00000000-0005-0000-0000-000070210000}"/>
    <cellStyle name="Good 2 2 3 2" xfId="8561" xr:uid="{00000000-0005-0000-0000-000071210000}"/>
    <cellStyle name="Good 2 2 3 2 2" xfId="8562" xr:uid="{00000000-0005-0000-0000-000072210000}"/>
    <cellStyle name="Good 2 2 3 3" xfId="8563" xr:uid="{00000000-0005-0000-0000-000073210000}"/>
    <cellStyle name="Good 2 2 4" xfId="8564" xr:uid="{00000000-0005-0000-0000-000074210000}"/>
    <cellStyle name="Good 2 2 4 2" xfId="8565" xr:uid="{00000000-0005-0000-0000-000075210000}"/>
    <cellStyle name="Good 2 2 5" xfId="8566" xr:uid="{00000000-0005-0000-0000-000076210000}"/>
    <cellStyle name="Good 2 3" xfId="8567" xr:uid="{00000000-0005-0000-0000-000077210000}"/>
    <cellStyle name="Good 2 3 2" xfId="8568" xr:uid="{00000000-0005-0000-0000-000078210000}"/>
    <cellStyle name="Good 2 3 2 2" xfId="8569" xr:uid="{00000000-0005-0000-0000-000079210000}"/>
    <cellStyle name="Good 2 3 3" xfId="8570" xr:uid="{00000000-0005-0000-0000-00007A210000}"/>
    <cellStyle name="Good 2 3 3 2" xfId="8571" xr:uid="{00000000-0005-0000-0000-00007B210000}"/>
    <cellStyle name="Good 2 3 3 2 2" xfId="8572" xr:uid="{00000000-0005-0000-0000-00007C210000}"/>
    <cellStyle name="Good 2 3 3 3" xfId="8573" xr:uid="{00000000-0005-0000-0000-00007D210000}"/>
    <cellStyle name="Good 2 3 4" xfId="8574" xr:uid="{00000000-0005-0000-0000-00007E210000}"/>
    <cellStyle name="Good 2 4" xfId="8575" xr:uid="{00000000-0005-0000-0000-00007F210000}"/>
    <cellStyle name="Good 2 4 2" xfId="8576" xr:uid="{00000000-0005-0000-0000-000080210000}"/>
    <cellStyle name="Good 2 4 2 2" xfId="8577" xr:uid="{00000000-0005-0000-0000-000081210000}"/>
    <cellStyle name="Good 2 4 3" xfId="8578" xr:uid="{00000000-0005-0000-0000-000082210000}"/>
    <cellStyle name="Good 2 5" xfId="8579" xr:uid="{00000000-0005-0000-0000-000083210000}"/>
    <cellStyle name="Good 2 5 2" xfId="8580" xr:uid="{00000000-0005-0000-0000-000084210000}"/>
    <cellStyle name="Good 2 5 2 2" xfId="8581" xr:uid="{00000000-0005-0000-0000-000085210000}"/>
    <cellStyle name="Good 2 5 3" xfId="8582" xr:uid="{00000000-0005-0000-0000-000086210000}"/>
    <cellStyle name="Good 2 5 3 2" xfId="8583" xr:uid="{00000000-0005-0000-0000-000087210000}"/>
    <cellStyle name="Good 2 5 3 2 2" xfId="8584" xr:uid="{00000000-0005-0000-0000-000088210000}"/>
    <cellStyle name="Good 2 5 3 3" xfId="8585" xr:uid="{00000000-0005-0000-0000-000089210000}"/>
    <cellStyle name="Good 2 5 4" xfId="8586" xr:uid="{00000000-0005-0000-0000-00008A210000}"/>
    <cellStyle name="Good 2 6" xfId="8587" xr:uid="{00000000-0005-0000-0000-00008B210000}"/>
    <cellStyle name="Good 2 6 2" xfId="8588" xr:uid="{00000000-0005-0000-0000-00008C210000}"/>
    <cellStyle name="Good 2 6 2 2" xfId="8589" xr:uid="{00000000-0005-0000-0000-00008D210000}"/>
    <cellStyle name="Good 2 6 3" xfId="8590" xr:uid="{00000000-0005-0000-0000-00008E210000}"/>
    <cellStyle name="Good 2 6 3 2" xfId="8591" xr:uid="{00000000-0005-0000-0000-00008F210000}"/>
    <cellStyle name="Good 2 6 3 2 2" xfId="8592" xr:uid="{00000000-0005-0000-0000-000090210000}"/>
    <cellStyle name="Good 2 6 3 3" xfId="8593" xr:uid="{00000000-0005-0000-0000-000091210000}"/>
    <cellStyle name="Good 2 6 4" xfId="8594" xr:uid="{00000000-0005-0000-0000-000092210000}"/>
    <cellStyle name="Good 2 6 4 2" xfId="8595" xr:uid="{00000000-0005-0000-0000-000093210000}"/>
    <cellStyle name="Good 2 6 5" xfId="8596" xr:uid="{00000000-0005-0000-0000-000094210000}"/>
    <cellStyle name="Good 2 7" xfId="8597" xr:uid="{00000000-0005-0000-0000-000095210000}"/>
    <cellStyle name="Good 2 7 2" xfId="8598" xr:uid="{00000000-0005-0000-0000-000096210000}"/>
    <cellStyle name="Good 2 7 2 2" xfId="34431" xr:uid="{8ECB0E42-64DF-475D-90E9-806F5F886F52}"/>
    <cellStyle name="Good 2 7 3" xfId="34430" xr:uid="{9E51E4D8-D697-408C-ABDE-5E77A9CCF274}"/>
    <cellStyle name="Good 2 8" xfId="8599" xr:uid="{00000000-0005-0000-0000-000097210000}"/>
    <cellStyle name="Good 2 8 2" xfId="8600" xr:uid="{00000000-0005-0000-0000-000098210000}"/>
    <cellStyle name="Good 2 8 2 2" xfId="8601" xr:uid="{00000000-0005-0000-0000-000099210000}"/>
    <cellStyle name="Good 2 8 2 2 2" xfId="34434" xr:uid="{9F63E31A-A7C2-4C6F-8384-BD0070BBBC75}"/>
    <cellStyle name="Good 2 8 2 3" xfId="34433" xr:uid="{4F25D3E2-C68A-4AF2-8224-67DE4592D7B0}"/>
    <cellStyle name="Good 2 8 3" xfId="8602" xr:uid="{00000000-0005-0000-0000-00009A210000}"/>
    <cellStyle name="Good 2 8 3 2" xfId="34435" xr:uid="{A598A777-A24B-4B00-9666-D04160636FEB}"/>
    <cellStyle name="Good 2 8 4" xfId="34432" xr:uid="{4D0E4CA8-919A-4843-A9F7-EED8B0B2F714}"/>
    <cellStyle name="Good 2 9" xfId="8603" xr:uid="{00000000-0005-0000-0000-00009B210000}"/>
    <cellStyle name="Good 2 9 2" xfId="8604" xr:uid="{00000000-0005-0000-0000-00009C210000}"/>
    <cellStyle name="Good 2 9 2 2" xfId="8605" xr:uid="{00000000-0005-0000-0000-00009D210000}"/>
    <cellStyle name="Good 2 9 2 2 2" xfId="34437" xr:uid="{F3455B61-BE6F-45D8-B1A1-2D928242311A}"/>
    <cellStyle name="Good 2 9 2 3" xfId="34436" xr:uid="{461E53F2-DD3A-4056-94DE-F86CB65BCDE2}"/>
    <cellStyle name="Good 2 9 3" xfId="8606" xr:uid="{00000000-0005-0000-0000-00009E210000}"/>
    <cellStyle name="Good 3" xfId="8607" xr:uid="{00000000-0005-0000-0000-00009F210000}"/>
    <cellStyle name="Good 3 2" xfId="8608" xr:uid="{00000000-0005-0000-0000-0000A0210000}"/>
    <cellStyle name="Good 3 2 2" xfId="8609" xr:uid="{00000000-0005-0000-0000-0000A1210000}"/>
    <cellStyle name="Good 3 3" xfId="8610" xr:uid="{00000000-0005-0000-0000-0000A2210000}"/>
    <cellStyle name="Good 3 3 2" xfId="8611" xr:uid="{00000000-0005-0000-0000-0000A3210000}"/>
    <cellStyle name="Good 3 4" xfId="8612" xr:uid="{00000000-0005-0000-0000-0000A4210000}"/>
    <cellStyle name="Good 3 4 2" xfId="8613" xr:uid="{00000000-0005-0000-0000-0000A5210000}"/>
    <cellStyle name="Good 3 4 2 2" xfId="8614" xr:uid="{00000000-0005-0000-0000-0000A6210000}"/>
    <cellStyle name="Good 3 4 3" xfId="8615" xr:uid="{00000000-0005-0000-0000-0000A7210000}"/>
    <cellStyle name="Good 3 5" xfId="8616" xr:uid="{00000000-0005-0000-0000-0000A8210000}"/>
    <cellStyle name="Good 4" xfId="8617" xr:uid="{00000000-0005-0000-0000-0000A9210000}"/>
    <cellStyle name="Good 4 2" xfId="8618" xr:uid="{00000000-0005-0000-0000-0000AA210000}"/>
    <cellStyle name="Good 4 2 2" xfId="8619" xr:uid="{00000000-0005-0000-0000-0000AB210000}"/>
    <cellStyle name="Good 4 3" xfId="8620" xr:uid="{00000000-0005-0000-0000-0000AC210000}"/>
    <cellStyle name="Good 4 3 2" xfId="8621" xr:uid="{00000000-0005-0000-0000-0000AD210000}"/>
    <cellStyle name="Good 4 3 2 2" xfId="8622" xr:uid="{00000000-0005-0000-0000-0000AE210000}"/>
    <cellStyle name="Good 4 3 3" xfId="8623" xr:uid="{00000000-0005-0000-0000-0000AF210000}"/>
    <cellStyle name="Good 4 4" xfId="8624" xr:uid="{00000000-0005-0000-0000-0000B0210000}"/>
    <cellStyle name="Good 4 5" xfId="34438" xr:uid="{C20C3BEE-DD98-45CA-8326-1E136E9F1560}"/>
    <cellStyle name="Good 5" xfId="8625" xr:uid="{00000000-0005-0000-0000-0000B1210000}"/>
    <cellStyle name="Good 5 2" xfId="8626" xr:uid="{00000000-0005-0000-0000-0000B2210000}"/>
    <cellStyle name="Good 5 2 2" xfId="8627" xr:uid="{00000000-0005-0000-0000-0000B3210000}"/>
    <cellStyle name="Good 5 2 2 2" xfId="34441" xr:uid="{33C14B54-F412-4417-8715-ED327FE612D1}"/>
    <cellStyle name="Good 5 2 3" xfId="34440" xr:uid="{30131570-38DE-4D90-AF26-C9299B5A8CE2}"/>
    <cellStyle name="Good 5 3" xfId="8628" xr:uid="{00000000-0005-0000-0000-0000B4210000}"/>
    <cellStyle name="Good 5 3 2" xfId="8629" xr:uid="{00000000-0005-0000-0000-0000B5210000}"/>
    <cellStyle name="Good 5 3 2 2" xfId="8630" xr:uid="{00000000-0005-0000-0000-0000B6210000}"/>
    <cellStyle name="Good 5 3 2 2 2" xfId="34444" xr:uid="{D07E3AFF-22D8-4A37-B4CD-192042543CB3}"/>
    <cellStyle name="Good 5 3 2 3" xfId="34443" xr:uid="{4E6E6434-0057-440E-9F77-109BA28A3186}"/>
    <cellStyle name="Good 5 3 3" xfId="8631" xr:uid="{00000000-0005-0000-0000-0000B7210000}"/>
    <cellStyle name="Good 5 3 3 2" xfId="34445" xr:uid="{0428E364-8124-4D49-87B9-81D27377761B}"/>
    <cellStyle name="Good 5 3 4" xfId="34442" xr:uid="{00CCE775-18E9-414C-8996-D4AFEE67FA8A}"/>
    <cellStyle name="Good 5 4" xfId="8632" xr:uid="{00000000-0005-0000-0000-0000B8210000}"/>
    <cellStyle name="Good 5 4 2" xfId="34446" xr:uid="{DC41542E-A260-48FB-95A7-3D61773380D1}"/>
    <cellStyle name="Good 5 5" xfId="34439" xr:uid="{159C77A0-EACA-4A5B-9546-02A886953AE5}"/>
    <cellStyle name="Good 6" xfId="8633" xr:uid="{00000000-0005-0000-0000-0000B9210000}"/>
    <cellStyle name="Good 6 2" xfId="8634" xr:uid="{00000000-0005-0000-0000-0000BA210000}"/>
    <cellStyle name="Good 6 2 2" xfId="8635" xr:uid="{00000000-0005-0000-0000-0000BB210000}"/>
    <cellStyle name="Good 6 3" xfId="8636" xr:uid="{00000000-0005-0000-0000-0000BC210000}"/>
    <cellStyle name="Good 7" xfId="8637" xr:uid="{00000000-0005-0000-0000-0000BD210000}"/>
    <cellStyle name="Good 7 2" xfId="8638" xr:uid="{00000000-0005-0000-0000-0000BE210000}"/>
    <cellStyle name="Good 8" xfId="8639" xr:uid="{00000000-0005-0000-0000-0000BF210000}"/>
    <cellStyle name="Good 9" xfId="8640" xr:uid="{00000000-0005-0000-0000-0000C0210000}"/>
    <cellStyle name="Grey" xfId="8641" xr:uid="{00000000-0005-0000-0000-0000C1210000}"/>
    <cellStyle name="Grey 2" xfId="8642" xr:uid="{00000000-0005-0000-0000-0000C2210000}"/>
    <cellStyle name="Grey 2 2" xfId="34448" xr:uid="{B0A47F98-CB86-4C3D-9B99-A589D3B0DFE8}"/>
    <cellStyle name="Grey 3" xfId="34447" xr:uid="{94A00B83-C3EF-4718-BCA4-02A47EA65EFE}"/>
    <cellStyle name="HEADER" xfId="8643" xr:uid="{00000000-0005-0000-0000-0000C3210000}"/>
    <cellStyle name="HEADER 2" xfId="8644" xr:uid="{00000000-0005-0000-0000-0000C4210000}"/>
    <cellStyle name="HEADER 2 2" xfId="8645" xr:uid="{00000000-0005-0000-0000-0000C5210000}"/>
    <cellStyle name="HEADER 2 2 2" xfId="8646" xr:uid="{00000000-0005-0000-0000-0000C6210000}"/>
    <cellStyle name="HEADER 2 2 2 2" xfId="8647" xr:uid="{00000000-0005-0000-0000-0000C7210000}"/>
    <cellStyle name="HEADER 2 2 3" xfId="8648" xr:uid="{00000000-0005-0000-0000-0000C8210000}"/>
    <cellStyle name="HEADER 2 2 3 2" xfId="8649" xr:uid="{00000000-0005-0000-0000-0000C9210000}"/>
    <cellStyle name="HEADER 2 2 3 2 2" xfId="8650" xr:uid="{00000000-0005-0000-0000-0000CA210000}"/>
    <cellStyle name="HEADER 2 2 3 3" xfId="8651" xr:uid="{00000000-0005-0000-0000-0000CB210000}"/>
    <cellStyle name="HEADER 2 2 4" xfId="8652" xr:uid="{00000000-0005-0000-0000-0000CC210000}"/>
    <cellStyle name="HEADER 2 3" xfId="8653" xr:uid="{00000000-0005-0000-0000-0000CD210000}"/>
    <cellStyle name="HEADER 2 3 2" xfId="8654" xr:uid="{00000000-0005-0000-0000-0000CE210000}"/>
    <cellStyle name="HEADER 2 4" xfId="8655" xr:uid="{00000000-0005-0000-0000-0000CF210000}"/>
    <cellStyle name="HEADER 3" xfId="8656" xr:uid="{00000000-0005-0000-0000-0000D0210000}"/>
    <cellStyle name="HEADER 3 2" xfId="8657" xr:uid="{00000000-0005-0000-0000-0000D1210000}"/>
    <cellStyle name="HEADER 4" xfId="8658" xr:uid="{00000000-0005-0000-0000-0000D2210000}"/>
    <cellStyle name="HEADER 4 2" xfId="8659" xr:uid="{00000000-0005-0000-0000-0000D3210000}"/>
    <cellStyle name="HEADER 5" xfId="8660" xr:uid="{00000000-0005-0000-0000-0000D4210000}"/>
    <cellStyle name="Header1" xfId="8661" xr:uid="{00000000-0005-0000-0000-0000D5210000}"/>
    <cellStyle name="Header1 2" xfId="8662" xr:uid="{00000000-0005-0000-0000-0000D6210000}"/>
    <cellStyle name="Header1 2 2" xfId="8663" xr:uid="{00000000-0005-0000-0000-0000D7210000}"/>
    <cellStyle name="Header1 2 2 2" xfId="8664" xr:uid="{00000000-0005-0000-0000-0000D8210000}"/>
    <cellStyle name="Header1 2 3" xfId="8665" xr:uid="{00000000-0005-0000-0000-0000D9210000}"/>
    <cellStyle name="Header1 2 3 2" xfId="8666" xr:uid="{00000000-0005-0000-0000-0000DA210000}"/>
    <cellStyle name="Header1 2 3 2 2" xfId="8667" xr:uid="{00000000-0005-0000-0000-0000DB210000}"/>
    <cellStyle name="Header1 2 3 3" xfId="8668" xr:uid="{00000000-0005-0000-0000-0000DC210000}"/>
    <cellStyle name="Header1 2 4" xfId="8669" xr:uid="{00000000-0005-0000-0000-0000DD210000}"/>
    <cellStyle name="Header1 3" xfId="8670" xr:uid="{00000000-0005-0000-0000-0000DE210000}"/>
    <cellStyle name="Header1 3 2" xfId="8671" xr:uid="{00000000-0005-0000-0000-0000DF210000}"/>
    <cellStyle name="Header1 3 2 2" xfId="8672" xr:uid="{00000000-0005-0000-0000-0000E0210000}"/>
    <cellStyle name="Header1 3 3" xfId="8673" xr:uid="{00000000-0005-0000-0000-0000E1210000}"/>
    <cellStyle name="Header1 4" xfId="8674" xr:uid="{00000000-0005-0000-0000-0000E2210000}"/>
    <cellStyle name="Header1 4 2" xfId="8675" xr:uid="{00000000-0005-0000-0000-0000E3210000}"/>
    <cellStyle name="Header1 5" xfId="8676" xr:uid="{00000000-0005-0000-0000-0000E4210000}"/>
    <cellStyle name="Header1 5 2" xfId="8677" xr:uid="{00000000-0005-0000-0000-0000E5210000}"/>
    <cellStyle name="Header1 6" xfId="8678" xr:uid="{00000000-0005-0000-0000-0000E6210000}"/>
    <cellStyle name="Header2" xfId="8679" xr:uid="{00000000-0005-0000-0000-0000E7210000}"/>
    <cellStyle name="Header2 2" xfId="8680" xr:uid="{00000000-0005-0000-0000-0000E8210000}"/>
    <cellStyle name="Header2 2 2" xfId="8681" xr:uid="{00000000-0005-0000-0000-0000E9210000}"/>
    <cellStyle name="Header2 2 2 2" xfId="8682" xr:uid="{00000000-0005-0000-0000-0000EA210000}"/>
    <cellStyle name="Header2 2 2 2 2" xfId="8683" xr:uid="{00000000-0005-0000-0000-0000EB210000}"/>
    <cellStyle name="Header2 2 2 2 2 2" xfId="8684" xr:uid="{00000000-0005-0000-0000-0000EC210000}"/>
    <cellStyle name="Header2 2 2 2 2 2 2" xfId="8685" xr:uid="{00000000-0005-0000-0000-0000ED210000}"/>
    <cellStyle name="Header2 2 2 2 2 2 2 2" xfId="8686" xr:uid="{00000000-0005-0000-0000-0000EE210000}"/>
    <cellStyle name="Header2 2 2 2 2 2 2 2 2" xfId="34456" xr:uid="{E374A45B-D277-42FE-AA5A-B46E6605E542}"/>
    <cellStyle name="Header2 2 2 2 2 2 2 3" xfId="8687" xr:uid="{00000000-0005-0000-0000-0000EF210000}"/>
    <cellStyle name="Header2 2 2 2 2 2 2 3 2" xfId="34457" xr:uid="{E882A828-DA92-48A9-A765-E6C138C358D6}"/>
    <cellStyle name="Header2 2 2 2 2 2 2 4" xfId="34455" xr:uid="{F12DE438-A8DF-4841-B7D2-D788B1B769E7}"/>
    <cellStyle name="Header2 2 2 2 2 2 3" xfId="8688" xr:uid="{00000000-0005-0000-0000-0000F0210000}"/>
    <cellStyle name="Header2 2 2 2 2 2 3 2" xfId="34458" xr:uid="{E17DFA14-0267-43E4-AF20-2F62E3F69E1F}"/>
    <cellStyle name="Header2 2 2 2 2 2 4" xfId="34454" xr:uid="{189EB2E7-83B3-428E-9E10-2178CAF095F3}"/>
    <cellStyle name="Header2 2 2 2 2 3" xfId="8689" xr:uid="{00000000-0005-0000-0000-0000F1210000}"/>
    <cellStyle name="Header2 2 2 2 2 3 2" xfId="34459" xr:uid="{A679DD08-0FD2-4604-B380-C43EACFCC55D}"/>
    <cellStyle name="Header2 2 2 2 2 4" xfId="34453" xr:uid="{F959ECB7-644D-4735-858F-37E8F6C83F11}"/>
    <cellStyle name="Header2 2 2 2 3" xfId="8690" xr:uid="{00000000-0005-0000-0000-0000F2210000}"/>
    <cellStyle name="Header2 2 2 2 3 2" xfId="8691" xr:uid="{00000000-0005-0000-0000-0000F3210000}"/>
    <cellStyle name="Header2 2 2 2 3 2 2" xfId="8692" xr:uid="{00000000-0005-0000-0000-0000F4210000}"/>
    <cellStyle name="Header2 2 2 2 3 2 2 2" xfId="8693" xr:uid="{00000000-0005-0000-0000-0000F5210000}"/>
    <cellStyle name="Header2 2 2 2 3 2 2 2 2" xfId="34463" xr:uid="{B94304E7-80F1-41B1-B2B2-BB9939FDAF18}"/>
    <cellStyle name="Header2 2 2 2 3 2 2 3" xfId="8694" xr:uid="{00000000-0005-0000-0000-0000F6210000}"/>
    <cellStyle name="Header2 2 2 2 3 2 2 3 2" xfId="34464" xr:uid="{0435CFB1-979E-486B-96E1-FE17A20626BE}"/>
    <cellStyle name="Header2 2 2 2 3 2 2 4" xfId="34462" xr:uid="{2A2D247E-E754-4FD0-BBFC-E84B092654B1}"/>
    <cellStyle name="Header2 2 2 2 3 2 3" xfId="8695" xr:uid="{00000000-0005-0000-0000-0000F7210000}"/>
    <cellStyle name="Header2 2 2 2 3 2 3 2" xfId="34465" xr:uid="{AD4CFDFD-9633-45E0-872D-0CEFB5B38490}"/>
    <cellStyle name="Header2 2 2 2 3 2 4" xfId="34461" xr:uid="{A6F78F6F-6754-457D-87F2-F3B1CD479C83}"/>
    <cellStyle name="Header2 2 2 2 3 3" xfId="8696" xr:uid="{00000000-0005-0000-0000-0000F8210000}"/>
    <cellStyle name="Header2 2 2 2 3 3 2" xfId="8697" xr:uid="{00000000-0005-0000-0000-0000F9210000}"/>
    <cellStyle name="Header2 2 2 2 3 3 2 2" xfId="34467" xr:uid="{A1AA4C6B-DD8C-474E-BC8F-71D75240C63B}"/>
    <cellStyle name="Header2 2 2 2 3 3 3" xfId="8698" xr:uid="{00000000-0005-0000-0000-0000FA210000}"/>
    <cellStyle name="Header2 2 2 2 3 3 3 2" xfId="34468" xr:uid="{8FED0F29-43BC-407C-85DE-C621432288AB}"/>
    <cellStyle name="Header2 2 2 2 3 3 4" xfId="34466" xr:uid="{E22972D5-D8A7-44AC-B205-BF24E3BDA41E}"/>
    <cellStyle name="Header2 2 2 2 3 4" xfId="8699" xr:uid="{00000000-0005-0000-0000-0000FB210000}"/>
    <cellStyle name="Header2 2 2 2 3 4 2" xfId="34469" xr:uid="{0327791E-46CE-4945-BC77-8C3C37E04BFF}"/>
    <cellStyle name="Header2 2 2 2 3 5" xfId="34460" xr:uid="{3934CC41-8D63-439C-B4A1-4107BCC1BA5E}"/>
    <cellStyle name="Header2 2 2 2 4" xfId="8700" xr:uid="{00000000-0005-0000-0000-0000FC210000}"/>
    <cellStyle name="Header2 2 2 2 4 2" xfId="8701" xr:uid="{00000000-0005-0000-0000-0000FD210000}"/>
    <cellStyle name="Header2 2 2 2 4 2 2" xfId="8702" xr:uid="{00000000-0005-0000-0000-0000FE210000}"/>
    <cellStyle name="Header2 2 2 2 4 2 2 2" xfId="34472" xr:uid="{CB3563F5-BCAA-47D1-A421-84938BFB2A98}"/>
    <cellStyle name="Header2 2 2 2 4 2 3" xfId="8703" xr:uid="{00000000-0005-0000-0000-0000FF210000}"/>
    <cellStyle name="Header2 2 2 2 4 2 3 2" xfId="34473" xr:uid="{05E0EB67-28FB-4334-97C8-24F74C1AE47F}"/>
    <cellStyle name="Header2 2 2 2 4 2 4" xfId="34471" xr:uid="{FC0309FF-88CF-41B0-BE0A-2A01539A3D0E}"/>
    <cellStyle name="Header2 2 2 2 4 3" xfId="8704" xr:uid="{00000000-0005-0000-0000-000000220000}"/>
    <cellStyle name="Header2 2 2 2 4 3 2" xfId="34474" xr:uid="{00A7B0BF-F3A7-4582-B2FF-D454C7B9E7C1}"/>
    <cellStyle name="Header2 2 2 2 4 4" xfId="34470" xr:uid="{92238F97-F4FC-4559-82DC-D53607572F48}"/>
    <cellStyle name="Header2 2 2 2 5" xfId="8705" xr:uid="{00000000-0005-0000-0000-000001220000}"/>
    <cellStyle name="Header2 2 2 2 5 2" xfId="8706" xr:uid="{00000000-0005-0000-0000-000002220000}"/>
    <cellStyle name="Header2 2 2 2 5 2 2" xfId="34476" xr:uid="{CFCA05EF-F624-40DB-93CC-971E77B68566}"/>
    <cellStyle name="Header2 2 2 2 5 3" xfId="8707" xr:uid="{00000000-0005-0000-0000-000003220000}"/>
    <cellStyle name="Header2 2 2 2 5 3 2" xfId="34477" xr:uid="{91AA8FD3-1B7F-44FB-A97D-80FB77127C72}"/>
    <cellStyle name="Header2 2 2 2 5 4" xfId="34475" xr:uid="{D7389B9F-2185-4325-86DF-9740C6882764}"/>
    <cellStyle name="Header2 2 2 2 6" xfId="8708" xr:uid="{00000000-0005-0000-0000-000004220000}"/>
    <cellStyle name="Header2 2 2 2 6 2" xfId="34478" xr:uid="{EC8EA9CE-9859-4EDF-A1D8-4DDED7BD9307}"/>
    <cellStyle name="Header2 2 2 2 7" xfId="34452" xr:uid="{99A7D9D2-35E6-4C79-A41B-C0A01DA31566}"/>
    <cellStyle name="Header2 2 2 3" xfId="8709" xr:uid="{00000000-0005-0000-0000-000005220000}"/>
    <cellStyle name="Header2 2 2 3 2" xfId="34479" xr:uid="{CBFDF671-40E8-4909-B18E-93C89EC6F0E4}"/>
    <cellStyle name="Header2 2 2 4" xfId="34451" xr:uid="{4F64CD0E-9A2D-49F9-B560-463083FC9480}"/>
    <cellStyle name="Header2 2 3" xfId="8710" xr:uid="{00000000-0005-0000-0000-000006220000}"/>
    <cellStyle name="Header2 2 3 2" xfId="8711" xr:uid="{00000000-0005-0000-0000-000007220000}"/>
    <cellStyle name="Header2 2 3 2 2" xfId="8712" xr:uid="{00000000-0005-0000-0000-000008220000}"/>
    <cellStyle name="Header2 2 3 2 2 2" xfId="8713" xr:uid="{00000000-0005-0000-0000-000009220000}"/>
    <cellStyle name="Header2 2 3 2 2 2 2" xfId="8714" xr:uid="{00000000-0005-0000-0000-00000A220000}"/>
    <cellStyle name="Header2 2 3 2 2 2 2 2" xfId="8715" xr:uid="{00000000-0005-0000-0000-00000B220000}"/>
    <cellStyle name="Header2 2 3 2 2 2 2 2 2" xfId="8716" xr:uid="{00000000-0005-0000-0000-00000C220000}"/>
    <cellStyle name="Header2 2 3 2 2 2 2 2 2 2" xfId="34486" xr:uid="{BB3C54A3-E0BF-459A-80BA-4575BFA4BB34}"/>
    <cellStyle name="Header2 2 3 2 2 2 2 2 3" xfId="8717" xr:uid="{00000000-0005-0000-0000-00000D220000}"/>
    <cellStyle name="Header2 2 3 2 2 2 2 2 3 2" xfId="34487" xr:uid="{0B4F4A8C-F5C9-457E-970C-EDDB795A181C}"/>
    <cellStyle name="Header2 2 3 2 2 2 2 2 4" xfId="34485" xr:uid="{F2357ADC-DE37-4F7C-A453-8B080E8C0AE5}"/>
    <cellStyle name="Header2 2 3 2 2 2 2 3" xfId="8718" xr:uid="{00000000-0005-0000-0000-00000E220000}"/>
    <cellStyle name="Header2 2 3 2 2 2 2 3 2" xfId="34488" xr:uid="{528B158D-AB0B-4866-BA9A-766FEB0340F2}"/>
    <cellStyle name="Header2 2 3 2 2 2 2 4" xfId="34484" xr:uid="{0DE46672-9EBA-4BE5-ACE1-22FEEFC0C8E9}"/>
    <cellStyle name="Header2 2 3 2 2 2 3" xfId="8719" xr:uid="{00000000-0005-0000-0000-00000F220000}"/>
    <cellStyle name="Header2 2 3 2 2 2 3 2" xfId="34489" xr:uid="{61E5B314-474F-42CA-AC86-9EE7EEFF148E}"/>
    <cellStyle name="Header2 2 3 2 2 2 4" xfId="34483" xr:uid="{30EBCB02-C7A9-4A5A-90DC-5E209EF52F38}"/>
    <cellStyle name="Header2 2 3 2 2 3" xfId="8720" xr:uid="{00000000-0005-0000-0000-000010220000}"/>
    <cellStyle name="Header2 2 3 2 2 3 2" xfId="8721" xr:uid="{00000000-0005-0000-0000-000011220000}"/>
    <cellStyle name="Header2 2 3 2 2 3 2 2" xfId="8722" xr:uid="{00000000-0005-0000-0000-000012220000}"/>
    <cellStyle name="Header2 2 3 2 2 3 2 2 2" xfId="8723" xr:uid="{00000000-0005-0000-0000-000013220000}"/>
    <cellStyle name="Header2 2 3 2 2 3 2 2 2 2" xfId="34493" xr:uid="{2E5A8667-352E-460E-BF02-C13CD584F658}"/>
    <cellStyle name="Header2 2 3 2 2 3 2 2 3" xfId="8724" xr:uid="{00000000-0005-0000-0000-000014220000}"/>
    <cellStyle name="Header2 2 3 2 2 3 2 2 3 2" xfId="34494" xr:uid="{C3E11FCE-E2C6-41FF-8E16-33DEB1EFA708}"/>
    <cellStyle name="Header2 2 3 2 2 3 2 2 4" xfId="34492" xr:uid="{917590A3-802A-46F9-AF1C-9AD086077814}"/>
    <cellStyle name="Header2 2 3 2 2 3 2 3" xfId="8725" xr:uid="{00000000-0005-0000-0000-000015220000}"/>
    <cellStyle name="Header2 2 3 2 2 3 2 3 2" xfId="34495" xr:uid="{68A8FA36-6021-47B4-93AD-7580B7D14AA0}"/>
    <cellStyle name="Header2 2 3 2 2 3 2 4" xfId="34491" xr:uid="{AE2B3A68-8A50-406B-BE3E-CDA11E5848FF}"/>
    <cellStyle name="Header2 2 3 2 2 3 3" xfId="8726" xr:uid="{00000000-0005-0000-0000-000016220000}"/>
    <cellStyle name="Header2 2 3 2 2 3 3 2" xfId="8727" xr:uid="{00000000-0005-0000-0000-000017220000}"/>
    <cellStyle name="Header2 2 3 2 2 3 3 2 2" xfId="34497" xr:uid="{24CEB2ED-F116-4C2D-8DD9-1AE339D6EA39}"/>
    <cellStyle name="Header2 2 3 2 2 3 3 3" xfId="8728" xr:uid="{00000000-0005-0000-0000-000018220000}"/>
    <cellStyle name="Header2 2 3 2 2 3 3 3 2" xfId="34498" xr:uid="{40112FAF-4513-4989-A5BF-C77DC5A2BE61}"/>
    <cellStyle name="Header2 2 3 2 2 3 3 4" xfId="34496" xr:uid="{3112ADF1-E9BF-4108-B36C-C47D49D7296F}"/>
    <cellStyle name="Header2 2 3 2 2 3 4" xfId="8729" xr:uid="{00000000-0005-0000-0000-000019220000}"/>
    <cellStyle name="Header2 2 3 2 2 3 4 2" xfId="34499" xr:uid="{84A4DF0C-8113-42FC-99F8-C9B5526AECE7}"/>
    <cellStyle name="Header2 2 3 2 2 3 5" xfId="34490" xr:uid="{C5913751-FA19-431E-BD24-E6D0004E60F7}"/>
    <cellStyle name="Header2 2 3 2 2 4" xfId="8730" xr:uid="{00000000-0005-0000-0000-00001A220000}"/>
    <cellStyle name="Header2 2 3 2 2 4 2" xfId="8731" xr:uid="{00000000-0005-0000-0000-00001B220000}"/>
    <cellStyle name="Header2 2 3 2 2 4 2 2" xfId="8732" xr:uid="{00000000-0005-0000-0000-00001C220000}"/>
    <cellStyle name="Header2 2 3 2 2 4 2 2 2" xfId="34502" xr:uid="{90CF4CA9-DBE1-45EF-A3C5-0D94229C2569}"/>
    <cellStyle name="Header2 2 3 2 2 4 2 3" xfId="8733" xr:uid="{00000000-0005-0000-0000-00001D220000}"/>
    <cellStyle name="Header2 2 3 2 2 4 2 3 2" xfId="34503" xr:uid="{44B91C1D-5084-45E2-AE88-5CA2D9A5AAEC}"/>
    <cellStyle name="Header2 2 3 2 2 4 2 4" xfId="34501" xr:uid="{7BC21B62-F40F-460B-9D98-F3F79D71473E}"/>
    <cellStyle name="Header2 2 3 2 2 4 3" xfId="8734" xr:uid="{00000000-0005-0000-0000-00001E220000}"/>
    <cellStyle name="Header2 2 3 2 2 4 3 2" xfId="34504" xr:uid="{E257744F-0900-455E-AEBB-85E4F87C13AB}"/>
    <cellStyle name="Header2 2 3 2 2 4 4" xfId="34500" xr:uid="{24998AAB-CA95-45AF-95DB-A2D907BEA8C5}"/>
    <cellStyle name="Header2 2 3 2 2 5" xfId="8735" xr:uid="{00000000-0005-0000-0000-00001F220000}"/>
    <cellStyle name="Header2 2 3 2 2 5 2" xfId="8736" xr:uid="{00000000-0005-0000-0000-000020220000}"/>
    <cellStyle name="Header2 2 3 2 2 5 2 2" xfId="34506" xr:uid="{DF7F3443-9B85-4A38-BD80-D8CF13995D61}"/>
    <cellStyle name="Header2 2 3 2 2 5 3" xfId="8737" xr:uid="{00000000-0005-0000-0000-000021220000}"/>
    <cellStyle name="Header2 2 3 2 2 5 3 2" xfId="34507" xr:uid="{CEB06B8C-92B0-43EF-949B-AECF95D367BF}"/>
    <cellStyle name="Header2 2 3 2 2 5 4" xfId="34505" xr:uid="{EE5F51EA-1F07-4AC9-8E49-9D49C4B1DB0D}"/>
    <cellStyle name="Header2 2 3 2 2 6" xfId="8738" xr:uid="{00000000-0005-0000-0000-000022220000}"/>
    <cellStyle name="Header2 2 3 2 2 6 2" xfId="34508" xr:uid="{12236D6D-2725-4CA7-BDA4-A263CAFC5B77}"/>
    <cellStyle name="Header2 2 3 2 2 7" xfId="34482" xr:uid="{7BBEEB18-D198-443E-9411-3851313E21D9}"/>
    <cellStyle name="Header2 2 3 2 3" xfId="8739" xr:uid="{00000000-0005-0000-0000-000023220000}"/>
    <cellStyle name="Header2 2 3 2 3 2" xfId="34509" xr:uid="{8196A89F-206C-4596-95A1-FE9DA173FEF3}"/>
    <cellStyle name="Header2 2 3 2 4" xfId="34481" xr:uid="{4FE55A79-F75D-44A7-A1FD-3B99F78B648A}"/>
    <cellStyle name="Header2 2 3 3" xfId="8740" xr:uid="{00000000-0005-0000-0000-000024220000}"/>
    <cellStyle name="Header2 2 3 3 2" xfId="8741" xr:uid="{00000000-0005-0000-0000-000025220000}"/>
    <cellStyle name="Header2 2 3 3 2 2" xfId="8742" xr:uid="{00000000-0005-0000-0000-000026220000}"/>
    <cellStyle name="Header2 2 3 3 2 2 2" xfId="8743" xr:uid="{00000000-0005-0000-0000-000027220000}"/>
    <cellStyle name="Header2 2 3 3 2 2 2 2" xfId="8744" xr:uid="{00000000-0005-0000-0000-000028220000}"/>
    <cellStyle name="Header2 2 3 3 2 2 2 2 2" xfId="34514" xr:uid="{4B1814FB-950F-4545-8122-7E83088757F3}"/>
    <cellStyle name="Header2 2 3 3 2 2 2 3" xfId="8745" xr:uid="{00000000-0005-0000-0000-000029220000}"/>
    <cellStyle name="Header2 2 3 3 2 2 2 3 2" xfId="34515" xr:uid="{4BACCA0B-00D4-4839-A557-251315F565C6}"/>
    <cellStyle name="Header2 2 3 3 2 2 2 4" xfId="34513" xr:uid="{CA2E06CF-FD4E-42AE-86EE-54943B3C3CFA}"/>
    <cellStyle name="Header2 2 3 3 2 2 3" xfId="8746" xr:uid="{00000000-0005-0000-0000-00002A220000}"/>
    <cellStyle name="Header2 2 3 3 2 2 3 2" xfId="34516" xr:uid="{16BB907F-3428-4589-9391-24744DDE6CA8}"/>
    <cellStyle name="Header2 2 3 3 2 2 4" xfId="34512" xr:uid="{3BFBF9FE-A4D2-438D-B869-3C84297CEC2C}"/>
    <cellStyle name="Header2 2 3 3 2 3" xfId="8747" xr:uid="{00000000-0005-0000-0000-00002B220000}"/>
    <cellStyle name="Header2 2 3 3 2 3 2" xfId="34517" xr:uid="{6B2E8E70-B9B4-4A12-A9F3-EBC1B8F5F263}"/>
    <cellStyle name="Header2 2 3 3 2 4" xfId="34511" xr:uid="{A071A8FD-C7DC-4E6A-84CD-12CC8E6DDE31}"/>
    <cellStyle name="Header2 2 3 3 3" xfId="8748" xr:uid="{00000000-0005-0000-0000-00002C220000}"/>
    <cellStyle name="Header2 2 3 3 3 2" xfId="8749" xr:uid="{00000000-0005-0000-0000-00002D220000}"/>
    <cellStyle name="Header2 2 3 3 3 2 2" xfId="8750" xr:uid="{00000000-0005-0000-0000-00002E220000}"/>
    <cellStyle name="Header2 2 3 3 3 2 2 2" xfId="8751" xr:uid="{00000000-0005-0000-0000-00002F220000}"/>
    <cellStyle name="Header2 2 3 3 3 2 2 2 2" xfId="34521" xr:uid="{8FB0EE6C-7213-4B3C-AE98-F38F55F3C138}"/>
    <cellStyle name="Header2 2 3 3 3 2 2 3" xfId="8752" xr:uid="{00000000-0005-0000-0000-000030220000}"/>
    <cellStyle name="Header2 2 3 3 3 2 2 3 2" xfId="34522" xr:uid="{085ECC4C-9CED-4204-8235-1EB5339CC22F}"/>
    <cellStyle name="Header2 2 3 3 3 2 2 4" xfId="34520" xr:uid="{2BBBA508-64F5-4594-806B-58251E964C2C}"/>
    <cellStyle name="Header2 2 3 3 3 2 3" xfId="8753" xr:uid="{00000000-0005-0000-0000-000031220000}"/>
    <cellStyle name="Header2 2 3 3 3 2 3 2" xfId="34523" xr:uid="{81A1EB13-D823-4876-9ACE-C4341E2ABB31}"/>
    <cellStyle name="Header2 2 3 3 3 2 4" xfId="34519" xr:uid="{F2C2A66D-EEDE-4555-AAA1-5B87C8B00981}"/>
    <cellStyle name="Header2 2 3 3 3 3" xfId="8754" xr:uid="{00000000-0005-0000-0000-000032220000}"/>
    <cellStyle name="Header2 2 3 3 3 3 2" xfId="8755" xr:uid="{00000000-0005-0000-0000-000033220000}"/>
    <cellStyle name="Header2 2 3 3 3 3 2 2" xfId="34525" xr:uid="{5EBA26EE-ACBB-4BFF-89E4-BEB7E9DF5E05}"/>
    <cellStyle name="Header2 2 3 3 3 3 3" xfId="8756" xr:uid="{00000000-0005-0000-0000-000034220000}"/>
    <cellStyle name="Header2 2 3 3 3 3 3 2" xfId="34526" xr:uid="{89EC5929-6BAE-4675-B3CB-2FD85E6319DA}"/>
    <cellStyle name="Header2 2 3 3 3 3 4" xfId="34524" xr:uid="{1B945B23-6AFB-4F18-9882-393C2251FE9F}"/>
    <cellStyle name="Header2 2 3 3 3 4" xfId="8757" xr:uid="{00000000-0005-0000-0000-000035220000}"/>
    <cellStyle name="Header2 2 3 3 3 4 2" xfId="34527" xr:uid="{1478DD52-B38E-4E10-81AB-FE2FC0708377}"/>
    <cellStyle name="Header2 2 3 3 3 5" xfId="34518" xr:uid="{4DC5E904-25AA-4754-A8DF-E7EB2C056063}"/>
    <cellStyle name="Header2 2 3 3 4" xfId="8758" xr:uid="{00000000-0005-0000-0000-000036220000}"/>
    <cellStyle name="Header2 2 3 3 4 2" xfId="8759" xr:uid="{00000000-0005-0000-0000-000037220000}"/>
    <cellStyle name="Header2 2 3 3 4 2 2" xfId="8760" xr:uid="{00000000-0005-0000-0000-000038220000}"/>
    <cellStyle name="Header2 2 3 3 4 2 2 2" xfId="34530" xr:uid="{3E1A92A4-7242-40C8-84B1-4CEC9DAA9D04}"/>
    <cellStyle name="Header2 2 3 3 4 2 3" xfId="8761" xr:uid="{00000000-0005-0000-0000-000039220000}"/>
    <cellStyle name="Header2 2 3 3 4 2 3 2" xfId="34531" xr:uid="{58F964AF-5DCC-495C-B70E-D526C6EEF6E1}"/>
    <cellStyle name="Header2 2 3 3 4 2 4" xfId="34529" xr:uid="{3481CC64-10B3-468A-A425-04DCE3BB7E38}"/>
    <cellStyle name="Header2 2 3 3 4 3" xfId="8762" xr:uid="{00000000-0005-0000-0000-00003A220000}"/>
    <cellStyle name="Header2 2 3 3 4 3 2" xfId="34532" xr:uid="{D75D4C28-C12F-4E04-B38C-7838B9C24D3F}"/>
    <cellStyle name="Header2 2 3 3 4 4" xfId="34528" xr:uid="{003DBD17-A07F-4468-8085-83E55C815CB7}"/>
    <cellStyle name="Header2 2 3 3 5" xfId="8763" xr:uid="{00000000-0005-0000-0000-00003B220000}"/>
    <cellStyle name="Header2 2 3 3 5 2" xfId="8764" xr:uid="{00000000-0005-0000-0000-00003C220000}"/>
    <cellStyle name="Header2 2 3 3 5 2 2" xfId="34534" xr:uid="{89B8F93A-F914-4516-B621-962943A8F4CC}"/>
    <cellStyle name="Header2 2 3 3 5 3" xfId="8765" xr:uid="{00000000-0005-0000-0000-00003D220000}"/>
    <cellStyle name="Header2 2 3 3 5 3 2" xfId="34535" xr:uid="{AE2DE697-06BC-4917-BA82-319C51FF4ED7}"/>
    <cellStyle name="Header2 2 3 3 5 4" xfId="34533" xr:uid="{7354C988-627D-47E9-B1D4-E42B0B3125A2}"/>
    <cellStyle name="Header2 2 3 3 6" xfId="8766" xr:uid="{00000000-0005-0000-0000-00003E220000}"/>
    <cellStyle name="Header2 2 3 3 6 2" xfId="34536" xr:uid="{E1838A57-4DA0-490E-A10F-C5DD751B1C78}"/>
    <cellStyle name="Header2 2 3 3 7" xfId="34510" xr:uid="{819F5E88-7614-4B43-A06F-0FFF012294DE}"/>
    <cellStyle name="Header2 2 3 4" xfId="8767" xr:uid="{00000000-0005-0000-0000-00003F220000}"/>
    <cellStyle name="Header2 2 3 4 2" xfId="34537" xr:uid="{B278D092-A3EF-4CC5-8957-606B919CA2D3}"/>
    <cellStyle name="Header2 2 3 5" xfId="34480" xr:uid="{7D2900DA-E311-4603-8CE0-3A473D840C48}"/>
    <cellStyle name="Header2 2 4" xfId="8768" xr:uid="{00000000-0005-0000-0000-000040220000}"/>
    <cellStyle name="Header2 2 4 2" xfId="8769" xr:uid="{00000000-0005-0000-0000-000041220000}"/>
    <cellStyle name="Header2 2 4 2 2" xfId="8770" xr:uid="{00000000-0005-0000-0000-000042220000}"/>
    <cellStyle name="Header2 2 4 2 2 2" xfId="8771" xr:uid="{00000000-0005-0000-0000-000043220000}"/>
    <cellStyle name="Header2 2 4 2 2 2 2" xfId="8772" xr:uid="{00000000-0005-0000-0000-000044220000}"/>
    <cellStyle name="Header2 2 4 2 2 2 2 2" xfId="34542" xr:uid="{D37612B5-D50B-4250-8EB4-00E653EF1CBC}"/>
    <cellStyle name="Header2 2 4 2 2 2 3" xfId="8773" xr:uid="{00000000-0005-0000-0000-000045220000}"/>
    <cellStyle name="Header2 2 4 2 2 2 3 2" xfId="34543" xr:uid="{A5A9B9D8-9E44-4981-BEF6-D568723804B4}"/>
    <cellStyle name="Header2 2 4 2 2 2 4" xfId="34541" xr:uid="{9415268C-7291-4BA9-A0B4-A31FFC87FFE7}"/>
    <cellStyle name="Header2 2 4 2 2 3" xfId="8774" xr:uid="{00000000-0005-0000-0000-000046220000}"/>
    <cellStyle name="Header2 2 4 2 2 3 2" xfId="34544" xr:uid="{2B5BFFF2-13D9-410C-A44D-F712F3AAEED1}"/>
    <cellStyle name="Header2 2 4 2 2 4" xfId="34540" xr:uid="{26AF6C52-9DB4-4220-8359-6A150D2A40D5}"/>
    <cellStyle name="Header2 2 4 2 3" xfId="8775" xr:uid="{00000000-0005-0000-0000-000047220000}"/>
    <cellStyle name="Header2 2 4 2 3 2" xfId="34545" xr:uid="{36655F8D-5EFF-4A32-B975-70E51E193F60}"/>
    <cellStyle name="Header2 2 4 2 4" xfId="34539" xr:uid="{108DB1CC-8871-4598-8452-80AEF70CA5A3}"/>
    <cellStyle name="Header2 2 4 3" xfId="8776" xr:uid="{00000000-0005-0000-0000-000048220000}"/>
    <cellStyle name="Header2 2 4 3 2" xfId="8777" xr:uid="{00000000-0005-0000-0000-000049220000}"/>
    <cellStyle name="Header2 2 4 3 2 2" xfId="8778" xr:uid="{00000000-0005-0000-0000-00004A220000}"/>
    <cellStyle name="Header2 2 4 3 2 2 2" xfId="8779" xr:uid="{00000000-0005-0000-0000-00004B220000}"/>
    <cellStyle name="Header2 2 4 3 2 2 2 2" xfId="34549" xr:uid="{3A93FA16-AAA4-463D-9CFF-9BC7AA45C99C}"/>
    <cellStyle name="Header2 2 4 3 2 2 3" xfId="8780" xr:uid="{00000000-0005-0000-0000-00004C220000}"/>
    <cellStyle name="Header2 2 4 3 2 2 3 2" xfId="34550" xr:uid="{035936EA-1775-427D-B42A-32D2E4C6FB45}"/>
    <cellStyle name="Header2 2 4 3 2 2 4" xfId="34548" xr:uid="{976F93CA-6E72-4BC9-9B1C-EF844B700231}"/>
    <cellStyle name="Header2 2 4 3 2 3" xfId="8781" xr:uid="{00000000-0005-0000-0000-00004D220000}"/>
    <cellStyle name="Header2 2 4 3 2 3 2" xfId="34551" xr:uid="{E7701F8B-FAFA-4BA0-9B00-F067482A9B1C}"/>
    <cellStyle name="Header2 2 4 3 2 4" xfId="34547" xr:uid="{80F0A2E4-998E-4AE2-9B90-213C2C94552E}"/>
    <cellStyle name="Header2 2 4 3 3" xfId="8782" xr:uid="{00000000-0005-0000-0000-00004E220000}"/>
    <cellStyle name="Header2 2 4 3 3 2" xfId="8783" xr:uid="{00000000-0005-0000-0000-00004F220000}"/>
    <cellStyle name="Header2 2 4 3 3 2 2" xfId="34553" xr:uid="{762DB870-2E3A-412C-9692-9BF043002117}"/>
    <cellStyle name="Header2 2 4 3 3 3" xfId="8784" xr:uid="{00000000-0005-0000-0000-000050220000}"/>
    <cellStyle name="Header2 2 4 3 3 3 2" xfId="34554" xr:uid="{1F211A58-72D3-468D-A05B-0791CF31E7DC}"/>
    <cellStyle name="Header2 2 4 3 3 4" xfId="34552" xr:uid="{73CA1DA4-C2A7-46A1-B2E7-582A2D7B18D4}"/>
    <cellStyle name="Header2 2 4 3 4" xfId="8785" xr:uid="{00000000-0005-0000-0000-000051220000}"/>
    <cellStyle name="Header2 2 4 3 4 2" xfId="34555" xr:uid="{2C8184FD-67DB-4A69-815B-8D0EE7FBA603}"/>
    <cellStyle name="Header2 2 4 3 5" xfId="34546" xr:uid="{A413F066-FBBF-49D7-AFF3-BD460F6FA834}"/>
    <cellStyle name="Header2 2 4 4" xfId="8786" xr:uid="{00000000-0005-0000-0000-000052220000}"/>
    <cellStyle name="Header2 2 4 4 2" xfId="8787" xr:uid="{00000000-0005-0000-0000-000053220000}"/>
    <cellStyle name="Header2 2 4 4 2 2" xfId="8788" xr:uid="{00000000-0005-0000-0000-000054220000}"/>
    <cellStyle name="Header2 2 4 4 2 2 2" xfId="34558" xr:uid="{B9F50A09-EA9F-4B72-AD06-730B65E016B2}"/>
    <cellStyle name="Header2 2 4 4 2 3" xfId="8789" xr:uid="{00000000-0005-0000-0000-000055220000}"/>
    <cellStyle name="Header2 2 4 4 2 3 2" xfId="34559" xr:uid="{A74C51B0-C27A-4812-889A-DBAA4D1F860B}"/>
    <cellStyle name="Header2 2 4 4 2 4" xfId="34557" xr:uid="{7F435526-4FF4-4989-B3F9-E111A804EAB4}"/>
    <cellStyle name="Header2 2 4 4 3" xfId="8790" xr:uid="{00000000-0005-0000-0000-000056220000}"/>
    <cellStyle name="Header2 2 4 4 3 2" xfId="34560" xr:uid="{07EEDA63-9CF1-4037-8319-588F9E6944F0}"/>
    <cellStyle name="Header2 2 4 4 4" xfId="34556" xr:uid="{DBA0C937-2D8B-429F-BCDB-D2677630591B}"/>
    <cellStyle name="Header2 2 4 5" xfId="8791" xr:uid="{00000000-0005-0000-0000-000057220000}"/>
    <cellStyle name="Header2 2 4 5 2" xfId="8792" xr:uid="{00000000-0005-0000-0000-000058220000}"/>
    <cellStyle name="Header2 2 4 5 2 2" xfId="34562" xr:uid="{3BB11B2E-5056-4C8C-A9B6-B37116342225}"/>
    <cellStyle name="Header2 2 4 5 3" xfId="8793" xr:uid="{00000000-0005-0000-0000-000059220000}"/>
    <cellStyle name="Header2 2 4 5 3 2" xfId="34563" xr:uid="{552B2FA6-391C-46E7-8522-911655CC4943}"/>
    <cellStyle name="Header2 2 4 5 4" xfId="34561" xr:uid="{FAAFAED2-27FF-4448-B514-5276C6E2BA30}"/>
    <cellStyle name="Header2 2 4 6" xfId="8794" xr:uid="{00000000-0005-0000-0000-00005A220000}"/>
    <cellStyle name="Header2 2 4 6 2" xfId="34564" xr:uid="{B0723EF7-21C2-4E5E-91C8-C05CDD698915}"/>
    <cellStyle name="Header2 2 4 7" xfId="34538" xr:uid="{B399EEE9-41CE-4A59-8879-5FE21CEB2D8B}"/>
    <cellStyle name="Header2 2 5" xfId="8795" xr:uid="{00000000-0005-0000-0000-00005B220000}"/>
    <cellStyle name="Header2 2 5 2" xfId="34565" xr:uid="{A2960951-6CA2-4B3B-BF46-B2346271B063}"/>
    <cellStyle name="Header2 2 6" xfId="34450" xr:uid="{3CE99268-2E8D-4A6F-888F-DD3A700EAA5F}"/>
    <cellStyle name="Header2 3" xfId="8796" xr:uid="{00000000-0005-0000-0000-00005C220000}"/>
    <cellStyle name="Header2 3 2" xfId="8797" xr:uid="{00000000-0005-0000-0000-00005D220000}"/>
    <cellStyle name="Header2 3 2 2" xfId="8798" xr:uid="{00000000-0005-0000-0000-00005E220000}"/>
    <cellStyle name="Header2 3 2 2 2" xfId="8799" xr:uid="{00000000-0005-0000-0000-00005F220000}"/>
    <cellStyle name="Header2 3 2 2 2 2" xfId="8800" xr:uid="{00000000-0005-0000-0000-000060220000}"/>
    <cellStyle name="Header2 3 2 2 2 2 2" xfId="8801" xr:uid="{00000000-0005-0000-0000-000061220000}"/>
    <cellStyle name="Header2 3 2 2 2 2 2 2" xfId="8802" xr:uid="{00000000-0005-0000-0000-000062220000}"/>
    <cellStyle name="Header2 3 2 2 2 2 2 2 2" xfId="34572" xr:uid="{CF222584-08F2-4EDD-AC44-485DAAE6B370}"/>
    <cellStyle name="Header2 3 2 2 2 2 2 3" xfId="8803" xr:uid="{00000000-0005-0000-0000-000063220000}"/>
    <cellStyle name="Header2 3 2 2 2 2 2 3 2" xfId="34573" xr:uid="{93DB2189-3EAF-4412-9F5E-4B697AD5078B}"/>
    <cellStyle name="Header2 3 2 2 2 2 2 4" xfId="34571" xr:uid="{CFB07B23-A497-4365-8DE7-D91B0A409F5C}"/>
    <cellStyle name="Header2 3 2 2 2 2 3" xfId="8804" xr:uid="{00000000-0005-0000-0000-000064220000}"/>
    <cellStyle name="Header2 3 2 2 2 2 3 2" xfId="34574" xr:uid="{A799AFDE-DCF3-4BFD-BB86-AC9028C897DB}"/>
    <cellStyle name="Header2 3 2 2 2 2 4" xfId="34570" xr:uid="{7D55F29F-BEDE-4C88-8918-3052FE08B818}"/>
    <cellStyle name="Header2 3 2 2 2 3" xfId="8805" xr:uid="{00000000-0005-0000-0000-000065220000}"/>
    <cellStyle name="Header2 3 2 2 2 3 2" xfId="34575" xr:uid="{DFBBD9AA-A6E6-413D-ADF4-118AF59412AE}"/>
    <cellStyle name="Header2 3 2 2 2 4" xfId="34569" xr:uid="{254A077D-9A5A-4BCB-AC5F-915317E883F8}"/>
    <cellStyle name="Header2 3 2 2 3" xfId="8806" xr:uid="{00000000-0005-0000-0000-000066220000}"/>
    <cellStyle name="Header2 3 2 2 3 2" xfId="8807" xr:uid="{00000000-0005-0000-0000-000067220000}"/>
    <cellStyle name="Header2 3 2 2 3 2 2" xfId="8808" xr:uid="{00000000-0005-0000-0000-000068220000}"/>
    <cellStyle name="Header2 3 2 2 3 2 2 2" xfId="8809" xr:uid="{00000000-0005-0000-0000-000069220000}"/>
    <cellStyle name="Header2 3 2 2 3 2 2 2 2" xfId="34579" xr:uid="{452BC7B0-A47B-45F2-93EF-0E321EAAAEE4}"/>
    <cellStyle name="Header2 3 2 2 3 2 2 3" xfId="8810" xr:uid="{00000000-0005-0000-0000-00006A220000}"/>
    <cellStyle name="Header2 3 2 2 3 2 2 3 2" xfId="34580" xr:uid="{E67CD1D7-AFED-4542-B64E-C0B25FE73235}"/>
    <cellStyle name="Header2 3 2 2 3 2 2 4" xfId="34578" xr:uid="{B5A75359-BD64-45BC-BAA2-C0AE46D74AD6}"/>
    <cellStyle name="Header2 3 2 2 3 2 3" xfId="8811" xr:uid="{00000000-0005-0000-0000-00006B220000}"/>
    <cellStyle name="Header2 3 2 2 3 2 3 2" xfId="34581" xr:uid="{7265C1D4-8C93-4962-8905-631C12E17BBC}"/>
    <cellStyle name="Header2 3 2 2 3 2 4" xfId="34577" xr:uid="{D233F4AD-6AD4-4131-A4DC-880E618CA357}"/>
    <cellStyle name="Header2 3 2 2 3 3" xfId="8812" xr:uid="{00000000-0005-0000-0000-00006C220000}"/>
    <cellStyle name="Header2 3 2 2 3 3 2" xfId="8813" xr:uid="{00000000-0005-0000-0000-00006D220000}"/>
    <cellStyle name="Header2 3 2 2 3 3 2 2" xfId="34583" xr:uid="{BE60E4F9-5C6B-420D-BE90-814C91F698E8}"/>
    <cellStyle name="Header2 3 2 2 3 3 3" xfId="8814" xr:uid="{00000000-0005-0000-0000-00006E220000}"/>
    <cellStyle name="Header2 3 2 2 3 3 3 2" xfId="34584" xr:uid="{A80E5615-9388-4369-B68E-9B7E4BCB0B95}"/>
    <cellStyle name="Header2 3 2 2 3 3 4" xfId="34582" xr:uid="{C92866DF-EE52-4ABD-80E4-C6001790FF58}"/>
    <cellStyle name="Header2 3 2 2 3 4" xfId="8815" xr:uid="{00000000-0005-0000-0000-00006F220000}"/>
    <cellStyle name="Header2 3 2 2 3 4 2" xfId="34585" xr:uid="{2272DB2F-E3E2-48A1-B120-867F7078BD7A}"/>
    <cellStyle name="Header2 3 2 2 3 5" xfId="34576" xr:uid="{D560FFEB-ECE5-46C6-9D95-1F1E87EE75A9}"/>
    <cellStyle name="Header2 3 2 2 4" xfId="8816" xr:uid="{00000000-0005-0000-0000-000070220000}"/>
    <cellStyle name="Header2 3 2 2 4 2" xfId="8817" xr:uid="{00000000-0005-0000-0000-000071220000}"/>
    <cellStyle name="Header2 3 2 2 4 2 2" xfId="8818" xr:uid="{00000000-0005-0000-0000-000072220000}"/>
    <cellStyle name="Header2 3 2 2 4 2 2 2" xfId="34588" xr:uid="{36015EE0-4511-41D8-ADB1-64C377BD6464}"/>
    <cellStyle name="Header2 3 2 2 4 2 3" xfId="8819" xr:uid="{00000000-0005-0000-0000-000073220000}"/>
    <cellStyle name="Header2 3 2 2 4 2 3 2" xfId="34589" xr:uid="{1284A19E-D939-45CA-89AF-EF740E177299}"/>
    <cellStyle name="Header2 3 2 2 4 2 4" xfId="34587" xr:uid="{A58E3462-2202-4BDF-87E7-823DD552EC0C}"/>
    <cellStyle name="Header2 3 2 2 4 3" xfId="8820" xr:uid="{00000000-0005-0000-0000-000074220000}"/>
    <cellStyle name="Header2 3 2 2 4 3 2" xfId="34590" xr:uid="{9E887352-8270-412B-86BC-CAAB47FAAB27}"/>
    <cellStyle name="Header2 3 2 2 4 4" xfId="34586" xr:uid="{0DE8FB22-BDE8-41C9-A68C-CB8E0A724F31}"/>
    <cellStyle name="Header2 3 2 2 5" xfId="8821" xr:uid="{00000000-0005-0000-0000-000075220000}"/>
    <cellStyle name="Header2 3 2 2 5 2" xfId="8822" xr:uid="{00000000-0005-0000-0000-000076220000}"/>
    <cellStyle name="Header2 3 2 2 5 2 2" xfId="34592" xr:uid="{D500DCE9-E83C-468B-9A84-AFE2FA70C395}"/>
    <cellStyle name="Header2 3 2 2 5 3" xfId="8823" xr:uid="{00000000-0005-0000-0000-000077220000}"/>
    <cellStyle name="Header2 3 2 2 5 3 2" xfId="34593" xr:uid="{6A6FDB6A-2EC9-4DD1-9895-1E4726444CE6}"/>
    <cellStyle name="Header2 3 2 2 5 4" xfId="34591" xr:uid="{C43297F8-D215-4746-9C3D-4D4E023698CF}"/>
    <cellStyle name="Header2 3 2 2 6" xfId="8824" xr:uid="{00000000-0005-0000-0000-000078220000}"/>
    <cellStyle name="Header2 3 2 2 6 2" xfId="34594" xr:uid="{C53261BA-24C7-4CF7-BE85-4ACB437845C8}"/>
    <cellStyle name="Header2 3 2 2 7" xfId="34568" xr:uid="{B2741E12-397E-43ED-A25F-E3F4D23C343E}"/>
    <cellStyle name="Header2 3 2 3" xfId="8825" xr:uid="{00000000-0005-0000-0000-000079220000}"/>
    <cellStyle name="Header2 3 2 3 2" xfId="34595" xr:uid="{6E686622-7DEB-4D47-9DD9-C8C8DB56BB9D}"/>
    <cellStyle name="Header2 3 2 4" xfId="34567" xr:uid="{8DCB1847-B879-4ACE-985D-84EAC2941F2A}"/>
    <cellStyle name="Header2 3 3" xfId="8826" xr:uid="{00000000-0005-0000-0000-00007A220000}"/>
    <cellStyle name="Header2 3 3 2" xfId="8827" xr:uid="{00000000-0005-0000-0000-00007B220000}"/>
    <cellStyle name="Header2 3 3 2 2" xfId="8828" xr:uid="{00000000-0005-0000-0000-00007C220000}"/>
    <cellStyle name="Header2 3 3 2 2 2" xfId="8829" xr:uid="{00000000-0005-0000-0000-00007D220000}"/>
    <cellStyle name="Header2 3 3 2 2 2 2" xfId="8830" xr:uid="{00000000-0005-0000-0000-00007E220000}"/>
    <cellStyle name="Header2 3 3 2 2 2 2 2" xfId="34600" xr:uid="{BEC6E371-F2C1-4F7A-ACEE-97B0D6877BDA}"/>
    <cellStyle name="Header2 3 3 2 2 2 3" xfId="8831" xr:uid="{00000000-0005-0000-0000-00007F220000}"/>
    <cellStyle name="Header2 3 3 2 2 2 3 2" xfId="34601" xr:uid="{5363B7CD-2D9E-4459-AA67-905CCDF1373D}"/>
    <cellStyle name="Header2 3 3 2 2 2 4" xfId="34599" xr:uid="{01F96C01-C5FD-4B3E-9EA4-C5B2CDF6BAE4}"/>
    <cellStyle name="Header2 3 3 2 2 3" xfId="8832" xr:uid="{00000000-0005-0000-0000-000080220000}"/>
    <cellStyle name="Header2 3 3 2 2 3 2" xfId="34602" xr:uid="{AE693253-8547-4B18-84FE-C3C7DFF0D0A0}"/>
    <cellStyle name="Header2 3 3 2 2 4" xfId="34598" xr:uid="{2F944C69-BB11-4596-8881-8FBA54E9304C}"/>
    <cellStyle name="Header2 3 3 2 3" xfId="8833" xr:uid="{00000000-0005-0000-0000-000081220000}"/>
    <cellStyle name="Header2 3 3 2 3 2" xfId="34603" xr:uid="{36711F0C-7696-4D3D-9C6E-691F68880DEE}"/>
    <cellStyle name="Header2 3 3 2 4" xfId="34597" xr:uid="{8F27273B-0948-4A78-B0C9-A647F6383B9C}"/>
    <cellStyle name="Header2 3 3 3" xfId="8834" xr:uid="{00000000-0005-0000-0000-000082220000}"/>
    <cellStyle name="Header2 3 3 3 2" xfId="8835" xr:uid="{00000000-0005-0000-0000-000083220000}"/>
    <cellStyle name="Header2 3 3 3 2 2" xfId="8836" xr:uid="{00000000-0005-0000-0000-000084220000}"/>
    <cellStyle name="Header2 3 3 3 2 2 2" xfId="8837" xr:uid="{00000000-0005-0000-0000-000085220000}"/>
    <cellStyle name="Header2 3 3 3 2 2 2 2" xfId="34607" xr:uid="{1F4345B9-1699-492A-A0C6-C8ADB29DC095}"/>
    <cellStyle name="Header2 3 3 3 2 2 3" xfId="8838" xr:uid="{00000000-0005-0000-0000-000086220000}"/>
    <cellStyle name="Header2 3 3 3 2 2 3 2" xfId="34608" xr:uid="{D57F635D-379F-4BEF-8B35-4725FA718C7D}"/>
    <cellStyle name="Header2 3 3 3 2 2 4" xfId="34606" xr:uid="{4B945AE0-B563-47FF-9EA8-E0D84050E269}"/>
    <cellStyle name="Header2 3 3 3 2 3" xfId="8839" xr:uid="{00000000-0005-0000-0000-000087220000}"/>
    <cellStyle name="Header2 3 3 3 2 3 2" xfId="34609" xr:uid="{BDD7CC4C-102A-4537-A37C-520569BE257D}"/>
    <cellStyle name="Header2 3 3 3 2 4" xfId="34605" xr:uid="{C61910E7-4C9E-43D2-9B50-AC02B124D82F}"/>
    <cellStyle name="Header2 3 3 3 3" xfId="8840" xr:uid="{00000000-0005-0000-0000-000088220000}"/>
    <cellStyle name="Header2 3 3 3 3 2" xfId="8841" xr:uid="{00000000-0005-0000-0000-000089220000}"/>
    <cellStyle name="Header2 3 3 3 3 2 2" xfId="34611" xr:uid="{F277F7D4-8E1E-472E-A3EE-4BCD8C804F3A}"/>
    <cellStyle name="Header2 3 3 3 3 3" xfId="8842" xr:uid="{00000000-0005-0000-0000-00008A220000}"/>
    <cellStyle name="Header2 3 3 3 3 3 2" xfId="34612" xr:uid="{6AF8D858-DA39-497F-8DFF-B9E84C036004}"/>
    <cellStyle name="Header2 3 3 3 3 4" xfId="34610" xr:uid="{52554C31-391D-41A8-BBD3-946146BAC655}"/>
    <cellStyle name="Header2 3 3 3 4" xfId="8843" xr:uid="{00000000-0005-0000-0000-00008B220000}"/>
    <cellStyle name="Header2 3 3 3 4 2" xfId="34613" xr:uid="{887EAD8E-C2CA-45F1-968F-99207B9FCDC7}"/>
    <cellStyle name="Header2 3 3 3 5" xfId="34604" xr:uid="{5CEFC1B1-8C11-48A6-9E2E-F0C7154DC41F}"/>
    <cellStyle name="Header2 3 3 4" xfId="8844" xr:uid="{00000000-0005-0000-0000-00008C220000}"/>
    <cellStyle name="Header2 3 3 4 2" xfId="8845" xr:uid="{00000000-0005-0000-0000-00008D220000}"/>
    <cellStyle name="Header2 3 3 4 2 2" xfId="8846" xr:uid="{00000000-0005-0000-0000-00008E220000}"/>
    <cellStyle name="Header2 3 3 4 2 2 2" xfId="34616" xr:uid="{63D8B4DE-6F68-4280-93B9-F4208713110E}"/>
    <cellStyle name="Header2 3 3 4 2 3" xfId="8847" xr:uid="{00000000-0005-0000-0000-00008F220000}"/>
    <cellStyle name="Header2 3 3 4 2 3 2" xfId="34617" xr:uid="{74E6C5C0-AEDD-4676-8AC1-0CB14ADEA7CB}"/>
    <cellStyle name="Header2 3 3 4 2 4" xfId="34615" xr:uid="{375B4B3F-03B6-42B1-97CE-DECEEE42F191}"/>
    <cellStyle name="Header2 3 3 4 3" xfId="8848" xr:uid="{00000000-0005-0000-0000-000090220000}"/>
    <cellStyle name="Header2 3 3 4 3 2" xfId="34618" xr:uid="{6EC0A6E0-FF51-449A-B0AB-ABCA29DB1F63}"/>
    <cellStyle name="Header2 3 3 4 4" xfId="34614" xr:uid="{6388703C-BC90-4A84-B6E2-E017CD95424F}"/>
    <cellStyle name="Header2 3 3 5" xfId="8849" xr:uid="{00000000-0005-0000-0000-000091220000}"/>
    <cellStyle name="Header2 3 3 5 2" xfId="8850" xr:uid="{00000000-0005-0000-0000-000092220000}"/>
    <cellStyle name="Header2 3 3 5 2 2" xfId="34620" xr:uid="{49CE78FD-E2EF-426B-B6C6-57144F3C8D7A}"/>
    <cellStyle name="Header2 3 3 5 3" xfId="8851" xr:uid="{00000000-0005-0000-0000-000093220000}"/>
    <cellStyle name="Header2 3 3 5 3 2" xfId="34621" xr:uid="{52A87917-C861-453D-AE47-0EAEAA9AF96A}"/>
    <cellStyle name="Header2 3 3 5 4" xfId="34619" xr:uid="{47D805FC-B779-4CB9-966E-75F838D60EF4}"/>
    <cellStyle name="Header2 3 3 6" xfId="8852" xr:uid="{00000000-0005-0000-0000-000094220000}"/>
    <cellStyle name="Header2 3 3 6 2" xfId="34622" xr:uid="{1DA8D032-36CD-4EC2-8C1D-4C079979F05B}"/>
    <cellStyle name="Header2 3 3 7" xfId="34596" xr:uid="{CC690021-685B-4049-82CC-E312035CDAF0}"/>
    <cellStyle name="Header2 3 4" xfId="8853" xr:uid="{00000000-0005-0000-0000-000095220000}"/>
    <cellStyle name="Header2 3 4 2" xfId="34623" xr:uid="{70DDF320-4A29-4916-ABC5-AA099F8BF961}"/>
    <cellStyle name="Header2 3 5" xfId="34566" xr:uid="{0D538071-E2B1-4354-A67B-3C64208EC656}"/>
    <cellStyle name="Header2 4" xfId="8854" xr:uid="{00000000-0005-0000-0000-000096220000}"/>
    <cellStyle name="Header2 4 2" xfId="8855" xr:uid="{00000000-0005-0000-0000-000097220000}"/>
    <cellStyle name="Header2 4 2 2" xfId="8856" xr:uid="{00000000-0005-0000-0000-000098220000}"/>
    <cellStyle name="Header2 4 2 2 2" xfId="8857" xr:uid="{00000000-0005-0000-0000-000099220000}"/>
    <cellStyle name="Header2 4 2 2 2 2" xfId="8858" xr:uid="{00000000-0005-0000-0000-00009A220000}"/>
    <cellStyle name="Header2 4 2 2 2 2 2" xfId="8859" xr:uid="{00000000-0005-0000-0000-00009B220000}"/>
    <cellStyle name="Header2 4 2 2 2 2 2 2" xfId="34629" xr:uid="{EE3ED45E-3A8E-425A-92F6-99EBA5C5FAAD}"/>
    <cellStyle name="Header2 4 2 2 2 2 3" xfId="8860" xr:uid="{00000000-0005-0000-0000-00009C220000}"/>
    <cellStyle name="Header2 4 2 2 2 2 3 2" xfId="34630" xr:uid="{361AD306-7458-49D1-ACC7-19E82EC1C150}"/>
    <cellStyle name="Header2 4 2 2 2 2 4" xfId="34628" xr:uid="{C445B52C-B734-4144-A8A9-EAAF99F174B8}"/>
    <cellStyle name="Header2 4 2 2 2 3" xfId="8861" xr:uid="{00000000-0005-0000-0000-00009D220000}"/>
    <cellStyle name="Header2 4 2 2 2 3 2" xfId="34631" xr:uid="{E71BA43B-F498-4389-8A29-F0F0E50B3F9A}"/>
    <cellStyle name="Header2 4 2 2 2 4" xfId="34627" xr:uid="{DCAA0E73-F224-4B7B-AB43-4342F6C8C60D}"/>
    <cellStyle name="Header2 4 2 2 3" xfId="8862" xr:uid="{00000000-0005-0000-0000-00009E220000}"/>
    <cellStyle name="Header2 4 2 2 3 2" xfId="34632" xr:uid="{D1CE8C45-5C6A-4E94-A970-824345D20A8B}"/>
    <cellStyle name="Header2 4 2 2 4" xfId="34626" xr:uid="{2C547857-254A-44D5-9C18-3A50F2977A43}"/>
    <cellStyle name="Header2 4 2 3" xfId="8863" xr:uid="{00000000-0005-0000-0000-00009F220000}"/>
    <cellStyle name="Header2 4 2 3 2" xfId="8864" xr:uid="{00000000-0005-0000-0000-0000A0220000}"/>
    <cellStyle name="Header2 4 2 3 2 2" xfId="8865" xr:uid="{00000000-0005-0000-0000-0000A1220000}"/>
    <cellStyle name="Header2 4 2 3 2 2 2" xfId="8866" xr:uid="{00000000-0005-0000-0000-0000A2220000}"/>
    <cellStyle name="Header2 4 2 3 2 2 2 2" xfId="34636" xr:uid="{53D77D9F-732B-4F0E-93FE-1FA58BE20D2B}"/>
    <cellStyle name="Header2 4 2 3 2 2 3" xfId="8867" xr:uid="{00000000-0005-0000-0000-0000A3220000}"/>
    <cellStyle name="Header2 4 2 3 2 2 3 2" xfId="34637" xr:uid="{5E429E1F-C5DE-4259-983E-0D9711B5FB32}"/>
    <cellStyle name="Header2 4 2 3 2 2 4" xfId="34635" xr:uid="{E37C0C03-D487-41E3-A577-FE34906A82F8}"/>
    <cellStyle name="Header2 4 2 3 2 3" xfId="8868" xr:uid="{00000000-0005-0000-0000-0000A4220000}"/>
    <cellStyle name="Header2 4 2 3 2 3 2" xfId="34638" xr:uid="{E0A492A2-BB40-42A5-BC0F-AE02E63B9273}"/>
    <cellStyle name="Header2 4 2 3 2 4" xfId="34634" xr:uid="{B3C1D6D2-A543-4DDB-9249-0874BD051B58}"/>
    <cellStyle name="Header2 4 2 3 3" xfId="8869" xr:uid="{00000000-0005-0000-0000-0000A5220000}"/>
    <cellStyle name="Header2 4 2 3 3 2" xfId="8870" xr:uid="{00000000-0005-0000-0000-0000A6220000}"/>
    <cellStyle name="Header2 4 2 3 3 2 2" xfId="34640" xr:uid="{522B58CC-4606-45DF-8D8B-62733603B5CA}"/>
    <cellStyle name="Header2 4 2 3 3 3" xfId="8871" xr:uid="{00000000-0005-0000-0000-0000A7220000}"/>
    <cellStyle name="Header2 4 2 3 3 3 2" xfId="34641" xr:uid="{E30282F1-B21D-4D9A-9018-C7AE8CFEA8A6}"/>
    <cellStyle name="Header2 4 2 3 3 4" xfId="34639" xr:uid="{753EDBBD-7B3F-4166-B81C-742A0FD49513}"/>
    <cellStyle name="Header2 4 2 3 4" xfId="8872" xr:uid="{00000000-0005-0000-0000-0000A8220000}"/>
    <cellStyle name="Header2 4 2 3 4 2" xfId="34642" xr:uid="{1BF31FB1-CD88-4FE8-857F-7A630F0E7682}"/>
    <cellStyle name="Header2 4 2 3 5" xfId="34633" xr:uid="{1C4B6ABD-D635-4150-BE76-3D5B7B134BA4}"/>
    <cellStyle name="Header2 4 2 4" xfId="8873" xr:uid="{00000000-0005-0000-0000-0000A9220000}"/>
    <cellStyle name="Header2 4 2 4 2" xfId="8874" xr:uid="{00000000-0005-0000-0000-0000AA220000}"/>
    <cellStyle name="Header2 4 2 4 2 2" xfId="8875" xr:uid="{00000000-0005-0000-0000-0000AB220000}"/>
    <cellStyle name="Header2 4 2 4 2 2 2" xfId="34645" xr:uid="{30336492-96C7-451A-8B87-2AA806E29D6B}"/>
    <cellStyle name="Header2 4 2 4 2 3" xfId="8876" xr:uid="{00000000-0005-0000-0000-0000AC220000}"/>
    <cellStyle name="Header2 4 2 4 2 3 2" xfId="34646" xr:uid="{EF8ED4B1-1BCF-4A3C-AFA6-4CF2696D4699}"/>
    <cellStyle name="Header2 4 2 4 2 4" xfId="34644" xr:uid="{09F95911-8FC4-4DAC-BF6B-A9FD4802F8A4}"/>
    <cellStyle name="Header2 4 2 4 3" xfId="8877" xr:uid="{00000000-0005-0000-0000-0000AD220000}"/>
    <cellStyle name="Header2 4 2 4 3 2" xfId="34647" xr:uid="{BB515968-2D36-4E0A-A97D-4C3320B26B41}"/>
    <cellStyle name="Header2 4 2 4 4" xfId="34643" xr:uid="{C0A5F317-7A78-48DD-8026-B649AAE7AF19}"/>
    <cellStyle name="Header2 4 2 5" xfId="8878" xr:uid="{00000000-0005-0000-0000-0000AE220000}"/>
    <cellStyle name="Header2 4 2 5 2" xfId="8879" xr:uid="{00000000-0005-0000-0000-0000AF220000}"/>
    <cellStyle name="Header2 4 2 5 2 2" xfId="34649" xr:uid="{D08EDBFE-D6FE-459D-8580-64718B25C115}"/>
    <cellStyle name="Header2 4 2 5 3" xfId="8880" xr:uid="{00000000-0005-0000-0000-0000B0220000}"/>
    <cellStyle name="Header2 4 2 5 3 2" xfId="34650" xr:uid="{97736A42-BA38-43D8-A52E-B23E7DBE2E2A}"/>
    <cellStyle name="Header2 4 2 5 4" xfId="34648" xr:uid="{19F12FF7-A5D2-40C0-86CD-347F237472B9}"/>
    <cellStyle name="Header2 4 2 6" xfId="8881" xr:uid="{00000000-0005-0000-0000-0000B1220000}"/>
    <cellStyle name="Header2 4 2 6 2" xfId="34651" xr:uid="{8648D6C1-A64E-4EFC-AE09-0FF64B980DD9}"/>
    <cellStyle name="Header2 4 2 7" xfId="34625" xr:uid="{63E3CC24-B611-4AC5-81B0-A8EC7C76E5D2}"/>
    <cellStyle name="Header2 4 3" xfId="8882" xr:uid="{00000000-0005-0000-0000-0000B2220000}"/>
    <cellStyle name="Header2 4 3 2" xfId="34652" xr:uid="{DFBF6A03-24A2-4AFA-98AD-8DDF6E692810}"/>
    <cellStyle name="Header2 4 4" xfId="34624" xr:uid="{2EBF921F-1846-4DFD-8F9F-9409B65E8C92}"/>
    <cellStyle name="Header2 5" xfId="8883" xr:uid="{00000000-0005-0000-0000-0000B3220000}"/>
    <cellStyle name="Header2 5 2" xfId="8884" xr:uid="{00000000-0005-0000-0000-0000B4220000}"/>
    <cellStyle name="Header2 5 2 2" xfId="8885" xr:uid="{00000000-0005-0000-0000-0000B5220000}"/>
    <cellStyle name="Header2 5 2 2 2" xfId="8886" xr:uid="{00000000-0005-0000-0000-0000B6220000}"/>
    <cellStyle name="Header2 5 2 2 2 2" xfId="34656" xr:uid="{6F9482B7-B4CA-43BD-B65B-D9B2DACAC22B}"/>
    <cellStyle name="Header2 5 2 2 3" xfId="8887" xr:uid="{00000000-0005-0000-0000-0000B7220000}"/>
    <cellStyle name="Header2 5 2 2 3 2" xfId="34657" xr:uid="{2ACBCE6A-999C-43D7-AA70-CFBE6C5B1D2A}"/>
    <cellStyle name="Header2 5 2 2 4" xfId="34655" xr:uid="{5D905AE4-BD6C-424D-A318-56F806EFC8D9}"/>
    <cellStyle name="Header2 5 2 3" xfId="8888" xr:uid="{00000000-0005-0000-0000-0000B8220000}"/>
    <cellStyle name="Header2 5 2 3 2" xfId="34658" xr:uid="{7B0EAFF4-4034-4836-A47D-E9B78FBB7E5B}"/>
    <cellStyle name="Header2 5 2 4" xfId="34654" xr:uid="{5AF1EDE6-8045-4760-B0AC-742E5733A69F}"/>
    <cellStyle name="Header2 5 3" xfId="8889" xr:uid="{00000000-0005-0000-0000-0000B9220000}"/>
    <cellStyle name="Header2 5 3 2" xfId="34659" xr:uid="{78E4A0E4-DFBD-4D21-A76B-1ADCBDABE6B1}"/>
    <cellStyle name="Header2 5 4" xfId="34653" xr:uid="{649F5551-E58E-4220-BEE6-DE61339ADB3E}"/>
    <cellStyle name="Header2 6" xfId="8890" xr:uid="{00000000-0005-0000-0000-0000BA220000}"/>
    <cellStyle name="Header2 6 2" xfId="8891" xr:uid="{00000000-0005-0000-0000-0000BB220000}"/>
    <cellStyle name="Header2 6 2 2" xfId="8892" xr:uid="{00000000-0005-0000-0000-0000BC220000}"/>
    <cellStyle name="Header2 6 2 2 2" xfId="8893" xr:uid="{00000000-0005-0000-0000-0000BD220000}"/>
    <cellStyle name="Header2 6 2 2 2 2" xfId="8894" xr:uid="{00000000-0005-0000-0000-0000BE220000}"/>
    <cellStyle name="Header2 6 2 2 2 2 2" xfId="34664" xr:uid="{F62F187A-D9AF-43F7-BCBB-C1FC795FDA76}"/>
    <cellStyle name="Header2 6 2 2 2 3" xfId="8895" xr:uid="{00000000-0005-0000-0000-0000BF220000}"/>
    <cellStyle name="Header2 6 2 2 2 3 2" xfId="34665" xr:uid="{9892D4A9-4014-4944-8296-7C169EC4F897}"/>
    <cellStyle name="Header2 6 2 2 2 4" xfId="34663" xr:uid="{90D3C620-5FFA-4888-8846-0FEE3045906F}"/>
    <cellStyle name="Header2 6 2 2 3" xfId="8896" xr:uid="{00000000-0005-0000-0000-0000C0220000}"/>
    <cellStyle name="Header2 6 2 2 3 2" xfId="34666" xr:uid="{0805FA02-9A44-43CF-8233-B24FE1BF3EAA}"/>
    <cellStyle name="Header2 6 2 2 4" xfId="34662" xr:uid="{BC2EF6E3-2CCF-4259-913B-8F6A8BD12CD7}"/>
    <cellStyle name="Header2 6 2 3" xfId="8897" xr:uid="{00000000-0005-0000-0000-0000C1220000}"/>
    <cellStyle name="Header2 6 2 3 2" xfId="34667" xr:uid="{CC95A723-854E-4166-80C4-5D6AB07AE5DE}"/>
    <cellStyle name="Header2 6 2 4" xfId="34661" xr:uid="{4E9829A9-E1D9-4418-8D7A-A13AA5CD4866}"/>
    <cellStyle name="Header2 6 3" xfId="8898" xr:uid="{00000000-0005-0000-0000-0000C2220000}"/>
    <cellStyle name="Header2 6 3 2" xfId="8899" xr:uid="{00000000-0005-0000-0000-0000C3220000}"/>
    <cellStyle name="Header2 6 3 2 2" xfId="8900" xr:uid="{00000000-0005-0000-0000-0000C4220000}"/>
    <cellStyle name="Header2 6 3 2 2 2" xfId="8901" xr:uid="{00000000-0005-0000-0000-0000C5220000}"/>
    <cellStyle name="Header2 6 3 2 2 2 2" xfId="34671" xr:uid="{7D6BB87B-C3D6-4BFA-A059-F294A895AD03}"/>
    <cellStyle name="Header2 6 3 2 2 3" xfId="8902" xr:uid="{00000000-0005-0000-0000-0000C6220000}"/>
    <cellStyle name="Header2 6 3 2 2 3 2" xfId="34672" xr:uid="{3741C4AF-127D-48E8-A65F-BC64F901026C}"/>
    <cellStyle name="Header2 6 3 2 2 4" xfId="34670" xr:uid="{25E53BAE-C002-4C79-9368-8806192ED036}"/>
    <cellStyle name="Header2 6 3 2 3" xfId="8903" xr:uid="{00000000-0005-0000-0000-0000C7220000}"/>
    <cellStyle name="Header2 6 3 2 3 2" xfId="34673" xr:uid="{4966CADC-7A1A-49D0-A9A9-6A9B44F9B70A}"/>
    <cellStyle name="Header2 6 3 2 4" xfId="34669" xr:uid="{3633C456-3240-40A8-9A38-73690A3AE32F}"/>
    <cellStyle name="Header2 6 3 3" xfId="8904" xr:uid="{00000000-0005-0000-0000-0000C8220000}"/>
    <cellStyle name="Header2 6 3 3 2" xfId="8905" xr:uid="{00000000-0005-0000-0000-0000C9220000}"/>
    <cellStyle name="Header2 6 3 3 2 2" xfId="34675" xr:uid="{20547ED2-3039-454C-B98D-A39F6B446100}"/>
    <cellStyle name="Header2 6 3 3 3" xfId="8906" xr:uid="{00000000-0005-0000-0000-0000CA220000}"/>
    <cellStyle name="Header2 6 3 3 3 2" xfId="34676" xr:uid="{F08595E4-8B2C-4FBF-8C51-C33B52EE3BC6}"/>
    <cellStyle name="Header2 6 3 3 4" xfId="34674" xr:uid="{B9F33FF2-0BBC-4749-A24C-E1754D2FA946}"/>
    <cellStyle name="Header2 6 3 4" xfId="8907" xr:uid="{00000000-0005-0000-0000-0000CB220000}"/>
    <cellStyle name="Header2 6 3 4 2" xfId="34677" xr:uid="{16A6353C-5C40-4852-BC82-7EA5BB5EF7E9}"/>
    <cellStyle name="Header2 6 3 5" xfId="34668" xr:uid="{37F96323-427E-4CE7-A89D-D899F7774C20}"/>
    <cellStyle name="Header2 6 4" xfId="8908" xr:uid="{00000000-0005-0000-0000-0000CC220000}"/>
    <cellStyle name="Header2 6 4 2" xfId="8909" xr:uid="{00000000-0005-0000-0000-0000CD220000}"/>
    <cellStyle name="Header2 6 4 2 2" xfId="8910" xr:uid="{00000000-0005-0000-0000-0000CE220000}"/>
    <cellStyle name="Header2 6 4 2 2 2" xfId="34680" xr:uid="{1213BA99-1BA4-4133-82E7-4CFD9B382AC6}"/>
    <cellStyle name="Header2 6 4 2 3" xfId="8911" xr:uid="{00000000-0005-0000-0000-0000CF220000}"/>
    <cellStyle name="Header2 6 4 2 3 2" xfId="34681" xr:uid="{7A4FA27B-D766-4E9A-925A-1E5D5A88FED4}"/>
    <cellStyle name="Header2 6 4 2 4" xfId="34679" xr:uid="{5B905460-82C7-4E53-9472-4629ABC9B7BE}"/>
    <cellStyle name="Header2 6 4 3" xfId="8912" xr:uid="{00000000-0005-0000-0000-0000D0220000}"/>
    <cellStyle name="Header2 6 4 3 2" xfId="34682" xr:uid="{50B189F8-C204-4503-AD32-BA1FC606E486}"/>
    <cellStyle name="Header2 6 4 4" xfId="34678" xr:uid="{BD79C1DE-BD94-4643-A882-553ECE0967C6}"/>
    <cellStyle name="Header2 6 5" xfId="8913" xr:uid="{00000000-0005-0000-0000-0000D1220000}"/>
    <cellStyle name="Header2 6 5 2" xfId="8914" xr:uid="{00000000-0005-0000-0000-0000D2220000}"/>
    <cellStyle name="Header2 6 5 2 2" xfId="34684" xr:uid="{3FC71690-36EA-4159-BFB6-3F6320344A6A}"/>
    <cellStyle name="Header2 6 5 3" xfId="8915" xr:uid="{00000000-0005-0000-0000-0000D3220000}"/>
    <cellStyle name="Header2 6 5 3 2" xfId="34685" xr:uid="{3A81EA10-8C8D-44FA-A5D3-9ABFE1694EEA}"/>
    <cellStyle name="Header2 6 5 4" xfId="34683" xr:uid="{FA540116-7D08-4199-A761-6624A6808CFA}"/>
    <cellStyle name="Header2 6 6" xfId="8916" xr:uid="{00000000-0005-0000-0000-0000D4220000}"/>
    <cellStyle name="Header2 6 6 2" xfId="34686" xr:uid="{0A03ECA2-9841-4B24-89D6-54675AA2514E}"/>
    <cellStyle name="Header2 6 7" xfId="34660" xr:uid="{DCD86F39-6D80-4CB5-9C6B-2EB2BFC86ADB}"/>
    <cellStyle name="Header2 7" xfId="8917" xr:uid="{00000000-0005-0000-0000-0000D5220000}"/>
    <cellStyle name="Header2 7 2" xfId="34687" xr:uid="{80929CD6-3786-4B0E-9EB9-D4A91C528AE5}"/>
    <cellStyle name="Header2 8" xfId="34449" xr:uid="{E34338CD-F45A-4B14-9535-44107CDC769B}"/>
    <cellStyle name="Heading 1 2" xfId="8918" xr:uid="{00000000-0005-0000-0000-0000D6220000}"/>
    <cellStyle name="Heading 1 2 10" xfId="8919" xr:uid="{00000000-0005-0000-0000-0000D7220000}"/>
    <cellStyle name="Heading 1 2 10 2" xfId="8920" xr:uid="{00000000-0005-0000-0000-0000D8220000}"/>
    <cellStyle name="Heading 1 2 11" xfId="8921" xr:uid="{00000000-0005-0000-0000-0000D9220000}"/>
    <cellStyle name="Heading 1 2 12" xfId="8922" xr:uid="{00000000-0005-0000-0000-0000DA220000}"/>
    <cellStyle name="Heading 1 2 2" xfId="8923" xr:uid="{00000000-0005-0000-0000-0000DB220000}"/>
    <cellStyle name="Heading 1 2 2 2" xfId="8924" xr:uid="{00000000-0005-0000-0000-0000DC220000}"/>
    <cellStyle name="Heading 1 2 2 2 2" xfId="8925" xr:uid="{00000000-0005-0000-0000-0000DD220000}"/>
    <cellStyle name="Heading 1 2 2 3" xfId="8926" xr:uid="{00000000-0005-0000-0000-0000DE220000}"/>
    <cellStyle name="Heading 1 2 2 3 2" xfId="8927" xr:uid="{00000000-0005-0000-0000-0000DF220000}"/>
    <cellStyle name="Heading 1 2 2 3 2 2" xfId="8928" xr:uid="{00000000-0005-0000-0000-0000E0220000}"/>
    <cellStyle name="Heading 1 2 2 3 3" xfId="8929" xr:uid="{00000000-0005-0000-0000-0000E1220000}"/>
    <cellStyle name="Heading 1 2 2 4" xfId="8930" xr:uid="{00000000-0005-0000-0000-0000E2220000}"/>
    <cellStyle name="Heading 1 2 3" xfId="8931" xr:uid="{00000000-0005-0000-0000-0000E3220000}"/>
    <cellStyle name="Heading 1 2 3 2" xfId="8932" xr:uid="{00000000-0005-0000-0000-0000E4220000}"/>
    <cellStyle name="Heading 1 2 3 2 2" xfId="8933" xr:uid="{00000000-0005-0000-0000-0000E5220000}"/>
    <cellStyle name="Heading 1 2 3 3" xfId="8934" xr:uid="{00000000-0005-0000-0000-0000E6220000}"/>
    <cellStyle name="Heading 1 2 3 3 2" xfId="8935" xr:uid="{00000000-0005-0000-0000-0000E7220000}"/>
    <cellStyle name="Heading 1 2 3 3 2 2" xfId="8936" xr:uid="{00000000-0005-0000-0000-0000E8220000}"/>
    <cellStyle name="Heading 1 2 3 3 3" xfId="8937" xr:uid="{00000000-0005-0000-0000-0000E9220000}"/>
    <cellStyle name="Heading 1 2 3 4" xfId="8938" xr:uid="{00000000-0005-0000-0000-0000EA220000}"/>
    <cellStyle name="Heading 1 2 4" xfId="8939" xr:uid="{00000000-0005-0000-0000-0000EB220000}"/>
    <cellStyle name="Heading 1 2 4 2" xfId="8940" xr:uid="{00000000-0005-0000-0000-0000EC220000}"/>
    <cellStyle name="Heading 1 2 4 2 2" xfId="8941" xr:uid="{00000000-0005-0000-0000-0000ED220000}"/>
    <cellStyle name="Heading 1 2 4 3" xfId="8942" xr:uid="{00000000-0005-0000-0000-0000EE220000}"/>
    <cellStyle name="Heading 1 2 5" xfId="8943" xr:uid="{00000000-0005-0000-0000-0000EF220000}"/>
    <cellStyle name="Heading 1 2 5 2" xfId="8944" xr:uid="{00000000-0005-0000-0000-0000F0220000}"/>
    <cellStyle name="Heading 1 2 5 2 2" xfId="8945" xr:uid="{00000000-0005-0000-0000-0000F1220000}"/>
    <cellStyle name="Heading 1 2 5 3" xfId="8946" xr:uid="{00000000-0005-0000-0000-0000F2220000}"/>
    <cellStyle name="Heading 1 2 5 3 2" xfId="8947" xr:uid="{00000000-0005-0000-0000-0000F3220000}"/>
    <cellStyle name="Heading 1 2 5 3 2 2" xfId="8948" xr:uid="{00000000-0005-0000-0000-0000F4220000}"/>
    <cellStyle name="Heading 1 2 5 3 3" xfId="8949" xr:uid="{00000000-0005-0000-0000-0000F5220000}"/>
    <cellStyle name="Heading 1 2 5 4" xfId="8950" xr:uid="{00000000-0005-0000-0000-0000F6220000}"/>
    <cellStyle name="Heading 1 2 6" xfId="8951" xr:uid="{00000000-0005-0000-0000-0000F7220000}"/>
    <cellStyle name="Heading 1 2 6 2" xfId="8952" xr:uid="{00000000-0005-0000-0000-0000F8220000}"/>
    <cellStyle name="Heading 1 2 7" xfId="8953" xr:uid="{00000000-0005-0000-0000-0000F9220000}"/>
    <cellStyle name="Heading 1 2 7 2" xfId="8954" xr:uid="{00000000-0005-0000-0000-0000FA220000}"/>
    <cellStyle name="Heading 1 2 8" xfId="8955" xr:uid="{00000000-0005-0000-0000-0000FB220000}"/>
    <cellStyle name="Heading 1 2 8 2" xfId="8956" xr:uid="{00000000-0005-0000-0000-0000FC220000}"/>
    <cellStyle name="Heading 1 2 8 2 2" xfId="8957" xr:uid="{00000000-0005-0000-0000-0000FD220000}"/>
    <cellStyle name="Heading 1 2 8 3" xfId="8958" xr:uid="{00000000-0005-0000-0000-0000FE220000}"/>
    <cellStyle name="Heading 1 2 9" xfId="8959" xr:uid="{00000000-0005-0000-0000-0000FF220000}"/>
    <cellStyle name="Heading 1 2 9 2" xfId="8960" xr:uid="{00000000-0005-0000-0000-000000230000}"/>
    <cellStyle name="Heading 1 2 9 2 2" xfId="8961" xr:uid="{00000000-0005-0000-0000-000001230000}"/>
    <cellStyle name="Heading 1 2 9 3" xfId="8962" xr:uid="{00000000-0005-0000-0000-000002230000}"/>
    <cellStyle name="Heading 1 3" xfId="8963" xr:uid="{00000000-0005-0000-0000-000003230000}"/>
    <cellStyle name="Heading 1 3 2" xfId="8964" xr:uid="{00000000-0005-0000-0000-000004230000}"/>
    <cellStyle name="Heading 1 3 2 2" xfId="8965" xr:uid="{00000000-0005-0000-0000-000005230000}"/>
    <cellStyle name="Heading 1 3 3" xfId="8966" xr:uid="{00000000-0005-0000-0000-000006230000}"/>
    <cellStyle name="Heading 1 3 3 2" xfId="8967" xr:uid="{00000000-0005-0000-0000-000007230000}"/>
    <cellStyle name="Heading 1 3 4" xfId="8968" xr:uid="{00000000-0005-0000-0000-000008230000}"/>
    <cellStyle name="Heading 1 3 4 2" xfId="8969" xr:uid="{00000000-0005-0000-0000-000009230000}"/>
    <cellStyle name="Heading 1 3 4 2 2" xfId="8970" xr:uid="{00000000-0005-0000-0000-00000A230000}"/>
    <cellStyle name="Heading 1 3 4 3" xfId="8971" xr:uid="{00000000-0005-0000-0000-00000B230000}"/>
    <cellStyle name="Heading 1 3 5" xfId="8972" xr:uid="{00000000-0005-0000-0000-00000C230000}"/>
    <cellStyle name="Heading 1 4" xfId="8973" xr:uid="{00000000-0005-0000-0000-00000D230000}"/>
    <cellStyle name="Heading 1 4 2" xfId="8974" xr:uid="{00000000-0005-0000-0000-00000E230000}"/>
    <cellStyle name="Heading 1 4 2 2" xfId="8975" xr:uid="{00000000-0005-0000-0000-00000F230000}"/>
    <cellStyle name="Heading 1 4 3" xfId="8976" xr:uid="{00000000-0005-0000-0000-000010230000}"/>
    <cellStyle name="Heading 1 4 3 2" xfId="8977" xr:uid="{00000000-0005-0000-0000-000011230000}"/>
    <cellStyle name="Heading 1 4 3 2 2" xfId="8978" xr:uid="{00000000-0005-0000-0000-000012230000}"/>
    <cellStyle name="Heading 1 4 3 3" xfId="8979" xr:uid="{00000000-0005-0000-0000-000013230000}"/>
    <cellStyle name="Heading 1 4 4" xfId="8980" xr:uid="{00000000-0005-0000-0000-000014230000}"/>
    <cellStyle name="Heading 1 5" xfId="8981" xr:uid="{00000000-0005-0000-0000-000015230000}"/>
    <cellStyle name="Heading 1 5 2" xfId="8982" xr:uid="{00000000-0005-0000-0000-000016230000}"/>
    <cellStyle name="Heading 1 5 2 2" xfId="8983" xr:uid="{00000000-0005-0000-0000-000017230000}"/>
    <cellStyle name="Heading 1 5 3" xfId="8984" xr:uid="{00000000-0005-0000-0000-000018230000}"/>
    <cellStyle name="Heading 1 5 3 2" xfId="8985" xr:uid="{00000000-0005-0000-0000-000019230000}"/>
    <cellStyle name="Heading 1 5 3 2 2" xfId="8986" xr:uid="{00000000-0005-0000-0000-00001A230000}"/>
    <cellStyle name="Heading 1 5 3 3" xfId="8987" xr:uid="{00000000-0005-0000-0000-00001B230000}"/>
    <cellStyle name="Heading 1 5 4" xfId="8988" xr:uid="{00000000-0005-0000-0000-00001C230000}"/>
    <cellStyle name="Heading 1 6" xfId="8989" xr:uid="{00000000-0005-0000-0000-00001D230000}"/>
    <cellStyle name="Heading 1 6 2" xfId="8990" xr:uid="{00000000-0005-0000-0000-00001E230000}"/>
    <cellStyle name="Heading 1 6 2 2" xfId="8991" xr:uid="{00000000-0005-0000-0000-00001F230000}"/>
    <cellStyle name="Heading 1 6 3" xfId="8992" xr:uid="{00000000-0005-0000-0000-000020230000}"/>
    <cellStyle name="Heading 1 7" xfId="8993" xr:uid="{00000000-0005-0000-0000-000021230000}"/>
    <cellStyle name="Heading 1 7 2" xfId="8994" xr:uid="{00000000-0005-0000-0000-000022230000}"/>
    <cellStyle name="Heading 1 8" xfId="8995" xr:uid="{00000000-0005-0000-0000-000023230000}"/>
    <cellStyle name="Heading 1 9" xfId="8996" xr:uid="{00000000-0005-0000-0000-000024230000}"/>
    <cellStyle name="Heading 2 2" xfId="8997" xr:uid="{00000000-0005-0000-0000-000025230000}"/>
    <cellStyle name="Heading 2 2 10" xfId="8998" xr:uid="{00000000-0005-0000-0000-000026230000}"/>
    <cellStyle name="Heading 2 2 10 2" xfId="8999" xr:uid="{00000000-0005-0000-0000-000027230000}"/>
    <cellStyle name="Heading 2 2 11" xfId="9000" xr:uid="{00000000-0005-0000-0000-000028230000}"/>
    <cellStyle name="Heading 2 2 12" xfId="9001" xr:uid="{00000000-0005-0000-0000-000029230000}"/>
    <cellStyle name="Heading 2 2 2" xfId="9002" xr:uid="{00000000-0005-0000-0000-00002A230000}"/>
    <cellStyle name="Heading 2 2 2 2" xfId="9003" xr:uid="{00000000-0005-0000-0000-00002B230000}"/>
    <cellStyle name="Heading 2 2 2 2 2" xfId="9004" xr:uid="{00000000-0005-0000-0000-00002C230000}"/>
    <cellStyle name="Heading 2 2 2 3" xfId="9005" xr:uid="{00000000-0005-0000-0000-00002D230000}"/>
    <cellStyle name="Heading 2 2 2 3 2" xfId="9006" xr:uid="{00000000-0005-0000-0000-00002E230000}"/>
    <cellStyle name="Heading 2 2 2 3 2 2" xfId="9007" xr:uid="{00000000-0005-0000-0000-00002F230000}"/>
    <cellStyle name="Heading 2 2 2 3 3" xfId="9008" xr:uid="{00000000-0005-0000-0000-000030230000}"/>
    <cellStyle name="Heading 2 2 2 4" xfId="9009" xr:uid="{00000000-0005-0000-0000-000031230000}"/>
    <cellStyle name="Heading 2 2 3" xfId="9010" xr:uid="{00000000-0005-0000-0000-000032230000}"/>
    <cellStyle name="Heading 2 2 3 2" xfId="9011" xr:uid="{00000000-0005-0000-0000-000033230000}"/>
    <cellStyle name="Heading 2 2 3 2 2" xfId="9012" xr:uid="{00000000-0005-0000-0000-000034230000}"/>
    <cellStyle name="Heading 2 2 3 3" xfId="9013" xr:uid="{00000000-0005-0000-0000-000035230000}"/>
    <cellStyle name="Heading 2 2 3 3 2" xfId="9014" xr:uid="{00000000-0005-0000-0000-000036230000}"/>
    <cellStyle name="Heading 2 2 3 3 2 2" xfId="9015" xr:uid="{00000000-0005-0000-0000-000037230000}"/>
    <cellStyle name="Heading 2 2 3 3 3" xfId="9016" xr:uid="{00000000-0005-0000-0000-000038230000}"/>
    <cellStyle name="Heading 2 2 3 4" xfId="9017" xr:uid="{00000000-0005-0000-0000-000039230000}"/>
    <cellStyle name="Heading 2 2 4" xfId="9018" xr:uid="{00000000-0005-0000-0000-00003A230000}"/>
    <cellStyle name="Heading 2 2 4 2" xfId="9019" xr:uid="{00000000-0005-0000-0000-00003B230000}"/>
    <cellStyle name="Heading 2 2 4 2 2" xfId="9020" xr:uid="{00000000-0005-0000-0000-00003C230000}"/>
    <cellStyle name="Heading 2 2 4 3" xfId="9021" xr:uid="{00000000-0005-0000-0000-00003D230000}"/>
    <cellStyle name="Heading 2 2 5" xfId="9022" xr:uid="{00000000-0005-0000-0000-00003E230000}"/>
    <cellStyle name="Heading 2 2 5 2" xfId="9023" xr:uid="{00000000-0005-0000-0000-00003F230000}"/>
    <cellStyle name="Heading 2 2 5 2 2" xfId="9024" xr:uid="{00000000-0005-0000-0000-000040230000}"/>
    <cellStyle name="Heading 2 2 5 3" xfId="9025" xr:uid="{00000000-0005-0000-0000-000041230000}"/>
    <cellStyle name="Heading 2 2 5 3 2" xfId="9026" xr:uid="{00000000-0005-0000-0000-000042230000}"/>
    <cellStyle name="Heading 2 2 5 3 2 2" xfId="9027" xr:uid="{00000000-0005-0000-0000-000043230000}"/>
    <cellStyle name="Heading 2 2 5 3 3" xfId="9028" xr:uid="{00000000-0005-0000-0000-000044230000}"/>
    <cellStyle name="Heading 2 2 5 4" xfId="9029" xr:uid="{00000000-0005-0000-0000-000045230000}"/>
    <cellStyle name="Heading 2 2 6" xfId="9030" xr:uid="{00000000-0005-0000-0000-000046230000}"/>
    <cellStyle name="Heading 2 2 6 2" xfId="9031" xr:uid="{00000000-0005-0000-0000-000047230000}"/>
    <cellStyle name="Heading 2 2 6 2 2" xfId="9032" xr:uid="{00000000-0005-0000-0000-000048230000}"/>
    <cellStyle name="Heading 2 2 6 3" xfId="9033" xr:uid="{00000000-0005-0000-0000-000049230000}"/>
    <cellStyle name="Heading 2 2 6 3 2" xfId="9034" xr:uid="{00000000-0005-0000-0000-00004A230000}"/>
    <cellStyle name="Heading 2 2 6 4" xfId="9035" xr:uid="{00000000-0005-0000-0000-00004B230000}"/>
    <cellStyle name="Heading 2 2 7" xfId="9036" xr:uid="{00000000-0005-0000-0000-00004C230000}"/>
    <cellStyle name="Heading 2 2 7 2" xfId="9037" xr:uid="{00000000-0005-0000-0000-00004D230000}"/>
    <cellStyle name="Heading 2 2 8" xfId="9038" xr:uid="{00000000-0005-0000-0000-00004E230000}"/>
    <cellStyle name="Heading 2 2 8 2" xfId="9039" xr:uid="{00000000-0005-0000-0000-00004F230000}"/>
    <cellStyle name="Heading 2 2 8 2 2" xfId="9040" xr:uid="{00000000-0005-0000-0000-000050230000}"/>
    <cellStyle name="Heading 2 2 8 3" xfId="9041" xr:uid="{00000000-0005-0000-0000-000051230000}"/>
    <cellStyle name="Heading 2 2 9" xfId="9042" xr:uid="{00000000-0005-0000-0000-000052230000}"/>
    <cellStyle name="Heading 2 2 9 2" xfId="9043" xr:uid="{00000000-0005-0000-0000-000053230000}"/>
    <cellStyle name="Heading 2 2 9 2 2" xfId="9044" xr:uid="{00000000-0005-0000-0000-000054230000}"/>
    <cellStyle name="Heading 2 2 9 3" xfId="9045" xr:uid="{00000000-0005-0000-0000-000055230000}"/>
    <cellStyle name="Heading 2 3" xfId="9046" xr:uid="{00000000-0005-0000-0000-000056230000}"/>
    <cellStyle name="Heading 2 3 2" xfId="9047" xr:uid="{00000000-0005-0000-0000-000057230000}"/>
    <cellStyle name="Heading 2 3 2 2" xfId="9048" xr:uid="{00000000-0005-0000-0000-000058230000}"/>
    <cellStyle name="Heading 2 3 3" xfId="9049" xr:uid="{00000000-0005-0000-0000-000059230000}"/>
    <cellStyle name="Heading 2 3 3 2" xfId="9050" xr:uid="{00000000-0005-0000-0000-00005A230000}"/>
    <cellStyle name="Heading 2 3 4" xfId="9051" xr:uid="{00000000-0005-0000-0000-00005B230000}"/>
    <cellStyle name="Heading 2 3 4 2" xfId="9052" xr:uid="{00000000-0005-0000-0000-00005C230000}"/>
    <cellStyle name="Heading 2 3 4 2 2" xfId="9053" xr:uid="{00000000-0005-0000-0000-00005D230000}"/>
    <cellStyle name="Heading 2 3 4 3" xfId="9054" xr:uid="{00000000-0005-0000-0000-00005E230000}"/>
    <cellStyle name="Heading 2 3 5" xfId="9055" xr:uid="{00000000-0005-0000-0000-00005F230000}"/>
    <cellStyle name="Heading 2 4" xfId="9056" xr:uid="{00000000-0005-0000-0000-000060230000}"/>
    <cellStyle name="Heading 2 4 2" xfId="9057" xr:uid="{00000000-0005-0000-0000-000061230000}"/>
    <cellStyle name="Heading 2 4 2 2" xfId="9058" xr:uid="{00000000-0005-0000-0000-000062230000}"/>
    <cellStyle name="Heading 2 4 3" xfId="9059" xr:uid="{00000000-0005-0000-0000-000063230000}"/>
    <cellStyle name="Heading 2 4 3 2" xfId="9060" xr:uid="{00000000-0005-0000-0000-000064230000}"/>
    <cellStyle name="Heading 2 4 3 2 2" xfId="9061" xr:uid="{00000000-0005-0000-0000-000065230000}"/>
    <cellStyle name="Heading 2 4 3 3" xfId="9062" xr:uid="{00000000-0005-0000-0000-000066230000}"/>
    <cellStyle name="Heading 2 4 4" xfId="9063" xr:uid="{00000000-0005-0000-0000-000067230000}"/>
    <cellStyle name="Heading 2 5" xfId="9064" xr:uid="{00000000-0005-0000-0000-000068230000}"/>
    <cellStyle name="Heading 2 5 2" xfId="9065" xr:uid="{00000000-0005-0000-0000-000069230000}"/>
    <cellStyle name="Heading 2 5 2 2" xfId="9066" xr:uid="{00000000-0005-0000-0000-00006A230000}"/>
    <cellStyle name="Heading 2 5 3" xfId="9067" xr:uid="{00000000-0005-0000-0000-00006B230000}"/>
    <cellStyle name="Heading 2 5 3 2" xfId="9068" xr:uid="{00000000-0005-0000-0000-00006C230000}"/>
    <cellStyle name="Heading 2 5 3 2 2" xfId="9069" xr:uid="{00000000-0005-0000-0000-00006D230000}"/>
    <cellStyle name="Heading 2 5 3 3" xfId="9070" xr:uid="{00000000-0005-0000-0000-00006E230000}"/>
    <cellStyle name="Heading 2 5 4" xfId="9071" xr:uid="{00000000-0005-0000-0000-00006F230000}"/>
    <cellStyle name="Heading 2 6" xfId="9072" xr:uid="{00000000-0005-0000-0000-000070230000}"/>
    <cellStyle name="Heading 2 6 2" xfId="9073" xr:uid="{00000000-0005-0000-0000-000071230000}"/>
    <cellStyle name="Heading 2 6 2 2" xfId="9074" xr:uid="{00000000-0005-0000-0000-000072230000}"/>
    <cellStyle name="Heading 2 6 3" xfId="9075" xr:uid="{00000000-0005-0000-0000-000073230000}"/>
    <cellStyle name="Heading 2 7" xfId="9076" xr:uid="{00000000-0005-0000-0000-000074230000}"/>
    <cellStyle name="Heading 2 7 2" xfId="9077" xr:uid="{00000000-0005-0000-0000-000075230000}"/>
    <cellStyle name="Heading 2 8" xfId="9078" xr:uid="{00000000-0005-0000-0000-000076230000}"/>
    <cellStyle name="Heading 2 9" xfId="9079" xr:uid="{00000000-0005-0000-0000-000077230000}"/>
    <cellStyle name="Heading 3 2" xfId="9080" xr:uid="{00000000-0005-0000-0000-000078230000}"/>
    <cellStyle name="Heading 3 2 10" xfId="9081" xr:uid="{00000000-0005-0000-0000-000079230000}"/>
    <cellStyle name="Heading 3 2 10 2" xfId="9082" xr:uid="{00000000-0005-0000-0000-00007A230000}"/>
    <cellStyle name="Heading 3 2 11" xfId="9083" xr:uid="{00000000-0005-0000-0000-00007B230000}"/>
    <cellStyle name="Heading 3 2 12" xfId="9084" xr:uid="{00000000-0005-0000-0000-00007C230000}"/>
    <cellStyle name="Heading 3 2 2" xfId="9085" xr:uid="{00000000-0005-0000-0000-00007D230000}"/>
    <cellStyle name="Heading 3 2 2 2" xfId="9086" xr:uid="{00000000-0005-0000-0000-00007E230000}"/>
    <cellStyle name="Heading 3 2 2 2 2" xfId="9087" xr:uid="{00000000-0005-0000-0000-00007F230000}"/>
    <cellStyle name="Heading 3 2 2 3" xfId="9088" xr:uid="{00000000-0005-0000-0000-000080230000}"/>
    <cellStyle name="Heading 3 2 2 3 2" xfId="9089" xr:uid="{00000000-0005-0000-0000-000081230000}"/>
    <cellStyle name="Heading 3 2 2 3 2 2" xfId="9090" xr:uid="{00000000-0005-0000-0000-000082230000}"/>
    <cellStyle name="Heading 3 2 2 3 3" xfId="9091" xr:uid="{00000000-0005-0000-0000-000083230000}"/>
    <cellStyle name="Heading 3 2 2 4" xfId="9092" xr:uid="{00000000-0005-0000-0000-000084230000}"/>
    <cellStyle name="Heading 3 2 3" xfId="9093" xr:uid="{00000000-0005-0000-0000-000085230000}"/>
    <cellStyle name="Heading 3 2 3 2" xfId="9094" xr:uid="{00000000-0005-0000-0000-000086230000}"/>
    <cellStyle name="Heading 3 2 3 2 2" xfId="9095" xr:uid="{00000000-0005-0000-0000-000087230000}"/>
    <cellStyle name="Heading 3 2 3 3" xfId="9096" xr:uid="{00000000-0005-0000-0000-000088230000}"/>
    <cellStyle name="Heading 3 2 3 3 2" xfId="9097" xr:uid="{00000000-0005-0000-0000-000089230000}"/>
    <cellStyle name="Heading 3 2 3 3 2 2" xfId="9098" xr:uid="{00000000-0005-0000-0000-00008A230000}"/>
    <cellStyle name="Heading 3 2 3 3 3" xfId="9099" xr:uid="{00000000-0005-0000-0000-00008B230000}"/>
    <cellStyle name="Heading 3 2 3 4" xfId="9100" xr:uid="{00000000-0005-0000-0000-00008C230000}"/>
    <cellStyle name="Heading 3 2 4" xfId="9101" xr:uid="{00000000-0005-0000-0000-00008D230000}"/>
    <cellStyle name="Heading 3 2 4 2" xfId="9102" xr:uid="{00000000-0005-0000-0000-00008E230000}"/>
    <cellStyle name="Heading 3 2 4 2 2" xfId="9103" xr:uid="{00000000-0005-0000-0000-00008F230000}"/>
    <cellStyle name="Heading 3 2 4 3" xfId="9104" xr:uid="{00000000-0005-0000-0000-000090230000}"/>
    <cellStyle name="Heading 3 2 5" xfId="9105" xr:uid="{00000000-0005-0000-0000-000091230000}"/>
    <cellStyle name="Heading 3 2 5 2" xfId="9106" xr:uid="{00000000-0005-0000-0000-000092230000}"/>
    <cellStyle name="Heading 3 2 5 2 2" xfId="9107" xr:uid="{00000000-0005-0000-0000-000093230000}"/>
    <cellStyle name="Heading 3 2 5 3" xfId="9108" xr:uid="{00000000-0005-0000-0000-000094230000}"/>
    <cellStyle name="Heading 3 2 5 3 2" xfId="9109" xr:uid="{00000000-0005-0000-0000-000095230000}"/>
    <cellStyle name="Heading 3 2 5 3 2 2" xfId="9110" xr:uid="{00000000-0005-0000-0000-000096230000}"/>
    <cellStyle name="Heading 3 2 5 3 3" xfId="9111" xr:uid="{00000000-0005-0000-0000-000097230000}"/>
    <cellStyle name="Heading 3 2 5 4" xfId="9112" xr:uid="{00000000-0005-0000-0000-000098230000}"/>
    <cellStyle name="Heading 3 2 6" xfId="9113" xr:uid="{00000000-0005-0000-0000-000099230000}"/>
    <cellStyle name="Heading 3 2 6 2" xfId="9114" xr:uid="{00000000-0005-0000-0000-00009A230000}"/>
    <cellStyle name="Heading 3 2 6 2 2" xfId="9115" xr:uid="{00000000-0005-0000-0000-00009B230000}"/>
    <cellStyle name="Heading 3 2 6 3" xfId="9116" xr:uid="{00000000-0005-0000-0000-00009C230000}"/>
    <cellStyle name="Heading 3 2 6 3 2" xfId="9117" xr:uid="{00000000-0005-0000-0000-00009D230000}"/>
    <cellStyle name="Heading 3 2 6 4" xfId="9118" xr:uid="{00000000-0005-0000-0000-00009E230000}"/>
    <cellStyle name="Heading 3 2 7" xfId="9119" xr:uid="{00000000-0005-0000-0000-00009F230000}"/>
    <cellStyle name="Heading 3 2 7 2" xfId="9120" xr:uid="{00000000-0005-0000-0000-0000A0230000}"/>
    <cellStyle name="Heading 3 2 8" xfId="9121" xr:uid="{00000000-0005-0000-0000-0000A1230000}"/>
    <cellStyle name="Heading 3 2 8 2" xfId="9122" xr:uid="{00000000-0005-0000-0000-0000A2230000}"/>
    <cellStyle name="Heading 3 2 8 2 2" xfId="9123" xr:uid="{00000000-0005-0000-0000-0000A3230000}"/>
    <cellStyle name="Heading 3 2 8 3" xfId="9124" xr:uid="{00000000-0005-0000-0000-0000A4230000}"/>
    <cellStyle name="Heading 3 2 9" xfId="9125" xr:uid="{00000000-0005-0000-0000-0000A5230000}"/>
    <cellStyle name="Heading 3 2 9 2" xfId="9126" xr:uid="{00000000-0005-0000-0000-0000A6230000}"/>
    <cellStyle name="Heading 3 2 9 2 2" xfId="9127" xr:uid="{00000000-0005-0000-0000-0000A7230000}"/>
    <cellStyle name="Heading 3 2 9 3" xfId="9128" xr:uid="{00000000-0005-0000-0000-0000A8230000}"/>
    <cellStyle name="Heading 3 3" xfId="9129" xr:uid="{00000000-0005-0000-0000-0000A9230000}"/>
    <cellStyle name="Heading 3 3 2" xfId="9130" xr:uid="{00000000-0005-0000-0000-0000AA230000}"/>
    <cellStyle name="Heading 3 3 2 2" xfId="9131" xr:uid="{00000000-0005-0000-0000-0000AB230000}"/>
    <cellStyle name="Heading 3 3 3" xfId="9132" xr:uid="{00000000-0005-0000-0000-0000AC230000}"/>
    <cellStyle name="Heading 3 3 3 2" xfId="9133" xr:uid="{00000000-0005-0000-0000-0000AD230000}"/>
    <cellStyle name="Heading 3 3 4" xfId="9134" xr:uid="{00000000-0005-0000-0000-0000AE230000}"/>
    <cellStyle name="Heading 3 3 4 2" xfId="9135" xr:uid="{00000000-0005-0000-0000-0000AF230000}"/>
    <cellStyle name="Heading 3 3 4 2 2" xfId="9136" xr:uid="{00000000-0005-0000-0000-0000B0230000}"/>
    <cellStyle name="Heading 3 3 4 3" xfId="9137" xr:uid="{00000000-0005-0000-0000-0000B1230000}"/>
    <cellStyle name="Heading 3 3 5" xfId="9138" xr:uid="{00000000-0005-0000-0000-0000B2230000}"/>
    <cellStyle name="Heading 3 4" xfId="9139" xr:uid="{00000000-0005-0000-0000-0000B3230000}"/>
    <cellStyle name="Heading 3 4 2" xfId="9140" xr:uid="{00000000-0005-0000-0000-0000B4230000}"/>
    <cellStyle name="Heading 3 4 2 2" xfId="9141" xr:uid="{00000000-0005-0000-0000-0000B5230000}"/>
    <cellStyle name="Heading 3 4 3" xfId="9142" xr:uid="{00000000-0005-0000-0000-0000B6230000}"/>
    <cellStyle name="Heading 3 4 3 2" xfId="9143" xr:uid="{00000000-0005-0000-0000-0000B7230000}"/>
    <cellStyle name="Heading 3 4 3 2 2" xfId="9144" xr:uid="{00000000-0005-0000-0000-0000B8230000}"/>
    <cellStyle name="Heading 3 4 3 3" xfId="9145" xr:uid="{00000000-0005-0000-0000-0000B9230000}"/>
    <cellStyle name="Heading 3 4 4" xfId="9146" xr:uid="{00000000-0005-0000-0000-0000BA230000}"/>
    <cellStyle name="Heading 3 5" xfId="9147" xr:uid="{00000000-0005-0000-0000-0000BB230000}"/>
    <cellStyle name="Heading 3 5 2" xfId="9148" xr:uid="{00000000-0005-0000-0000-0000BC230000}"/>
    <cellStyle name="Heading 3 5 2 2" xfId="9149" xr:uid="{00000000-0005-0000-0000-0000BD230000}"/>
    <cellStyle name="Heading 3 5 3" xfId="9150" xr:uid="{00000000-0005-0000-0000-0000BE230000}"/>
    <cellStyle name="Heading 3 5 3 2" xfId="9151" xr:uid="{00000000-0005-0000-0000-0000BF230000}"/>
    <cellStyle name="Heading 3 5 3 2 2" xfId="9152" xr:uid="{00000000-0005-0000-0000-0000C0230000}"/>
    <cellStyle name="Heading 3 5 3 3" xfId="9153" xr:uid="{00000000-0005-0000-0000-0000C1230000}"/>
    <cellStyle name="Heading 3 5 4" xfId="9154" xr:uid="{00000000-0005-0000-0000-0000C2230000}"/>
    <cellStyle name="Heading 3 6" xfId="9155" xr:uid="{00000000-0005-0000-0000-0000C3230000}"/>
    <cellStyle name="Heading 3 6 2" xfId="9156" xr:uid="{00000000-0005-0000-0000-0000C4230000}"/>
    <cellStyle name="Heading 3 6 2 2" xfId="9157" xr:uid="{00000000-0005-0000-0000-0000C5230000}"/>
    <cellStyle name="Heading 3 6 3" xfId="9158" xr:uid="{00000000-0005-0000-0000-0000C6230000}"/>
    <cellStyle name="Heading 3 7" xfId="9159" xr:uid="{00000000-0005-0000-0000-0000C7230000}"/>
    <cellStyle name="Heading 3 7 2" xfId="9160" xr:uid="{00000000-0005-0000-0000-0000C8230000}"/>
    <cellStyle name="Heading 3 8" xfId="9161" xr:uid="{00000000-0005-0000-0000-0000C9230000}"/>
    <cellStyle name="Heading 3 9" xfId="9162" xr:uid="{00000000-0005-0000-0000-0000CA230000}"/>
    <cellStyle name="Heading 4 2" xfId="9163" xr:uid="{00000000-0005-0000-0000-0000CB230000}"/>
    <cellStyle name="Heading 4 2 10" xfId="9164" xr:uid="{00000000-0005-0000-0000-0000CC230000}"/>
    <cellStyle name="Heading 4 2 10 2" xfId="9165" xr:uid="{00000000-0005-0000-0000-0000CD230000}"/>
    <cellStyle name="Heading 4 2 11" xfId="9166" xr:uid="{00000000-0005-0000-0000-0000CE230000}"/>
    <cellStyle name="Heading 4 2 12" xfId="9167" xr:uid="{00000000-0005-0000-0000-0000CF230000}"/>
    <cellStyle name="Heading 4 2 2" xfId="9168" xr:uid="{00000000-0005-0000-0000-0000D0230000}"/>
    <cellStyle name="Heading 4 2 2 2" xfId="9169" xr:uid="{00000000-0005-0000-0000-0000D1230000}"/>
    <cellStyle name="Heading 4 2 2 2 2" xfId="9170" xr:uid="{00000000-0005-0000-0000-0000D2230000}"/>
    <cellStyle name="Heading 4 2 2 3" xfId="9171" xr:uid="{00000000-0005-0000-0000-0000D3230000}"/>
    <cellStyle name="Heading 4 2 2 3 2" xfId="9172" xr:uid="{00000000-0005-0000-0000-0000D4230000}"/>
    <cellStyle name="Heading 4 2 2 3 2 2" xfId="9173" xr:uid="{00000000-0005-0000-0000-0000D5230000}"/>
    <cellStyle name="Heading 4 2 2 3 3" xfId="9174" xr:uid="{00000000-0005-0000-0000-0000D6230000}"/>
    <cellStyle name="Heading 4 2 2 4" xfId="9175" xr:uid="{00000000-0005-0000-0000-0000D7230000}"/>
    <cellStyle name="Heading 4 2 3" xfId="9176" xr:uid="{00000000-0005-0000-0000-0000D8230000}"/>
    <cellStyle name="Heading 4 2 3 2" xfId="9177" xr:uid="{00000000-0005-0000-0000-0000D9230000}"/>
    <cellStyle name="Heading 4 2 3 2 2" xfId="9178" xr:uid="{00000000-0005-0000-0000-0000DA230000}"/>
    <cellStyle name="Heading 4 2 3 3" xfId="9179" xr:uid="{00000000-0005-0000-0000-0000DB230000}"/>
    <cellStyle name="Heading 4 2 3 3 2" xfId="9180" xr:uid="{00000000-0005-0000-0000-0000DC230000}"/>
    <cellStyle name="Heading 4 2 3 3 2 2" xfId="9181" xr:uid="{00000000-0005-0000-0000-0000DD230000}"/>
    <cellStyle name="Heading 4 2 3 3 3" xfId="9182" xr:uid="{00000000-0005-0000-0000-0000DE230000}"/>
    <cellStyle name="Heading 4 2 3 4" xfId="9183" xr:uid="{00000000-0005-0000-0000-0000DF230000}"/>
    <cellStyle name="Heading 4 2 4" xfId="9184" xr:uid="{00000000-0005-0000-0000-0000E0230000}"/>
    <cellStyle name="Heading 4 2 4 2" xfId="9185" xr:uid="{00000000-0005-0000-0000-0000E1230000}"/>
    <cellStyle name="Heading 4 2 4 2 2" xfId="9186" xr:uid="{00000000-0005-0000-0000-0000E2230000}"/>
    <cellStyle name="Heading 4 2 4 3" xfId="9187" xr:uid="{00000000-0005-0000-0000-0000E3230000}"/>
    <cellStyle name="Heading 4 2 5" xfId="9188" xr:uid="{00000000-0005-0000-0000-0000E4230000}"/>
    <cellStyle name="Heading 4 2 5 2" xfId="9189" xr:uid="{00000000-0005-0000-0000-0000E5230000}"/>
    <cellStyle name="Heading 4 2 5 2 2" xfId="9190" xr:uid="{00000000-0005-0000-0000-0000E6230000}"/>
    <cellStyle name="Heading 4 2 5 3" xfId="9191" xr:uid="{00000000-0005-0000-0000-0000E7230000}"/>
    <cellStyle name="Heading 4 2 5 3 2" xfId="9192" xr:uid="{00000000-0005-0000-0000-0000E8230000}"/>
    <cellStyle name="Heading 4 2 5 3 2 2" xfId="9193" xr:uid="{00000000-0005-0000-0000-0000E9230000}"/>
    <cellStyle name="Heading 4 2 5 3 3" xfId="9194" xr:uid="{00000000-0005-0000-0000-0000EA230000}"/>
    <cellStyle name="Heading 4 2 5 4" xfId="9195" xr:uid="{00000000-0005-0000-0000-0000EB230000}"/>
    <cellStyle name="Heading 4 2 6" xfId="9196" xr:uid="{00000000-0005-0000-0000-0000EC230000}"/>
    <cellStyle name="Heading 4 2 6 2" xfId="9197" xr:uid="{00000000-0005-0000-0000-0000ED230000}"/>
    <cellStyle name="Heading 4 2 7" xfId="9198" xr:uid="{00000000-0005-0000-0000-0000EE230000}"/>
    <cellStyle name="Heading 4 2 7 2" xfId="9199" xr:uid="{00000000-0005-0000-0000-0000EF230000}"/>
    <cellStyle name="Heading 4 2 8" xfId="9200" xr:uid="{00000000-0005-0000-0000-0000F0230000}"/>
    <cellStyle name="Heading 4 2 8 2" xfId="9201" xr:uid="{00000000-0005-0000-0000-0000F1230000}"/>
    <cellStyle name="Heading 4 2 8 2 2" xfId="9202" xr:uid="{00000000-0005-0000-0000-0000F2230000}"/>
    <cellStyle name="Heading 4 2 8 3" xfId="9203" xr:uid="{00000000-0005-0000-0000-0000F3230000}"/>
    <cellStyle name="Heading 4 2 9" xfId="9204" xr:uid="{00000000-0005-0000-0000-0000F4230000}"/>
    <cellStyle name="Heading 4 2 9 2" xfId="9205" xr:uid="{00000000-0005-0000-0000-0000F5230000}"/>
    <cellStyle name="Heading 4 2 9 2 2" xfId="9206" xr:uid="{00000000-0005-0000-0000-0000F6230000}"/>
    <cellStyle name="Heading 4 2 9 3" xfId="9207" xr:uid="{00000000-0005-0000-0000-0000F7230000}"/>
    <cellStyle name="Heading 4 3" xfId="9208" xr:uid="{00000000-0005-0000-0000-0000F8230000}"/>
    <cellStyle name="Heading 4 3 2" xfId="9209" xr:uid="{00000000-0005-0000-0000-0000F9230000}"/>
    <cellStyle name="Heading 4 3 2 2" xfId="9210" xr:uid="{00000000-0005-0000-0000-0000FA230000}"/>
    <cellStyle name="Heading 4 3 3" xfId="9211" xr:uid="{00000000-0005-0000-0000-0000FB230000}"/>
    <cellStyle name="Heading 4 3 3 2" xfId="9212" xr:uid="{00000000-0005-0000-0000-0000FC230000}"/>
    <cellStyle name="Heading 4 3 4" xfId="9213" xr:uid="{00000000-0005-0000-0000-0000FD230000}"/>
    <cellStyle name="Heading 4 3 4 2" xfId="9214" xr:uid="{00000000-0005-0000-0000-0000FE230000}"/>
    <cellStyle name="Heading 4 3 4 2 2" xfId="9215" xr:uid="{00000000-0005-0000-0000-0000FF230000}"/>
    <cellStyle name="Heading 4 3 4 3" xfId="9216" xr:uid="{00000000-0005-0000-0000-000000240000}"/>
    <cellStyle name="Heading 4 3 5" xfId="9217" xr:uid="{00000000-0005-0000-0000-000001240000}"/>
    <cellStyle name="Heading 4 4" xfId="9218" xr:uid="{00000000-0005-0000-0000-000002240000}"/>
    <cellStyle name="Heading 4 4 2" xfId="9219" xr:uid="{00000000-0005-0000-0000-000003240000}"/>
    <cellStyle name="Heading 4 4 2 2" xfId="9220" xr:uid="{00000000-0005-0000-0000-000004240000}"/>
    <cellStyle name="Heading 4 4 3" xfId="9221" xr:uid="{00000000-0005-0000-0000-000005240000}"/>
    <cellStyle name="Heading 4 4 3 2" xfId="9222" xr:uid="{00000000-0005-0000-0000-000006240000}"/>
    <cellStyle name="Heading 4 4 3 2 2" xfId="9223" xr:uid="{00000000-0005-0000-0000-000007240000}"/>
    <cellStyle name="Heading 4 4 3 3" xfId="9224" xr:uid="{00000000-0005-0000-0000-000008240000}"/>
    <cellStyle name="Heading 4 4 4" xfId="9225" xr:uid="{00000000-0005-0000-0000-000009240000}"/>
    <cellStyle name="Heading 4 5" xfId="9226" xr:uid="{00000000-0005-0000-0000-00000A240000}"/>
    <cellStyle name="Heading 4 5 2" xfId="9227" xr:uid="{00000000-0005-0000-0000-00000B240000}"/>
    <cellStyle name="Heading 4 5 2 2" xfId="9228" xr:uid="{00000000-0005-0000-0000-00000C240000}"/>
    <cellStyle name="Heading 4 5 3" xfId="9229" xr:uid="{00000000-0005-0000-0000-00000D240000}"/>
    <cellStyle name="Heading 4 5 3 2" xfId="9230" xr:uid="{00000000-0005-0000-0000-00000E240000}"/>
    <cellStyle name="Heading 4 5 3 2 2" xfId="9231" xr:uid="{00000000-0005-0000-0000-00000F240000}"/>
    <cellStyle name="Heading 4 5 3 3" xfId="9232" xr:uid="{00000000-0005-0000-0000-000010240000}"/>
    <cellStyle name="Heading 4 5 4" xfId="9233" xr:uid="{00000000-0005-0000-0000-000011240000}"/>
    <cellStyle name="Heading 4 6" xfId="9234" xr:uid="{00000000-0005-0000-0000-000012240000}"/>
    <cellStyle name="Heading 4 6 2" xfId="9235" xr:uid="{00000000-0005-0000-0000-000013240000}"/>
    <cellStyle name="Heading 4 6 2 2" xfId="9236" xr:uid="{00000000-0005-0000-0000-000014240000}"/>
    <cellStyle name="Heading 4 6 3" xfId="9237" xr:uid="{00000000-0005-0000-0000-000015240000}"/>
    <cellStyle name="Heading 4 7" xfId="9238" xr:uid="{00000000-0005-0000-0000-000016240000}"/>
    <cellStyle name="Heading 4 7 2" xfId="9239" xr:uid="{00000000-0005-0000-0000-000017240000}"/>
    <cellStyle name="Heading 4 8" xfId="9240" xr:uid="{00000000-0005-0000-0000-000018240000}"/>
    <cellStyle name="Heading 4 9" xfId="9241" xr:uid="{00000000-0005-0000-0000-000019240000}"/>
    <cellStyle name="Heading1" xfId="9242" xr:uid="{00000000-0005-0000-0000-00001A240000}"/>
    <cellStyle name="Heading1 2" xfId="9243" xr:uid="{00000000-0005-0000-0000-00001B240000}"/>
    <cellStyle name="Heading1 2 2" xfId="9244" xr:uid="{00000000-0005-0000-0000-00001C240000}"/>
    <cellStyle name="Heading1 3" xfId="9245" xr:uid="{00000000-0005-0000-0000-00001D240000}"/>
    <cellStyle name="Heading1 3 2" xfId="9246" xr:uid="{00000000-0005-0000-0000-00001E240000}"/>
    <cellStyle name="Heading1 4" xfId="9247" xr:uid="{00000000-0005-0000-0000-00001F240000}"/>
    <cellStyle name="Heading1 5" xfId="9248" xr:uid="{00000000-0005-0000-0000-000020240000}"/>
    <cellStyle name="Heading2" xfId="9249" xr:uid="{00000000-0005-0000-0000-000021240000}"/>
    <cellStyle name="Heading2 2" xfId="9250" xr:uid="{00000000-0005-0000-0000-000022240000}"/>
    <cellStyle name="Heading2 2 2" xfId="9251" xr:uid="{00000000-0005-0000-0000-000023240000}"/>
    <cellStyle name="Heading2 3" xfId="9252" xr:uid="{00000000-0005-0000-0000-000024240000}"/>
    <cellStyle name="Heading2 3 2" xfId="9253" xr:uid="{00000000-0005-0000-0000-000025240000}"/>
    <cellStyle name="Heading2 4" xfId="9254" xr:uid="{00000000-0005-0000-0000-000026240000}"/>
    <cellStyle name="Heading2 5" xfId="9255" xr:uid="{00000000-0005-0000-0000-000027240000}"/>
    <cellStyle name="HEADINGS" xfId="9256" xr:uid="{00000000-0005-0000-0000-000028240000}"/>
    <cellStyle name="HEADINGS 2" xfId="9257" xr:uid="{00000000-0005-0000-0000-000029240000}"/>
    <cellStyle name="HEADINGS 2 2" xfId="9258" xr:uid="{00000000-0005-0000-0000-00002A240000}"/>
    <cellStyle name="HEADINGS 2 2 2" xfId="9259" xr:uid="{00000000-0005-0000-0000-00002B240000}"/>
    <cellStyle name="HEADINGS 2 3" xfId="9260" xr:uid="{00000000-0005-0000-0000-00002C240000}"/>
    <cellStyle name="HEADINGS 2 3 2" xfId="9261" xr:uid="{00000000-0005-0000-0000-00002D240000}"/>
    <cellStyle name="HEADINGS 2 3 2 2" xfId="9262" xr:uid="{00000000-0005-0000-0000-00002E240000}"/>
    <cellStyle name="HEADINGS 2 3 3" xfId="9263" xr:uid="{00000000-0005-0000-0000-00002F240000}"/>
    <cellStyle name="HEADINGS 2 4" xfId="9264" xr:uid="{00000000-0005-0000-0000-000030240000}"/>
    <cellStyle name="HEADINGS 3" xfId="9265" xr:uid="{00000000-0005-0000-0000-000031240000}"/>
    <cellStyle name="HEADINGS 3 2" xfId="9266" xr:uid="{00000000-0005-0000-0000-000032240000}"/>
    <cellStyle name="HEADINGS 3 2 2" xfId="9267" xr:uid="{00000000-0005-0000-0000-000033240000}"/>
    <cellStyle name="HEADINGS 3 3" xfId="9268" xr:uid="{00000000-0005-0000-0000-000034240000}"/>
    <cellStyle name="HEADINGS 4" xfId="9269" xr:uid="{00000000-0005-0000-0000-000035240000}"/>
    <cellStyle name="HEADINGS 4 2" xfId="9270" xr:uid="{00000000-0005-0000-0000-000036240000}"/>
    <cellStyle name="HEADINGS 4 2 2" xfId="9271" xr:uid="{00000000-0005-0000-0000-000037240000}"/>
    <cellStyle name="HEADINGS 4 3" xfId="9272" xr:uid="{00000000-0005-0000-0000-000038240000}"/>
    <cellStyle name="HEADINGS 5" xfId="9273" xr:uid="{00000000-0005-0000-0000-000039240000}"/>
    <cellStyle name="HEADINGS 5 2" xfId="9274" xr:uid="{00000000-0005-0000-0000-00003A240000}"/>
    <cellStyle name="HEADINGS 6" xfId="9275" xr:uid="{00000000-0005-0000-0000-00003B240000}"/>
    <cellStyle name="HEADINGS 6 2" xfId="9276" xr:uid="{00000000-0005-0000-0000-00003C240000}"/>
    <cellStyle name="HEADINGS 7" xfId="9277" xr:uid="{00000000-0005-0000-0000-00003D240000}"/>
    <cellStyle name="HEADINGSTOP" xfId="9278" xr:uid="{00000000-0005-0000-0000-00003E240000}"/>
    <cellStyle name="HEADINGSTOP 2" xfId="9279" xr:uid="{00000000-0005-0000-0000-00003F240000}"/>
    <cellStyle name="HEADINGSTOP 2 2" xfId="9280" xr:uid="{00000000-0005-0000-0000-000040240000}"/>
    <cellStyle name="HEADINGSTOP 2 2 2" xfId="9281" xr:uid="{00000000-0005-0000-0000-000041240000}"/>
    <cellStyle name="HEADINGSTOP 2 3" xfId="9282" xr:uid="{00000000-0005-0000-0000-000042240000}"/>
    <cellStyle name="HEADINGSTOP 2 3 2" xfId="9283" xr:uid="{00000000-0005-0000-0000-000043240000}"/>
    <cellStyle name="HEADINGSTOP 2 3 2 2" xfId="9284" xr:uid="{00000000-0005-0000-0000-000044240000}"/>
    <cellStyle name="HEADINGSTOP 2 3 3" xfId="9285" xr:uid="{00000000-0005-0000-0000-000045240000}"/>
    <cellStyle name="HEADINGSTOP 2 4" xfId="9286" xr:uid="{00000000-0005-0000-0000-000046240000}"/>
    <cellStyle name="HEADINGSTOP 3" xfId="9287" xr:uid="{00000000-0005-0000-0000-000047240000}"/>
    <cellStyle name="HEADINGSTOP 3 2" xfId="9288" xr:uid="{00000000-0005-0000-0000-000048240000}"/>
    <cellStyle name="HEADINGSTOP 3 2 2" xfId="9289" xr:uid="{00000000-0005-0000-0000-000049240000}"/>
    <cellStyle name="HEADINGSTOP 3 3" xfId="9290" xr:uid="{00000000-0005-0000-0000-00004A240000}"/>
    <cellStyle name="HEADINGSTOP 4" xfId="9291" xr:uid="{00000000-0005-0000-0000-00004B240000}"/>
    <cellStyle name="HEADINGSTOP 4 2" xfId="9292" xr:uid="{00000000-0005-0000-0000-00004C240000}"/>
    <cellStyle name="HEADINGSTOP 4 2 2" xfId="9293" xr:uid="{00000000-0005-0000-0000-00004D240000}"/>
    <cellStyle name="HEADINGSTOP 4 3" xfId="9294" xr:uid="{00000000-0005-0000-0000-00004E240000}"/>
    <cellStyle name="HEADINGSTOP 5" xfId="9295" xr:uid="{00000000-0005-0000-0000-00004F240000}"/>
    <cellStyle name="HEADINGSTOP 5 2" xfId="9296" xr:uid="{00000000-0005-0000-0000-000050240000}"/>
    <cellStyle name="HEADINGSTOP 6" xfId="9297" xr:uid="{00000000-0005-0000-0000-000051240000}"/>
    <cellStyle name="HEADINGSTOP 6 2" xfId="9298" xr:uid="{00000000-0005-0000-0000-000052240000}"/>
    <cellStyle name="HEADINGSTOP 7" xfId="9299" xr:uid="{00000000-0005-0000-0000-000053240000}"/>
    <cellStyle name="Helvetica 12" xfId="9300" xr:uid="{00000000-0005-0000-0000-000054240000}"/>
    <cellStyle name="Helvetica 12 2" xfId="9301" xr:uid="{00000000-0005-0000-0000-000055240000}"/>
    <cellStyle name="Helvetica 12 2 2" xfId="9302" xr:uid="{00000000-0005-0000-0000-000056240000}"/>
    <cellStyle name="Helvetica 12 2 2 2" xfId="9303" xr:uid="{00000000-0005-0000-0000-000057240000}"/>
    <cellStyle name="Helvetica 12 2 3" xfId="9304" xr:uid="{00000000-0005-0000-0000-000058240000}"/>
    <cellStyle name="Helvetica 12 2 3 2" xfId="9305" xr:uid="{00000000-0005-0000-0000-000059240000}"/>
    <cellStyle name="Helvetica 12 2 3 2 2" xfId="9306" xr:uid="{00000000-0005-0000-0000-00005A240000}"/>
    <cellStyle name="Helvetica 12 2 3 3" xfId="9307" xr:uid="{00000000-0005-0000-0000-00005B240000}"/>
    <cellStyle name="Helvetica 12 2 4" xfId="9308" xr:uid="{00000000-0005-0000-0000-00005C240000}"/>
    <cellStyle name="Helvetica 12 3" xfId="9309" xr:uid="{00000000-0005-0000-0000-00005D240000}"/>
    <cellStyle name="Helvetica 12 3 2" xfId="9310" xr:uid="{00000000-0005-0000-0000-00005E240000}"/>
    <cellStyle name="Helvetica 12 3 2 2" xfId="9311" xr:uid="{00000000-0005-0000-0000-00005F240000}"/>
    <cellStyle name="Helvetica 12 3 3" xfId="9312" xr:uid="{00000000-0005-0000-0000-000060240000}"/>
    <cellStyle name="Helvetica 12 4" xfId="9313" xr:uid="{00000000-0005-0000-0000-000061240000}"/>
    <cellStyle name="Helvetica 12 4 2" xfId="9314" xr:uid="{00000000-0005-0000-0000-000062240000}"/>
    <cellStyle name="Helvetica 12 5" xfId="9315" xr:uid="{00000000-0005-0000-0000-000063240000}"/>
    <cellStyle name="Helvetica 12 5 2" xfId="9316" xr:uid="{00000000-0005-0000-0000-000064240000}"/>
    <cellStyle name="Helvetica 12 6" xfId="9317" xr:uid="{00000000-0005-0000-0000-000065240000}"/>
    <cellStyle name="Hidden" xfId="9318" xr:uid="{00000000-0005-0000-0000-000066240000}"/>
    <cellStyle name="Hidden 2" xfId="9319" xr:uid="{00000000-0005-0000-0000-000067240000}"/>
    <cellStyle name="HIGHLIGHT" xfId="9320" xr:uid="{00000000-0005-0000-0000-000068240000}"/>
    <cellStyle name="HIGHLIGHT 2" xfId="9321" xr:uid="{00000000-0005-0000-0000-000069240000}"/>
    <cellStyle name="HIGHLIGHT 2 2" xfId="9322" xr:uid="{00000000-0005-0000-0000-00006A240000}"/>
    <cellStyle name="HIGHLIGHT 2 2 2" xfId="9323" xr:uid="{00000000-0005-0000-0000-00006B240000}"/>
    <cellStyle name="HIGHLIGHT 2 2 2 2" xfId="9324" xr:uid="{00000000-0005-0000-0000-00006C240000}"/>
    <cellStyle name="HIGHLIGHT 2 2 3" xfId="9325" xr:uid="{00000000-0005-0000-0000-00006D240000}"/>
    <cellStyle name="HIGHLIGHT 2 2 3 2" xfId="9326" xr:uid="{00000000-0005-0000-0000-00006E240000}"/>
    <cellStyle name="HIGHLIGHT 2 2 3 2 2" xfId="9327" xr:uid="{00000000-0005-0000-0000-00006F240000}"/>
    <cellStyle name="HIGHLIGHT 2 2 3 3" xfId="9328" xr:uid="{00000000-0005-0000-0000-000070240000}"/>
    <cellStyle name="HIGHLIGHT 2 2 4" xfId="9329" xr:uid="{00000000-0005-0000-0000-000071240000}"/>
    <cellStyle name="HIGHLIGHT 2 3" xfId="9330" xr:uid="{00000000-0005-0000-0000-000072240000}"/>
    <cellStyle name="HIGHLIGHT 2 3 2" xfId="9331" xr:uid="{00000000-0005-0000-0000-000073240000}"/>
    <cellStyle name="HIGHLIGHT 2 4" xfId="9332" xr:uid="{00000000-0005-0000-0000-000074240000}"/>
    <cellStyle name="HIGHLIGHT 3" xfId="9333" xr:uid="{00000000-0005-0000-0000-000075240000}"/>
    <cellStyle name="HIGHLIGHT 3 2" xfId="9334" xr:uid="{00000000-0005-0000-0000-000076240000}"/>
    <cellStyle name="HIGHLIGHT 4" xfId="9335" xr:uid="{00000000-0005-0000-0000-000077240000}"/>
    <cellStyle name="HIGHLIGHT 4 2" xfId="9336" xr:uid="{00000000-0005-0000-0000-000078240000}"/>
    <cellStyle name="HIGHLIGHT 5" xfId="9337" xr:uid="{00000000-0005-0000-0000-000079240000}"/>
    <cellStyle name="highlite" xfId="9338" xr:uid="{00000000-0005-0000-0000-00007A240000}"/>
    <cellStyle name="hilite" xfId="9339" xr:uid="{00000000-0005-0000-0000-00007B240000}"/>
    <cellStyle name="HITLITE" xfId="9340" xr:uid="{00000000-0005-0000-0000-00007C240000}"/>
    <cellStyle name="HITLITE 2" xfId="9341" xr:uid="{00000000-0005-0000-0000-00007D240000}"/>
    <cellStyle name="Hyperlink" xfId="31681" xr:uid="{00000000-0005-0000-0000-0000C47B0000}"/>
    <cellStyle name="Hyperlink 2" xfId="9342" xr:uid="{00000000-0005-0000-0000-00007E240000}"/>
    <cellStyle name="Initial Inputs" xfId="9343" xr:uid="{00000000-0005-0000-0000-00007F240000}"/>
    <cellStyle name="Initial Inputs 2" xfId="9344" xr:uid="{00000000-0005-0000-0000-000080240000}"/>
    <cellStyle name="Input [yellow]" xfId="9345" xr:uid="{00000000-0005-0000-0000-000081240000}"/>
    <cellStyle name="Input [yellow] 2" xfId="9346" xr:uid="{00000000-0005-0000-0000-000082240000}"/>
    <cellStyle name="Input [yellow] 2 2" xfId="34689" xr:uid="{72FA9EFF-9395-476C-9351-EE37BDA505EC}"/>
    <cellStyle name="Input [yellow] 3" xfId="34688" xr:uid="{D8147965-3AD8-4925-A780-CFAC262DB61E}"/>
    <cellStyle name="Input 10" xfId="9347" xr:uid="{00000000-0005-0000-0000-000083240000}"/>
    <cellStyle name="Input 10 2" xfId="9348" xr:uid="{00000000-0005-0000-0000-000084240000}"/>
    <cellStyle name="Input 10 2 2" xfId="9349" xr:uid="{00000000-0005-0000-0000-000085240000}"/>
    <cellStyle name="Input 10 2 2 2" xfId="9350" xr:uid="{00000000-0005-0000-0000-000086240000}"/>
    <cellStyle name="Input 10 2 2 2 2" xfId="34693" xr:uid="{3E26199B-8359-4204-A537-C9B502A6198C}"/>
    <cellStyle name="Input 10 2 2 3" xfId="34692" xr:uid="{36C119F6-23D6-429A-978E-57467006D07E}"/>
    <cellStyle name="Input 10 2 3" xfId="9351" xr:uid="{00000000-0005-0000-0000-000087240000}"/>
    <cellStyle name="Input 10 2 3 2" xfId="34694" xr:uid="{676D3687-68B6-4F25-B252-1C72A354B37E}"/>
    <cellStyle name="Input 10 2 4" xfId="34691" xr:uid="{7E231729-1832-460B-8A2B-B8B729435C53}"/>
    <cellStyle name="Input 10 3" xfId="9352" xr:uid="{00000000-0005-0000-0000-000088240000}"/>
    <cellStyle name="Input 10 3 2" xfId="9353" xr:uid="{00000000-0005-0000-0000-000089240000}"/>
    <cellStyle name="Input 10 3 2 2" xfId="34696" xr:uid="{FC7F0E49-91B6-4394-B3A5-B34A2984CF7C}"/>
    <cellStyle name="Input 10 3 3" xfId="34695" xr:uid="{19AA80BC-F71C-4975-8AD6-3E7F512C4357}"/>
    <cellStyle name="Input 10 4" xfId="9354" xr:uid="{00000000-0005-0000-0000-00008A240000}"/>
    <cellStyle name="Input 10 4 2" xfId="34697" xr:uid="{5A6F8F9B-683A-4C27-8AB0-A20400234C51}"/>
    <cellStyle name="Input 10 5" xfId="34690" xr:uid="{65F22462-863B-48AD-84C3-064F5AE2BF19}"/>
    <cellStyle name="Input 100" xfId="9355" xr:uid="{00000000-0005-0000-0000-00008B240000}"/>
    <cellStyle name="Input 100 2" xfId="9356" xr:uid="{00000000-0005-0000-0000-00008C240000}"/>
    <cellStyle name="Input 100 2 2" xfId="9357" xr:uid="{00000000-0005-0000-0000-00008D240000}"/>
    <cellStyle name="Input 100 2 2 2" xfId="9358" xr:uid="{00000000-0005-0000-0000-00008E240000}"/>
    <cellStyle name="Input 100 2 2 2 2" xfId="34701" xr:uid="{18B2D6B7-F137-40CA-87B2-BE5ED6770B28}"/>
    <cellStyle name="Input 100 2 2 3" xfId="34700" xr:uid="{146A1DE1-8544-4B74-BC47-9C2F7FF5536F}"/>
    <cellStyle name="Input 100 2 3" xfId="9359" xr:uid="{00000000-0005-0000-0000-00008F240000}"/>
    <cellStyle name="Input 100 2 3 2" xfId="34702" xr:uid="{4858261B-26B4-4F49-828D-E758EF3AFE9C}"/>
    <cellStyle name="Input 100 2 4" xfId="34699" xr:uid="{5CE89519-533B-4E90-9E1D-2B47AD718736}"/>
    <cellStyle name="Input 100 3" xfId="9360" xr:uid="{00000000-0005-0000-0000-000090240000}"/>
    <cellStyle name="Input 100 3 2" xfId="9361" xr:uid="{00000000-0005-0000-0000-000091240000}"/>
    <cellStyle name="Input 100 3 2 2" xfId="34704" xr:uid="{65C1948E-1867-40B1-9413-3631E70E1AD9}"/>
    <cellStyle name="Input 100 3 3" xfId="34703" xr:uid="{502BD73B-CD21-4071-AF8B-E6B51D2D4480}"/>
    <cellStyle name="Input 100 4" xfId="9362" xr:uid="{00000000-0005-0000-0000-000092240000}"/>
    <cellStyle name="Input 100 4 2" xfId="34705" xr:uid="{42B7B6AE-0550-4B15-B2D3-8242B68BB72D}"/>
    <cellStyle name="Input 100 5" xfId="34698" xr:uid="{0CA4EA78-9E78-48ED-8C95-0F3E66DE66C5}"/>
    <cellStyle name="Input 101" xfId="9363" xr:uid="{00000000-0005-0000-0000-000093240000}"/>
    <cellStyle name="Input 101 2" xfId="9364" xr:uid="{00000000-0005-0000-0000-000094240000}"/>
    <cellStyle name="Input 101 2 2" xfId="9365" xr:uid="{00000000-0005-0000-0000-000095240000}"/>
    <cellStyle name="Input 101 2 2 2" xfId="9366" xr:uid="{00000000-0005-0000-0000-000096240000}"/>
    <cellStyle name="Input 101 2 2 2 2" xfId="34709" xr:uid="{5C241E38-4C07-4CC7-826B-3754A9B397EA}"/>
    <cellStyle name="Input 101 2 2 3" xfId="34708" xr:uid="{5B420535-8753-4429-AA26-2D4C06EE9D54}"/>
    <cellStyle name="Input 101 2 3" xfId="9367" xr:uid="{00000000-0005-0000-0000-000097240000}"/>
    <cellStyle name="Input 101 2 3 2" xfId="34710" xr:uid="{B9C61242-9E6F-4972-A26B-A0F53652AFB4}"/>
    <cellStyle name="Input 101 2 4" xfId="34707" xr:uid="{0754FD00-F822-4D47-A72D-720B240CF5A3}"/>
    <cellStyle name="Input 101 3" xfId="9368" xr:uid="{00000000-0005-0000-0000-000098240000}"/>
    <cellStyle name="Input 101 3 2" xfId="9369" xr:uid="{00000000-0005-0000-0000-000099240000}"/>
    <cellStyle name="Input 101 3 2 2" xfId="34712" xr:uid="{DA8ACDE9-314F-4592-84A3-283E8FEBB7E3}"/>
    <cellStyle name="Input 101 3 3" xfId="34711" xr:uid="{A8B0A05C-7DD6-414C-B20C-8C93ECB78624}"/>
    <cellStyle name="Input 101 4" xfId="9370" xr:uid="{00000000-0005-0000-0000-00009A240000}"/>
    <cellStyle name="Input 101 4 2" xfId="34713" xr:uid="{E196BBF1-876E-40B4-8C41-F3AC8054A00B}"/>
    <cellStyle name="Input 101 5" xfId="34706" xr:uid="{7CEDC7FD-9F0C-45CE-A3A8-547F694BBD43}"/>
    <cellStyle name="Input 102" xfId="9371" xr:uid="{00000000-0005-0000-0000-00009B240000}"/>
    <cellStyle name="Input 102 2" xfId="9372" xr:uid="{00000000-0005-0000-0000-00009C240000}"/>
    <cellStyle name="Input 102 2 2" xfId="9373" xr:uid="{00000000-0005-0000-0000-00009D240000}"/>
    <cellStyle name="Input 102 2 2 2" xfId="9374" xr:uid="{00000000-0005-0000-0000-00009E240000}"/>
    <cellStyle name="Input 102 2 2 2 2" xfId="9375" xr:uid="{00000000-0005-0000-0000-00009F240000}"/>
    <cellStyle name="Input 102 2 2 2 2 2" xfId="34718" xr:uid="{46BA2F5D-9D5F-47CF-AF5C-BEE5A72B9C1C}"/>
    <cellStyle name="Input 102 2 2 2 3" xfId="34717" xr:uid="{2D96EC45-D6EA-48BD-BD52-65A4DF01F160}"/>
    <cellStyle name="Input 102 2 2 3" xfId="9376" xr:uid="{00000000-0005-0000-0000-0000A0240000}"/>
    <cellStyle name="Input 102 2 2 3 2" xfId="34719" xr:uid="{E1CC7077-C28E-4FDB-8B97-05BBD0820CBF}"/>
    <cellStyle name="Input 102 2 2 4" xfId="34716" xr:uid="{1EA1F131-A998-4AD7-8753-6F7ADD3E2208}"/>
    <cellStyle name="Input 102 2 3" xfId="9377" xr:uid="{00000000-0005-0000-0000-0000A1240000}"/>
    <cellStyle name="Input 102 2 3 2" xfId="9378" xr:uid="{00000000-0005-0000-0000-0000A2240000}"/>
    <cellStyle name="Input 102 2 3 2 2" xfId="34721" xr:uid="{9AA373BD-9872-479A-A693-ECF42F82D1C3}"/>
    <cellStyle name="Input 102 2 3 3" xfId="34720" xr:uid="{B1CDD0CB-0A53-45EF-9ED2-6D6921481D44}"/>
    <cellStyle name="Input 102 2 4" xfId="9379" xr:uid="{00000000-0005-0000-0000-0000A3240000}"/>
    <cellStyle name="Input 102 2 4 2" xfId="34722" xr:uid="{CC57F6EC-BB53-4FE1-9470-E87949978C2F}"/>
    <cellStyle name="Input 102 2 5" xfId="34715" xr:uid="{42FE282C-B630-4AE3-B1A1-ADB1354BC992}"/>
    <cellStyle name="Input 102 3" xfId="9380" xr:uid="{00000000-0005-0000-0000-0000A4240000}"/>
    <cellStyle name="Input 102 3 2" xfId="9381" xr:uid="{00000000-0005-0000-0000-0000A5240000}"/>
    <cellStyle name="Input 102 3 2 2" xfId="9382" xr:uid="{00000000-0005-0000-0000-0000A6240000}"/>
    <cellStyle name="Input 102 3 2 2 2" xfId="34725" xr:uid="{0B07820A-834C-42BB-97AD-37B4CE04FBCC}"/>
    <cellStyle name="Input 102 3 2 3" xfId="34724" xr:uid="{ED107003-F3A5-4191-97E4-BD9F228C300B}"/>
    <cellStyle name="Input 102 3 3" xfId="9383" xr:uid="{00000000-0005-0000-0000-0000A7240000}"/>
    <cellStyle name="Input 102 3 3 2" xfId="34726" xr:uid="{B8582894-44D4-4007-917D-3B0D5D5F0C87}"/>
    <cellStyle name="Input 102 3 4" xfId="34723" xr:uid="{223DF02F-5520-435D-B9F0-5CEE2849AA58}"/>
    <cellStyle name="Input 102 4" xfId="9384" xr:uid="{00000000-0005-0000-0000-0000A8240000}"/>
    <cellStyle name="Input 102 4 2" xfId="9385" xr:uid="{00000000-0005-0000-0000-0000A9240000}"/>
    <cellStyle name="Input 102 4 2 2" xfId="34728" xr:uid="{2DE62F0C-026D-4049-B5F4-231D38D1AD05}"/>
    <cellStyle name="Input 102 4 3" xfId="34727" xr:uid="{CE912E02-6F31-46BD-9915-7CC9F6CAE826}"/>
    <cellStyle name="Input 102 5" xfId="9386" xr:uid="{00000000-0005-0000-0000-0000AA240000}"/>
    <cellStyle name="Input 102 5 2" xfId="34729" xr:uid="{97AF0E33-40A4-4919-9F0B-3BC643E9DBF3}"/>
    <cellStyle name="Input 102 6" xfId="34714" xr:uid="{CAA83104-5939-414E-8E05-12370DBA839C}"/>
    <cellStyle name="Input 103" xfId="9387" xr:uid="{00000000-0005-0000-0000-0000AB240000}"/>
    <cellStyle name="Input 103 2" xfId="9388" xr:uid="{00000000-0005-0000-0000-0000AC240000}"/>
    <cellStyle name="Input 103 2 2" xfId="9389" xr:uid="{00000000-0005-0000-0000-0000AD240000}"/>
    <cellStyle name="Input 103 2 2 2" xfId="9390" xr:uid="{00000000-0005-0000-0000-0000AE240000}"/>
    <cellStyle name="Input 103 2 2 2 2" xfId="9391" xr:uid="{00000000-0005-0000-0000-0000AF240000}"/>
    <cellStyle name="Input 103 2 2 2 2 2" xfId="34734" xr:uid="{16E4189B-4B25-4BD5-AF05-CC61E83A7038}"/>
    <cellStyle name="Input 103 2 2 2 3" xfId="34733" xr:uid="{CB3581A4-4F4E-4A31-9831-E3D13A57B201}"/>
    <cellStyle name="Input 103 2 2 3" xfId="9392" xr:uid="{00000000-0005-0000-0000-0000B0240000}"/>
    <cellStyle name="Input 103 2 2 3 2" xfId="34735" xr:uid="{E394F6E8-F652-44F3-9EA5-E62DE04DF972}"/>
    <cellStyle name="Input 103 2 2 4" xfId="34732" xr:uid="{B20FB10B-DFD9-4B77-AED6-7A7613605E10}"/>
    <cellStyle name="Input 103 2 3" xfId="9393" xr:uid="{00000000-0005-0000-0000-0000B1240000}"/>
    <cellStyle name="Input 103 2 3 2" xfId="9394" xr:uid="{00000000-0005-0000-0000-0000B2240000}"/>
    <cellStyle name="Input 103 2 3 2 2" xfId="34737" xr:uid="{0613D224-0EFD-4E17-BEEC-8DE2617137A3}"/>
    <cellStyle name="Input 103 2 3 3" xfId="34736" xr:uid="{A241E2B4-FA2A-456A-A36B-BDDE1350DB29}"/>
    <cellStyle name="Input 103 2 4" xfId="9395" xr:uid="{00000000-0005-0000-0000-0000B3240000}"/>
    <cellStyle name="Input 103 2 4 2" xfId="34738" xr:uid="{D3FC352F-DD14-4A54-A974-E433683C6EA7}"/>
    <cellStyle name="Input 103 2 5" xfId="34731" xr:uid="{54E7DC13-E4DF-445D-90D4-2D6AF19E2D53}"/>
    <cellStyle name="Input 103 3" xfId="9396" xr:uid="{00000000-0005-0000-0000-0000B4240000}"/>
    <cellStyle name="Input 103 3 2" xfId="9397" xr:uid="{00000000-0005-0000-0000-0000B5240000}"/>
    <cellStyle name="Input 103 3 2 2" xfId="9398" xr:uid="{00000000-0005-0000-0000-0000B6240000}"/>
    <cellStyle name="Input 103 3 2 2 2" xfId="34741" xr:uid="{41CEE355-2484-4DC0-85A7-5B81C5A2C237}"/>
    <cellStyle name="Input 103 3 2 3" xfId="34740" xr:uid="{05C81B30-C1F2-4F8D-A19E-3A494B84D788}"/>
    <cellStyle name="Input 103 3 3" xfId="9399" xr:uid="{00000000-0005-0000-0000-0000B7240000}"/>
    <cellStyle name="Input 103 3 3 2" xfId="34742" xr:uid="{91283CC1-0066-4CD9-9D66-7BD2A1163159}"/>
    <cellStyle name="Input 103 3 4" xfId="34739" xr:uid="{A8995408-C5BC-44DF-BD9A-4CD0BF4C23C0}"/>
    <cellStyle name="Input 103 4" xfId="9400" xr:uid="{00000000-0005-0000-0000-0000B8240000}"/>
    <cellStyle name="Input 103 4 2" xfId="9401" xr:uid="{00000000-0005-0000-0000-0000B9240000}"/>
    <cellStyle name="Input 103 4 2 2" xfId="34744" xr:uid="{B2E39CB0-D9E4-4E44-8D8D-FF52FD62510C}"/>
    <cellStyle name="Input 103 4 3" xfId="34743" xr:uid="{834FE4E7-F7A5-4B3B-BA49-D35958E2AB0E}"/>
    <cellStyle name="Input 103 5" xfId="9402" xr:uid="{00000000-0005-0000-0000-0000BA240000}"/>
    <cellStyle name="Input 103 5 2" xfId="34745" xr:uid="{1539770B-FB17-421A-BF83-0CBD43F3125F}"/>
    <cellStyle name="Input 103 6" xfId="34730" xr:uid="{F36E67C2-3C91-4939-ACC8-E38233C63630}"/>
    <cellStyle name="Input 104" xfId="9403" xr:uid="{00000000-0005-0000-0000-0000BB240000}"/>
    <cellStyle name="Input 104 2" xfId="9404" xr:uid="{00000000-0005-0000-0000-0000BC240000}"/>
    <cellStyle name="Input 104 2 2" xfId="9405" xr:uid="{00000000-0005-0000-0000-0000BD240000}"/>
    <cellStyle name="Input 104 2 2 2" xfId="9406" xr:uid="{00000000-0005-0000-0000-0000BE240000}"/>
    <cellStyle name="Input 104 2 2 2 2" xfId="9407" xr:uid="{00000000-0005-0000-0000-0000BF240000}"/>
    <cellStyle name="Input 104 2 2 2 2 2" xfId="9408" xr:uid="{00000000-0005-0000-0000-0000C0240000}"/>
    <cellStyle name="Input 104 2 2 2 2 2 2" xfId="34751" xr:uid="{E3A1B25C-9CE4-40C1-B6B3-CA947BFE1967}"/>
    <cellStyle name="Input 104 2 2 2 2 3" xfId="34750" xr:uid="{6C4CEAB8-6CFC-483F-BC37-3053CB8BE019}"/>
    <cellStyle name="Input 104 2 2 2 3" xfId="9409" xr:uid="{00000000-0005-0000-0000-0000C1240000}"/>
    <cellStyle name="Input 104 2 2 2 3 2" xfId="34752" xr:uid="{5866AB9F-BE24-40FC-A3B6-780AB5EE92FE}"/>
    <cellStyle name="Input 104 2 2 2 4" xfId="34749" xr:uid="{75FCA14A-5546-4CF2-9F12-ABB7429A0B65}"/>
    <cellStyle name="Input 104 2 2 3" xfId="9410" xr:uid="{00000000-0005-0000-0000-0000C2240000}"/>
    <cellStyle name="Input 104 2 2 3 2" xfId="9411" xr:uid="{00000000-0005-0000-0000-0000C3240000}"/>
    <cellStyle name="Input 104 2 2 3 2 2" xfId="34754" xr:uid="{519E4802-9F6E-4F7C-BCA3-006C6A75674A}"/>
    <cellStyle name="Input 104 2 2 3 3" xfId="34753" xr:uid="{F4888199-12D9-4FE8-A9DB-B7BE4219407D}"/>
    <cellStyle name="Input 104 2 2 4" xfId="9412" xr:uid="{00000000-0005-0000-0000-0000C4240000}"/>
    <cellStyle name="Input 104 2 2 4 2" xfId="34755" xr:uid="{060FB284-6559-4899-B470-791757460751}"/>
    <cellStyle name="Input 104 2 2 5" xfId="34748" xr:uid="{1F77E26A-7DA6-4F57-95CB-191763FB1D97}"/>
    <cellStyle name="Input 104 2 3" xfId="9413" xr:uid="{00000000-0005-0000-0000-0000C5240000}"/>
    <cellStyle name="Input 104 2 3 2" xfId="9414" xr:uid="{00000000-0005-0000-0000-0000C6240000}"/>
    <cellStyle name="Input 104 2 3 2 2" xfId="9415" xr:uid="{00000000-0005-0000-0000-0000C7240000}"/>
    <cellStyle name="Input 104 2 3 2 2 2" xfId="34758" xr:uid="{815E3D9C-8184-4BAD-845C-CDDF5A5DC3EB}"/>
    <cellStyle name="Input 104 2 3 2 3" xfId="34757" xr:uid="{BC0B8AC5-8578-47EC-816A-A897CCE14DC7}"/>
    <cellStyle name="Input 104 2 3 3" xfId="9416" xr:uid="{00000000-0005-0000-0000-0000C8240000}"/>
    <cellStyle name="Input 104 2 3 3 2" xfId="34759" xr:uid="{C6124596-4335-4BC5-B9FD-86AE3184608D}"/>
    <cellStyle name="Input 104 2 3 4" xfId="34756" xr:uid="{99CD08F2-3D06-4FD1-8631-086C2A01369F}"/>
    <cellStyle name="Input 104 2 4" xfId="9417" xr:uid="{00000000-0005-0000-0000-0000C9240000}"/>
    <cellStyle name="Input 104 2 4 2" xfId="9418" xr:uid="{00000000-0005-0000-0000-0000CA240000}"/>
    <cellStyle name="Input 104 2 4 2 2" xfId="34761" xr:uid="{EE67B0F6-9DCE-4F4A-8519-49D6F1079556}"/>
    <cellStyle name="Input 104 2 4 3" xfId="34760" xr:uid="{45128DB3-523B-4C98-88D5-9A393ECA9267}"/>
    <cellStyle name="Input 104 2 5" xfId="9419" xr:uid="{00000000-0005-0000-0000-0000CB240000}"/>
    <cellStyle name="Input 104 2 5 2" xfId="34762" xr:uid="{F436DD33-C69D-4594-9CF1-8B102384F38E}"/>
    <cellStyle name="Input 104 2 6" xfId="34747" xr:uid="{8D88B00B-6C21-4A64-B69A-C2C712E0A677}"/>
    <cellStyle name="Input 104 3" xfId="9420" xr:uid="{00000000-0005-0000-0000-0000CC240000}"/>
    <cellStyle name="Input 104 3 2" xfId="9421" xr:uid="{00000000-0005-0000-0000-0000CD240000}"/>
    <cellStyle name="Input 104 3 2 2" xfId="9422" xr:uid="{00000000-0005-0000-0000-0000CE240000}"/>
    <cellStyle name="Input 104 3 2 2 2" xfId="9423" xr:uid="{00000000-0005-0000-0000-0000CF240000}"/>
    <cellStyle name="Input 104 3 2 2 2 2" xfId="34766" xr:uid="{27FA367D-93D5-46C5-BAEB-316A5499CE4D}"/>
    <cellStyle name="Input 104 3 2 2 3" xfId="34765" xr:uid="{8F9D3482-7806-4EC1-A405-587B19EA2645}"/>
    <cellStyle name="Input 104 3 2 3" xfId="9424" xr:uid="{00000000-0005-0000-0000-0000D0240000}"/>
    <cellStyle name="Input 104 3 2 3 2" xfId="34767" xr:uid="{0661EAD5-6459-47D8-8787-BDBE1C0F9ACD}"/>
    <cellStyle name="Input 104 3 2 4" xfId="34764" xr:uid="{0B75130C-3ED6-495E-845E-010866273F6D}"/>
    <cellStyle name="Input 104 3 3" xfId="9425" xr:uid="{00000000-0005-0000-0000-0000D1240000}"/>
    <cellStyle name="Input 104 3 3 2" xfId="9426" xr:uid="{00000000-0005-0000-0000-0000D2240000}"/>
    <cellStyle name="Input 104 3 3 2 2" xfId="34769" xr:uid="{FD745C78-6C6C-4AEC-B446-C852C49F43A1}"/>
    <cellStyle name="Input 104 3 3 3" xfId="34768" xr:uid="{18399EA6-D6B7-4E26-9EE9-14F016104F4A}"/>
    <cellStyle name="Input 104 3 4" xfId="9427" xr:uid="{00000000-0005-0000-0000-0000D3240000}"/>
    <cellStyle name="Input 104 3 4 2" xfId="34770" xr:uid="{DA9ABC6C-BBFE-4D4A-A750-952C5C35A0DE}"/>
    <cellStyle name="Input 104 3 5" xfId="34763" xr:uid="{9BE1B13B-F9E1-4220-BCB7-C60A68E5CE79}"/>
    <cellStyle name="Input 104 4" xfId="9428" xr:uid="{00000000-0005-0000-0000-0000D4240000}"/>
    <cellStyle name="Input 104 4 2" xfId="9429" xr:uid="{00000000-0005-0000-0000-0000D5240000}"/>
    <cellStyle name="Input 104 4 2 2" xfId="9430" xr:uid="{00000000-0005-0000-0000-0000D6240000}"/>
    <cellStyle name="Input 104 4 2 2 2" xfId="34773" xr:uid="{8BA70A20-D7EA-40DF-8A38-622533A10D63}"/>
    <cellStyle name="Input 104 4 2 3" xfId="34772" xr:uid="{F38DB8DD-F0F2-4A93-A037-8931EF002CF6}"/>
    <cellStyle name="Input 104 4 3" xfId="9431" xr:uid="{00000000-0005-0000-0000-0000D7240000}"/>
    <cellStyle name="Input 104 4 3 2" xfId="34774" xr:uid="{5307BA9F-EDBD-425B-8176-F22BD7DD4BFC}"/>
    <cellStyle name="Input 104 4 4" xfId="34771" xr:uid="{A9D490B1-8B4C-4493-A73F-84A2EA367E2C}"/>
    <cellStyle name="Input 104 5" xfId="9432" xr:uid="{00000000-0005-0000-0000-0000D8240000}"/>
    <cellStyle name="Input 104 5 2" xfId="9433" xr:uid="{00000000-0005-0000-0000-0000D9240000}"/>
    <cellStyle name="Input 104 5 2 2" xfId="34776" xr:uid="{0AC585B3-22CA-4050-9DD1-A192CB8F9F7D}"/>
    <cellStyle name="Input 104 5 3" xfId="34775" xr:uid="{FCCF654A-F24B-4AD4-BFAC-E8C650036A50}"/>
    <cellStyle name="Input 104 6" xfId="9434" xr:uid="{00000000-0005-0000-0000-0000DA240000}"/>
    <cellStyle name="Input 104 6 2" xfId="34777" xr:uid="{C790890D-D7E8-4DC6-8BE2-9BA1564CBB53}"/>
    <cellStyle name="Input 104 7" xfId="34746" xr:uid="{08C33362-47F4-4A5F-88B3-A23B88F4FBF8}"/>
    <cellStyle name="Input 105" xfId="9435" xr:uid="{00000000-0005-0000-0000-0000DB240000}"/>
    <cellStyle name="Input 105 2" xfId="9436" xr:uid="{00000000-0005-0000-0000-0000DC240000}"/>
    <cellStyle name="Input 105 2 2" xfId="9437" xr:uid="{00000000-0005-0000-0000-0000DD240000}"/>
    <cellStyle name="Input 105 2 2 2" xfId="9438" xr:uid="{00000000-0005-0000-0000-0000DE240000}"/>
    <cellStyle name="Input 105 2 2 2 2" xfId="34781" xr:uid="{87F00DA7-AA95-48C5-AE41-AD6BF32AD7DD}"/>
    <cellStyle name="Input 105 2 2 3" xfId="34780" xr:uid="{E042C5F0-6F4C-4821-9729-0D7883453667}"/>
    <cellStyle name="Input 105 2 3" xfId="9439" xr:uid="{00000000-0005-0000-0000-0000DF240000}"/>
    <cellStyle name="Input 105 2 3 2" xfId="34782" xr:uid="{5E82F465-DFEA-4228-9685-7E68E877CEC0}"/>
    <cellStyle name="Input 105 2 4" xfId="34779" xr:uid="{C70C9A6D-DEE3-44FA-A5BF-5D3AD1061F4C}"/>
    <cellStyle name="Input 105 3" xfId="9440" xr:uid="{00000000-0005-0000-0000-0000E0240000}"/>
    <cellStyle name="Input 105 3 2" xfId="9441" xr:uid="{00000000-0005-0000-0000-0000E1240000}"/>
    <cellStyle name="Input 105 3 2 2" xfId="34784" xr:uid="{B918C864-AD19-4825-BC2A-E76D27A97E5E}"/>
    <cellStyle name="Input 105 3 3" xfId="34783" xr:uid="{B3A7DB55-62E4-496E-845D-6CB4D530F745}"/>
    <cellStyle name="Input 105 4" xfId="9442" xr:uid="{00000000-0005-0000-0000-0000E2240000}"/>
    <cellStyle name="Input 105 4 2" xfId="34785" xr:uid="{E1B582CB-E31B-4E5E-8DE5-575400AA903B}"/>
    <cellStyle name="Input 105 5" xfId="34778" xr:uid="{CFBB0C04-408A-454F-89FF-EA978AB68B0D}"/>
    <cellStyle name="Input 106" xfId="9443" xr:uid="{00000000-0005-0000-0000-0000E3240000}"/>
    <cellStyle name="Input 106 2" xfId="9444" xr:uid="{00000000-0005-0000-0000-0000E4240000}"/>
    <cellStyle name="Input 106 2 2" xfId="9445" xr:uid="{00000000-0005-0000-0000-0000E5240000}"/>
    <cellStyle name="Input 106 2 2 2" xfId="9446" xr:uid="{00000000-0005-0000-0000-0000E6240000}"/>
    <cellStyle name="Input 106 2 2 2 2" xfId="34789" xr:uid="{291E55D7-1CDA-42A4-AAAF-51E65019667A}"/>
    <cellStyle name="Input 106 2 2 3" xfId="34788" xr:uid="{93CDE50B-A0F4-4BC1-8E6B-C76924AC90DB}"/>
    <cellStyle name="Input 106 2 3" xfId="9447" xr:uid="{00000000-0005-0000-0000-0000E7240000}"/>
    <cellStyle name="Input 106 2 3 2" xfId="34790" xr:uid="{8419099C-6DD0-47E2-AFD7-5C8D8D820CD3}"/>
    <cellStyle name="Input 106 2 4" xfId="34787" xr:uid="{A3CF1F75-7636-4830-A825-F2D8AFBB0A36}"/>
    <cellStyle name="Input 106 3" xfId="9448" xr:uid="{00000000-0005-0000-0000-0000E8240000}"/>
    <cellStyle name="Input 106 3 2" xfId="9449" xr:uid="{00000000-0005-0000-0000-0000E9240000}"/>
    <cellStyle name="Input 106 3 2 2" xfId="34792" xr:uid="{E642BB08-7DD5-4AE4-A8A0-0A5B7F6245AF}"/>
    <cellStyle name="Input 106 3 3" xfId="34791" xr:uid="{B13E6ACA-AA39-47BA-BB00-59284369F51A}"/>
    <cellStyle name="Input 106 4" xfId="9450" xr:uid="{00000000-0005-0000-0000-0000EA240000}"/>
    <cellStyle name="Input 106 4 2" xfId="34793" xr:uid="{5C982C18-57F8-4D03-A33B-561C30DBC06B}"/>
    <cellStyle name="Input 106 5" xfId="34786" xr:uid="{1DE7EDD2-5043-4D5A-AED2-FED77B01CFBC}"/>
    <cellStyle name="Input 107" xfId="9451" xr:uid="{00000000-0005-0000-0000-0000EB240000}"/>
    <cellStyle name="Input 107 2" xfId="9452" xr:uid="{00000000-0005-0000-0000-0000EC240000}"/>
    <cellStyle name="Input 107 2 2" xfId="9453" xr:uid="{00000000-0005-0000-0000-0000ED240000}"/>
    <cellStyle name="Input 107 2 2 2" xfId="9454" xr:uid="{00000000-0005-0000-0000-0000EE240000}"/>
    <cellStyle name="Input 107 2 2 2 2" xfId="34797" xr:uid="{E4B3E8FD-9BCC-4A2E-921A-74B63935EC8E}"/>
    <cellStyle name="Input 107 2 2 3" xfId="34796" xr:uid="{F3937F06-3A30-4976-8489-4155A2926C58}"/>
    <cellStyle name="Input 107 2 3" xfId="9455" xr:uid="{00000000-0005-0000-0000-0000EF240000}"/>
    <cellStyle name="Input 107 2 3 2" xfId="34798" xr:uid="{38AE9450-EEED-4F6F-8F6B-AFFE474FF37B}"/>
    <cellStyle name="Input 107 2 4" xfId="34795" xr:uid="{D196F465-42A9-42A5-A246-B09F3C2E3FCF}"/>
    <cellStyle name="Input 107 3" xfId="9456" xr:uid="{00000000-0005-0000-0000-0000F0240000}"/>
    <cellStyle name="Input 107 3 2" xfId="9457" xr:uid="{00000000-0005-0000-0000-0000F1240000}"/>
    <cellStyle name="Input 107 3 2 2" xfId="34800" xr:uid="{2EFE6069-D4EE-4624-913E-8FB0D5230EDF}"/>
    <cellStyle name="Input 107 3 3" xfId="34799" xr:uid="{7E3DBCB3-1FF0-4274-972C-B44FFB0A7848}"/>
    <cellStyle name="Input 107 4" xfId="9458" xr:uid="{00000000-0005-0000-0000-0000F2240000}"/>
    <cellStyle name="Input 107 4 2" xfId="34801" xr:uid="{20096942-6A3B-4959-8320-6AECDD115B0F}"/>
    <cellStyle name="Input 107 5" xfId="34794" xr:uid="{D22762C9-D03E-4EBA-80F3-A0EBA8282DCD}"/>
    <cellStyle name="Input 108" xfId="9459" xr:uid="{00000000-0005-0000-0000-0000F3240000}"/>
    <cellStyle name="Input 108 2" xfId="9460" xr:uid="{00000000-0005-0000-0000-0000F4240000}"/>
    <cellStyle name="Input 108 2 2" xfId="9461" xr:uid="{00000000-0005-0000-0000-0000F5240000}"/>
    <cellStyle name="Input 108 2 2 2" xfId="9462" xr:uid="{00000000-0005-0000-0000-0000F6240000}"/>
    <cellStyle name="Input 108 2 2 2 2" xfId="9463" xr:uid="{00000000-0005-0000-0000-0000F7240000}"/>
    <cellStyle name="Input 108 2 2 2 2 2" xfId="9464" xr:uid="{00000000-0005-0000-0000-0000F8240000}"/>
    <cellStyle name="Input 108 2 2 2 2 2 2" xfId="34807" xr:uid="{1A1324F9-23E5-4F56-BE20-CE4DA8395BCE}"/>
    <cellStyle name="Input 108 2 2 2 2 3" xfId="34806" xr:uid="{6A3EF275-586A-499B-AD97-13C4A67CFBAF}"/>
    <cellStyle name="Input 108 2 2 2 3" xfId="9465" xr:uid="{00000000-0005-0000-0000-0000F9240000}"/>
    <cellStyle name="Input 108 2 2 2 3 2" xfId="34808" xr:uid="{A51F4A2B-D1F8-4589-97BC-4AA2E8ECB4FB}"/>
    <cellStyle name="Input 108 2 2 2 4" xfId="34805" xr:uid="{B0CFDCCB-36DE-4FB2-80CB-EC1557BB35FC}"/>
    <cellStyle name="Input 108 2 2 3" xfId="9466" xr:uid="{00000000-0005-0000-0000-0000FA240000}"/>
    <cellStyle name="Input 108 2 2 3 2" xfId="9467" xr:uid="{00000000-0005-0000-0000-0000FB240000}"/>
    <cellStyle name="Input 108 2 2 3 2 2" xfId="34810" xr:uid="{4DAACE30-F737-4DCA-BA0B-E3CC25DBD0C9}"/>
    <cellStyle name="Input 108 2 2 3 3" xfId="34809" xr:uid="{088C6FA5-FDFC-4122-82C7-81198E1B2C83}"/>
    <cellStyle name="Input 108 2 2 4" xfId="9468" xr:uid="{00000000-0005-0000-0000-0000FC240000}"/>
    <cellStyle name="Input 108 2 2 4 2" xfId="34811" xr:uid="{A2C0D96B-5C05-4F33-A89E-046CA11F610A}"/>
    <cellStyle name="Input 108 2 2 5" xfId="34804" xr:uid="{06B7D6CF-B5BB-433B-893B-BA84CCD97C54}"/>
    <cellStyle name="Input 108 2 3" xfId="9469" xr:uid="{00000000-0005-0000-0000-0000FD240000}"/>
    <cellStyle name="Input 108 2 3 2" xfId="9470" xr:uid="{00000000-0005-0000-0000-0000FE240000}"/>
    <cellStyle name="Input 108 2 3 2 2" xfId="9471" xr:uid="{00000000-0005-0000-0000-0000FF240000}"/>
    <cellStyle name="Input 108 2 3 2 2 2" xfId="34814" xr:uid="{F7D9C602-1976-4AE9-83E8-2A3BAA22A034}"/>
    <cellStyle name="Input 108 2 3 2 3" xfId="34813" xr:uid="{5146FA76-FAD4-40CA-8A76-52821B0EF67F}"/>
    <cellStyle name="Input 108 2 3 3" xfId="9472" xr:uid="{00000000-0005-0000-0000-000000250000}"/>
    <cellStyle name="Input 108 2 3 3 2" xfId="34815" xr:uid="{BF5012CA-13C7-4F28-A876-F012E18F948D}"/>
    <cellStyle name="Input 108 2 3 4" xfId="34812" xr:uid="{B74E7E91-0B5C-4794-9442-C7329EBDF9AF}"/>
    <cellStyle name="Input 108 2 4" xfId="9473" xr:uid="{00000000-0005-0000-0000-000001250000}"/>
    <cellStyle name="Input 108 2 4 2" xfId="9474" xr:uid="{00000000-0005-0000-0000-000002250000}"/>
    <cellStyle name="Input 108 2 4 2 2" xfId="34817" xr:uid="{C5CC4B85-8DB5-4F20-AE6B-8E7A392C5C93}"/>
    <cellStyle name="Input 108 2 4 3" xfId="34816" xr:uid="{382ED5B1-6A7D-4473-ABE1-2495BDC07565}"/>
    <cellStyle name="Input 108 2 5" xfId="9475" xr:uid="{00000000-0005-0000-0000-000003250000}"/>
    <cellStyle name="Input 108 2 5 2" xfId="34818" xr:uid="{B8CCB221-DBE8-4050-9357-D28BF9D3B94D}"/>
    <cellStyle name="Input 108 2 6" xfId="34803" xr:uid="{2E4C97CB-E2D8-45F0-8692-757C5FD0C73D}"/>
    <cellStyle name="Input 108 3" xfId="9476" xr:uid="{00000000-0005-0000-0000-000004250000}"/>
    <cellStyle name="Input 108 3 2" xfId="9477" xr:uid="{00000000-0005-0000-0000-000005250000}"/>
    <cellStyle name="Input 108 3 2 2" xfId="9478" xr:uid="{00000000-0005-0000-0000-000006250000}"/>
    <cellStyle name="Input 108 3 2 2 2" xfId="9479" xr:uid="{00000000-0005-0000-0000-000007250000}"/>
    <cellStyle name="Input 108 3 2 2 2 2" xfId="34822" xr:uid="{01367836-47B2-47AE-AC42-C74B316EE40C}"/>
    <cellStyle name="Input 108 3 2 2 3" xfId="34821" xr:uid="{0EFFE7E5-4FBB-42F5-9008-E42DA51655A4}"/>
    <cellStyle name="Input 108 3 2 3" xfId="9480" xr:uid="{00000000-0005-0000-0000-000008250000}"/>
    <cellStyle name="Input 108 3 2 3 2" xfId="34823" xr:uid="{AA374DFB-07A3-40AD-A939-6CB5633638C4}"/>
    <cellStyle name="Input 108 3 2 4" xfId="34820" xr:uid="{8D06F8B2-0A79-4717-8592-3C2C3A59CD84}"/>
    <cellStyle name="Input 108 3 3" xfId="9481" xr:uid="{00000000-0005-0000-0000-000009250000}"/>
    <cellStyle name="Input 108 3 3 2" xfId="9482" xr:uid="{00000000-0005-0000-0000-00000A250000}"/>
    <cellStyle name="Input 108 3 3 2 2" xfId="34825" xr:uid="{2452CDF3-95E4-49B8-8599-D69A5803A319}"/>
    <cellStyle name="Input 108 3 3 3" xfId="34824" xr:uid="{3177B771-C1FC-458A-B40D-63564A02125E}"/>
    <cellStyle name="Input 108 3 4" xfId="9483" xr:uid="{00000000-0005-0000-0000-00000B250000}"/>
    <cellStyle name="Input 108 3 4 2" xfId="34826" xr:uid="{06B31145-ACCE-45E3-BE9A-EA339DD3E16F}"/>
    <cellStyle name="Input 108 3 5" xfId="34819" xr:uid="{C301F793-F6CF-4EE0-9596-91734E2B21D2}"/>
    <cellStyle name="Input 108 4" xfId="9484" xr:uid="{00000000-0005-0000-0000-00000C250000}"/>
    <cellStyle name="Input 108 4 2" xfId="9485" xr:uid="{00000000-0005-0000-0000-00000D250000}"/>
    <cellStyle name="Input 108 4 2 2" xfId="9486" xr:uid="{00000000-0005-0000-0000-00000E250000}"/>
    <cellStyle name="Input 108 4 2 2 2" xfId="34829" xr:uid="{7C1FFA28-70AD-409A-BADA-12E124A6CFA1}"/>
    <cellStyle name="Input 108 4 2 3" xfId="34828" xr:uid="{E8D34A28-3C5F-4D6B-9210-BD45E8523637}"/>
    <cellStyle name="Input 108 4 3" xfId="9487" xr:uid="{00000000-0005-0000-0000-00000F250000}"/>
    <cellStyle name="Input 108 4 3 2" xfId="34830" xr:uid="{850C4166-6922-4B4C-9204-AD551E6C04D3}"/>
    <cellStyle name="Input 108 4 4" xfId="34827" xr:uid="{F1867562-C0C2-4D80-ADBE-FDE10DF3709D}"/>
    <cellStyle name="Input 108 5" xfId="9488" xr:uid="{00000000-0005-0000-0000-000010250000}"/>
    <cellStyle name="Input 108 5 2" xfId="9489" xr:uid="{00000000-0005-0000-0000-000011250000}"/>
    <cellStyle name="Input 108 5 2 2" xfId="34832" xr:uid="{4686038F-4C8B-4592-8B14-2A77D6F2D76D}"/>
    <cellStyle name="Input 108 5 3" xfId="34831" xr:uid="{67CED56C-EA69-4157-B92C-C788568AE828}"/>
    <cellStyle name="Input 108 6" xfId="9490" xr:uid="{00000000-0005-0000-0000-000012250000}"/>
    <cellStyle name="Input 108 6 2" xfId="34833" xr:uid="{8080D8C1-CB26-4FDA-AED9-497FDA6B78FF}"/>
    <cellStyle name="Input 108 7" xfId="34802" xr:uid="{773A7DB6-23A8-4DB9-85FF-D93D0C386CE4}"/>
    <cellStyle name="Input 109" xfId="9491" xr:uid="{00000000-0005-0000-0000-000013250000}"/>
    <cellStyle name="Input 109 2" xfId="9492" xr:uid="{00000000-0005-0000-0000-000014250000}"/>
    <cellStyle name="Input 109 2 2" xfId="9493" xr:uid="{00000000-0005-0000-0000-000015250000}"/>
    <cellStyle name="Input 109 2 2 2" xfId="9494" xr:uid="{00000000-0005-0000-0000-000016250000}"/>
    <cellStyle name="Input 109 2 2 2 2" xfId="9495" xr:uid="{00000000-0005-0000-0000-000017250000}"/>
    <cellStyle name="Input 109 2 2 2 2 2" xfId="9496" xr:uid="{00000000-0005-0000-0000-000018250000}"/>
    <cellStyle name="Input 109 2 2 2 2 2 2" xfId="34839" xr:uid="{4454A29C-06D1-4A1F-9584-023C22D6DCDB}"/>
    <cellStyle name="Input 109 2 2 2 2 3" xfId="34838" xr:uid="{151E729D-3FBA-4990-B017-9B4EFF88D4C2}"/>
    <cellStyle name="Input 109 2 2 2 3" xfId="9497" xr:uid="{00000000-0005-0000-0000-000019250000}"/>
    <cellStyle name="Input 109 2 2 2 3 2" xfId="34840" xr:uid="{344EE671-112D-456D-B4C2-945018B9EA2B}"/>
    <cellStyle name="Input 109 2 2 2 4" xfId="34837" xr:uid="{3ED065B3-1D1F-45A3-8DB1-5D0FDC6291D8}"/>
    <cellStyle name="Input 109 2 2 3" xfId="9498" xr:uid="{00000000-0005-0000-0000-00001A250000}"/>
    <cellStyle name="Input 109 2 2 3 2" xfId="9499" xr:uid="{00000000-0005-0000-0000-00001B250000}"/>
    <cellStyle name="Input 109 2 2 3 2 2" xfId="34842" xr:uid="{9F677622-1527-4AD4-BA95-65758798CECF}"/>
    <cellStyle name="Input 109 2 2 3 3" xfId="34841" xr:uid="{4FFEF8AB-345D-400C-BF64-3AAF9D3D5E93}"/>
    <cellStyle name="Input 109 2 2 4" xfId="9500" xr:uid="{00000000-0005-0000-0000-00001C250000}"/>
    <cellStyle name="Input 109 2 2 4 2" xfId="34843" xr:uid="{B4FFC3A5-229D-42D5-8F60-6D41CA6BF5AD}"/>
    <cellStyle name="Input 109 2 2 5" xfId="34836" xr:uid="{BE820A98-6D82-4CB6-8376-77C39D3F18B6}"/>
    <cellStyle name="Input 109 2 3" xfId="9501" xr:uid="{00000000-0005-0000-0000-00001D250000}"/>
    <cellStyle name="Input 109 2 3 2" xfId="9502" xr:uid="{00000000-0005-0000-0000-00001E250000}"/>
    <cellStyle name="Input 109 2 3 2 2" xfId="9503" xr:uid="{00000000-0005-0000-0000-00001F250000}"/>
    <cellStyle name="Input 109 2 3 2 2 2" xfId="34846" xr:uid="{48D6E9C1-9506-4D68-B5DB-3D9636599CA6}"/>
    <cellStyle name="Input 109 2 3 2 3" xfId="34845" xr:uid="{F2C89618-7B88-4B4A-BD4C-CB4D7157BDA0}"/>
    <cellStyle name="Input 109 2 3 3" xfId="9504" xr:uid="{00000000-0005-0000-0000-000020250000}"/>
    <cellStyle name="Input 109 2 3 3 2" xfId="34847" xr:uid="{2A4344D7-D72E-402D-BE4E-42517B2912B2}"/>
    <cellStyle name="Input 109 2 3 4" xfId="34844" xr:uid="{0E37C0F3-3E63-4E66-B9E3-8D40328DBC9A}"/>
    <cellStyle name="Input 109 2 4" xfId="9505" xr:uid="{00000000-0005-0000-0000-000021250000}"/>
    <cellStyle name="Input 109 2 4 2" xfId="9506" xr:uid="{00000000-0005-0000-0000-000022250000}"/>
    <cellStyle name="Input 109 2 4 2 2" xfId="34849" xr:uid="{C348DD72-BD2D-46B3-BA41-E313EA3BF023}"/>
    <cellStyle name="Input 109 2 4 3" xfId="34848" xr:uid="{69C61ECB-64CC-4447-B0B0-164BD0C47BB6}"/>
    <cellStyle name="Input 109 2 5" xfId="9507" xr:uid="{00000000-0005-0000-0000-000023250000}"/>
    <cellStyle name="Input 109 2 5 2" xfId="34850" xr:uid="{7EDB1E3E-E282-4F28-A799-6A9FC12D9A66}"/>
    <cellStyle name="Input 109 2 6" xfId="34835" xr:uid="{A0AB6A96-0BD4-4CC5-90B1-A5ECC538869C}"/>
    <cellStyle name="Input 109 3" xfId="9508" xr:uid="{00000000-0005-0000-0000-000024250000}"/>
    <cellStyle name="Input 109 3 2" xfId="9509" xr:uid="{00000000-0005-0000-0000-000025250000}"/>
    <cellStyle name="Input 109 3 2 2" xfId="9510" xr:uid="{00000000-0005-0000-0000-000026250000}"/>
    <cellStyle name="Input 109 3 2 2 2" xfId="9511" xr:uid="{00000000-0005-0000-0000-000027250000}"/>
    <cellStyle name="Input 109 3 2 2 2 2" xfId="34854" xr:uid="{B8D1F967-7EDF-494C-8DA5-72FD637AFF21}"/>
    <cellStyle name="Input 109 3 2 2 3" xfId="34853" xr:uid="{DF6C75E3-0459-41E4-95A1-8964855A99F4}"/>
    <cellStyle name="Input 109 3 2 3" xfId="9512" xr:uid="{00000000-0005-0000-0000-000028250000}"/>
    <cellStyle name="Input 109 3 2 3 2" xfId="34855" xr:uid="{2100729B-1DDB-4372-B9C1-8019566F8A74}"/>
    <cellStyle name="Input 109 3 2 4" xfId="34852" xr:uid="{DAD39C74-4EDB-49F5-82DF-BEA4CED427B5}"/>
    <cellStyle name="Input 109 3 3" xfId="9513" xr:uid="{00000000-0005-0000-0000-000029250000}"/>
    <cellStyle name="Input 109 3 3 2" xfId="9514" xr:uid="{00000000-0005-0000-0000-00002A250000}"/>
    <cellStyle name="Input 109 3 3 2 2" xfId="34857" xr:uid="{84B9063C-6242-45CF-A67A-A78AC2CF563D}"/>
    <cellStyle name="Input 109 3 3 3" xfId="34856" xr:uid="{81AD0E1C-CD21-4A9C-BB94-85351C9B1779}"/>
    <cellStyle name="Input 109 3 4" xfId="9515" xr:uid="{00000000-0005-0000-0000-00002B250000}"/>
    <cellStyle name="Input 109 3 4 2" xfId="34858" xr:uid="{C11AD0BA-F940-46E8-B989-D1F9AEED0C12}"/>
    <cellStyle name="Input 109 3 5" xfId="34851" xr:uid="{8E6FFC86-32AD-450C-A010-B0035D9F218C}"/>
    <cellStyle name="Input 109 4" xfId="9516" xr:uid="{00000000-0005-0000-0000-00002C250000}"/>
    <cellStyle name="Input 109 4 2" xfId="9517" xr:uid="{00000000-0005-0000-0000-00002D250000}"/>
    <cellStyle name="Input 109 4 2 2" xfId="9518" xr:uid="{00000000-0005-0000-0000-00002E250000}"/>
    <cellStyle name="Input 109 4 2 2 2" xfId="34861" xr:uid="{A3343BA4-2CD7-4AF9-9758-F3312206C659}"/>
    <cellStyle name="Input 109 4 2 3" xfId="34860" xr:uid="{2F1892C1-55D5-41F9-AA93-A567852B7D4A}"/>
    <cellStyle name="Input 109 4 3" xfId="9519" xr:uid="{00000000-0005-0000-0000-00002F250000}"/>
    <cellStyle name="Input 109 4 3 2" xfId="34862" xr:uid="{2B0DF9C7-0CEC-465A-B3C1-FE38E59469D3}"/>
    <cellStyle name="Input 109 4 4" xfId="34859" xr:uid="{8BE76D91-6B1F-4CE3-9C9F-EBBEF3219AAC}"/>
    <cellStyle name="Input 109 5" xfId="9520" xr:uid="{00000000-0005-0000-0000-000030250000}"/>
    <cellStyle name="Input 109 5 2" xfId="9521" xr:uid="{00000000-0005-0000-0000-000031250000}"/>
    <cellStyle name="Input 109 5 2 2" xfId="34864" xr:uid="{A5588ACA-373F-4F00-95B9-261EEAE05E88}"/>
    <cellStyle name="Input 109 5 3" xfId="34863" xr:uid="{A44B5088-83B5-4B1C-9C07-280B7B94892A}"/>
    <cellStyle name="Input 109 6" xfId="9522" xr:uid="{00000000-0005-0000-0000-000032250000}"/>
    <cellStyle name="Input 109 6 2" xfId="34865" xr:uid="{F2C4617C-89BD-456B-B6FB-B318FB4DC499}"/>
    <cellStyle name="Input 109 7" xfId="34834" xr:uid="{1FF71BFC-4B9D-4FB2-9FA8-49B18DC66208}"/>
    <cellStyle name="Input 11" xfId="9523" xr:uid="{00000000-0005-0000-0000-000033250000}"/>
    <cellStyle name="Input 11 2" xfId="9524" xr:uid="{00000000-0005-0000-0000-000034250000}"/>
    <cellStyle name="Input 11 2 2" xfId="9525" xr:uid="{00000000-0005-0000-0000-000035250000}"/>
    <cellStyle name="Input 11 2 2 2" xfId="9526" xr:uid="{00000000-0005-0000-0000-000036250000}"/>
    <cellStyle name="Input 11 2 2 2 2" xfId="34869" xr:uid="{0AAF28B1-B8D5-4128-BC0B-FE32BC5462D5}"/>
    <cellStyle name="Input 11 2 2 3" xfId="34868" xr:uid="{E3989E4C-5CB3-420D-9F98-FD829F51FD44}"/>
    <cellStyle name="Input 11 2 3" xfId="9527" xr:uid="{00000000-0005-0000-0000-000037250000}"/>
    <cellStyle name="Input 11 2 3 2" xfId="34870" xr:uid="{64014242-42A3-47D9-BB54-35D212DB50DE}"/>
    <cellStyle name="Input 11 2 4" xfId="34867" xr:uid="{D71C0321-2F3D-4DD6-92B5-BF81AA61C41D}"/>
    <cellStyle name="Input 11 3" xfId="9528" xr:uid="{00000000-0005-0000-0000-000038250000}"/>
    <cellStyle name="Input 11 3 2" xfId="9529" xr:uid="{00000000-0005-0000-0000-000039250000}"/>
    <cellStyle name="Input 11 3 2 2" xfId="34872" xr:uid="{05274538-2B3E-4CD4-AE33-F59D8F177C3D}"/>
    <cellStyle name="Input 11 3 3" xfId="34871" xr:uid="{C1C630AD-83E9-4649-8AE7-A78C6332463C}"/>
    <cellStyle name="Input 11 4" xfId="9530" xr:uid="{00000000-0005-0000-0000-00003A250000}"/>
    <cellStyle name="Input 11 4 2" xfId="34873" xr:uid="{A0885F40-5135-4ADE-B9DB-38B4EC6478F3}"/>
    <cellStyle name="Input 11 5" xfId="34866" xr:uid="{9A0FA762-CFDC-4DF6-A78D-04656CBC5CA6}"/>
    <cellStyle name="Input 110" xfId="9531" xr:uid="{00000000-0005-0000-0000-00003B250000}"/>
    <cellStyle name="Input 110 2" xfId="9532" xr:uid="{00000000-0005-0000-0000-00003C250000}"/>
    <cellStyle name="Input 110 2 2" xfId="9533" xr:uid="{00000000-0005-0000-0000-00003D250000}"/>
    <cellStyle name="Input 110 2 2 2" xfId="9534" xr:uid="{00000000-0005-0000-0000-00003E250000}"/>
    <cellStyle name="Input 110 2 2 2 2" xfId="9535" xr:uid="{00000000-0005-0000-0000-00003F250000}"/>
    <cellStyle name="Input 110 2 2 2 2 2" xfId="9536" xr:uid="{00000000-0005-0000-0000-000040250000}"/>
    <cellStyle name="Input 110 2 2 2 2 2 2" xfId="34879" xr:uid="{291BA9DE-147B-4027-BBE9-73DB23D55C5A}"/>
    <cellStyle name="Input 110 2 2 2 2 3" xfId="34878" xr:uid="{97ADEDA2-6CAC-48B6-83AF-A953E636F446}"/>
    <cellStyle name="Input 110 2 2 2 3" xfId="9537" xr:uid="{00000000-0005-0000-0000-000041250000}"/>
    <cellStyle name="Input 110 2 2 2 3 2" xfId="34880" xr:uid="{C1448F78-BFDD-4FAB-86A6-5176C282FD75}"/>
    <cellStyle name="Input 110 2 2 2 4" xfId="34877" xr:uid="{C1379059-D151-4AE8-A583-C6D2C9A3E429}"/>
    <cellStyle name="Input 110 2 2 3" xfId="9538" xr:uid="{00000000-0005-0000-0000-000042250000}"/>
    <cellStyle name="Input 110 2 2 3 2" xfId="9539" xr:uid="{00000000-0005-0000-0000-000043250000}"/>
    <cellStyle name="Input 110 2 2 3 2 2" xfId="34882" xr:uid="{800CB2B9-B096-4640-AB7D-0D3CF9B8EB6D}"/>
    <cellStyle name="Input 110 2 2 3 3" xfId="34881" xr:uid="{4B155859-556A-4D23-9A01-85BD961A8BF2}"/>
    <cellStyle name="Input 110 2 2 4" xfId="9540" xr:uid="{00000000-0005-0000-0000-000044250000}"/>
    <cellStyle name="Input 110 2 2 4 2" xfId="34883" xr:uid="{2A5A8823-5616-48C0-AE5E-369697195770}"/>
    <cellStyle name="Input 110 2 2 5" xfId="34876" xr:uid="{208A9ABD-3764-48FD-ABF2-1F85F1DE08F3}"/>
    <cellStyle name="Input 110 2 3" xfId="9541" xr:uid="{00000000-0005-0000-0000-000045250000}"/>
    <cellStyle name="Input 110 2 3 2" xfId="9542" xr:uid="{00000000-0005-0000-0000-000046250000}"/>
    <cellStyle name="Input 110 2 3 2 2" xfId="9543" xr:uid="{00000000-0005-0000-0000-000047250000}"/>
    <cellStyle name="Input 110 2 3 2 2 2" xfId="34886" xr:uid="{51460631-FF11-47E0-8FF0-4AE2381B0503}"/>
    <cellStyle name="Input 110 2 3 2 3" xfId="34885" xr:uid="{FE4334FD-F77F-4FDF-9B28-9DD753144D0F}"/>
    <cellStyle name="Input 110 2 3 3" xfId="9544" xr:uid="{00000000-0005-0000-0000-000048250000}"/>
    <cellStyle name="Input 110 2 3 3 2" xfId="34887" xr:uid="{34FD5AAB-FEA0-405D-A46E-32AAB07EEF8D}"/>
    <cellStyle name="Input 110 2 3 4" xfId="34884" xr:uid="{225D7429-B94D-4443-AF41-4E041DBDC1E6}"/>
    <cellStyle name="Input 110 2 4" xfId="9545" xr:uid="{00000000-0005-0000-0000-000049250000}"/>
    <cellStyle name="Input 110 2 4 2" xfId="9546" xr:uid="{00000000-0005-0000-0000-00004A250000}"/>
    <cellStyle name="Input 110 2 4 2 2" xfId="34889" xr:uid="{4A42446A-FA9F-42F6-B79E-E75A52DAA72A}"/>
    <cellStyle name="Input 110 2 4 3" xfId="34888" xr:uid="{60274056-B29B-4BBF-9162-C008F8E52F1B}"/>
    <cellStyle name="Input 110 2 5" xfId="9547" xr:uid="{00000000-0005-0000-0000-00004B250000}"/>
    <cellStyle name="Input 110 2 5 2" xfId="34890" xr:uid="{DD98645C-326A-4D1A-BAAE-58EC9879EC1D}"/>
    <cellStyle name="Input 110 2 6" xfId="34875" xr:uid="{4D46356D-388F-45C9-AD31-DEBAEC4F2D2F}"/>
    <cellStyle name="Input 110 3" xfId="9548" xr:uid="{00000000-0005-0000-0000-00004C250000}"/>
    <cellStyle name="Input 110 3 2" xfId="9549" xr:uid="{00000000-0005-0000-0000-00004D250000}"/>
    <cellStyle name="Input 110 3 2 2" xfId="9550" xr:uid="{00000000-0005-0000-0000-00004E250000}"/>
    <cellStyle name="Input 110 3 2 2 2" xfId="9551" xr:uid="{00000000-0005-0000-0000-00004F250000}"/>
    <cellStyle name="Input 110 3 2 2 2 2" xfId="34894" xr:uid="{E32A2968-A6CB-4E1A-8AC6-AE9E25EBCC29}"/>
    <cellStyle name="Input 110 3 2 2 3" xfId="34893" xr:uid="{D2587952-D38D-4A45-A87E-3FA21F9183CA}"/>
    <cellStyle name="Input 110 3 2 3" xfId="9552" xr:uid="{00000000-0005-0000-0000-000050250000}"/>
    <cellStyle name="Input 110 3 2 3 2" xfId="34895" xr:uid="{17F48A2E-C280-4875-B3A3-5CDBB157A5F0}"/>
    <cellStyle name="Input 110 3 2 4" xfId="34892" xr:uid="{AD726F9C-0566-4A2D-AAAA-0A2A0B752030}"/>
    <cellStyle name="Input 110 3 3" xfId="9553" xr:uid="{00000000-0005-0000-0000-000051250000}"/>
    <cellStyle name="Input 110 3 3 2" xfId="9554" xr:uid="{00000000-0005-0000-0000-000052250000}"/>
    <cellStyle name="Input 110 3 3 2 2" xfId="34897" xr:uid="{0C7CE9C8-EA9F-41DE-8276-7F4D695A07B5}"/>
    <cellStyle name="Input 110 3 3 3" xfId="34896" xr:uid="{2B19A157-8B69-4F70-AE6F-21390A5140DA}"/>
    <cellStyle name="Input 110 3 4" xfId="9555" xr:uid="{00000000-0005-0000-0000-000053250000}"/>
    <cellStyle name="Input 110 3 4 2" xfId="34898" xr:uid="{6F78FF7A-3A7A-451A-B610-6279DAB8467C}"/>
    <cellStyle name="Input 110 3 5" xfId="34891" xr:uid="{E2EAAAF7-F58D-409C-94FF-5BE3ACD134D7}"/>
    <cellStyle name="Input 110 4" xfId="9556" xr:uid="{00000000-0005-0000-0000-000054250000}"/>
    <cellStyle name="Input 110 4 2" xfId="9557" xr:uid="{00000000-0005-0000-0000-000055250000}"/>
    <cellStyle name="Input 110 4 2 2" xfId="9558" xr:uid="{00000000-0005-0000-0000-000056250000}"/>
    <cellStyle name="Input 110 4 2 2 2" xfId="34901" xr:uid="{7BA6939A-E025-44EA-8B5C-B66161F09BBB}"/>
    <cellStyle name="Input 110 4 2 3" xfId="34900" xr:uid="{278B9A04-2CE2-4EC6-91F7-B13C3EA22785}"/>
    <cellStyle name="Input 110 4 3" xfId="9559" xr:uid="{00000000-0005-0000-0000-000057250000}"/>
    <cellStyle name="Input 110 4 3 2" xfId="34902" xr:uid="{24B4391A-7B04-4B21-9153-9ECF6DD1341C}"/>
    <cellStyle name="Input 110 4 4" xfId="34899" xr:uid="{BAC90789-816A-4FFF-9917-7B01677397A2}"/>
    <cellStyle name="Input 110 5" xfId="9560" xr:uid="{00000000-0005-0000-0000-000058250000}"/>
    <cellStyle name="Input 110 5 2" xfId="9561" xr:uid="{00000000-0005-0000-0000-000059250000}"/>
    <cellStyle name="Input 110 5 2 2" xfId="34904" xr:uid="{7470AF1C-3D21-4CB2-B525-AE18F5399CE6}"/>
    <cellStyle name="Input 110 5 3" xfId="34903" xr:uid="{483FF4FD-2BFC-4BF7-9EB8-3AA3EE9A940B}"/>
    <cellStyle name="Input 110 6" xfId="9562" xr:uid="{00000000-0005-0000-0000-00005A250000}"/>
    <cellStyle name="Input 110 6 2" xfId="34905" xr:uid="{EA321B52-2BEE-48B8-8243-4AA9168F1D7D}"/>
    <cellStyle name="Input 110 7" xfId="34874" xr:uid="{4C36D5B5-72B6-4087-8E7D-F95D2B835311}"/>
    <cellStyle name="Input 111" xfId="9563" xr:uid="{00000000-0005-0000-0000-00005B250000}"/>
    <cellStyle name="Input 111 2" xfId="9564" xr:uid="{00000000-0005-0000-0000-00005C250000}"/>
    <cellStyle name="Input 111 2 2" xfId="9565" xr:uid="{00000000-0005-0000-0000-00005D250000}"/>
    <cellStyle name="Input 111 2 2 2" xfId="9566" xr:uid="{00000000-0005-0000-0000-00005E250000}"/>
    <cellStyle name="Input 111 2 2 2 2" xfId="9567" xr:uid="{00000000-0005-0000-0000-00005F250000}"/>
    <cellStyle name="Input 111 2 2 2 2 2" xfId="9568" xr:uid="{00000000-0005-0000-0000-000060250000}"/>
    <cellStyle name="Input 111 2 2 2 2 2 2" xfId="34911" xr:uid="{436BD3DF-ED1D-44DC-9DFA-B9C4897DA12F}"/>
    <cellStyle name="Input 111 2 2 2 2 3" xfId="34910" xr:uid="{752E7BEA-31C9-442C-88A4-BDED289E1FA5}"/>
    <cellStyle name="Input 111 2 2 2 3" xfId="9569" xr:uid="{00000000-0005-0000-0000-000061250000}"/>
    <cellStyle name="Input 111 2 2 2 3 2" xfId="34912" xr:uid="{6E21CECE-E529-4CD3-81D8-154D15B5269D}"/>
    <cellStyle name="Input 111 2 2 2 4" xfId="34909" xr:uid="{6DB43FB6-292D-488F-9491-EC364437C6B5}"/>
    <cellStyle name="Input 111 2 2 3" xfId="9570" xr:uid="{00000000-0005-0000-0000-000062250000}"/>
    <cellStyle name="Input 111 2 2 3 2" xfId="9571" xr:uid="{00000000-0005-0000-0000-000063250000}"/>
    <cellStyle name="Input 111 2 2 3 2 2" xfId="34914" xr:uid="{0F4AD70B-367F-4FAF-AE1F-0065A5CFBF26}"/>
    <cellStyle name="Input 111 2 2 3 3" xfId="34913" xr:uid="{8F67AB51-84F2-45E4-AC70-7B50523AEB21}"/>
    <cellStyle name="Input 111 2 2 4" xfId="9572" xr:uid="{00000000-0005-0000-0000-000064250000}"/>
    <cellStyle name="Input 111 2 2 4 2" xfId="34915" xr:uid="{9186E27D-C054-49D3-91ED-582CA0808E18}"/>
    <cellStyle name="Input 111 2 2 5" xfId="34908" xr:uid="{5A6DD5C2-FF23-4127-95A5-36B8C318A24B}"/>
    <cellStyle name="Input 111 2 3" xfId="9573" xr:uid="{00000000-0005-0000-0000-000065250000}"/>
    <cellStyle name="Input 111 2 3 2" xfId="9574" xr:uid="{00000000-0005-0000-0000-000066250000}"/>
    <cellStyle name="Input 111 2 3 2 2" xfId="9575" xr:uid="{00000000-0005-0000-0000-000067250000}"/>
    <cellStyle name="Input 111 2 3 2 2 2" xfId="34918" xr:uid="{A9FB5A58-C830-4B9B-AEF4-4AFFA0A5F058}"/>
    <cellStyle name="Input 111 2 3 2 3" xfId="34917" xr:uid="{3308C77C-78A3-4AEA-899F-C721B2166337}"/>
    <cellStyle name="Input 111 2 3 3" xfId="9576" xr:uid="{00000000-0005-0000-0000-000068250000}"/>
    <cellStyle name="Input 111 2 3 3 2" xfId="34919" xr:uid="{D158C202-9F28-4FF5-B269-7266683C1398}"/>
    <cellStyle name="Input 111 2 3 4" xfId="34916" xr:uid="{26AFCDA4-27DE-434B-BC8F-D8CFBD7D3BBD}"/>
    <cellStyle name="Input 111 2 4" xfId="9577" xr:uid="{00000000-0005-0000-0000-000069250000}"/>
    <cellStyle name="Input 111 2 4 2" xfId="9578" xr:uid="{00000000-0005-0000-0000-00006A250000}"/>
    <cellStyle name="Input 111 2 4 2 2" xfId="34921" xr:uid="{74C05711-B892-4DBF-9457-931367B90744}"/>
    <cellStyle name="Input 111 2 4 3" xfId="34920" xr:uid="{25D6E270-43E5-4854-832D-C4446721B67C}"/>
    <cellStyle name="Input 111 2 5" xfId="9579" xr:uid="{00000000-0005-0000-0000-00006B250000}"/>
    <cellStyle name="Input 111 2 5 2" xfId="34922" xr:uid="{E41A6E08-1012-4776-B363-D83C332ADED8}"/>
    <cellStyle name="Input 111 2 6" xfId="34907" xr:uid="{D89B9762-FF21-4288-8092-0F297ACDDAC9}"/>
    <cellStyle name="Input 111 3" xfId="9580" xr:uid="{00000000-0005-0000-0000-00006C250000}"/>
    <cellStyle name="Input 111 3 2" xfId="9581" xr:uid="{00000000-0005-0000-0000-00006D250000}"/>
    <cellStyle name="Input 111 3 2 2" xfId="9582" xr:uid="{00000000-0005-0000-0000-00006E250000}"/>
    <cellStyle name="Input 111 3 2 2 2" xfId="9583" xr:uid="{00000000-0005-0000-0000-00006F250000}"/>
    <cellStyle name="Input 111 3 2 2 2 2" xfId="34926" xr:uid="{62F94B51-770F-4E96-9B46-7D9CDF815EF8}"/>
    <cellStyle name="Input 111 3 2 2 3" xfId="34925" xr:uid="{88DFCB5B-A0F3-4782-B166-3F4BA33D3D40}"/>
    <cellStyle name="Input 111 3 2 3" xfId="9584" xr:uid="{00000000-0005-0000-0000-000070250000}"/>
    <cellStyle name="Input 111 3 2 3 2" xfId="34927" xr:uid="{3778D95F-8668-493A-9245-D29FD033C156}"/>
    <cellStyle name="Input 111 3 2 4" xfId="34924" xr:uid="{E9D58EFD-159C-4A05-B012-84527D9401A5}"/>
    <cellStyle name="Input 111 3 3" xfId="9585" xr:uid="{00000000-0005-0000-0000-000071250000}"/>
    <cellStyle name="Input 111 3 3 2" xfId="9586" xr:uid="{00000000-0005-0000-0000-000072250000}"/>
    <cellStyle name="Input 111 3 3 2 2" xfId="34929" xr:uid="{0492415E-51FA-465F-9D31-FB1B529CAAC0}"/>
    <cellStyle name="Input 111 3 3 3" xfId="34928" xr:uid="{1D47F506-F2BB-414B-BC8D-9958C6D19C30}"/>
    <cellStyle name="Input 111 3 4" xfId="9587" xr:uid="{00000000-0005-0000-0000-000073250000}"/>
    <cellStyle name="Input 111 3 4 2" xfId="34930" xr:uid="{B2F5BEC4-1A13-4DE3-827B-A21B8047948D}"/>
    <cellStyle name="Input 111 3 5" xfId="34923" xr:uid="{88E8F1FD-9087-43B1-AB0D-A7C63F0C15FD}"/>
    <cellStyle name="Input 111 4" xfId="9588" xr:uid="{00000000-0005-0000-0000-000074250000}"/>
    <cellStyle name="Input 111 4 2" xfId="9589" xr:uid="{00000000-0005-0000-0000-000075250000}"/>
    <cellStyle name="Input 111 4 2 2" xfId="9590" xr:uid="{00000000-0005-0000-0000-000076250000}"/>
    <cellStyle name="Input 111 4 2 2 2" xfId="34933" xr:uid="{976FAB47-3C56-433C-B386-150BF6E7033C}"/>
    <cellStyle name="Input 111 4 2 3" xfId="34932" xr:uid="{95A2BFD9-796A-4025-A880-1C1FE6F4691E}"/>
    <cellStyle name="Input 111 4 3" xfId="9591" xr:uid="{00000000-0005-0000-0000-000077250000}"/>
    <cellStyle name="Input 111 4 3 2" xfId="34934" xr:uid="{B9F3B721-66BA-4272-BC2A-7E3CC6F0000D}"/>
    <cellStyle name="Input 111 4 4" xfId="34931" xr:uid="{1F0966E0-2F39-4EC3-B25E-17B71F5877B6}"/>
    <cellStyle name="Input 111 5" xfId="9592" xr:uid="{00000000-0005-0000-0000-000078250000}"/>
    <cellStyle name="Input 111 5 2" xfId="9593" xr:uid="{00000000-0005-0000-0000-000079250000}"/>
    <cellStyle name="Input 111 5 2 2" xfId="34936" xr:uid="{510EEEA3-A081-47E8-958C-74D673D1606C}"/>
    <cellStyle name="Input 111 5 3" xfId="34935" xr:uid="{FAE01887-6237-4F94-BBC5-5DC7E4E0D716}"/>
    <cellStyle name="Input 111 6" xfId="9594" xr:uid="{00000000-0005-0000-0000-00007A250000}"/>
    <cellStyle name="Input 111 6 2" xfId="34937" xr:uid="{DE74B0DB-F8F4-43A2-BD84-B06A03276A3A}"/>
    <cellStyle name="Input 111 7" xfId="34906" xr:uid="{D7C445F1-FE8A-448F-8A08-CC5D399522F5}"/>
    <cellStyle name="Input 112" xfId="9595" xr:uid="{00000000-0005-0000-0000-00007B250000}"/>
    <cellStyle name="Input 112 2" xfId="9596" xr:uid="{00000000-0005-0000-0000-00007C250000}"/>
    <cellStyle name="Input 112 2 2" xfId="9597" xr:uid="{00000000-0005-0000-0000-00007D250000}"/>
    <cellStyle name="Input 112 2 2 2" xfId="9598" xr:uid="{00000000-0005-0000-0000-00007E250000}"/>
    <cellStyle name="Input 112 2 2 2 2" xfId="9599" xr:uid="{00000000-0005-0000-0000-00007F250000}"/>
    <cellStyle name="Input 112 2 2 2 2 2" xfId="9600" xr:uid="{00000000-0005-0000-0000-000080250000}"/>
    <cellStyle name="Input 112 2 2 2 2 2 2" xfId="34943" xr:uid="{27FA2FD1-D9C5-4BC3-9123-9FDDA9BCEC18}"/>
    <cellStyle name="Input 112 2 2 2 2 3" xfId="34942" xr:uid="{74032155-D623-4E3F-9274-70F04EBB4FB0}"/>
    <cellStyle name="Input 112 2 2 2 3" xfId="9601" xr:uid="{00000000-0005-0000-0000-000081250000}"/>
    <cellStyle name="Input 112 2 2 2 3 2" xfId="34944" xr:uid="{249351E9-E54C-4642-A48B-A13B1ECDB634}"/>
    <cellStyle name="Input 112 2 2 2 4" xfId="34941" xr:uid="{5FE2C551-197B-46D5-9737-F946AD5F69A9}"/>
    <cellStyle name="Input 112 2 2 3" xfId="9602" xr:uid="{00000000-0005-0000-0000-000082250000}"/>
    <cellStyle name="Input 112 2 2 3 2" xfId="9603" xr:uid="{00000000-0005-0000-0000-000083250000}"/>
    <cellStyle name="Input 112 2 2 3 2 2" xfId="34946" xr:uid="{F55C5DDF-B693-4385-B148-5A1C1808F12F}"/>
    <cellStyle name="Input 112 2 2 3 3" xfId="34945" xr:uid="{FCFC24CC-BAEA-4BCD-9C1A-0E80AFF9E3C3}"/>
    <cellStyle name="Input 112 2 2 4" xfId="9604" xr:uid="{00000000-0005-0000-0000-000084250000}"/>
    <cellStyle name="Input 112 2 2 4 2" xfId="34947" xr:uid="{0D984D85-EF55-4940-AA13-BF2F4211CCE2}"/>
    <cellStyle name="Input 112 2 2 5" xfId="34940" xr:uid="{FA36D060-0FEE-498F-ADAC-B34BCB5CDD15}"/>
    <cellStyle name="Input 112 2 3" xfId="9605" xr:uid="{00000000-0005-0000-0000-000085250000}"/>
    <cellStyle name="Input 112 2 3 2" xfId="9606" xr:uid="{00000000-0005-0000-0000-000086250000}"/>
    <cellStyle name="Input 112 2 3 2 2" xfId="9607" xr:uid="{00000000-0005-0000-0000-000087250000}"/>
    <cellStyle name="Input 112 2 3 2 2 2" xfId="34950" xr:uid="{2CCC74FD-8887-4D62-BFE8-D4A5D050941F}"/>
    <cellStyle name="Input 112 2 3 2 3" xfId="34949" xr:uid="{B72CF973-D497-48C8-812E-9B96B51E30B0}"/>
    <cellStyle name="Input 112 2 3 3" xfId="9608" xr:uid="{00000000-0005-0000-0000-000088250000}"/>
    <cellStyle name="Input 112 2 3 3 2" xfId="34951" xr:uid="{45795969-937E-4539-A6D8-FF2FCB6BBA27}"/>
    <cellStyle name="Input 112 2 3 4" xfId="34948" xr:uid="{0D4621F8-FC4D-476E-90F8-05FB107E6E1E}"/>
    <cellStyle name="Input 112 2 4" xfId="9609" xr:uid="{00000000-0005-0000-0000-000089250000}"/>
    <cellStyle name="Input 112 2 4 2" xfId="9610" xr:uid="{00000000-0005-0000-0000-00008A250000}"/>
    <cellStyle name="Input 112 2 4 2 2" xfId="34953" xr:uid="{CCBC20DA-353D-438F-8F39-AA552FD40BA0}"/>
    <cellStyle name="Input 112 2 4 3" xfId="34952" xr:uid="{01CE690F-3997-4236-8E4E-12999C372A34}"/>
    <cellStyle name="Input 112 2 5" xfId="9611" xr:uid="{00000000-0005-0000-0000-00008B250000}"/>
    <cellStyle name="Input 112 2 5 2" xfId="34954" xr:uid="{D09D267C-868D-4B0D-B3D8-E2EA2D24F638}"/>
    <cellStyle name="Input 112 2 6" xfId="34939" xr:uid="{1C0B965A-48D1-4F0E-A0FE-A5CF0C1D14C4}"/>
    <cellStyle name="Input 112 3" xfId="9612" xr:uid="{00000000-0005-0000-0000-00008C250000}"/>
    <cellStyle name="Input 112 3 2" xfId="9613" xr:uid="{00000000-0005-0000-0000-00008D250000}"/>
    <cellStyle name="Input 112 3 2 2" xfId="9614" xr:uid="{00000000-0005-0000-0000-00008E250000}"/>
    <cellStyle name="Input 112 3 2 2 2" xfId="9615" xr:uid="{00000000-0005-0000-0000-00008F250000}"/>
    <cellStyle name="Input 112 3 2 2 2 2" xfId="34958" xr:uid="{1AF57DD8-FF16-4A82-A8F4-FF5E3B0B4DDD}"/>
    <cellStyle name="Input 112 3 2 2 3" xfId="34957" xr:uid="{7066A7FB-E736-4E2C-A5FD-3551FDA637EC}"/>
    <cellStyle name="Input 112 3 2 3" xfId="9616" xr:uid="{00000000-0005-0000-0000-000090250000}"/>
    <cellStyle name="Input 112 3 2 3 2" xfId="34959" xr:uid="{0B11BDF5-6A35-4ABB-A351-0C652A73583F}"/>
    <cellStyle name="Input 112 3 2 4" xfId="34956" xr:uid="{4B378D71-B432-4ABE-BEB8-C696E2D181B5}"/>
    <cellStyle name="Input 112 3 3" xfId="9617" xr:uid="{00000000-0005-0000-0000-000091250000}"/>
    <cellStyle name="Input 112 3 3 2" xfId="9618" xr:uid="{00000000-0005-0000-0000-000092250000}"/>
    <cellStyle name="Input 112 3 3 2 2" xfId="34961" xr:uid="{E1568C20-AFC7-4C82-9CD1-8BB3CEB20077}"/>
    <cellStyle name="Input 112 3 3 3" xfId="34960" xr:uid="{334CF7D1-5F86-4F7F-A71C-570D778E4D89}"/>
    <cellStyle name="Input 112 3 4" xfId="9619" xr:uid="{00000000-0005-0000-0000-000093250000}"/>
    <cellStyle name="Input 112 3 4 2" xfId="34962" xr:uid="{250F7A49-55FA-42DC-9722-C85D0748755E}"/>
    <cellStyle name="Input 112 3 5" xfId="34955" xr:uid="{FED246C6-C05B-40BB-BAB3-5706183B2982}"/>
    <cellStyle name="Input 112 4" xfId="9620" xr:uid="{00000000-0005-0000-0000-000094250000}"/>
    <cellStyle name="Input 112 4 2" xfId="9621" xr:uid="{00000000-0005-0000-0000-000095250000}"/>
    <cellStyle name="Input 112 4 2 2" xfId="9622" xr:uid="{00000000-0005-0000-0000-000096250000}"/>
    <cellStyle name="Input 112 4 2 2 2" xfId="34965" xr:uid="{928D1A65-9CCC-45E2-A777-FBB4979DB19B}"/>
    <cellStyle name="Input 112 4 2 3" xfId="34964" xr:uid="{6367F8B1-B890-4E60-8B4D-9A63FA9AA3C9}"/>
    <cellStyle name="Input 112 4 3" xfId="9623" xr:uid="{00000000-0005-0000-0000-000097250000}"/>
    <cellStyle name="Input 112 4 3 2" xfId="34966" xr:uid="{28FB0D41-873F-4DCD-95DA-6087992FBEF6}"/>
    <cellStyle name="Input 112 4 4" xfId="34963" xr:uid="{4B94D5FF-144A-4C4B-BB76-7E31AADFAE43}"/>
    <cellStyle name="Input 112 5" xfId="9624" xr:uid="{00000000-0005-0000-0000-000098250000}"/>
    <cellStyle name="Input 112 5 2" xfId="9625" xr:uid="{00000000-0005-0000-0000-000099250000}"/>
    <cellStyle name="Input 112 5 2 2" xfId="34968" xr:uid="{F40DBB45-17B3-47CE-B74E-F998094DD55A}"/>
    <cellStyle name="Input 112 5 3" xfId="34967" xr:uid="{329A06B9-EE19-4A19-A687-13DA8B4934C2}"/>
    <cellStyle name="Input 112 6" xfId="9626" xr:uid="{00000000-0005-0000-0000-00009A250000}"/>
    <cellStyle name="Input 112 6 2" xfId="34969" xr:uid="{DDCA6F79-15A9-4EB8-A700-100D3212A4BF}"/>
    <cellStyle name="Input 112 7" xfId="34938" xr:uid="{443087D9-A88F-4F2D-A89E-A23D446B1C0C}"/>
    <cellStyle name="Input 113" xfId="9627" xr:uid="{00000000-0005-0000-0000-00009B250000}"/>
    <cellStyle name="Input 113 2" xfId="9628" xr:uid="{00000000-0005-0000-0000-00009C250000}"/>
    <cellStyle name="Input 113 2 2" xfId="9629" xr:uid="{00000000-0005-0000-0000-00009D250000}"/>
    <cellStyle name="Input 113 2 2 2" xfId="9630" xr:uid="{00000000-0005-0000-0000-00009E250000}"/>
    <cellStyle name="Input 113 2 2 2 2" xfId="9631" xr:uid="{00000000-0005-0000-0000-00009F250000}"/>
    <cellStyle name="Input 113 2 2 2 2 2" xfId="9632" xr:uid="{00000000-0005-0000-0000-0000A0250000}"/>
    <cellStyle name="Input 113 2 2 2 2 2 2" xfId="34975" xr:uid="{3B8B150C-2A86-40A9-B797-3992DA35C985}"/>
    <cellStyle name="Input 113 2 2 2 2 3" xfId="34974" xr:uid="{17401C74-5BC3-44D4-B543-5DA6E5733DE9}"/>
    <cellStyle name="Input 113 2 2 2 3" xfId="9633" xr:uid="{00000000-0005-0000-0000-0000A1250000}"/>
    <cellStyle name="Input 113 2 2 2 3 2" xfId="34976" xr:uid="{A9B44247-44E6-48A8-B824-5439B9C735C3}"/>
    <cellStyle name="Input 113 2 2 2 4" xfId="34973" xr:uid="{D41796C0-22E1-4F0F-A50A-9EAA7964849C}"/>
    <cellStyle name="Input 113 2 2 3" xfId="9634" xr:uid="{00000000-0005-0000-0000-0000A2250000}"/>
    <cellStyle name="Input 113 2 2 3 2" xfId="9635" xr:uid="{00000000-0005-0000-0000-0000A3250000}"/>
    <cellStyle name="Input 113 2 2 3 2 2" xfId="34978" xr:uid="{CB8F813D-DFB0-4837-91FB-6661EE16FBA6}"/>
    <cellStyle name="Input 113 2 2 3 3" xfId="34977" xr:uid="{93692685-A32E-4478-B802-13E69FB07829}"/>
    <cellStyle name="Input 113 2 2 4" xfId="9636" xr:uid="{00000000-0005-0000-0000-0000A4250000}"/>
    <cellStyle name="Input 113 2 2 4 2" xfId="34979" xr:uid="{E032E547-04C3-4AD0-8FF9-A41B983F983B}"/>
    <cellStyle name="Input 113 2 2 5" xfId="34972" xr:uid="{81C9020C-3232-4738-9218-9A6B080972D3}"/>
    <cellStyle name="Input 113 2 3" xfId="9637" xr:uid="{00000000-0005-0000-0000-0000A5250000}"/>
    <cellStyle name="Input 113 2 3 2" xfId="9638" xr:uid="{00000000-0005-0000-0000-0000A6250000}"/>
    <cellStyle name="Input 113 2 3 2 2" xfId="9639" xr:uid="{00000000-0005-0000-0000-0000A7250000}"/>
    <cellStyle name="Input 113 2 3 2 2 2" xfId="34982" xr:uid="{6A8C9EE9-B13F-4C86-BD65-E137A04B2279}"/>
    <cellStyle name="Input 113 2 3 2 3" xfId="34981" xr:uid="{2DA64B2A-B04D-4FE2-A181-DE4CA1B19C34}"/>
    <cellStyle name="Input 113 2 3 3" xfId="9640" xr:uid="{00000000-0005-0000-0000-0000A8250000}"/>
    <cellStyle name="Input 113 2 3 3 2" xfId="34983" xr:uid="{4485ECA5-2A43-4419-85C2-F99D5A6A466F}"/>
    <cellStyle name="Input 113 2 3 4" xfId="34980" xr:uid="{A3AE8214-91CD-43EA-B931-D0F60BB27759}"/>
    <cellStyle name="Input 113 2 4" xfId="9641" xr:uid="{00000000-0005-0000-0000-0000A9250000}"/>
    <cellStyle name="Input 113 2 4 2" xfId="9642" xr:uid="{00000000-0005-0000-0000-0000AA250000}"/>
    <cellStyle name="Input 113 2 4 2 2" xfId="34985" xr:uid="{3228EF3A-EE87-4FC3-95B6-DBA8A79D511A}"/>
    <cellStyle name="Input 113 2 4 3" xfId="34984" xr:uid="{340E5526-CB03-4435-9325-BFCBDA89ED01}"/>
    <cellStyle name="Input 113 2 5" xfId="9643" xr:uid="{00000000-0005-0000-0000-0000AB250000}"/>
    <cellStyle name="Input 113 2 5 2" xfId="34986" xr:uid="{5662E457-33F8-40F8-83D0-464AA959BB10}"/>
    <cellStyle name="Input 113 2 6" xfId="34971" xr:uid="{8B39F013-7B43-4C5F-AA01-0B5F2503F905}"/>
    <cellStyle name="Input 113 3" xfId="9644" xr:uid="{00000000-0005-0000-0000-0000AC250000}"/>
    <cellStyle name="Input 113 3 2" xfId="9645" xr:uid="{00000000-0005-0000-0000-0000AD250000}"/>
    <cellStyle name="Input 113 3 2 2" xfId="9646" xr:uid="{00000000-0005-0000-0000-0000AE250000}"/>
    <cellStyle name="Input 113 3 2 2 2" xfId="9647" xr:uid="{00000000-0005-0000-0000-0000AF250000}"/>
    <cellStyle name="Input 113 3 2 2 2 2" xfId="34990" xr:uid="{79474EE4-2A92-4A3F-A8B6-4D67DF9DF613}"/>
    <cellStyle name="Input 113 3 2 2 3" xfId="34989" xr:uid="{EC0A7949-C54E-43FB-A99F-3D4275BF89FA}"/>
    <cellStyle name="Input 113 3 2 3" xfId="9648" xr:uid="{00000000-0005-0000-0000-0000B0250000}"/>
    <cellStyle name="Input 113 3 2 3 2" xfId="34991" xr:uid="{FD65A837-5352-43BA-88E4-A6617F93D11A}"/>
    <cellStyle name="Input 113 3 2 4" xfId="34988" xr:uid="{D75471C3-53C7-47D4-9971-24EC63995A0E}"/>
    <cellStyle name="Input 113 3 3" xfId="9649" xr:uid="{00000000-0005-0000-0000-0000B1250000}"/>
    <cellStyle name="Input 113 3 3 2" xfId="9650" xr:uid="{00000000-0005-0000-0000-0000B2250000}"/>
    <cellStyle name="Input 113 3 3 2 2" xfId="34993" xr:uid="{9D57C353-5868-407B-B15B-8ADB8A48A2C6}"/>
    <cellStyle name="Input 113 3 3 3" xfId="34992" xr:uid="{482A482E-0542-40CB-9EA4-DE15CE82E755}"/>
    <cellStyle name="Input 113 3 4" xfId="9651" xr:uid="{00000000-0005-0000-0000-0000B3250000}"/>
    <cellStyle name="Input 113 3 4 2" xfId="34994" xr:uid="{70AEEC9E-300F-40FB-8FFE-6E2DF998B848}"/>
    <cellStyle name="Input 113 3 5" xfId="34987" xr:uid="{9C62A574-F929-479E-B749-06395702B75E}"/>
    <cellStyle name="Input 113 4" xfId="9652" xr:uid="{00000000-0005-0000-0000-0000B4250000}"/>
    <cellStyle name="Input 113 4 2" xfId="9653" xr:uid="{00000000-0005-0000-0000-0000B5250000}"/>
    <cellStyle name="Input 113 4 2 2" xfId="9654" xr:uid="{00000000-0005-0000-0000-0000B6250000}"/>
    <cellStyle name="Input 113 4 2 2 2" xfId="34997" xr:uid="{E5939F6C-278E-4A16-BD46-FA0DAD95DB31}"/>
    <cellStyle name="Input 113 4 2 3" xfId="34996" xr:uid="{C07FD6C0-6B3E-4D4F-B486-F7813339A7CB}"/>
    <cellStyle name="Input 113 4 3" xfId="9655" xr:uid="{00000000-0005-0000-0000-0000B7250000}"/>
    <cellStyle name="Input 113 4 3 2" xfId="34998" xr:uid="{3A40D1F8-9D28-42CB-977D-D88E5ED974DA}"/>
    <cellStyle name="Input 113 4 4" xfId="34995" xr:uid="{6BCA2194-12F4-4D1F-B482-C6A8099CA839}"/>
    <cellStyle name="Input 113 5" xfId="9656" xr:uid="{00000000-0005-0000-0000-0000B8250000}"/>
    <cellStyle name="Input 113 5 2" xfId="9657" xr:uid="{00000000-0005-0000-0000-0000B9250000}"/>
    <cellStyle name="Input 113 5 2 2" xfId="35000" xr:uid="{4880CC05-2E70-48D3-995B-A0CE403CE3A0}"/>
    <cellStyle name="Input 113 5 3" xfId="34999" xr:uid="{9EB85F6B-BF84-42AC-8BF4-0F9A72FC1B59}"/>
    <cellStyle name="Input 113 6" xfId="9658" xr:uid="{00000000-0005-0000-0000-0000BA250000}"/>
    <cellStyle name="Input 113 6 2" xfId="35001" xr:uid="{0E6912B4-AF5E-4A29-A27E-497F785FDABC}"/>
    <cellStyle name="Input 113 7" xfId="34970" xr:uid="{C7BC3B88-E3BA-45B1-978A-AE772D720502}"/>
    <cellStyle name="Input 114" xfId="9659" xr:uid="{00000000-0005-0000-0000-0000BB250000}"/>
    <cellStyle name="Input 114 2" xfId="9660" xr:uid="{00000000-0005-0000-0000-0000BC250000}"/>
    <cellStyle name="Input 114 2 2" xfId="9661" xr:uid="{00000000-0005-0000-0000-0000BD250000}"/>
    <cellStyle name="Input 114 2 2 2" xfId="9662" xr:uid="{00000000-0005-0000-0000-0000BE250000}"/>
    <cellStyle name="Input 114 2 2 2 2" xfId="9663" xr:uid="{00000000-0005-0000-0000-0000BF250000}"/>
    <cellStyle name="Input 114 2 2 2 2 2" xfId="35006" xr:uid="{DBB7D116-B330-499A-9895-D937810C342C}"/>
    <cellStyle name="Input 114 2 2 2 3" xfId="35005" xr:uid="{04528543-F5CB-464F-93C9-201B3554E00F}"/>
    <cellStyle name="Input 114 2 2 3" xfId="9664" xr:uid="{00000000-0005-0000-0000-0000C0250000}"/>
    <cellStyle name="Input 114 2 2 3 2" xfId="35007" xr:uid="{7F6E408A-4F20-428A-A0E7-CF827A29341D}"/>
    <cellStyle name="Input 114 2 2 4" xfId="35004" xr:uid="{8D9D6BA2-4AB8-47E3-B87C-C2CAC0E639F1}"/>
    <cellStyle name="Input 114 2 3" xfId="9665" xr:uid="{00000000-0005-0000-0000-0000C1250000}"/>
    <cellStyle name="Input 114 2 3 2" xfId="9666" xr:uid="{00000000-0005-0000-0000-0000C2250000}"/>
    <cellStyle name="Input 114 2 3 2 2" xfId="35009" xr:uid="{9376A027-F66D-4DBC-9550-39A1A77F9F6E}"/>
    <cellStyle name="Input 114 2 3 3" xfId="35008" xr:uid="{A64F6FF0-DA48-45CA-9079-964F5F856818}"/>
    <cellStyle name="Input 114 2 4" xfId="9667" xr:uid="{00000000-0005-0000-0000-0000C3250000}"/>
    <cellStyle name="Input 114 2 4 2" xfId="35010" xr:uid="{30806A92-102E-44AD-9DB5-98A9C6AC89BA}"/>
    <cellStyle name="Input 114 2 5" xfId="35003" xr:uid="{5ACABB5E-B8F6-4AEC-A126-5FDF4A2E5616}"/>
    <cellStyle name="Input 114 3" xfId="9668" xr:uid="{00000000-0005-0000-0000-0000C4250000}"/>
    <cellStyle name="Input 114 3 2" xfId="9669" xr:uid="{00000000-0005-0000-0000-0000C5250000}"/>
    <cellStyle name="Input 114 3 2 2" xfId="9670" xr:uid="{00000000-0005-0000-0000-0000C6250000}"/>
    <cellStyle name="Input 114 3 2 2 2" xfId="35013" xr:uid="{D739DE3D-FA0A-4914-BB42-A608DA122294}"/>
    <cellStyle name="Input 114 3 2 3" xfId="35012" xr:uid="{6AF9919E-57EF-4112-8E8A-5895861157E6}"/>
    <cellStyle name="Input 114 3 3" xfId="9671" xr:uid="{00000000-0005-0000-0000-0000C7250000}"/>
    <cellStyle name="Input 114 3 3 2" xfId="35014" xr:uid="{31BECB43-DBDC-4ACA-A502-E889227D8C70}"/>
    <cellStyle name="Input 114 3 4" xfId="35011" xr:uid="{7D4CB48B-C04D-4169-A2AB-BC81848EBB03}"/>
    <cellStyle name="Input 114 4" xfId="9672" xr:uid="{00000000-0005-0000-0000-0000C8250000}"/>
    <cellStyle name="Input 114 4 2" xfId="9673" xr:uid="{00000000-0005-0000-0000-0000C9250000}"/>
    <cellStyle name="Input 114 4 2 2" xfId="35016" xr:uid="{41FF466D-6A91-4AF2-88CD-247C33C56FB0}"/>
    <cellStyle name="Input 114 4 3" xfId="35015" xr:uid="{F58AFF1C-9330-4CFF-BB0C-3DD7737F45D2}"/>
    <cellStyle name="Input 114 5" xfId="9674" xr:uid="{00000000-0005-0000-0000-0000CA250000}"/>
    <cellStyle name="Input 114 5 2" xfId="35017" xr:uid="{96BE88CE-2C10-49AA-A1A2-1B2F9D2A1C39}"/>
    <cellStyle name="Input 114 6" xfId="35002" xr:uid="{622A4260-6E80-49A6-B850-EFF99F934AA8}"/>
    <cellStyle name="Input 115" xfId="9675" xr:uid="{00000000-0005-0000-0000-0000CB250000}"/>
    <cellStyle name="Input 115 2" xfId="9676" xr:uid="{00000000-0005-0000-0000-0000CC250000}"/>
    <cellStyle name="Input 115 2 2" xfId="9677" xr:uid="{00000000-0005-0000-0000-0000CD250000}"/>
    <cellStyle name="Input 115 2 2 2" xfId="9678" xr:uid="{00000000-0005-0000-0000-0000CE250000}"/>
    <cellStyle name="Input 115 2 2 2 2" xfId="9679" xr:uid="{00000000-0005-0000-0000-0000CF250000}"/>
    <cellStyle name="Input 115 2 2 2 2 2" xfId="35022" xr:uid="{0B65B6E6-EDE8-4BCA-ABA2-9AF254E9047B}"/>
    <cellStyle name="Input 115 2 2 2 3" xfId="35021" xr:uid="{196FB5DF-F670-4682-82D3-5FEC8932CE88}"/>
    <cellStyle name="Input 115 2 2 3" xfId="9680" xr:uid="{00000000-0005-0000-0000-0000D0250000}"/>
    <cellStyle name="Input 115 2 2 3 2" xfId="35023" xr:uid="{12A48600-F708-46C8-B5DE-F949F69E6DA1}"/>
    <cellStyle name="Input 115 2 2 4" xfId="35020" xr:uid="{C279C93A-60A5-4004-AC9D-BA08C1A0C2A6}"/>
    <cellStyle name="Input 115 2 3" xfId="9681" xr:uid="{00000000-0005-0000-0000-0000D1250000}"/>
    <cellStyle name="Input 115 2 3 2" xfId="9682" xr:uid="{00000000-0005-0000-0000-0000D2250000}"/>
    <cellStyle name="Input 115 2 3 2 2" xfId="35025" xr:uid="{ABC6BA80-14F0-4410-8AC3-8E927AE09DE8}"/>
    <cellStyle name="Input 115 2 3 3" xfId="35024" xr:uid="{E2BB39A6-FF90-4FAA-8F9C-83E2CC54C099}"/>
    <cellStyle name="Input 115 2 4" xfId="9683" xr:uid="{00000000-0005-0000-0000-0000D3250000}"/>
    <cellStyle name="Input 115 2 4 2" xfId="35026" xr:uid="{64660F1A-9118-400C-B0C9-1F3A8F6D388C}"/>
    <cellStyle name="Input 115 2 5" xfId="35019" xr:uid="{735DC556-3CB7-47F6-B877-1BE766653EA1}"/>
    <cellStyle name="Input 115 3" xfId="9684" xr:uid="{00000000-0005-0000-0000-0000D4250000}"/>
    <cellStyle name="Input 115 3 2" xfId="9685" xr:uid="{00000000-0005-0000-0000-0000D5250000}"/>
    <cellStyle name="Input 115 3 2 2" xfId="9686" xr:uid="{00000000-0005-0000-0000-0000D6250000}"/>
    <cellStyle name="Input 115 3 2 2 2" xfId="35029" xr:uid="{5F5F9BC0-B8E5-4C56-AE51-6F684F8AF023}"/>
    <cellStyle name="Input 115 3 2 3" xfId="35028" xr:uid="{03F2D9B5-1CDD-45F5-9920-B642770DB75C}"/>
    <cellStyle name="Input 115 3 3" xfId="9687" xr:uid="{00000000-0005-0000-0000-0000D7250000}"/>
    <cellStyle name="Input 115 3 3 2" xfId="35030" xr:uid="{791648DE-083F-4832-A26D-6B9819A6F179}"/>
    <cellStyle name="Input 115 3 4" xfId="35027" xr:uid="{BEED5BBD-AC20-4DED-81DF-CD84CBCD6A3D}"/>
    <cellStyle name="Input 115 4" xfId="9688" xr:uid="{00000000-0005-0000-0000-0000D8250000}"/>
    <cellStyle name="Input 115 4 2" xfId="9689" xr:uid="{00000000-0005-0000-0000-0000D9250000}"/>
    <cellStyle name="Input 115 4 2 2" xfId="35032" xr:uid="{394FCB75-A973-4C71-8582-CC8273249347}"/>
    <cellStyle name="Input 115 4 3" xfId="35031" xr:uid="{78958129-B29C-4945-9148-17228675EF0F}"/>
    <cellStyle name="Input 115 5" xfId="9690" xr:uid="{00000000-0005-0000-0000-0000DA250000}"/>
    <cellStyle name="Input 115 5 2" xfId="35033" xr:uid="{221B3871-F047-4748-AE49-30180744D462}"/>
    <cellStyle name="Input 115 6" xfId="35018" xr:uid="{E274E745-C610-43D3-82F8-D9916E0821DF}"/>
    <cellStyle name="Input 116" xfId="9691" xr:uid="{00000000-0005-0000-0000-0000DB250000}"/>
    <cellStyle name="Input 116 2" xfId="9692" xr:uid="{00000000-0005-0000-0000-0000DC250000}"/>
    <cellStyle name="Input 116 2 2" xfId="9693" xr:uid="{00000000-0005-0000-0000-0000DD250000}"/>
    <cellStyle name="Input 116 2 2 2" xfId="9694" xr:uid="{00000000-0005-0000-0000-0000DE250000}"/>
    <cellStyle name="Input 116 2 2 2 2" xfId="9695" xr:uid="{00000000-0005-0000-0000-0000DF250000}"/>
    <cellStyle name="Input 116 2 2 2 2 2" xfId="35038" xr:uid="{D5DCAD9B-7BD6-4244-A90C-0F8E2DED2842}"/>
    <cellStyle name="Input 116 2 2 2 3" xfId="35037" xr:uid="{1D6689B7-B68B-4A7C-8A9B-0910931E967C}"/>
    <cellStyle name="Input 116 2 2 3" xfId="9696" xr:uid="{00000000-0005-0000-0000-0000E0250000}"/>
    <cellStyle name="Input 116 2 2 3 2" xfId="35039" xr:uid="{0821875F-AED3-4A45-AFE0-FB5D3C5857E2}"/>
    <cellStyle name="Input 116 2 2 4" xfId="35036" xr:uid="{46F1E56C-28F1-4C70-AE70-9666C7F21251}"/>
    <cellStyle name="Input 116 2 3" xfId="9697" xr:uid="{00000000-0005-0000-0000-0000E1250000}"/>
    <cellStyle name="Input 116 2 3 2" xfId="9698" xr:uid="{00000000-0005-0000-0000-0000E2250000}"/>
    <cellStyle name="Input 116 2 3 2 2" xfId="35041" xr:uid="{7D19920A-FC0D-4EDD-974B-D7F64055223B}"/>
    <cellStyle name="Input 116 2 3 3" xfId="35040" xr:uid="{2416F9C1-8CD8-4064-A7A7-5B8A583F5E29}"/>
    <cellStyle name="Input 116 2 4" xfId="9699" xr:uid="{00000000-0005-0000-0000-0000E3250000}"/>
    <cellStyle name="Input 116 2 4 2" xfId="35042" xr:uid="{C7473142-7A83-4CD9-A551-080DD95BFEAA}"/>
    <cellStyle name="Input 116 2 5" xfId="35035" xr:uid="{F492CE0C-54F7-48C8-B769-4D23939AA301}"/>
    <cellStyle name="Input 116 3" xfId="9700" xr:uid="{00000000-0005-0000-0000-0000E4250000}"/>
    <cellStyle name="Input 116 3 2" xfId="9701" xr:uid="{00000000-0005-0000-0000-0000E5250000}"/>
    <cellStyle name="Input 116 3 2 2" xfId="9702" xr:uid="{00000000-0005-0000-0000-0000E6250000}"/>
    <cellStyle name="Input 116 3 2 2 2" xfId="35045" xr:uid="{2E8147D6-EAB9-4A36-9E93-1AA11F8A4369}"/>
    <cellStyle name="Input 116 3 2 3" xfId="35044" xr:uid="{D7BF77DA-1E58-411F-8BB2-2259F774FABE}"/>
    <cellStyle name="Input 116 3 3" xfId="9703" xr:uid="{00000000-0005-0000-0000-0000E7250000}"/>
    <cellStyle name="Input 116 3 3 2" xfId="35046" xr:uid="{8A9E0A01-D329-4A3A-9F22-DBE57BFEDF30}"/>
    <cellStyle name="Input 116 3 4" xfId="35043" xr:uid="{2ED9ACBF-7594-4F09-AE7D-5ACF7EDA475F}"/>
    <cellStyle name="Input 116 4" xfId="9704" xr:uid="{00000000-0005-0000-0000-0000E8250000}"/>
    <cellStyle name="Input 116 4 2" xfId="9705" xr:uid="{00000000-0005-0000-0000-0000E9250000}"/>
    <cellStyle name="Input 116 4 2 2" xfId="35048" xr:uid="{143D9585-96E6-4DE4-AE4F-1B916B0A76C4}"/>
    <cellStyle name="Input 116 4 3" xfId="35047" xr:uid="{CD825DB0-5CBD-46F7-9BC6-7A41550262E4}"/>
    <cellStyle name="Input 116 5" xfId="9706" xr:uid="{00000000-0005-0000-0000-0000EA250000}"/>
    <cellStyle name="Input 116 5 2" xfId="35049" xr:uid="{A08E9C7C-DB1B-41FD-B34C-35BE2693EE03}"/>
    <cellStyle name="Input 116 6" xfId="35034" xr:uid="{D8F3BA75-F67F-4378-A265-AC8B918ADC68}"/>
    <cellStyle name="Input 117" xfId="9707" xr:uid="{00000000-0005-0000-0000-0000EB250000}"/>
    <cellStyle name="Input 117 2" xfId="9708" xr:uid="{00000000-0005-0000-0000-0000EC250000}"/>
    <cellStyle name="Input 117 2 2" xfId="9709" xr:uid="{00000000-0005-0000-0000-0000ED250000}"/>
    <cellStyle name="Input 117 2 2 2" xfId="9710" xr:uid="{00000000-0005-0000-0000-0000EE250000}"/>
    <cellStyle name="Input 117 2 2 2 2" xfId="9711" xr:uid="{00000000-0005-0000-0000-0000EF250000}"/>
    <cellStyle name="Input 117 2 2 2 2 2" xfId="35054" xr:uid="{BE85C853-F99A-4EF1-AAE4-DCF33EF4FF9C}"/>
    <cellStyle name="Input 117 2 2 2 3" xfId="35053" xr:uid="{1B902325-6144-4660-8CF7-5C836E8DBEE3}"/>
    <cellStyle name="Input 117 2 2 3" xfId="9712" xr:uid="{00000000-0005-0000-0000-0000F0250000}"/>
    <cellStyle name="Input 117 2 2 3 2" xfId="35055" xr:uid="{3AC9F009-1A56-4F0B-A956-41D91A1F95E0}"/>
    <cellStyle name="Input 117 2 2 4" xfId="35052" xr:uid="{C1021D55-6462-40D1-8BFF-0B8812D29C6F}"/>
    <cellStyle name="Input 117 2 3" xfId="9713" xr:uid="{00000000-0005-0000-0000-0000F1250000}"/>
    <cellStyle name="Input 117 2 3 2" xfId="9714" xr:uid="{00000000-0005-0000-0000-0000F2250000}"/>
    <cellStyle name="Input 117 2 3 2 2" xfId="35057" xr:uid="{25F5E7B7-0D71-48DF-A3CE-D31A480D7CCA}"/>
    <cellStyle name="Input 117 2 3 3" xfId="35056" xr:uid="{54F4F00D-03EB-454C-8AC1-9FABF32B470E}"/>
    <cellStyle name="Input 117 2 4" xfId="9715" xr:uid="{00000000-0005-0000-0000-0000F3250000}"/>
    <cellStyle name="Input 117 2 4 2" xfId="35058" xr:uid="{48306AAA-F531-4FBA-986A-458EDCE90C85}"/>
    <cellStyle name="Input 117 2 5" xfId="35051" xr:uid="{6F6C717B-59FE-4924-A9C3-DFDE2C1EC761}"/>
    <cellStyle name="Input 117 3" xfId="9716" xr:uid="{00000000-0005-0000-0000-0000F4250000}"/>
    <cellStyle name="Input 117 3 2" xfId="9717" xr:uid="{00000000-0005-0000-0000-0000F5250000}"/>
    <cellStyle name="Input 117 3 2 2" xfId="9718" xr:uid="{00000000-0005-0000-0000-0000F6250000}"/>
    <cellStyle name="Input 117 3 2 2 2" xfId="35061" xr:uid="{CBF5D94B-A377-492F-A1B6-80FDF04879A6}"/>
    <cellStyle name="Input 117 3 2 3" xfId="35060" xr:uid="{2122E6CA-146C-4C67-8013-6EF3CC0DD5FE}"/>
    <cellStyle name="Input 117 3 3" xfId="9719" xr:uid="{00000000-0005-0000-0000-0000F7250000}"/>
    <cellStyle name="Input 117 3 3 2" xfId="35062" xr:uid="{C97B422D-0606-4378-8C31-E7D08A66E728}"/>
    <cellStyle name="Input 117 3 4" xfId="35059" xr:uid="{2E417D67-0CDB-4D62-B3DE-BE8D72DB5A56}"/>
    <cellStyle name="Input 117 4" xfId="9720" xr:uid="{00000000-0005-0000-0000-0000F8250000}"/>
    <cellStyle name="Input 117 4 2" xfId="9721" xr:uid="{00000000-0005-0000-0000-0000F9250000}"/>
    <cellStyle name="Input 117 4 2 2" xfId="35064" xr:uid="{0DF15E7F-A808-4D0E-B6EC-B030592E791E}"/>
    <cellStyle name="Input 117 4 3" xfId="35063" xr:uid="{9176C734-CC03-42ED-8107-4BE5B3A112AA}"/>
    <cellStyle name="Input 117 5" xfId="9722" xr:uid="{00000000-0005-0000-0000-0000FA250000}"/>
    <cellStyle name="Input 117 5 2" xfId="35065" xr:uid="{A52D1710-A8AA-4CCC-AB7F-F1B20A24C9C4}"/>
    <cellStyle name="Input 117 6" xfId="35050" xr:uid="{9FBBDC4E-EF30-44E4-9F90-CFB02ECE13F2}"/>
    <cellStyle name="Input 118" xfId="9723" xr:uid="{00000000-0005-0000-0000-0000FB250000}"/>
    <cellStyle name="Input 118 2" xfId="9724" xr:uid="{00000000-0005-0000-0000-0000FC250000}"/>
    <cellStyle name="Input 118 2 2" xfId="9725" xr:uid="{00000000-0005-0000-0000-0000FD250000}"/>
    <cellStyle name="Input 118 2 2 2" xfId="35068" xr:uid="{E3EB45BE-31B8-4B41-A68D-674E34C59B5A}"/>
    <cellStyle name="Input 118 2 3" xfId="35067" xr:uid="{60921671-A6A2-47A2-974E-F0F8C899C671}"/>
    <cellStyle name="Input 118 3" xfId="9726" xr:uid="{00000000-0005-0000-0000-0000FE250000}"/>
    <cellStyle name="Input 118 3 2" xfId="35069" xr:uid="{D72DFFB1-41E3-4C9B-944E-74542EF2CA52}"/>
    <cellStyle name="Input 118 4" xfId="35066" xr:uid="{CBB1FD83-A03A-4157-B0BA-215E4AE04088}"/>
    <cellStyle name="Input 119" xfId="9727" xr:uid="{00000000-0005-0000-0000-0000FF250000}"/>
    <cellStyle name="Input 119 2" xfId="9728" xr:uid="{00000000-0005-0000-0000-000000260000}"/>
    <cellStyle name="Input 119 2 2" xfId="35071" xr:uid="{3A0ED819-C0A4-4E33-BF63-2EE2FBB832D1}"/>
    <cellStyle name="Input 119 3" xfId="9729" xr:uid="{00000000-0005-0000-0000-000001260000}"/>
    <cellStyle name="Input 119 3 2" xfId="35072" xr:uid="{676EC0C0-CA6B-485C-B34E-6CDAAC618E98}"/>
    <cellStyle name="Input 119 4" xfId="35070" xr:uid="{458A1E8C-76BD-44E7-AD3D-CFA3C5088EE5}"/>
    <cellStyle name="Input 12" xfId="9730" xr:uid="{00000000-0005-0000-0000-000002260000}"/>
    <cellStyle name="Input 12 2" xfId="9731" xr:uid="{00000000-0005-0000-0000-000003260000}"/>
    <cellStyle name="Input 12 2 2" xfId="9732" xr:uid="{00000000-0005-0000-0000-000004260000}"/>
    <cellStyle name="Input 12 2 2 2" xfId="9733" xr:uid="{00000000-0005-0000-0000-000005260000}"/>
    <cellStyle name="Input 12 2 2 2 2" xfId="35076" xr:uid="{FC704BAC-74EC-4D24-A04B-11FF468DB6B7}"/>
    <cellStyle name="Input 12 2 2 3" xfId="35075" xr:uid="{2A817F38-FD7F-468F-8248-B917622F17F3}"/>
    <cellStyle name="Input 12 2 3" xfId="9734" xr:uid="{00000000-0005-0000-0000-000006260000}"/>
    <cellStyle name="Input 12 2 3 2" xfId="35077" xr:uid="{BC486DDB-521F-4800-B232-437F3B926148}"/>
    <cellStyle name="Input 12 2 4" xfId="35074" xr:uid="{11D3F7A6-29AC-46E5-B66D-6DD5FE98C816}"/>
    <cellStyle name="Input 12 3" xfId="9735" xr:uid="{00000000-0005-0000-0000-000007260000}"/>
    <cellStyle name="Input 12 3 2" xfId="9736" xr:uid="{00000000-0005-0000-0000-000008260000}"/>
    <cellStyle name="Input 12 3 2 2" xfId="35079" xr:uid="{C928DCFA-33EA-467C-A37B-621C127542B3}"/>
    <cellStyle name="Input 12 3 3" xfId="35078" xr:uid="{074CD6F7-340E-402C-8482-0C6AEB3AE536}"/>
    <cellStyle name="Input 12 4" xfId="9737" xr:uid="{00000000-0005-0000-0000-000009260000}"/>
    <cellStyle name="Input 12 4 2" xfId="35080" xr:uid="{7E318FD3-131E-49DA-A912-AA781CE5614A}"/>
    <cellStyle name="Input 12 5" xfId="35073" xr:uid="{406DFE62-1C1C-44B5-8894-6C997E0F1A0C}"/>
    <cellStyle name="Input 120" xfId="9738" xr:uid="{00000000-0005-0000-0000-00000A260000}"/>
    <cellStyle name="Input 120 2" xfId="9739" xr:uid="{00000000-0005-0000-0000-00000B260000}"/>
    <cellStyle name="Input 120 2 2" xfId="35082" xr:uid="{3AD79350-0139-43D4-9F36-88AC033F3280}"/>
    <cellStyle name="Input 120 3" xfId="9740" xr:uid="{00000000-0005-0000-0000-00000C260000}"/>
    <cellStyle name="Input 120 3 2" xfId="35083" xr:uid="{B8EB08EE-121C-474C-BE83-DCC659C21D16}"/>
    <cellStyle name="Input 120 4" xfId="35081" xr:uid="{A8EC36DE-0CBB-4D24-B03B-4C5F3FB828B3}"/>
    <cellStyle name="Input 121" xfId="9741" xr:uid="{00000000-0005-0000-0000-00000D260000}"/>
    <cellStyle name="Input 121 2" xfId="9742" xr:uid="{00000000-0005-0000-0000-00000E260000}"/>
    <cellStyle name="Input 122" xfId="9743" xr:uid="{00000000-0005-0000-0000-00000F260000}"/>
    <cellStyle name="Input 122 2" xfId="9744" xr:uid="{00000000-0005-0000-0000-000010260000}"/>
    <cellStyle name="Input 122 2 2" xfId="35085" xr:uid="{B99E98B3-DC03-4ADA-BE3E-2EE42EF46DA4}"/>
    <cellStyle name="Input 122 3" xfId="9745" xr:uid="{00000000-0005-0000-0000-000011260000}"/>
    <cellStyle name="Input 122 3 2" xfId="35086" xr:uid="{91EA7647-6AE1-4B05-8687-AB8AF09A134B}"/>
    <cellStyle name="Input 122 4" xfId="35084" xr:uid="{85360C5B-31AC-4434-814F-F97DF130ADEC}"/>
    <cellStyle name="Input 123" xfId="9746" xr:uid="{00000000-0005-0000-0000-000012260000}"/>
    <cellStyle name="Input 123 2" xfId="9747" xr:uid="{00000000-0005-0000-0000-000013260000}"/>
    <cellStyle name="Input 123 2 2" xfId="35088" xr:uid="{0319EC5C-2594-4486-A749-85C221F95160}"/>
    <cellStyle name="Input 123 3" xfId="35087" xr:uid="{4A36069E-59B7-4D75-904B-E4833534B20F}"/>
    <cellStyle name="Input 124" xfId="9748" xr:uid="{00000000-0005-0000-0000-000014260000}"/>
    <cellStyle name="Input 124 2" xfId="9749" xr:uid="{00000000-0005-0000-0000-000015260000}"/>
    <cellStyle name="Input 124 2 2" xfId="35090" xr:uid="{0BB560CF-21D0-499C-ACE0-F9247BA5E28E}"/>
    <cellStyle name="Input 124 3" xfId="35089" xr:uid="{BEB91D83-C497-4812-9914-7F97406E806B}"/>
    <cellStyle name="Input 125" xfId="9750" xr:uid="{00000000-0005-0000-0000-000016260000}"/>
    <cellStyle name="Input 125 2" xfId="9751" xr:uid="{00000000-0005-0000-0000-000017260000}"/>
    <cellStyle name="Input 125 2 2" xfId="35092" xr:uid="{90C0F65A-E836-4C43-AA88-51C9D61D9615}"/>
    <cellStyle name="Input 125 3" xfId="35091" xr:uid="{17BA724F-095F-438E-8DF4-234300BE0542}"/>
    <cellStyle name="Input 126" xfId="9752" xr:uid="{00000000-0005-0000-0000-000018260000}"/>
    <cellStyle name="Input 127" xfId="9753" xr:uid="{00000000-0005-0000-0000-000019260000}"/>
    <cellStyle name="Input 128" xfId="9754" xr:uid="{00000000-0005-0000-0000-00001A260000}"/>
    <cellStyle name="Input 129" xfId="9755" xr:uid="{00000000-0005-0000-0000-00001B260000}"/>
    <cellStyle name="Input 13" xfId="9756" xr:uid="{00000000-0005-0000-0000-00001C260000}"/>
    <cellStyle name="Input 13 2" xfId="9757" xr:uid="{00000000-0005-0000-0000-00001D260000}"/>
    <cellStyle name="Input 13 2 2" xfId="9758" xr:uid="{00000000-0005-0000-0000-00001E260000}"/>
    <cellStyle name="Input 13 2 2 2" xfId="9759" xr:uid="{00000000-0005-0000-0000-00001F260000}"/>
    <cellStyle name="Input 13 2 2 2 2" xfId="35096" xr:uid="{C134000C-D530-4D32-9948-DDF0771E17A5}"/>
    <cellStyle name="Input 13 2 2 3" xfId="35095" xr:uid="{04EE0ACB-A339-4D76-8CEC-C12ACF6FF57E}"/>
    <cellStyle name="Input 13 2 3" xfId="9760" xr:uid="{00000000-0005-0000-0000-000020260000}"/>
    <cellStyle name="Input 13 2 3 2" xfId="35097" xr:uid="{1BAA3320-E74E-4441-BC02-BE46A0337070}"/>
    <cellStyle name="Input 13 2 4" xfId="35094" xr:uid="{4CD8FF66-65B6-4B3B-99F8-BE3D9954E2B8}"/>
    <cellStyle name="Input 13 3" xfId="9761" xr:uid="{00000000-0005-0000-0000-000021260000}"/>
    <cellStyle name="Input 13 3 2" xfId="9762" xr:uid="{00000000-0005-0000-0000-000022260000}"/>
    <cellStyle name="Input 13 3 2 2" xfId="35099" xr:uid="{AE398C94-2958-48C8-AFEA-5A10F1D886D1}"/>
    <cellStyle name="Input 13 3 3" xfId="35098" xr:uid="{EE52119C-904E-43F1-9680-1EC19DF7ADAA}"/>
    <cellStyle name="Input 13 4" xfId="9763" xr:uid="{00000000-0005-0000-0000-000023260000}"/>
    <cellStyle name="Input 13 4 2" xfId="35100" xr:uid="{AB3D68C5-6FF7-4491-BD7F-FB851C6CD73D}"/>
    <cellStyle name="Input 13 5" xfId="35093" xr:uid="{3CF58F83-6878-4A1A-AB84-0049D36C030E}"/>
    <cellStyle name="Input 130" xfId="9764" xr:uid="{00000000-0005-0000-0000-000024260000}"/>
    <cellStyle name="Input 131" xfId="9765" xr:uid="{00000000-0005-0000-0000-000025260000}"/>
    <cellStyle name="Input 132" xfId="9766" xr:uid="{00000000-0005-0000-0000-000026260000}"/>
    <cellStyle name="Input 133" xfId="9767" xr:uid="{00000000-0005-0000-0000-000027260000}"/>
    <cellStyle name="Input 134" xfId="9768" xr:uid="{00000000-0005-0000-0000-000028260000}"/>
    <cellStyle name="Input 135" xfId="9769" xr:uid="{00000000-0005-0000-0000-000029260000}"/>
    <cellStyle name="Input 136" xfId="9770" xr:uid="{00000000-0005-0000-0000-00002A260000}"/>
    <cellStyle name="Input 137" xfId="9771" xr:uid="{00000000-0005-0000-0000-00002B260000}"/>
    <cellStyle name="Input 138" xfId="9772" xr:uid="{00000000-0005-0000-0000-00002C260000}"/>
    <cellStyle name="Input 139" xfId="9773" xr:uid="{00000000-0005-0000-0000-00002D260000}"/>
    <cellStyle name="Input 14" xfId="9774" xr:uid="{00000000-0005-0000-0000-00002E260000}"/>
    <cellStyle name="Input 14 2" xfId="9775" xr:uid="{00000000-0005-0000-0000-00002F260000}"/>
    <cellStyle name="Input 14 2 2" xfId="9776" xr:uid="{00000000-0005-0000-0000-000030260000}"/>
    <cellStyle name="Input 14 2 2 2" xfId="9777" xr:uid="{00000000-0005-0000-0000-000031260000}"/>
    <cellStyle name="Input 14 2 2 2 2" xfId="35104" xr:uid="{CA7062BE-C29F-40F1-9253-C8470B0CC17C}"/>
    <cellStyle name="Input 14 2 2 3" xfId="35103" xr:uid="{BAC66C0B-BFEA-4C8F-B843-CF6022F0B734}"/>
    <cellStyle name="Input 14 2 3" xfId="9778" xr:uid="{00000000-0005-0000-0000-000032260000}"/>
    <cellStyle name="Input 14 2 3 2" xfId="35105" xr:uid="{50486D8F-6800-4514-A8EA-B17EEE13F53F}"/>
    <cellStyle name="Input 14 2 4" xfId="35102" xr:uid="{9CE65753-E570-4090-A98A-B82FF991EBA6}"/>
    <cellStyle name="Input 14 3" xfId="9779" xr:uid="{00000000-0005-0000-0000-000033260000}"/>
    <cellStyle name="Input 14 3 2" xfId="9780" xr:uid="{00000000-0005-0000-0000-000034260000}"/>
    <cellStyle name="Input 14 3 2 2" xfId="35107" xr:uid="{BE8DF538-632C-4E03-B042-83642D033B0E}"/>
    <cellStyle name="Input 14 3 3" xfId="35106" xr:uid="{9A75ED67-70E6-40F0-949C-191AB401FF09}"/>
    <cellStyle name="Input 14 4" xfId="9781" xr:uid="{00000000-0005-0000-0000-000035260000}"/>
    <cellStyle name="Input 14 4 2" xfId="35108" xr:uid="{BA5FCCE7-8833-4CF3-8790-4E18EFFBE8FF}"/>
    <cellStyle name="Input 14 5" xfId="35101" xr:uid="{A8905F81-76ED-49C2-BADF-7BA7F3DD1748}"/>
    <cellStyle name="Input 140" xfId="9782" xr:uid="{00000000-0005-0000-0000-000036260000}"/>
    <cellStyle name="Input 141" xfId="9783" xr:uid="{00000000-0005-0000-0000-000037260000}"/>
    <cellStyle name="Input 142" xfId="9784" xr:uid="{00000000-0005-0000-0000-000038260000}"/>
    <cellStyle name="Input 143" xfId="9785" xr:uid="{00000000-0005-0000-0000-000039260000}"/>
    <cellStyle name="Input 144" xfId="9786" xr:uid="{00000000-0005-0000-0000-00003A260000}"/>
    <cellStyle name="Input 145" xfId="9787" xr:uid="{00000000-0005-0000-0000-00003B260000}"/>
    <cellStyle name="Input 146" xfId="9788" xr:uid="{00000000-0005-0000-0000-00003C260000}"/>
    <cellStyle name="Input 147" xfId="9789" xr:uid="{00000000-0005-0000-0000-00003D260000}"/>
    <cellStyle name="Input 148" xfId="9790" xr:uid="{00000000-0005-0000-0000-00003E260000}"/>
    <cellStyle name="Input 149" xfId="9791" xr:uid="{00000000-0005-0000-0000-00003F260000}"/>
    <cellStyle name="Input 15" xfId="9792" xr:uid="{00000000-0005-0000-0000-000040260000}"/>
    <cellStyle name="Input 15 2" xfId="9793" xr:uid="{00000000-0005-0000-0000-000041260000}"/>
    <cellStyle name="Input 15 2 2" xfId="9794" xr:uid="{00000000-0005-0000-0000-000042260000}"/>
    <cellStyle name="Input 15 2 2 2" xfId="9795" xr:uid="{00000000-0005-0000-0000-000043260000}"/>
    <cellStyle name="Input 15 2 2 2 2" xfId="35112" xr:uid="{F1184F93-1C71-4CCD-B335-D3E39A96429C}"/>
    <cellStyle name="Input 15 2 2 3" xfId="35111" xr:uid="{2C69FB54-F86A-49B8-BDCB-65A525E2F3AF}"/>
    <cellStyle name="Input 15 2 3" xfId="9796" xr:uid="{00000000-0005-0000-0000-000044260000}"/>
    <cellStyle name="Input 15 2 3 2" xfId="35113" xr:uid="{4A7461D1-52FF-4E8D-BC9C-78491899E931}"/>
    <cellStyle name="Input 15 2 4" xfId="35110" xr:uid="{0F7429D2-BE19-4950-BACE-6B621689974F}"/>
    <cellStyle name="Input 15 3" xfId="9797" xr:uid="{00000000-0005-0000-0000-000045260000}"/>
    <cellStyle name="Input 15 3 2" xfId="9798" xr:uid="{00000000-0005-0000-0000-000046260000}"/>
    <cellStyle name="Input 15 3 2 2" xfId="35115" xr:uid="{1CA82980-89DE-4EC8-8473-76861FF6E851}"/>
    <cellStyle name="Input 15 3 3" xfId="35114" xr:uid="{DF3A5E5E-2F28-49EF-A77F-653F10EA9E31}"/>
    <cellStyle name="Input 15 4" xfId="9799" xr:uid="{00000000-0005-0000-0000-000047260000}"/>
    <cellStyle name="Input 15 4 2" xfId="35116" xr:uid="{0923ADA1-A482-42F1-BBE0-D14F40004061}"/>
    <cellStyle name="Input 15 5" xfId="35109" xr:uid="{6E0168A9-419A-4B27-ADE2-C7F1A95B834B}"/>
    <cellStyle name="Input 150" xfId="9800" xr:uid="{00000000-0005-0000-0000-000048260000}"/>
    <cellStyle name="Input 151" xfId="9801" xr:uid="{00000000-0005-0000-0000-000049260000}"/>
    <cellStyle name="Input 152" xfId="9802" xr:uid="{00000000-0005-0000-0000-00004A260000}"/>
    <cellStyle name="Input 153" xfId="9803" xr:uid="{00000000-0005-0000-0000-00004B260000}"/>
    <cellStyle name="Input 154" xfId="9804" xr:uid="{00000000-0005-0000-0000-00004C260000}"/>
    <cellStyle name="Input 155" xfId="9805" xr:uid="{00000000-0005-0000-0000-00004D260000}"/>
    <cellStyle name="Input 156" xfId="9806" xr:uid="{00000000-0005-0000-0000-00004E260000}"/>
    <cellStyle name="Input 157" xfId="9807" xr:uid="{00000000-0005-0000-0000-00004F260000}"/>
    <cellStyle name="Input 158" xfId="9808" xr:uid="{00000000-0005-0000-0000-000050260000}"/>
    <cellStyle name="Input 159" xfId="9809" xr:uid="{00000000-0005-0000-0000-000051260000}"/>
    <cellStyle name="Input 16" xfId="9810" xr:uid="{00000000-0005-0000-0000-000052260000}"/>
    <cellStyle name="Input 16 2" xfId="9811" xr:uid="{00000000-0005-0000-0000-000053260000}"/>
    <cellStyle name="Input 16 2 2" xfId="9812" xr:uid="{00000000-0005-0000-0000-000054260000}"/>
    <cellStyle name="Input 16 2 2 2" xfId="9813" xr:uid="{00000000-0005-0000-0000-000055260000}"/>
    <cellStyle name="Input 16 2 2 2 2" xfId="35120" xr:uid="{5BF3EA38-AAD0-4BBB-9B8D-4EC101E0ADE4}"/>
    <cellStyle name="Input 16 2 2 3" xfId="35119" xr:uid="{A1B53B49-BA6D-457C-AC92-674A48CAF676}"/>
    <cellStyle name="Input 16 2 3" xfId="9814" xr:uid="{00000000-0005-0000-0000-000056260000}"/>
    <cellStyle name="Input 16 2 3 2" xfId="35121" xr:uid="{8A43625B-5EE6-4F5D-94CA-B3B0CA13F988}"/>
    <cellStyle name="Input 16 2 4" xfId="35118" xr:uid="{BA6D8C09-63D8-44E7-877C-E2F2ABBF5E87}"/>
    <cellStyle name="Input 16 3" xfId="9815" xr:uid="{00000000-0005-0000-0000-000057260000}"/>
    <cellStyle name="Input 16 3 2" xfId="9816" xr:uid="{00000000-0005-0000-0000-000058260000}"/>
    <cellStyle name="Input 16 3 2 2" xfId="35123" xr:uid="{A6193484-FB63-4F74-A5FE-E3665F8AA58A}"/>
    <cellStyle name="Input 16 3 3" xfId="35122" xr:uid="{613499A7-868E-45C0-BA5F-123266953A82}"/>
    <cellStyle name="Input 16 4" xfId="9817" xr:uid="{00000000-0005-0000-0000-000059260000}"/>
    <cellStyle name="Input 16 4 2" xfId="35124" xr:uid="{79565365-30A4-4891-B265-6B58B416F808}"/>
    <cellStyle name="Input 16 5" xfId="35117" xr:uid="{6040E7F4-56A7-4B40-9646-DC5B731AE75E}"/>
    <cellStyle name="Input 160" xfId="9818" xr:uid="{00000000-0005-0000-0000-00005A260000}"/>
    <cellStyle name="Input 161" xfId="9819" xr:uid="{00000000-0005-0000-0000-00005B260000}"/>
    <cellStyle name="Input 162" xfId="9820" xr:uid="{00000000-0005-0000-0000-00005C260000}"/>
    <cellStyle name="Input 163" xfId="9821" xr:uid="{00000000-0005-0000-0000-00005D260000}"/>
    <cellStyle name="Input 164" xfId="9822" xr:uid="{00000000-0005-0000-0000-00005E260000}"/>
    <cellStyle name="Input 165" xfId="9823" xr:uid="{00000000-0005-0000-0000-00005F260000}"/>
    <cellStyle name="Input 166" xfId="9824" xr:uid="{00000000-0005-0000-0000-000060260000}"/>
    <cellStyle name="Input 166 2" xfId="35125" xr:uid="{2AE919E2-84FF-4857-A3CC-1ADC4685D53A}"/>
    <cellStyle name="Input 167" xfId="9825" xr:uid="{00000000-0005-0000-0000-000061260000}"/>
    <cellStyle name="Input 167 2" xfId="35126" xr:uid="{3BE3248A-0BA2-4D53-A5AF-375413A584F9}"/>
    <cellStyle name="Input 168" xfId="9826" xr:uid="{00000000-0005-0000-0000-000062260000}"/>
    <cellStyle name="Input 168 2" xfId="35127" xr:uid="{DE3C7667-1BE5-45C9-94D3-E43F8E87F267}"/>
    <cellStyle name="Input 169" xfId="9827" xr:uid="{00000000-0005-0000-0000-000063260000}"/>
    <cellStyle name="Input 169 2" xfId="35128" xr:uid="{A09BF2C9-DB07-4CD7-9361-D68B890E9A10}"/>
    <cellStyle name="Input 17" xfId="9828" xr:uid="{00000000-0005-0000-0000-000064260000}"/>
    <cellStyle name="Input 17 2" xfId="9829" xr:uid="{00000000-0005-0000-0000-000065260000}"/>
    <cellStyle name="Input 17 2 2" xfId="9830" xr:uid="{00000000-0005-0000-0000-000066260000}"/>
    <cellStyle name="Input 17 2 2 2" xfId="9831" xr:uid="{00000000-0005-0000-0000-000067260000}"/>
    <cellStyle name="Input 17 2 2 2 2" xfId="35132" xr:uid="{839094AE-B444-4E68-BE8C-B124399E6A07}"/>
    <cellStyle name="Input 17 2 2 3" xfId="35131" xr:uid="{0BD10979-E3BB-4503-8626-AD2A6059C85D}"/>
    <cellStyle name="Input 17 2 3" xfId="9832" xr:uid="{00000000-0005-0000-0000-000068260000}"/>
    <cellStyle name="Input 17 2 3 2" xfId="35133" xr:uid="{936CF659-4661-403E-9894-EE619EBEFCA5}"/>
    <cellStyle name="Input 17 2 4" xfId="35130" xr:uid="{B356BB0D-2AC0-42CF-BD6B-4F5696EB296E}"/>
    <cellStyle name="Input 17 3" xfId="9833" xr:uid="{00000000-0005-0000-0000-000069260000}"/>
    <cellStyle name="Input 17 3 2" xfId="9834" xr:uid="{00000000-0005-0000-0000-00006A260000}"/>
    <cellStyle name="Input 17 3 2 2" xfId="35135" xr:uid="{9FBFE7C9-2060-4144-9CC5-D2B7DE21167D}"/>
    <cellStyle name="Input 17 3 3" xfId="35134" xr:uid="{5503E8F2-84C2-4B8E-B892-6E753EA35659}"/>
    <cellStyle name="Input 17 4" xfId="9835" xr:uid="{00000000-0005-0000-0000-00006B260000}"/>
    <cellStyle name="Input 17 4 2" xfId="35136" xr:uid="{812DDF78-411E-463D-A64A-0831615E85E6}"/>
    <cellStyle name="Input 17 5" xfId="35129" xr:uid="{22101EA1-0ADC-44D9-A361-EE2A079DD552}"/>
    <cellStyle name="Input 170" xfId="9836" xr:uid="{00000000-0005-0000-0000-00006C260000}"/>
    <cellStyle name="Input 170 2" xfId="35137" xr:uid="{C5000FDD-520D-49BC-B266-AF6A0177D6DA}"/>
    <cellStyle name="Input 171" xfId="9837" xr:uid="{00000000-0005-0000-0000-00006D260000}"/>
    <cellStyle name="Input 171 2" xfId="35138" xr:uid="{CFCDF658-5D90-40F0-93CD-2B02CA86B68F}"/>
    <cellStyle name="Input 172" xfId="9838" xr:uid="{00000000-0005-0000-0000-00006E260000}"/>
    <cellStyle name="Input 172 2" xfId="35139" xr:uid="{DB74A290-C37D-4683-9977-161609F82EAE}"/>
    <cellStyle name="Input 173" xfId="9839" xr:uid="{00000000-0005-0000-0000-00006F260000}"/>
    <cellStyle name="Input 173 2" xfId="35140" xr:uid="{ACFD77D2-1415-4D92-9E6B-AB161E85C95C}"/>
    <cellStyle name="Input 174" xfId="9840" xr:uid="{00000000-0005-0000-0000-000070260000}"/>
    <cellStyle name="Input 174 2" xfId="35141" xr:uid="{190C9A31-356D-434D-9C1A-7AE4F4B45F50}"/>
    <cellStyle name="Input 175" xfId="9841" xr:uid="{00000000-0005-0000-0000-000071260000}"/>
    <cellStyle name="Input 175 2" xfId="35142" xr:uid="{1225EA3D-9704-47EE-8D21-1E118D7FC0D4}"/>
    <cellStyle name="Input 176" xfId="9842" xr:uid="{00000000-0005-0000-0000-000072260000}"/>
    <cellStyle name="Input 176 2" xfId="35143" xr:uid="{5447BDE1-B797-4E95-B6C1-E5321BB1451D}"/>
    <cellStyle name="Input 177" xfId="9843" xr:uid="{00000000-0005-0000-0000-000073260000}"/>
    <cellStyle name="Input 177 2" xfId="35144" xr:uid="{F19BB098-2338-4452-90B0-F1B42E21CD5D}"/>
    <cellStyle name="Input 178" xfId="9844" xr:uid="{00000000-0005-0000-0000-000074260000}"/>
    <cellStyle name="Input 178 2" xfId="35145" xr:uid="{B084B817-EA11-478F-9983-676DDF672A5A}"/>
    <cellStyle name="Input 179" xfId="9845" xr:uid="{00000000-0005-0000-0000-000075260000}"/>
    <cellStyle name="Input 179 2" xfId="35146" xr:uid="{FA853F69-A197-4C52-BE71-1390E81143EF}"/>
    <cellStyle name="Input 18" xfId="9846" xr:uid="{00000000-0005-0000-0000-000076260000}"/>
    <cellStyle name="Input 18 2" xfId="9847" xr:uid="{00000000-0005-0000-0000-000077260000}"/>
    <cellStyle name="Input 18 2 2" xfId="9848" xr:uid="{00000000-0005-0000-0000-000078260000}"/>
    <cellStyle name="Input 18 2 2 2" xfId="9849" xr:uid="{00000000-0005-0000-0000-000079260000}"/>
    <cellStyle name="Input 18 2 2 2 2" xfId="35150" xr:uid="{64098B78-8B8A-4D8C-BFBB-D2C177DC98D0}"/>
    <cellStyle name="Input 18 2 2 3" xfId="35149" xr:uid="{EDE3923B-1AD7-48AA-8A19-F35E67E5D5F8}"/>
    <cellStyle name="Input 18 2 3" xfId="9850" xr:uid="{00000000-0005-0000-0000-00007A260000}"/>
    <cellStyle name="Input 18 2 3 2" xfId="35151" xr:uid="{1B3E7865-2DBB-4338-B4C6-492AF9049872}"/>
    <cellStyle name="Input 18 2 4" xfId="35148" xr:uid="{D39B3A3E-1436-41F5-8A4F-CA5A278F3AD9}"/>
    <cellStyle name="Input 18 3" xfId="9851" xr:uid="{00000000-0005-0000-0000-00007B260000}"/>
    <cellStyle name="Input 18 3 2" xfId="9852" xr:uid="{00000000-0005-0000-0000-00007C260000}"/>
    <cellStyle name="Input 18 3 2 2" xfId="35153" xr:uid="{2149A44F-D7FD-41F6-B293-A7CD61DF614F}"/>
    <cellStyle name="Input 18 3 3" xfId="35152" xr:uid="{138E136B-FA4F-4FA4-9727-BA9B47FF7C35}"/>
    <cellStyle name="Input 18 4" xfId="9853" xr:uid="{00000000-0005-0000-0000-00007D260000}"/>
    <cellStyle name="Input 18 4 2" xfId="35154" xr:uid="{565104B7-0FF8-46AD-AFCA-4647A81E47D0}"/>
    <cellStyle name="Input 18 5" xfId="35147" xr:uid="{1A6A1F68-F8E0-4159-8ECD-2435097EAF50}"/>
    <cellStyle name="Input 19" xfId="9854" xr:uid="{00000000-0005-0000-0000-00007E260000}"/>
    <cellStyle name="Input 19 2" xfId="9855" xr:uid="{00000000-0005-0000-0000-00007F260000}"/>
    <cellStyle name="Input 19 2 2" xfId="9856" xr:uid="{00000000-0005-0000-0000-000080260000}"/>
    <cellStyle name="Input 19 2 2 2" xfId="9857" xr:uid="{00000000-0005-0000-0000-000081260000}"/>
    <cellStyle name="Input 19 2 2 2 2" xfId="35158" xr:uid="{9BC4E751-883D-47A7-903A-E1B011AEAF8B}"/>
    <cellStyle name="Input 19 2 2 3" xfId="35157" xr:uid="{2A24976D-6D4E-4FDA-99B6-F6555B545360}"/>
    <cellStyle name="Input 19 2 3" xfId="9858" xr:uid="{00000000-0005-0000-0000-000082260000}"/>
    <cellStyle name="Input 19 2 3 2" xfId="35159" xr:uid="{9EA54F74-25EF-4FDA-8AF8-7886A7324BF7}"/>
    <cellStyle name="Input 19 2 4" xfId="35156" xr:uid="{9BC1A0A4-FB41-4597-9039-B9AAE701A7D3}"/>
    <cellStyle name="Input 19 3" xfId="9859" xr:uid="{00000000-0005-0000-0000-000083260000}"/>
    <cellStyle name="Input 19 3 2" xfId="9860" xr:uid="{00000000-0005-0000-0000-000084260000}"/>
    <cellStyle name="Input 19 3 2 2" xfId="35161" xr:uid="{2A1D6517-600A-46C5-866B-D66E42DCE542}"/>
    <cellStyle name="Input 19 3 3" xfId="35160" xr:uid="{6F46C0C0-FEA7-4929-9152-AFB9F350C105}"/>
    <cellStyle name="Input 19 4" xfId="9861" xr:uid="{00000000-0005-0000-0000-000085260000}"/>
    <cellStyle name="Input 19 4 2" xfId="35162" xr:uid="{A82BA21F-FD30-440B-9A03-6868A5255844}"/>
    <cellStyle name="Input 19 5" xfId="35155" xr:uid="{5157DE6C-5C9D-4107-BC94-E5B67C1C7BBD}"/>
    <cellStyle name="Input 2" xfId="9862" xr:uid="{00000000-0005-0000-0000-000086260000}"/>
    <cellStyle name="Input 2 10" xfId="9863" xr:uid="{00000000-0005-0000-0000-000087260000}"/>
    <cellStyle name="Input 2 10 2" xfId="9864" xr:uid="{00000000-0005-0000-0000-000088260000}"/>
    <cellStyle name="Input 2 10 2 2" xfId="35165" xr:uid="{DEDAC04C-AD18-4FB3-9B28-E4276F189EF1}"/>
    <cellStyle name="Input 2 10 3" xfId="9865" xr:uid="{00000000-0005-0000-0000-000089260000}"/>
    <cellStyle name="Input 2 10 3 2" xfId="35166" xr:uid="{44988078-3B9B-4056-B93E-345C39F68EA0}"/>
    <cellStyle name="Input 2 10 4" xfId="35164" xr:uid="{434C3DAD-CDD4-4E1E-A3A5-97B3157E70CD}"/>
    <cellStyle name="Input 2 11" xfId="9866" xr:uid="{00000000-0005-0000-0000-00008A260000}"/>
    <cellStyle name="Input 2 11 2" xfId="9867" xr:uid="{00000000-0005-0000-0000-00008B260000}"/>
    <cellStyle name="Input 2 11 2 2" xfId="35168" xr:uid="{49D5E874-BDAF-47DF-974F-260C21B509F4}"/>
    <cellStyle name="Input 2 11 3" xfId="35167" xr:uid="{F534CC62-7501-438B-8491-7CB9FD196532}"/>
    <cellStyle name="Input 2 12" xfId="9868" xr:uid="{00000000-0005-0000-0000-00008C260000}"/>
    <cellStyle name="Input 2 12 2" xfId="35169" xr:uid="{77502BCC-6499-4AB0-B5DA-D63037364585}"/>
    <cellStyle name="Input 2 13" xfId="9869" xr:uid="{00000000-0005-0000-0000-00008D260000}"/>
    <cellStyle name="Input 2 13 2" xfId="35170" xr:uid="{9F5182E1-7AF0-4B03-A293-244290F26B24}"/>
    <cellStyle name="Input 2 14" xfId="35163" xr:uid="{08A37FA0-0130-44AC-B433-EB1C5CB0CE40}"/>
    <cellStyle name="Input 2 2" xfId="9870" xr:uid="{00000000-0005-0000-0000-00008E260000}"/>
    <cellStyle name="Input 2 2 2" xfId="9871" xr:uid="{00000000-0005-0000-0000-00008F260000}"/>
    <cellStyle name="Input 2 2 2 2" xfId="9872" xr:uid="{00000000-0005-0000-0000-000090260000}"/>
    <cellStyle name="Input 2 2 3" xfId="9873" xr:uid="{00000000-0005-0000-0000-000091260000}"/>
    <cellStyle name="Input 2 2 3 2" xfId="9874" xr:uid="{00000000-0005-0000-0000-000092260000}"/>
    <cellStyle name="Input 2 2 3 2 2" xfId="9875" xr:uid="{00000000-0005-0000-0000-000093260000}"/>
    <cellStyle name="Input 2 2 3 3" xfId="9876" xr:uid="{00000000-0005-0000-0000-000094260000}"/>
    <cellStyle name="Input 2 2 4" xfId="9877" xr:uid="{00000000-0005-0000-0000-000095260000}"/>
    <cellStyle name="Input 2 3" xfId="9878" xr:uid="{00000000-0005-0000-0000-000096260000}"/>
    <cellStyle name="Input 2 3 2" xfId="9879" xr:uid="{00000000-0005-0000-0000-000097260000}"/>
    <cellStyle name="Input 2 3 2 2" xfId="9880" xr:uid="{00000000-0005-0000-0000-000098260000}"/>
    <cellStyle name="Input 2 3 2 2 2" xfId="9881" xr:uid="{00000000-0005-0000-0000-000099260000}"/>
    <cellStyle name="Input 2 3 2 2 2 2" xfId="35174" xr:uid="{418FE300-9CE5-48A9-99D0-4D351A9EE42C}"/>
    <cellStyle name="Input 2 3 2 2 3" xfId="35173" xr:uid="{0A023909-4B02-46A5-A5EB-5A020BDDB6BE}"/>
    <cellStyle name="Input 2 3 2 3" xfId="9882" xr:uid="{00000000-0005-0000-0000-00009A260000}"/>
    <cellStyle name="Input 2 3 2 3 2" xfId="35175" xr:uid="{DE35D83C-4D4B-4B89-80A5-AAD86CF2E59E}"/>
    <cellStyle name="Input 2 3 2 4" xfId="35172" xr:uid="{1BA837E7-BA00-4786-8CCA-1B3A21764164}"/>
    <cellStyle name="Input 2 3 3" xfId="9883" xr:uid="{00000000-0005-0000-0000-00009B260000}"/>
    <cellStyle name="Input 2 3 3 2" xfId="9884" xr:uid="{00000000-0005-0000-0000-00009C260000}"/>
    <cellStyle name="Input 2 3 3 2 2" xfId="9885" xr:uid="{00000000-0005-0000-0000-00009D260000}"/>
    <cellStyle name="Input 2 3 3 2 2 2" xfId="9886" xr:uid="{00000000-0005-0000-0000-00009E260000}"/>
    <cellStyle name="Input 2 3 3 2 2 2 2" xfId="35179" xr:uid="{4081809A-997C-4320-8623-7389E9563590}"/>
    <cellStyle name="Input 2 3 3 2 2 3" xfId="35178" xr:uid="{754426BA-5205-4BE4-A36D-AA145D34E83B}"/>
    <cellStyle name="Input 2 3 3 2 3" xfId="9887" xr:uid="{00000000-0005-0000-0000-00009F260000}"/>
    <cellStyle name="Input 2 3 3 2 3 2" xfId="35180" xr:uid="{8842504D-12AD-40A7-8871-6170AB8BAFD5}"/>
    <cellStyle name="Input 2 3 3 2 4" xfId="35177" xr:uid="{D7309C20-2B99-4E0A-A50C-F8E221FB162E}"/>
    <cellStyle name="Input 2 3 3 3" xfId="9888" xr:uid="{00000000-0005-0000-0000-0000A0260000}"/>
    <cellStyle name="Input 2 3 3 3 2" xfId="9889" xr:uid="{00000000-0005-0000-0000-0000A1260000}"/>
    <cellStyle name="Input 2 3 3 3 2 2" xfId="35182" xr:uid="{BEAA39A9-E93E-43DE-9D37-1C2EF1F449ED}"/>
    <cellStyle name="Input 2 3 3 3 3" xfId="35181" xr:uid="{2EEF7097-3521-4894-B09C-174EEA44C4C4}"/>
    <cellStyle name="Input 2 3 3 4" xfId="9890" xr:uid="{00000000-0005-0000-0000-0000A2260000}"/>
    <cellStyle name="Input 2 3 3 4 2" xfId="35183" xr:uid="{A6B5DB7B-3F1A-4D9E-B6A9-2ACB8637D813}"/>
    <cellStyle name="Input 2 3 3 5" xfId="35176" xr:uid="{FC47CD01-C650-412D-925F-F195B30E6FF1}"/>
    <cellStyle name="Input 2 3 4" xfId="9891" xr:uid="{00000000-0005-0000-0000-0000A3260000}"/>
    <cellStyle name="Input 2 3 4 2" xfId="9892" xr:uid="{00000000-0005-0000-0000-0000A4260000}"/>
    <cellStyle name="Input 2 3 4 2 2" xfId="35185" xr:uid="{47FCDEA5-E076-4D55-8839-FD308E77486E}"/>
    <cellStyle name="Input 2 3 4 3" xfId="35184" xr:uid="{8E1B1CDD-83D7-49C4-B00A-FD80B288C21F}"/>
    <cellStyle name="Input 2 3 5" xfId="9893" xr:uid="{00000000-0005-0000-0000-0000A5260000}"/>
    <cellStyle name="Input 2 3 5 2" xfId="35186" xr:uid="{C82FA290-5197-4633-9E48-6637C5AEF484}"/>
    <cellStyle name="Input 2 3 6" xfId="35171" xr:uid="{C47BD7AB-1E3A-4A04-8CAE-F4353BB2E194}"/>
    <cellStyle name="Input 2 4" xfId="9894" xr:uid="{00000000-0005-0000-0000-0000A6260000}"/>
    <cellStyle name="Input 2 4 2" xfId="9895" xr:uid="{00000000-0005-0000-0000-0000A7260000}"/>
    <cellStyle name="Input 2 4 2 2" xfId="9896" xr:uid="{00000000-0005-0000-0000-0000A8260000}"/>
    <cellStyle name="Input 2 4 2 2 2" xfId="9897" xr:uid="{00000000-0005-0000-0000-0000A9260000}"/>
    <cellStyle name="Input 2 4 2 2 2 2" xfId="35190" xr:uid="{FC9DEF18-0536-4753-A2EF-7347A63803AD}"/>
    <cellStyle name="Input 2 4 2 2 3" xfId="35189" xr:uid="{28101312-8F86-42F7-8E26-53089AF9BFC9}"/>
    <cellStyle name="Input 2 4 2 3" xfId="9898" xr:uid="{00000000-0005-0000-0000-0000AA260000}"/>
    <cellStyle name="Input 2 4 2 3 2" xfId="35191" xr:uid="{AD911206-5CB1-46B8-8444-40991D2CE77F}"/>
    <cellStyle name="Input 2 4 2 4" xfId="35188" xr:uid="{3DBC7900-2800-4939-AC81-F00321948BEE}"/>
    <cellStyle name="Input 2 4 3" xfId="9899" xr:uid="{00000000-0005-0000-0000-0000AB260000}"/>
    <cellStyle name="Input 2 4 3 2" xfId="9900" xr:uid="{00000000-0005-0000-0000-0000AC260000}"/>
    <cellStyle name="Input 2 4 3 2 2" xfId="35193" xr:uid="{B5C00D3D-C8E0-4E62-8BCE-153DCCFC7A65}"/>
    <cellStyle name="Input 2 4 3 3" xfId="35192" xr:uid="{79D390A1-372D-4A7D-932D-7E45FC4428F7}"/>
    <cellStyle name="Input 2 4 4" xfId="9901" xr:uid="{00000000-0005-0000-0000-0000AD260000}"/>
    <cellStyle name="Input 2 4 4 2" xfId="35194" xr:uid="{A0B4587B-2151-4F1E-B527-A3CAF07482A3}"/>
    <cellStyle name="Input 2 4 5" xfId="35187" xr:uid="{ADFEB529-F97A-4FD6-A9F9-82017BD57E70}"/>
    <cellStyle name="Input 2 5" xfId="9902" xr:uid="{00000000-0005-0000-0000-0000AE260000}"/>
    <cellStyle name="Input 2 5 2" xfId="9903" xr:uid="{00000000-0005-0000-0000-0000AF260000}"/>
    <cellStyle name="Input 2 5 2 2" xfId="9904" xr:uid="{00000000-0005-0000-0000-0000B0260000}"/>
    <cellStyle name="Input 2 5 3" xfId="9905" xr:uid="{00000000-0005-0000-0000-0000B1260000}"/>
    <cellStyle name="Input 2 5 3 2" xfId="9906" xr:uid="{00000000-0005-0000-0000-0000B2260000}"/>
    <cellStyle name="Input 2 5 3 2 2" xfId="9907" xr:uid="{00000000-0005-0000-0000-0000B3260000}"/>
    <cellStyle name="Input 2 5 3 3" xfId="9908" xr:uid="{00000000-0005-0000-0000-0000B4260000}"/>
    <cellStyle name="Input 2 5 4" xfId="9909" xr:uid="{00000000-0005-0000-0000-0000B5260000}"/>
    <cellStyle name="Input 2 6" xfId="9910" xr:uid="{00000000-0005-0000-0000-0000B6260000}"/>
    <cellStyle name="Input 2 6 2" xfId="9911" xr:uid="{00000000-0005-0000-0000-0000B7260000}"/>
    <cellStyle name="Input 2 6 2 2" xfId="9912" xr:uid="{00000000-0005-0000-0000-0000B8260000}"/>
    <cellStyle name="Input 2 6 2 2 2" xfId="9913" xr:uid="{00000000-0005-0000-0000-0000B9260000}"/>
    <cellStyle name="Input 2 6 2 2 2 2" xfId="35198" xr:uid="{9CFFAEAC-8883-41CA-BC49-952ED4D87B66}"/>
    <cellStyle name="Input 2 6 2 2 3" xfId="35197" xr:uid="{C8E58D59-E320-4730-B72F-7B7E0F6A21AD}"/>
    <cellStyle name="Input 2 6 2 3" xfId="9914" xr:uid="{00000000-0005-0000-0000-0000BA260000}"/>
    <cellStyle name="Input 2 6 2 3 2" xfId="35199" xr:uid="{1339437E-D10F-4928-A9BD-AB3A15B2D180}"/>
    <cellStyle name="Input 2 6 2 4" xfId="35196" xr:uid="{F6DF070E-29B2-4A2A-9396-14589E4F7783}"/>
    <cellStyle name="Input 2 6 3" xfId="9915" xr:uid="{00000000-0005-0000-0000-0000BB260000}"/>
    <cellStyle name="Input 2 6 3 2" xfId="9916" xr:uid="{00000000-0005-0000-0000-0000BC260000}"/>
    <cellStyle name="Input 2 6 3 2 2" xfId="9917" xr:uid="{00000000-0005-0000-0000-0000BD260000}"/>
    <cellStyle name="Input 2 6 3 2 2 2" xfId="9918" xr:uid="{00000000-0005-0000-0000-0000BE260000}"/>
    <cellStyle name="Input 2 6 3 2 2 2 2" xfId="9919" xr:uid="{00000000-0005-0000-0000-0000BF260000}"/>
    <cellStyle name="Input 2 6 3 2 2 2 2 2" xfId="35204" xr:uid="{345FB146-E19A-4803-BFA7-2BAFFD935EA5}"/>
    <cellStyle name="Input 2 6 3 2 2 2 3" xfId="35203" xr:uid="{D3571B2C-1BFC-44CA-A162-8A21F77EDDE4}"/>
    <cellStyle name="Input 2 6 3 2 2 3" xfId="9920" xr:uid="{00000000-0005-0000-0000-0000C0260000}"/>
    <cellStyle name="Input 2 6 3 2 2 3 2" xfId="35205" xr:uid="{7C011CF5-58A5-42DA-AB68-07EF5A94A20E}"/>
    <cellStyle name="Input 2 6 3 2 2 4" xfId="35202" xr:uid="{0C45BFF9-D34A-454E-9659-D70056581414}"/>
    <cellStyle name="Input 2 6 3 2 3" xfId="9921" xr:uid="{00000000-0005-0000-0000-0000C1260000}"/>
    <cellStyle name="Input 2 6 3 2 3 2" xfId="9922" xr:uid="{00000000-0005-0000-0000-0000C2260000}"/>
    <cellStyle name="Input 2 6 3 2 3 2 2" xfId="35207" xr:uid="{0D314E35-08C5-4A6E-9DA1-CA60FA3DD2DB}"/>
    <cellStyle name="Input 2 6 3 2 3 3" xfId="35206" xr:uid="{1C220D12-E18D-47D1-8A82-7EB3930BB9C8}"/>
    <cellStyle name="Input 2 6 3 2 4" xfId="9923" xr:uid="{00000000-0005-0000-0000-0000C3260000}"/>
    <cellStyle name="Input 2 6 3 2 4 2" xfId="35208" xr:uid="{25A787B8-6BD2-4598-9E59-6E3BFC802D39}"/>
    <cellStyle name="Input 2 6 3 2 5" xfId="35201" xr:uid="{4DA2BA6F-D5E8-4B56-A54D-5F167747CFC1}"/>
    <cellStyle name="Input 2 6 3 3" xfId="9924" xr:uid="{00000000-0005-0000-0000-0000C4260000}"/>
    <cellStyle name="Input 2 6 3 3 2" xfId="9925" xr:uid="{00000000-0005-0000-0000-0000C5260000}"/>
    <cellStyle name="Input 2 6 3 3 2 2" xfId="9926" xr:uid="{00000000-0005-0000-0000-0000C6260000}"/>
    <cellStyle name="Input 2 6 3 3 2 2 2" xfId="35211" xr:uid="{6B7066CF-88F0-4B37-B045-4BDE1BE285E5}"/>
    <cellStyle name="Input 2 6 3 3 2 3" xfId="35210" xr:uid="{2B51485A-D279-45CE-A5FE-A7BCB9D9EEDB}"/>
    <cellStyle name="Input 2 6 3 3 3" xfId="9927" xr:uid="{00000000-0005-0000-0000-0000C7260000}"/>
    <cellStyle name="Input 2 6 3 3 3 2" xfId="35212" xr:uid="{7CE5414E-BA0E-4023-BB84-37790037CCA0}"/>
    <cellStyle name="Input 2 6 3 3 4" xfId="35209" xr:uid="{D668EF33-283A-421F-B3B6-E70BCC62E782}"/>
    <cellStyle name="Input 2 6 3 4" xfId="9928" xr:uid="{00000000-0005-0000-0000-0000C8260000}"/>
    <cellStyle name="Input 2 6 3 4 2" xfId="9929" xr:uid="{00000000-0005-0000-0000-0000C9260000}"/>
    <cellStyle name="Input 2 6 3 4 2 2" xfId="35214" xr:uid="{916F2A2D-7B4B-48EE-B852-C67F777F8F5B}"/>
    <cellStyle name="Input 2 6 3 4 3" xfId="35213" xr:uid="{D43A801B-0AF6-4D0B-B8A4-60323C6C7591}"/>
    <cellStyle name="Input 2 6 3 5" xfId="9930" xr:uid="{00000000-0005-0000-0000-0000CA260000}"/>
    <cellStyle name="Input 2 6 3 5 2" xfId="35215" xr:uid="{A660486D-F14C-47A1-BD7E-824B4B76CA90}"/>
    <cellStyle name="Input 2 6 3 6" xfId="35200" xr:uid="{3053BEC6-8976-4ED8-B7A4-025F1163F123}"/>
    <cellStyle name="Input 2 6 4" xfId="9931" xr:uid="{00000000-0005-0000-0000-0000CB260000}"/>
    <cellStyle name="Input 2 6 4 2" xfId="9932" xr:uid="{00000000-0005-0000-0000-0000CC260000}"/>
    <cellStyle name="Input 2 6 4 2 2" xfId="9933" xr:uid="{00000000-0005-0000-0000-0000CD260000}"/>
    <cellStyle name="Input 2 6 4 2 2 2" xfId="9934" xr:uid="{00000000-0005-0000-0000-0000CE260000}"/>
    <cellStyle name="Input 2 6 4 2 2 2 2" xfId="35219" xr:uid="{5E94583A-205E-4B14-BDB0-96F5F7E62313}"/>
    <cellStyle name="Input 2 6 4 2 2 3" xfId="35218" xr:uid="{01A75F1C-6231-4206-85B4-B5221F57E942}"/>
    <cellStyle name="Input 2 6 4 2 3" xfId="9935" xr:uid="{00000000-0005-0000-0000-0000CF260000}"/>
    <cellStyle name="Input 2 6 4 2 3 2" xfId="35220" xr:uid="{ED94850D-D7CA-495F-A920-1453CED9E1A4}"/>
    <cellStyle name="Input 2 6 4 2 4" xfId="35217" xr:uid="{84591878-0CCE-4592-AD72-6232C5B2D9E6}"/>
    <cellStyle name="Input 2 6 4 3" xfId="9936" xr:uid="{00000000-0005-0000-0000-0000D0260000}"/>
    <cellStyle name="Input 2 6 4 3 2" xfId="9937" xr:uid="{00000000-0005-0000-0000-0000D1260000}"/>
    <cellStyle name="Input 2 6 4 3 2 2" xfId="35222" xr:uid="{C92E27E5-4372-4503-8A12-53DA74FBF213}"/>
    <cellStyle name="Input 2 6 4 3 3" xfId="35221" xr:uid="{738C2C0F-EE50-41EB-A40A-AA9459193D7C}"/>
    <cellStyle name="Input 2 6 4 4" xfId="9938" xr:uid="{00000000-0005-0000-0000-0000D2260000}"/>
    <cellStyle name="Input 2 6 4 4 2" xfId="35223" xr:uid="{492AE450-2CF6-48D4-8439-88CFBD63E01F}"/>
    <cellStyle name="Input 2 6 4 5" xfId="35216" xr:uid="{74390885-1AE8-4AF5-BD55-99FB7F699836}"/>
    <cellStyle name="Input 2 6 5" xfId="9939" xr:uid="{00000000-0005-0000-0000-0000D3260000}"/>
    <cellStyle name="Input 2 6 5 2" xfId="9940" xr:uid="{00000000-0005-0000-0000-0000D4260000}"/>
    <cellStyle name="Input 2 6 5 2 2" xfId="9941" xr:uid="{00000000-0005-0000-0000-0000D5260000}"/>
    <cellStyle name="Input 2 6 5 2 2 2" xfId="35226" xr:uid="{2BA9768A-D212-4897-8192-59BAB568C4FE}"/>
    <cellStyle name="Input 2 6 5 2 3" xfId="35225" xr:uid="{DE12DC43-D0CF-41E1-8E5C-640F53A032B9}"/>
    <cellStyle name="Input 2 6 5 3" xfId="9942" xr:uid="{00000000-0005-0000-0000-0000D6260000}"/>
    <cellStyle name="Input 2 6 5 3 2" xfId="35227" xr:uid="{E46FB0DB-43C6-4FF7-A12D-CCB7D089D278}"/>
    <cellStyle name="Input 2 6 5 4" xfId="35224" xr:uid="{FCB80867-67E5-4632-87D2-605FD11CF8B3}"/>
    <cellStyle name="Input 2 6 6" xfId="9943" xr:uid="{00000000-0005-0000-0000-0000D7260000}"/>
    <cellStyle name="Input 2 6 6 2" xfId="9944" xr:uid="{00000000-0005-0000-0000-0000D8260000}"/>
    <cellStyle name="Input 2 6 6 2 2" xfId="35229" xr:uid="{4B004677-D8A3-4FE5-950C-0C3895D2B710}"/>
    <cellStyle name="Input 2 6 6 3" xfId="35228" xr:uid="{41F08A8B-BF52-435C-8DF3-7130F06542C2}"/>
    <cellStyle name="Input 2 6 7" xfId="9945" xr:uid="{00000000-0005-0000-0000-0000D9260000}"/>
    <cellStyle name="Input 2 6 7 2" xfId="35230" xr:uid="{C0744A71-CBA8-4FCB-90A6-45A224C51F2E}"/>
    <cellStyle name="Input 2 6 8" xfId="35195" xr:uid="{471B953A-6A1F-4FF4-B832-C3F4CBFE6C5A}"/>
    <cellStyle name="Input 2 7" xfId="9946" xr:uid="{00000000-0005-0000-0000-0000DA260000}"/>
    <cellStyle name="Input 2 7 2" xfId="9947" xr:uid="{00000000-0005-0000-0000-0000DB260000}"/>
    <cellStyle name="Input 2 7 2 2" xfId="9948" xr:uid="{00000000-0005-0000-0000-0000DC260000}"/>
    <cellStyle name="Input 2 7 2 2 2" xfId="35233" xr:uid="{3501D3A2-ABA2-4741-A020-54EE18EA3F0F}"/>
    <cellStyle name="Input 2 7 2 3" xfId="35232" xr:uid="{F0857A15-93E0-4ABC-BA0C-F15E24D1DE95}"/>
    <cellStyle name="Input 2 7 3" xfId="9949" xr:uid="{00000000-0005-0000-0000-0000DD260000}"/>
    <cellStyle name="Input 2 7 3 2" xfId="35234" xr:uid="{64974823-E55E-4D20-84B2-1B0988194C4C}"/>
    <cellStyle name="Input 2 7 4" xfId="35231" xr:uid="{61FB6BF2-37B3-4523-8066-BCF787C1E4DF}"/>
    <cellStyle name="Input 2 8" xfId="9950" xr:uid="{00000000-0005-0000-0000-0000DE260000}"/>
    <cellStyle name="Input 2 8 2" xfId="9951" xr:uid="{00000000-0005-0000-0000-0000DF260000}"/>
    <cellStyle name="Input 2 8 2 2" xfId="9952" xr:uid="{00000000-0005-0000-0000-0000E0260000}"/>
    <cellStyle name="Input 2 8 2 2 2" xfId="9953" xr:uid="{00000000-0005-0000-0000-0000E1260000}"/>
    <cellStyle name="Input 2 8 2 2 2 2" xfId="35238" xr:uid="{ACF5F0BF-E814-4DC0-A328-EEADBC40C026}"/>
    <cellStyle name="Input 2 8 2 2 3" xfId="35237" xr:uid="{5D06E190-259F-4D81-BD69-206546535124}"/>
    <cellStyle name="Input 2 8 2 3" xfId="9954" xr:uid="{00000000-0005-0000-0000-0000E2260000}"/>
    <cellStyle name="Input 2 8 2 3 2" xfId="35239" xr:uid="{43081B3A-5858-4185-AA4B-5F2F8730722A}"/>
    <cellStyle name="Input 2 8 2 4" xfId="35236" xr:uid="{F73FEEE1-407A-415F-8584-0AE4C0415A6B}"/>
    <cellStyle name="Input 2 8 3" xfId="9955" xr:uid="{00000000-0005-0000-0000-0000E3260000}"/>
    <cellStyle name="Input 2 8 3 2" xfId="9956" xr:uid="{00000000-0005-0000-0000-0000E4260000}"/>
    <cellStyle name="Input 2 8 3 2 2" xfId="35241" xr:uid="{5F9A9007-1DB8-4BC2-BB88-C3D3B1C243B4}"/>
    <cellStyle name="Input 2 8 3 3" xfId="35240" xr:uid="{6352BB7C-0BA2-4146-A5ED-D23B1EA3204E}"/>
    <cellStyle name="Input 2 8 4" xfId="9957" xr:uid="{00000000-0005-0000-0000-0000E5260000}"/>
    <cellStyle name="Input 2 8 4 2" xfId="35242" xr:uid="{ADA0FAF0-6F33-4C46-8914-C242A171A0C8}"/>
    <cellStyle name="Input 2 8 5" xfId="35235" xr:uid="{CDF1730D-065F-4388-A9A5-2BB6CBBE86FF}"/>
    <cellStyle name="Input 2 9" xfId="9958" xr:uid="{00000000-0005-0000-0000-0000E6260000}"/>
    <cellStyle name="Input 2 9 2" xfId="9959" xr:uid="{00000000-0005-0000-0000-0000E7260000}"/>
    <cellStyle name="Input 2 9 2 2" xfId="9960" xr:uid="{00000000-0005-0000-0000-0000E8260000}"/>
    <cellStyle name="Input 2 9 2 2 2" xfId="9961" xr:uid="{00000000-0005-0000-0000-0000E9260000}"/>
    <cellStyle name="Input 2 9 2 2 2 2" xfId="35245" xr:uid="{175400FC-D2A9-49BC-B886-0143F3975DBE}"/>
    <cellStyle name="Input 2 9 2 2 3" xfId="35244" xr:uid="{CA420C57-0023-431D-B8D4-B1D57474DFD6}"/>
    <cellStyle name="Input 2 9 2 3" xfId="9962" xr:uid="{00000000-0005-0000-0000-0000EA260000}"/>
    <cellStyle name="Input 2 9 2 3 2" xfId="35246" xr:uid="{FD7B0E0B-48AC-433B-A90A-CE75B09F9E82}"/>
    <cellStyle name="Input 2 9 2 4" xfId="35243" xr:uid="{0655EB9A-039C-498C-B7AB-AF87F2D38F13}"/>
    <cellStyle name="Input 2 9 3" xfId="9963" xr:uid="{00000000-0005-0000-0000-0000EB260000}"/>
    <cellStyle name="Input 2 9 3 2" xfId="9964" xr:uid="{00000000-0005-0000-0000-0000EC260000}"/>
    <cellStyle name="Input 2 9 3 2 2" xfId="35248" xr:uid="{0EEB63C2-DC19-404D-98B9-5BEFF592F53C}"/>
    <cellStyle name="Input 2 9 3 3" xfId="35247" xr:uid="{9F3E3863-4A74-4E17-8EFF-FA5DAFC25C0F}"/>
    <cellStyle name="Input 2 9 4" xfId="9965" xr:uid="{00000000-0005-0000-0000-0000ED260000}"/>
    <cellStyle name="Input 20" xfId="9966" xr:uid="{00000000-0005-0000-0000-0000EE260000}"/>
    <cellStyle name="Input 20 2" xfId="9967" xr:uid="{00000000-0005-0000-0000-0000EF260000}"/>
    <cellStyle name="Input 20 2 2" xfId="9968" xr:uid="{00000000-0005-0000-0000-0000F0260000}"/>
    <cellStyle name="Input 20 2 2 2" xfId="9969" xr:uid="{00000000-0005-0000-0000-0000F1260000}"/>
    <cellStyle name="Input 20 2 2 2 2" xfId="35252" xr:uid="{8C1D5CB4-07A1-45A4-9D1E-0E911B241342}"/>
    <cellStyle name="Input 20 2 2 3" xfId="35251" xr:uid="{F6A8981A-0C0F-4263-8950-E5509D9BAB12}"/>
    <cellStyle name="Input 20 2 3" xfId="9970" xr:uid="{00000000-0005-0000-0000-0000F2260000}"/>
    <cellStyle name="Input 20 2 3 2" xfId="35253" xr:uid="{40DFC0CF-A8AA-40CA-A5E9-7261EDF80132}"/>
    <cellStyle name="Input 20 2 4" xfId="35250" xr:uid="{8666A716-29BB-4CB0-AE24-862B2ABEDB98}"/>
    <cellStyle name="Input 20 3" xfId="9971" xr:uid="{00000000-0005-0000-0000-0000F3260000}"/>
    <cellStyle name="Input 20 3 2" xfId="9972" xr:uid="{00000000-0005-0000-0000-0000F4260000}"/>
    <cellStyle name="Input 20 3 2 2" xfId="35255" xr:uid="{BE272CDA-993B-4B33-B861-B7695B87FCED}"/>
    <cellStyle name="Input 20 3 3" xfId="35254" xr:uid="{289F8F32-DA0D-48C4-84AB-121FCC7AA520}"/>
    <cellStyle name="Input 20 4" xfId="9973" xr:uid="{00000000-0005-0000-0000-0000F5260000}"/>
    <cellStyle name="Input 20 4 2" xfId="35256" xr:uid="{736F3E0F-5707-4EC6-B462-15ECFEF37262}"/>
    <cellStyle name="Input 20 5" xfId="35249" xr:uid="{0151DB5F-1700-4B47-8AB1-9A5AEE5576B6}"/>
    <cellStyle name="Input 21" xfId="9974" xr:uid="{00000000-0005-0000-0000-0000F6260000}"/>
    <cellStyle name="Input 21 2" xfId="9975" xr:uid="{00000000-0005-0000-0000-0000F7260000}"/>
    <cellStyle name="Input 21 2 2" xfId="9976" xr:uid="{00000000-0005-0000-0000-0000F8260000}"/>
    <cellStyle name="Input 21 2 2 2" xfId="9977" xr:uid="{00000000-0005-0000-0000-0000F9260000}"/>
    <cellStyle name="Input 21 2 2 2 2" xfId="35260" xr:uid="{7C5A9999-DC7E-4441-9819-B959FAAEA9CF}"/>
    <cellStyle name="Input 21 2 2 3" xfId="35259" xr:uid="{818B48DC-E02A-488C-996E-9E56C3D47C04}"/>
    <cellStyle name="Input 21 2 3" xfId="9978" xr:uid="{00000000-0005-0000-0000-0000FA260000}"/>
    <cellStyle name="Input 21 2 3 2" xfId="35261" xr:uid="{BF25EE32-3019-47A1-84EB-8394E0DCF11A}"/>
    <cellStyle name="Input 21 2 4" xfId="35258" xr:uid="{7F34606B-21D2-458D-9173-D8A97D864C2C}"/>
    <cellStyle name="Input 21 3" xfId="9979" xr:uid="{00000000-0005-0000-0000-0000FB260000}"/>
    <cellStyle name="Input 21 3 2" xfId="9980" xr:uid="{00000000-0005-0000-0000-0000FC260000}"/>
    <cellStyle name="Input 21 3 2 2" xfId="35263" xr:uid="{F639FB3B-AD1E-43B8-A062-FC749E24B67C}"/>
    <cellStyle name="Input 21 3 3" xfId="35262" xr:uid="{EB3FFAC2-E99C-40AE-B727-01E4EEE2C57F}"/>
    <cellStyle name="Input 21 4" xfId="9981" xr:uid="{00000000-0005-0000-0000-0000FD260000}"/>
    <cellStyle name="Input 21 4 2" xfId="35264" xr:uid="{A237BDD6-CC85-4901-82D7-EF500A9D4B66}"/>
    <cellStyle name="Input 21 5" xfId="35257" xr:uid="{6A7D0DDA-97B9-48C1-BF2D-F9A5B4DED407}"/>
    <cellStyle name="Input 22" xfId="9982" xr:uid="{00000000-0005-0000-0000-0000FE260000}"/>
    <cellStyle name="Input 22 2" xfId="9983" xr:uid="{00000000-0005-0000-0000-0000FF260000}"/>
    <cellStyle name="Input 22 2 2" xfId="9984" xr:uid="{00000000-0005-0000-0000-000000270000}"/>
    <cellStyle name="Input 22 2 2 2" xfId="9985" xr:uid="{00000000-0005-0000-0000-000001270000}"/>
    <cellStyle name="Input 22 2 2 2 2" xfId="35268" xr:uid="{6AD8BC87-BFD3-46AC-9521-7EC9D1029A00}"/>
    <cellStyle name="Input 22 2 2 3" xfId="35267" xr:uid="{518F2BB6-D6BF-41BA-A525-3CB9C5F03CED}"/>
    <cellStyle name="Input 22 2 3" xfId="9986" xr:uid="{00000000-0005-0000-0000-000002270000}"/>
    <cellStyle name="Input 22 2 3 2" xfId="35269" xr:uid="{DD552569-2A76-4FFD-BD54-E20AEC01C268}"/>
    <cellStyle name="Input 22 2 4" xfId="35266" xr:uid="{E46F4984-298A-40A0-8080-C99977830E3C}"/>
    <cellStyle name="Input 22 3" xfId="9987" xr:uid="{00000000-0005-0000-0000-000003270000}"/>
    <cellStyle name="Input 22 3 2" xfId="9988" xr:uid="{00000000-0005-0000-0000-000004270000}"/>
    <cellStyle name="Input 22 3 2 2" xfId="35271" xr:uid="{0534CBFA-CC16-4903-874A-8AB96EBD52FA}"/>
    <cellStyle name="Input 22 3 3" xfId="35270" xr:uid="{CBDD2BBF-9E5F-4145-B25E-83F0AE5576AF}"/>
    <cellStyle name="Input 22 4" xfId="9989" xr:uid="{00000000-0005-0000-0000-000005270000}"/>
    <cellStyle name="Input 22 4 2" xfId="35272" xr:uid="{F71EF54F-D8CD-4418-AFA7-D87F7D1FAB0A}"/>
    <cellStyle name="Input 22 5" xfId="35265" xr:uid="{46D8A163-E539-4FD9-802F-7B4529D684DF}"/>
    <cellStyle name="Input 23" xfId="9990" xr:uid="{00000000-0005-0000-0000-000006270000}"/>
    <cellStyle name="Input 23 2" xfId="9991" xr:uid="{00000000-0005-0000-0000-000007270000}"/>
    <cellStyle name="Input 23 2 2" xfId="9992" xr:uid="{00000000-0005-0000-0000-000008270000}"/>
    <cellStyle name="Input 23 2 2 2" xfId="9993" xr:uid="{00000000-0005-0000-0000-000009270000}"/>
    <cellStyle name="Input 23 2 2 2 2" xfId="35276" xr:uid="{03EB8BF4-5B48-46A4-ACE3-98279C2251B1}"/>
    <cellStyle name="Input 23 2 2 3" xfId="35275" xr:uid="{6F5AAFCA-62A9-4B12-97B6-51674E74D2E7}"/>
    <cellStyle name="Input 23 2 3" xfId="9994" xr:uid="{00000000-0005-0000-0000-00000A270000}"/>
    <cellStyle name="Input 23 2 3 2" xfId="35277" xr:uid="{FF78F4E7-2F98-4180-A392-4EA88C001F83}"/>
    <cellStyle name="Input 23 2 4" xfId="35274" xr:uid="{2177A571-6711-495E-BCF3-CD8786BB37B1}"/>
    <cellStyle name="Input 23 3" xfId="9995" xr:uid="{00000000-0005-0000-0000-00000B270000}"/>
    <cellStyle name="Input 23 3 2" xfId="9996" xr:uid="{00000000-0005-0000-0000-00000C270000}"/>
    <cellStyle name="Input 23 3 2 2" xfId="35279" xr:uid="{49D9EFB9-C1F5-4405-BB2B-5D886405A3B9}"/>
    <cellStyle name="Input 23 3 3" xfId="35278" xr:uid="{4A6A03A1-5F50-48A6-98C7-FBD7D39E84AC}"/>
    <cellStyle name="Input 23 4" xfId="9997" xr:uid="{00000000-0005-0000-0000-00000D270000}"/>
    <cellStyle name="Input 23 4 2" xfId="35280" xr:uid="{136F04D7-A2E3-45E1-85E9-98B42C1B88F3}"/>
    <cellStyle name="Input 23 5" xfId="35273" xr:uid="{421669AC-00A4-4C8B-908E-9D3AA7086929}"/>
    <cellStyle name="Input 24" xfId="9998" xr:uid="{00000000-0005-0000-0000-00000E270000}"/>
    <cellStyle name="Input 24 2" xfId="9999" xr:uid="{00000000-0005-0000-0000-00000F270000}"/>
    <cellStyle name="Input 24 2 2" xfId="10000" xr:uid="{00000000-0005-0000-0000-000010270000}"/>
    <cellStyle name="Input 24 2 2 2" xfId="10001" xr:uid="{00000000-0005-0000-0000-000011270000}"/>
    <cellStyle name="Input 24 2 2 2 2" xfId="35284" xr:uid="{8994A8A4-4310-4B8D-A549-7E3F03585063}"/>
    <cellStyle name="Input 24 2 2 3" xfId="35283" xr:uid="{DF3EBC1D-CFB1-4715-9DC9-3B2C9E51A64E}"/>
    <cellStyle name="Input 24 2 3" xfId="10002" xr:uid="{00000000-0005-0000-0000-000012270000}"/>
    <cellStyle name="Input 24 2 3 2" xfId="35285" xr:uid="{225C8A9D-655E-485B-849A-61CCD922274E}"/>
    <cellStyle name="Input 24 2 4" xfId="35282" xr:uid="{D84FBA0A-5E16-4B19-9EAE-EA5CA1C790D3}"/>
    <cellStyle name="Input 24 3" xfId="10003" xr:uid="{00000000-0005-0000-0000-000013270000}"/>
    <cellStyle name="Input 24 3 2" xfId="10004" xr:uid="{00000000-0005-0000-0000-000014270000}"/>
    <cellStyle name="Input 24 3 2 2" xfId="35287" xr:uid="{1BC12872-769E-4793-A29F-57499F6999B6}"/>
    <cellStyle name="Input 24 3 3" xfId="35286" xr:uid="{29765934-CBE0-4B4E-8A01-EF35691F1B8E}"/>
    <cellStyle name="Input 24 4" xfId="10005" xr:uid="{00000000-0005-0000-0000-000015270000}"/>
    <cellStyle name="Input 24 4 2" xfId="35288" xr:uid="{AFE4499A-99DF-4E65-B27C-728DC8D2EF92}"/>
    <cellStyle name="Input 24 5" xfId="35281" xr:uid="{15E2E32E-F3AB-4983-A48A-C99DD201BD4F}"/>
    <cellStyle name="Input 25" xfId="10006" xr:uid="{00000000-0005-0000-0000-000016270000}"/>
    <cellStyle name="Input 25 2" xfId="10007" xr:uid="{00000000-0005-0000-0000-000017270000}"/>
    <cellStyle name="Input 25 2 2" xfId="10008" xr:uid="{00000000-0005-0000-0000-000018270000}"/>
    <cellStyle name="Input 25 2 2 2" xfId="10009" xr:uid="{00000000-0005-0000-0000-000019270000}"/>
    <cellStyle name="Input 25 2 2 2 2" xfId="35292" xr:uid="{27D59782-CE4F-4879-A214-CD243388E73B}"/>
    <cellStyle name="Input 25 2 2 3" xfId="35291" xr:uid="{3AD60A42-E374-435E-BBBB-14FF40C3A32E}"/>
    <cellStyle name="Input 25 2 3" xfId="10010" xr:uid="{00000000-0005-0000-0000-00001A270000}"/>
    <cellStyle name="Input 25 2 3 2" xfId="35293" xr:uid="{98127C53-413D-4A65-8D13-ADBF03B17A67}"/>
    <cellStyle name="Input 25 2 4" xfId="35290" xr:uid="{431FE076-9DB5-4D67-A2E2-468EEB66D3A2}"/>
    <cellStyle name="Input 25 3" xfId="10011" xr:uid="{00000000-0005-0000-0000-00001B270000}"/>
    <cellStyle name="Input 25 3 2" xfId="10012" xr:uid="{00000000-0005-0000-0000-00001C270000}"/>
    <cellStyle name="Input 25 3 2 2" xfId="35295" xr:uid="{26C74E80-A76E-4E09-9A25-2FFC9AA2E2AF}"/>
    <cellStyle name="Input 25 3 3" xfId="35294" xr:uid="{3176264C-A93A-4E02-B159-9D461BBA5536}"/>
    <cellStyle name="Input 25 4" xfId="10013" xr:uid="{00000000-0005-0000-0000-00001D270000}"/>
    <cellStyle name="Input 25 4 2" xfId="35296" xr:uid="{C2FD24D7-F16D-4172-BB57-4C4B0C3EBDE9}"/>
    <cellStyle name="Input 25 5" xfId="35289" xr:uid="{CF8C5083-309D-40D9-9A0F-CACC7C92DA41}"/>
    <cellStyle name="Input 26" xfId="10014" xr:uid="{00000000-0005-0000-0000-00001E270000}"/>
    <cellStyle name="Input 26 2" xfId="10015" xr:uid="{00000000-0005-0000-0000-00001F270000}"/>
    <cellStyle name="Input 26 2 2" xfId="10016" xr:uid="{00000000-0005-0000-0000-000020270000}"/>
    <cellStyle name="Input 26 2 2 2" xfId="10017" xr:uid="{00000000-0005-0000-0000-000021270000}"/>
    <cellStyle name="Input 26 2 2 2 2" xfId="35300" xr:uid="{C220DA27-BCA9-4336-837F-146DDB3C6CE6}"/>
    <cellStyle name="Input 26 2 2 3" xfId="35299" xr:uid="{46DE3623-EB70-45EB-8F63-7D56C0B5C8CA}"/>
    <cellStyle name="Input 26 2 3" xfId="10018" xr:uid="{00000000-0005-0000-0000-000022270000}"/>
    <cellStyle name="Input 26 2 3 2" xfId="35301" xr:uid="{D55B5D6B-93C9-4885-A82F-C436C070BF0C}"/>
    <cellStyle name="Input 26 2 4" xfId="35298" xr:uid="{06C561FB-6037-4180-9071-0D68217D7B05}"/>
    <cellStyle name="Input 26 3" xfId="10019" xr:uid="{00000000-0005-0000-0000-000023270000}"/>
    <cellStyle name="Input 26 3 2" xfId="10020" xr:uid="{00000000-0005-0000-0000-000024270000}"/>
    <cellStyle name="Input 26 3 2 2" xfId="35303" xr:uid="{7BF3AD56-B581-41A7-812F-DC02E8D09DF9}"/>
    <cellStyle name="Input 26 3 3" xfId="35302" xr:uid="{94855AFA-9942-49F3-9ADC-EB2F926BBA42}"/>
    <cellStyle name="Input 26 4" xfId="10021" xr:uid="{00000000-0005-0000-0000-000025270000}"/>
    <cellStyle name="Input 26 4 2" xfId="35304" xr:uid="{70A0CD9B-60A7-4E56-929A-E4B06D1D5E84}"/>
    <cellStyle name="Input 26 5" xfId="35297" xr:uid="{BC38D3ED-0A4E-4852-B773-EA1AE0B4F444}"/>
    <cellStyle name="Input 27" xfId="10022" xr:uid="{00000000-0005-0000-0000-000026270000}"/>
    <cellStyle name="Input 27 2" xfId="10023" xr:uid="{00000000-0005-0000-0000-000027270000}"/>
    <cellStyle name="Input 27 2 2" xfId="10024" xr:uid="{00000000-0005-0000-0000-000028270000}"/>
    <cellStyle name="Input 27 2 2 2" xfId="10025" xr:uid="{00000000-0005-0000-0000-000029270000}"/>
    <cellStyle name="Input 27 2 2 2 2" xfId="35308" xr:uid="{A480C014-D557-4B36-8A63-87AEBA0B6CA4}"/>
    <cellStyle name="Input 27 2 2 3" xfId="35307" xr:uid="{F39E9E7C-873A-4D62-B683-3FF74C4C1A55}"/>
    <cellStyle name="Input 27 2 3" xfId="10026" xr:uid="{00000000-0005-0000-0000-00002A270000}"/>
    <cellStyle name="Input 27 2 3 2" xfId="35309" xr:uid="{9A7ED40F-DDC6-4473-92DF-171946E05269}"/>
    <cellStyle name="Input 27 2 4" xfId="35306" xr:uid="{EB0A15A1-C216-4799-A6CC-318268A7C879}"/>
    <cellStyle name="Input 27 3" xfId="10027" xr:uid="{00000000-0005-0000-0000-00002B270000}"/>
    <cellStyle name="Input 27 3 2" xfId="10028" xr:uid="{00000000-0005-0000-0000-00002C270000}"/>
    <cellStyle name="Input 27 3 2 2" xfId="35311" xr:uid="{E9169B5E-72F0-4EEF-9C3B-7484F739C51B}"/>
    <cellStyle name="Input 27 3 3" xfId="35310" xr:uid="{C5330D11-A473-4F3A-9631-8B6D06401C48}"/>
    <cellStyle name="Input 27 4" xfId="10029" xr:uid="{00000000-0005-0000-0000-00002D270000}"/>
    <cellStyle name="Input 27 4 2" xfId="35312" xr:uid="{FAE72871-BD1A-4D48-9C1C-1A953CB4DF2C}"/>
    <cellStyle name="Input 27 5" xfId="35305" xr:uid="{6CD3BD8D-C9D5-46BC-BBA0-C74EE93E6F42}"/>
    <cellStyle name="Input 28" xfId="10030" xr:uid="{00000000-0005-0000-0000-00002E270000}"/>
    <cellStyle name="Input 28 2" xfId="10031" xr:uid="{00000000-0005-0000-0000-00002F270000}"/>
    <cellStyle name="Input 28 2 2" xfId="10032" xr:uid="{00000000-0005-0000-0000-000030270000}"/>
    <cellStyle name="Input 28 2 2 2" xfId="10033" xr:uid="{00000000-0005-0000-0000-000031270000}"/>
    <cellStyle name="Input 28 2 2 2 2" xfId="35316" xr:uid="{FEF1D69E-54B6-4526-B5B0-C1CA32B08668}"/>
    <cellStyle name="Input 28 2 2 3" xfId="35315" xr:uid="{CCDF0ABB-5F2D-4FF1-8C43-7EBBDE440F96}"/>
    <cellStyle name="Input 28 2 3" xfId="10034" xr:uid="{00000000-0005-0000-0000-000032270000}"/>
    <cellStyle name="Input 28 2 3 2" xfId="35317" xr:uid="{740E58AC-B7E6-4D55-942F-E4F0F7B24CAD}"/>
    <cellStyle name="Input 28 2 4" xfId="35314" xr:uid="{BEABB15E-F029-4A41-AFD4-B935804EEF7C}"/>
    <cellStyle name="Input 28 3" xfId="10035" xr:uid="{00000000-0005-0000-0000-000033270000}"/>
    <cellStyle name="Input 28 3 2" xfId="10036" xr:uid="{00000000-0005-0000-0000-000034270000}"/>
    <cellStyle name="Input 28 3 2 2" xfId="35319" xr:uid="{308CAC2D-EB42-4689-86EB-CD819631AA66}"/>
    <cellStyle name="Input 28 3 3" xfId="35318" xr:uid="{DCA8BAC1-66E7-4EAB-9F81-9C30E61188EF}"/>
    <cellStyle name="Input 28 4" xfId="10037" xr:uid="{00000000-0005-0000-0000-000035270000}"/>
    <cellStyle name="Input 28 4 2" xfId="35320" xr:uid="{A9745CC7-BDB5-415F-89CB-E9A08CE4C50C}"/>
    <cellStyle name="Input 28 5" xfId="35313" xr:uid="{FB0DE28D-5909-4C70-A14B-F159F43257BC}"/>
    <cellStyle name="Input 29" xfId="10038" xr:uid="{00000000-0005-0000-0000-000036270000}"/>
    <cellStyle name="Input 29 2" xfId="10039" xr:uid="{00000000-0005-0000-0000-000037270000}"/>
    <cellStyle name="Input 29 2 2" xfId="10040" xr:uid="{00000000-0005-0000-0000-000038270000}"/>
    <cellStyle name="Input 29 2 2 2" xfId="10041" xr:uid="{00000000-0005-0000-0000-000039270000}"/>
    <cellStyle name="Input 29 2 2 2 2" xfId="35324" xr:uid="{EE15E5DB-EE59-4120-886C-E607F37AD885}"/>
    <cellStyle name="Input 29 2 2 3" xfId="35323" xr:uid="{F90D1F19-40ED-4F13-8370-F6F305F6CDE7}"/>
    <cellStyle name="Input 29 2 3" xfId="10042" xr:uid="{00000000-0005-0000-0000-00003A270000}"/>
    <cellStyle name="Input 29 2 3 2" xfId="35325" xr:uid="{D178864B-63CE-4547-8613-E6213C99ADD2}"/>
    <cellStyle name="Input 29 2 4" xfId="35322" xr:uid="{F28B667A-CAA4-4F97-AA39-7005FD194EDB}"/>
    <cellStyle name="Input 29 3" xfId="10043" xr:uid="{00000000-0005-0000-0000-00003B270000}"/>
    <cellStyle name="Input 29 3 2" xfId="10044" xr:uid="{00000000-0005-0000-0000-00003C270000}"/>
    <cellStyle name="Input 29 3 2 2" xfId="35327" xr:uid="{1F7A9826-7D4E-4598-A5A2-B12E37908FED}"/>
    <cellStyle name="Input 29 3 3" xfId="35326" xr:uid="{C5FD3F53-9163-467C-B42C-299BB87DD305}"/>
    <cellStyle name="Input 29 4" xfId="10045" xr:uid="{00000000-0005-0000-0000-00003D270000}"/>
    <cellStyle name="Input 29 4 2" xfId="35328" xr:uid="{C376B5D3-AB5E-4107-91F2-50587AD6A1D7}"/>
    <cellStyle name="Input 29 5" xfId="35321" xr:uid="{E2321C70-C4FF-4908-8922-8A14D0942CDC}"/>
    <cellStyle name="Input 3" xfId="10046" xr:uid="{00000000-0005-0000-0000-00003E270000}"/>
    <cellStyle name="Input 3 10" xfId="10047" xr:uid="{00000000-0005-0000-0000-00003F270000}"/>
    <cellStyle name="Input 3 10 2" xfId="10048" xr:uid="{00000000-0005-0000-0000-000040270000}"/>
    <cellStyle name="Input 3 10 2 2" xfId="10049" xr:uid="{00000000-0005-0000-0000-000041270000}"/>
    <cellStyle name="Input 3 10 2 2 2" xfId="35332" xr:uid="{5C8DC239-BEDE-4DD9-9F1C-590CDACDD01F}"/>
    <cellStyle name="Input 3 10 2 3" xfId="35331" xr:uid="{83964E8E-3C55-4329-9759-E1833EB45C1E}"/>
    <cellStyle name="Input 3 10 3" xfId="10050" xr:uid="{00000000-0005-0000-0000-000042270000}"/>
    <cellStyle name="Input 3 10 3 2" xfId="35333" xr:uid="{6E013C65-C1E9-4C5C-A5D8-5C281BB2ED46}"/>
    <cellStyle name="Input 3 10 4" xfId="35330" xr:uid="{BE51634E-8F95-47E9-8FE9-D9704B2B67A0}"/>
    <cellStyle name="Input 3 11" xfId="10051" xr:uid="{00000000-0005-0000-0000-000043270000}"/>
    <cellStyle name="Input 3 11 2" xfId="10052" xr:uid="{00000000-0005-0000-0000-000044270000}"/>
    <cellStyle name="Input 3 11 2 2" xfId="35335" xr:uid="{7113994D-6E29-4810-AD8E-A5A6B2A0FB55}"/>
    <cellStyle name="Input 3 11 3" xfId="35334" xr:uid="{C669A4FE-B850-4844-879B-1E24F3048C14}"/>
    <cellStyle name="Input 3 12" xfId="10053" xr:uid="{00000000-0005-0000-0000-000045270000}"/>
    <cellStyle name="Input 3 12 2" xfId="35336" xr:uid="{1A7ADCBC-1514-4619-885C-87A8DB8E1508}"/>
    <cellStyle name="Input 3 13" xfId="35329" xr:uid="{E2DD4B22-31D9-473E-9762-4266010B6ED5}"/>
    <cellStyle name="Input 3 2" xfId="10054" xr:uid="{00000000-0005-0000-0000-000046270000}"/>
    <cellStyle name="Input 3 2 2" xfId="10055" xr:uid="{00000000-0005-0000-0000-000047270000}"/>
    <cellStyle name="Input 3 2 2 2" xfId="10056" xr:uid="{00000000-0005-0000-0000-000048270000}"/>
    <cellStyle name="Input 3 2 3" xfId="10057" xr:uid="{00000000-0005-0000-0000-000049270000}"/>
    <cellStyle name="Input 3 2 3 2" xfId="10058" xr:uid="{00000000-0005-0000-0000-00004A270000}"/>
    <cellStyle name="Input 3 2 3 2 2" xfId="10059" xr:uid="{00000000-0005-0000-0000-00004B270000}"/>
    <cellStyle name="Input 3 2 3 3" xfId="10060" xr:uid="{00000000-0005-0000-0000-00004C270000}"/>
    <cellStyle name="Input 3 2 4" xfId="10061" xr:uid="{00000000-0005-0000-0000-00004D270000}"/>
    <cellStyle name="Input 3 3" xfId="10062" xr:uid="{00000000-0005-0000-0000-00004E270000}"/>
    <cellStyle name="Input 3 3 2" xfId="10063" xr:uid="{00000000-0005-0000-0000-00004F270000}"/>
    <cellStyle name="Input 3 3 2 2" xfId="10064" xr:uid="{00000000-0005-0000-0000-000050270000}"/>
    <cellStyle name="Input 3 3 2 2 2" xfId="10065" xr:uid="{00000000-0005-0000-0000-000051270000}"/>
    <cellStyle name="Input 3 3 2 2 2 2" xfId="35340" xr:uid="{F2CC13B7-2F04-4D11-92C0-5B351840634F}"/>
    <cellStyle name="Input 3 3 2 2 3" xfId="35339" xr:uid="{5FA40992-FD5E-48EE-BE7E-49C9B3154DE6}"/>
    <cellStyle name="Input 3 3 2 3" xfId="10066" xr:uid="{00000000-0005-0000-0000-000052270000}"/>
    <cellStyle name="Input 3 3 2 3 2" xfId="35341" xr:uid="{3E4CA106-2EB2-4A11-AE99-54EAA86755F4}"/>
    <cellStyle name="Input 3 3 2 4" xfId="35338" xr:uid="{7495D779-C6C1-42DA-9C86-287B59CD8072}"/>
    <cellStyle name="Input 3 3 3" xfId="10067" xr:uid="{00000000-0005-0000-0000-000053270000}"/>
    <cellStyle name="Input 3 3 3 2" xfId="10068" xr:uid="{00000000-0005-0000-0000-000054270000}"/>
    <cellStyle name="Input 3 3 3 2 2" xfId="10069" xr:uid="{00000000-0005-0000-0000-000055270000}"/>
    <cellStyle name="Input 3 3 3 2 2 2" xfId="10070" xr:uid="{00000000-0005-0000-0000-000056270000}"/>
    <cellStyle name="Input 3 3 3 2 2 2 2" xfId="35345" xr:uid="{2F6728DA-5320-46A8-8CF0-03EE11CCC790}"/>
    <cellStyle name="Input 3 3 3 2 2 3" xfId="35344" xr:uid="{D628C205-8BCD-4631-8E0B-18CA2702DDCF}"/>
    <cellStyle name="Input 3 3 3 2 3" xfId="10071" xr:uid="{00000000-0005-0000-0000-000057270000}"/>
    <cellStyle name="Input 3 3 3 2 3 2" xfId="35346" xr:uid="{38B1DFD6-D5AE-4C29-B99B-C316182F604F}"/>
    <cellStyle name="Input 3 3 3 2 4" xfId="35343" xr:uid="{A9F6E922-C3E9-4927-B86E-ABFE9EC8604F}"/>
    <cellStyle name="Input 3 3 3 3" xfId="10072" xr:uid="{00000000-0005-0000-0000-000058270000}"/>
    <cellStyle name="Input 3 3 3 3 2" xfId="10073" xr:uid="{00000000-0005-0000-0000-000059270000}"/>
    <cellStyle name="Input 3 3 3 3 2 2" xfId="35348" xr:uid="{79DA54F7-0212-4285-B6E2-69F34AC87CF0}"/>
    <cellStyle name="Input 3 3 3 3 3" xfId="35347" xr:uid="{81B7F7DC-41E5-44A4-B7D0-A5E5CF6CBDB7}"/>
    <cellStyle name="Input 3 3 3 4" xfId="10074" xr:uid="{00000000-0005-0000-0000-00005A270000}"/>
    <cellStyle name="Input 3 3 3 4 2" xfId="35349" xr:uid="{7BB381E3-F5F0-4326-A435-24D9FA3CE819}"/>
    <cellStyle name="Input 3 3 3 5" xfId="35342" xr:uid="{FA18B558-7AB2-46D9-B3EF-EEDC0B732517}"/>
    <cellStyle name="Input 3 3 4" xfId="10075" xr:uid="{00000000-0005-0000-0000-00005B270000}"/>
    <cellStyle name="Input 3 3 4 2" xfId="10076" xr:uid="{00000000-0005-0000-0000-00005C270000}"/>
    <cellStyle name="Input 3 3 4 2 2" xfId="35351" xr:uid="{609CC78C-E07C-44DB-8E7D-0EF77A060405}"/>
    <cellStyle name="Input 3 3 4 3" xfId="35350" xr:uid="{3D915829-5625-4FF7-81CA-DE06C765D9D5}"/>
    <cellStyle name="Input 3 3 5" xfId="10077" xr:uid="{00000000-0005-0000-0000-00005D270000}"/>
    <cellStyle name="Input 3 3 5 2" xfId="35352" xr:uid="{8F4CA00F-DD8C-470A-9B67-08DDC868DD57}"/>
    <cellStyle name="Input 3 3 6" xfId="35337" xr:uid="{1FA7E930-F135-48EF-A08B-65D2452CF85F}"/>
    <cellStyle name="Input 3 4" xfId="10078" xr:uid="{00000000-0005-0000-0000-00005E270000}"/>
    <cellStyle name="Input 3 4 2" xfId="10079" xr:uid="{00000000-0005-0000-0000-00005F270000}"/>
    <cellStyle name="Input 3 4 2 2" xfId="10080" xr:uid="{00000000-0005-0000-0000-000060270000}"/>
    <cellStyle name="Input 3 4 2 2 2" xfId="10081" xr:uid="{00000000-0005-0000-0000-000061270000}"/>
    <cellStyle name="Input 3 4 2 2 2 2" xfId="35356" xr:uid="{31168A69-F906-41B8-9D9C-53A9DE1D09E9}"/>
    <cellStyle name="Input 3 4 2 2 3" xfId="35355" xr:uid="{82FD7AE5-4C6D-4501-93BE-3E6D1060D528}"/>
    <cellStyle name="Input 3 4 2 3" xfId="10082" xr:uid="{00000000-0005-0000-0000-000062270000}"/>
    <cellStyle name="Input 3 4 2 3 2" xfId="35357" xr:uid="{1B8D6548-11EE-4160-BCF2-B684CF8676FC}"/>
    <cellStyle name="Input 3 4 2 4" xfId="35354" xr:uid="{CD76D9A0-CDB4-4D9A-83F1-2F36102F9D78}"/>
    <cellStyle name="Input 3 4 3" xfId="10083" xr:uid="{00000000-0005-0000-0000-000063270000}"/>
    <cellStyle name="Input 3 4 3 2" xfId="10084" xr:uid="{00000000-0005-0000-0000-000064270000}"/>
    <cellStyle name="Input 3 4 3 2 2" xfId="35359" xr:uid="{13413B1E-970A-4416-B4AF-801319B38DAC}"/>
    <cellStyle name="Input 3 4 3 3" xfId="35358" xr:uid="{AF3C0675-7ED3-4D35-A2C5-21E16360A885}"/>
    <cellStyle name="Input 3 4 4" xfId="10085" xr:uid="{00000000-0005-0000-0000-000065270000}"/>
    <cellStyle name="Input 3 4 4 2" xfId="35360" xr:uid="{0506F9C8-5D71-4C62-A227-D1BE44F5C93D}"/>
    <cellStyle name="Input 3 4 5" xfId="35353" xr:uid="{39922D61-217B-4E39-881A-900D22E905A1}"/>
    <cellStyle name="Input 3 5" xfId="10086" xr:uid="{00000000-0005-0000-0000-000066270000}"/>
    <cellStyle name="Input 3 5 2" xfId="10087" xr:uid="{00000000-0005-0000-0000-000067270000}"/>
    <cellStyle name="Input 3 5 2 2" xfId="10088" xr:uid="{00000000-0005-0000-0000-000068270000}"/>
    <cellStyle name="Input 3 5 2 2 2" xfId="10089" xr:uid="{00000000-0005-0000-0000-000069270000}"/>
    <cellStyle name="Input 3 5 2 2 2 2" xfId="35364" xr:uid="{6A0A8560-5175-44ED-8ED5-022D021144A0}"/>
    <cellStyle name="Input 3 5 2 2 3" xfId="35363" xr:uid="{B300CA1C-64E9-4E51-B519-F761D1B9CADE}"/>
    <cellStyle name="Input 3 5 2 3" xfId="10090" xr:uid="{00000000-0005-0000-0000-00006A270000}"/>
    <cellStyle name="Input 3 5 2 3 2" xfId="35365" xr:uid="{250EA88D-5034-40DF-A260-F8A2479935D1}"/>
    <cellStyle name="Input 3 5 2 4" xfId="35362" xr:uid="{C0EB74C5-32B7-4159-8B5C-BB3495EDF080}"/>
    <cellStyle name="Input 3 5 3" xfId="10091" xr:uid="{00000000-0005-0000-0000-00006B270000}"/>
    <cellStyle name="Input 3 5 3 2" xfId="10092" xr:uid="{00000000-0005-0000-0000-00006C270000}"/>
    <cellStyle name="Input 3 5 3 2 2" xfId="10093" xr:uid="{00000000-0005-0000-0000-00006D270000}"/>
    <cellStyle name="Input 3 5 3 2 2 2" xfId="10094" xr:uid="{00000000-0005-0000-0000-00006E270000}"/>
    <cellStyle name="Input 3 5 3 2 2 2 2" xfId="35369" xr:uid="{4142B752-7021-458F-9E02-A9E3276E5143}"/>
    <cellStyle name="Input 3 5 3 2 2 3" xfId="35368" xr:uid="{21284E3F-73F2-4F65-A08E-17B684CA78CB}"/>
    <cellStyle name="Input 3 5 3 2 3" xfId="10095" xr:uid="{00000000-0005-0000-0000-00006F270000}"/>
    <cellStyle name="Input 3 5 3 2 3 2" xfId="35370" xr:uid="{CC977925-1788-4FC5-8604-4F5187A22BE2}"/>
    <cellStyle name="Input 3 5 3 2 4" xfId="35367" xr:uid="{57333B5F-2883-4A06-9FAC-2193B33B47F3}"/>
    <cellStyle name="Input 3 5 3 3" xfId="10096" xr:uid="{00000000-0005-0000-0000-000070270000}"/>
    <cellStyle name="Input 3 5 3 3 2" xfId="10097" xr:uid="{00000000-0005-0000-0000-000071270000}"/>
    <cellStyle name="Input 3 5 3 3 2 2" xfId="35372" xr:uid="{9D987237-E875-42F8-97BC-4D29CA7F0F3A}"/>
    <cellStyle name="Input 3 5 3 3 3" xfId="35371" xr:uid="{7F37F71F-4625-4993-83CF-7B238E20439E}"/>
    <cellStyle name="Input 3 5 3 4" xfId="10098" xr:uid="{00000000-0005-0000-0000-000072270000}"/>
    <cellStyle name="Input 3 5 3 4 2" xfId="35373" xr:uid="{E029C82D-AE59-4A6C-ADC6-4D9B3945B239}"/>
    <cellStyle name="Input 3 5 3 5" xfId="35366" xr:uid="{3F2834B7-9607-4CF0-876F-41732BAD0C1A}"/>
    <cellStyle name="Input 3 5 4" xfId="10099" xr:uid="{00000000-0005-0000-0000-000073270000}"/>
    <cellStyle name="Input 3 5 4 2" xfId="10100" xr:uid="{00000000-0005-0000-0000-000074270000}"/>
    <cellStyle name="Input 3 5 4 2 2" xfId="35375" xr:uid="{6DEA8FBC-82AD-4971-82A9-F64BC4056ACA}"/>
    <cellStyle name="Input 3 5 4 3" xfId="35374" xr:uid="{656B5438-9DAB-4EC4-BF0C-155FE4244A02}"/>
    <cellStyle name="Input 3 5 5" xfId="10101" xr:uid="{00000000-0005-0000-0000-000075270000}"/>
    <cellStyle name="Input 3 5 5 2" xfId="35376" xr:uid="{10A196CC-A068-49E9-9417-60055C5DDB9F}"/>
    <cellStyle name="Input 3 5 6" xfId="35361" xr:uid="{668DC406-19FF-4D28-AFF9-2360BF72EBEF}"/>
    <cellStyle name="Input 3 6" xfId="10102" xr:uid="{00000000-0005-0000-0000-000076270000}"/>
    <cellStyle name="Input 3 6 2" xfId="10103" xr:uid="{00000000-0005-0000-0000-000077270000}"/>
    <cellStyle name="Input 3 6 2 2" xfId="10104" xr:uid="{00000000-0005-0000-0000-000078270000}"/>
    <cellStyle name="Input 3 6 2 2 2" xfId="35379" xr:uid="{4196740D-3425-47BA-9BA2-831E29A9A8C5}"/>
    <cellStyle name="Input 3 6 2 3" xfId="35378" xr:uid="{82E675E7-E7C9-4378-ABF1-764F933B3508}"/>
    <cellStyle name="Input 3 6 3" xfId="10105" xr:uid="{00000000-0005-0000-0000-000079270000}"/>
    <cellStyle name="Input 3 6 3 2" xfId="35380" xr:uid="{6ED89C86-7F8A-441D-946F-C9C30AD9C7FA}"/>
    <cellStyle name="Input 3 6 4" xfId="35377" xr:uid="{3B0764E1-62C3-49D8-8EE3-CB244B575F28}"/>
    <cellStyle name="Input 3 7" xfId="10106" xr:uid="{00000000-0005-0000-0000-00007A270000}"/>
    <cellStyle name="Input 3 7 2" xfId="10107" xr:uid="{00000000-0005-0000-0000-00007B270000}"/>
    <cellStyle name="Input 3 7 2 2" xfId="10108" xr:uid="{00000000-0005-0000-0000-00007C270000}"/>
    <cellStyle name="Input 3 7 2 2 2" xfId="35383" xr:uid="{2AA93955-28F2-4760-AFC1-348A17C7DD7D}"/>
    <cellStyle name="Input 3 7 2 3" xfId="35382" xr:uid="{9C346F36-29F0-47FD-AE81-827E79C48A79}"/>
    <cellStyle name="Input 3 7 3" xfId="10109" xr:uid="{00000000-0005-0000-0000-00007D270000}"/>
    <cellStyle name="Input 3 7 3 2" xfId="35384" xr:uid="{70EF6DAD-EDBE-4F07-B9F5-7CC9243838B9}"/>
    <cellStyle name="Input 3 7 4" xfId="35381" xr:uid="{5F6EB7B4-39CF-4B50-9A99-67C9862AA468}"/>
    <cellStyle name="Input 3 8" xfId="10110" xr:uid="{00000000-0005-0000-0000-00007E270000}"/>
    <cellStyle name="Input 3 8 2" xfId="10111" xr:uid="{00000000-0005-0000-0000-00007F270000}"/>
    <cellStyle name="Input 3 8 2 2" xfId="10112" xr:uid="{00000000-0005-0000-0000-000080270000}"/>
    <cellStyle name="Input 3 8 2 2 2" xfId="10113" xr:uid="{00000000-0005-0000-0000-000081270000}"/>
    <cellStyle name="Input 3 8 2 2 2 2" xfId="35388" xr:uid="{14695221-E578-4696-AFAB-C3940440DDAD}"/>
    <cellStyle name="Input 3 8 2 2 3" xfId="35387" xr:uid="{71E9AC5D-C2AC-43FF-8983-2BF070717223}"/>
    <cellStyle name="Input 3 8 2 3" xfId="10114" xr:uid="{00000000-0005-0000-0000-000082270000}"/>
    <cellStyle name="Input 3 8 2 3 2" xfId="35389" xr:uid="{00F81979-3987-4EB6-B445-1D73A9E705BB}"/>
    <cellStyle name="Input 3 8 2 4" xfId="35386" xr:uid="{14DA3838-F2AF-4610-A012-3EC63F3A0183}"/>
    <cellStyle name="Input 3 8 3" xfId="10115" xr:uid="{00000000-0005-0000-0000-000083270000}"/>
    <cellStyle name="Input 3 8 3 2" xfId="10116" xr:uid="{00000000-0005-0000-0000-000084270000}"/>
    <cellStyle name="Input 3 8 3 2 2" xfId="35391" xr:uid="{4845AE5E-382A-47BB-A9EE-D1E8461BD6C8}"/>
    <cellStyle name="Input 3 8 3 3" xfId="35390" xr:uid="{A2960374-C14D-4C09-9409-4C62DEAA8F33}"/>
    <cellStyle name="Input 3 8 4" xfId="10117" xr:uid="{00000000-0005-0000-0000-000085270000}"/>
    <cellStyle name="Input 3 8 4 2" xfId="35392" xr:uid="{3D89C59B-1EA7-4C9D-BA24-04CF714124C9}"/>
    <cellStyle name="Input 3 8 5" xfId="35385" xr:uid="{2E0FF959-85D5-42BC-B176-0482273B2CCB}"/>
    <cellStyle name="Input 3 9" xfId="10118" xr:uid="{00000000-0005-0000-0000-000086270000}"/>
    <cellStyle name="Input 3 9 2" xfId="10119" xr:uid="{00000000-0005-0000-0000-000087270000}"/>
    <cellStyle name="Input 3 9 2 2" xfId="10120" xr:uid="{00000000-0005-0000-0000-000088270000}"/>
    <cellStyle name="Input 3 9 2 2 2" xfId="10121" xr:uid="{00000000-0005-0000-0000-000089270000}"/>
    <cellStyle name="Input 3 9 2 2 2 2" xfId="10122" xr:uid="{00000000-0005-0000-0000-00008A270000}"/>
    <cellStyle name="Input 3 9 2 2 2 2 2" xfId="10123" xr:uid="{00000000-0005-0000-0000-00008B270000}"/>
    <cellStyle name="Input 3 9 2 2 2 2 2 2" xfId="35398" xr:uid="{BFBD89A3-DFF0-4364-ADC5-A9F95E646F69}"/>
    <cellStyle name="Input 3 9 2 2 2 2 3" xfId="35397" xr:uid="{B3A655B1-CCFE-445D-9433-6EA530F70C60}"/>
    <cellStyle name="Input 3 9 2 2 2 3" xfId="10124" xr:uid="{00000000-0005-0000-0000-00008C270000}"/>
    <cellStyle name="Input 3 9 2 2 2 3 2" xfId="35399" xr:uid="{F4774AED-CADB-41FF-9DD5-A48E758E41B8}"/>
    <cellStyle name="Input 3 9 2 2 2 4" xfId="35396" xr:uid="{CDD88671-1819-4FF5-A7CB-0D5A4378F90D}"/>
    <cellStyle name="Input 3 9 2 2 3" xfId="10125" xr:uid="{00000000-0005-0000-0000-00008D270000}"/>
    <cellStyle name="Input 3 9 2 2 3 2" xfId="10126" xr:uid="{00000000-0005-0000-0000-00008E270000}"/>
    <cellStyle name="Input 3 9 2 2 3 2 2" xfId="35401" xr:uid="{095E3545-B6DD-4B6E-BBA3-26916C712871}"/>
    <cellStyle name="Input 3 9 2 2 3 3" xfId="35400" xr:uid="{EE44846E-69E7-41FD-9093-68E14DEC2039}"/>
    <cellStyle name="Input 3 9 2 2 4" xfId="10127" xr:uid="{00000000-0005-0000-0000-00008F270000}"/>
    <cellStyle name="Input 3 9 2 2 4 2" xfId="35402" xr:uid="{A4F4F8DB-DF0B-42A2-8A14-1F44862E2AB0}"/>
    <cellStyle name="Input 3 9 2 2 5" xfId="35395" xr:uid="{CF19107C-DB95-4C02-85F5-DC93F73A5094}"/>
    <cellStyle name="Input 3 9 2 3" xfId="10128" xr:uid="{00000000-0005-0000-0000-000090270000}"/>
    <cellStyle name="Input 3 9 2 3 2" xfId="10129" xr:uid="{00000000-0005-0000-0000-000091270000}"/>
    <cellStyle name="Input 3 9 2 3 2 2" xfId="10130" xr:uid="{00000000-0005-0000-0000-000092270000}"/>
    <cellStyle name="Input 3 9 2 3 2 2 2" xfId="35405" xr:uid="{8FE620B1-E411-46D1-8663-A20F97BB4FDF}"/>
    <cellStyle name="Input 3 9 2 3 2 3" xfId="35404" xr:uid="{838E7FBB-47A7-47CD-B164-4EE812DB2F30}"/>
    <cellStyle name="Input 3 9 2 3 3" xfId="10131" xr:uid="{00000000-0005-0000-0000-000093270000}"/>
    <cellStyle name="Input 3 9 2 3 3 2" xfId="35406" xr:uid="{4BFBA3D7-0060-489A-9750-87EE419A5511}"/>
    <cellStyle name="Input 3 9 2 3 4" xfId="35403" xr:uid="{1FEE1999-196F-42B4-AB7D-464DBCF3349B}"/>
    <cellStyle name="Input 3 9 2 4" xfId="10132" xr:uid="{00000000-0005-0000-0000-000094270000}"/>
    <cellStyle name="Input 3 9 2 4 2" xfId="10133" xr:uid="{00000000-0005-0000-0000-000095270000}"/>
    <cellStyle name="Input 3 9 2 4 2 2" xfId="35408" xr:uid="{CC834D40-6201-4846-AB01-08F29B84B87D}"/>
    <cellStyle name="Input 3 9 2 4 3" xfId="35407" xr:uid="{FD17EA24-018A-44AF-B2A1-6E019ABFA742}"/>
    <cellStyle name="Input 3 9 2 5" xfId="10134" xr:uid="{00000000-0005-0000-0000-000096270000}"/>
    <cellStyle name="Input 3 9 2 5 2" xfId="35409" xr:uid="{936BDEAA-CB25-47CD-A455-4D98A1ACA017}"/>
    <cellStyle name="Input 3 9 2 6" xfId="35394" xr:uid="{061304A9-981E-452E-8505-D06940C96621}"/>
    <cellStyle name="Input 3 9 3" xfId="10135" xr:uid="{00000000-0005-0000-0000-000097270000}"/>
    <cellStyle name="Input 3 9 3 2" xfId="10136" xr:uid="{00000000-0005-0000-0000-000098270000}"/>
    <cellStyle name="Input 3 9 3 2 2" xfId="10137" xr:uid="{00000000-0005-0000-0000-000099270000}"/>
    <cellStyle name="Input 3 9 3 2 2 2" xfId="10138" xr:uid="{00000000-0005-0000-0000-00009A270000}"/>
    <cellStyle name="Input 3 9 3 2 2 2 2" xfId="35413" xr:uid="{B97DEB99-66EC-4AE7-8CBA-20569A67B500}"/>
    <cellStyle name="Input 3 9 3 2 2 3" xfId="35412" xr:uid="{35EB4A95-9F6F-4353-B3B7-555835A93793}"/>
    <cellStyle name="Input 3 9 3 2 3" xfId="10139" xr:uid="{00000000-0005-0000-0000-00009B270000}"/>
    <cellStyle name="Input 3 9 3 2 3 2" xfId="35414" xr:uid="{0C99AF16-DC72-439D-974F-E69D0F7E11A6}"/>
    <cellStyle name="Input 3 9 3 2 4" xfId="35411" xr:uid="{AD6E4DDF-5850-4FE5-B74A-885CBDAA055C}"/>
    <cellStyle name="Input 3 9 3 3" xfId="10140" xr:uid="{00000000-0005-0000-0000-00009C270000}"/>
    <cellStyle name="Input 3 9 3 3 2" xfId="10141" xr:uid="{00000000-0005-0000-0000-00009D270000}"/>
    <cellStyle name="Input 3 9 3 3 2 2" xfId="35416" xr:uid="{68645E18-7B96-4D18-8861-C7C14B04CDBD}"/>
    <cellStyle name="Input 3 9 3 3 3" xfId="35415" xr:uid="{476A0EDB-0E3A-429E-896B-2623B4683BF5}"/>
    <cellStyle name="Input 3 9 3 4" xfId="10142" xr:uid="{00000000-0005-0000-0000-00009E270000}"/>
    <cellStyle name="Input 3 9 3 4 2" xfId="35417" xr:uid="{992778C0-0DFB-4082-92C0-BEF3FBD6FBBE}"/>
    <cellStyle name="Input 3 9 3 5" xfId="35410" xr:uid="{C3853BAB-9458-421B-9295-B2159ECC69E5}"/>
    <cellStyle name="Input 3 9 4" xfId="10143" xr:uid="{00000000-0005-0000-0000-00009F270000}"/>
    <cellStyle name="Input 3 9 4 2" xfId="10144" xr:uid="{00000000-0005-0000-0000-0000A0270000}"/>
    <cellStyle name="Input 3 9 4 2 2" xfId="10145" xr:uid="{00000000-0005-0000-0000-0000A1270000}"/>
    <cellStyle name="Input 3 9 4 2 2 2" xfId="35420" xr:uid="{4129AA62-42A3-430C-A2F7-104D5E042767}"/>
    <cellStyle name="Input 3 9 4 2 3" xfId="35419" xr:uid="{323A6C45-D9AE-4E66-8338-795397B34F54}"/>
    <cellStyle name="Input 3 9 4 3" xfId="10146" xr:uid="{00000000-0005-0000-0000-0000A2270000}"/>
    <cellStyle name="Input 3 9 4 3 2" xfId="35421" xr:uid="{095E0A31-C8C4-45A6-AEEB-1341F12F468F}"/>
    <cellStyle name="Input 3 9 4 4" xfId="35418" xr:uid="{319AF4D6-030D-4F85-B8BF-EB217B47679B}"/>
    <cellStyle name="Input 3 9 5" xfId="10147" xr:uid="{00000000-0005-0000-0000-0000A3270000}"/>
    <cellStyle name="Input 3 9 5 2" xfId="10148" xr:uid="{00000000-0005-0000-0000-0000A4270000}"/>
    <cellStyle name="Input 3 9 5 2 2" xfId="35423" xr:uid="{47F48254-6B97-4366-AA7D-D70F9EB286CC}"/>
    <cellStyle name="Input 3 9 5 3" xfId="35422" xr:uid="{B91D6260-4497-4096-93B1-7428D1E39E85}"/>
    <cellStyle name="Input 3 9 6" xfId="10149" xr:uid="{00000000-0005-0000-0000-0000A5270000}"/>
    <cellStyle name="Input 3 9 6 2" xfId="35424" xr:uid="{60E84AC5-2C0E-40CF-9739-F737205C17F1}"/>
    <cellStyle name="Input 3 9 7" xfId="35393" xr:uid="{19482246-01CE-4114-9B93-4FA46FC34D3C}"/>
    <cellStyle name="Input 30" xfId="10150" xr:uid="{00000000-0005-0000-0000-0000A6270000}"/>
    <cellStyle name="Input 30 2" xfId="10151" xr:uid="{00000000-0005-0000-0000-0000A7270000}"/>
    <cellStyle name="Input 30 2 2" xfId="10152" xr:uid="{00000000-0005-0000-0000-0000A8270000}"/>
    <cellStyle name="Input 30 2 2 2" xfId="10153" xr:uid="{00000000-0005-0000-0000-0000A9270000}"/>
    <cellStyle name="Input 30 2 2 2 2" xfId="35428" xr:uid="{9AE61C4C-5272-4C6F-B6D7-45F926FA0FD2}"/>
    <cellStyle name="Input 30 2 2 3" xfId="35427" xr:uid="{7B288580-B079-4612-877D-29E317BB1552}"/>
    <cellStyle name="Input 30 2 3" xfId="10154" xr:uid="{00000000-0005-0000-0000-0000AA270000}"/>
    <cellStyle name="Input 30 2 3 2" xfId="35429" xr:uid="{7E402727-2E09-4DD4-908F-8F2C6C8DE0C0}"/>
    <cellStyle name="Input 30 2 4" xfId="35426" xr:uid="{FF73A760-02DA-44CF-A280-8EB6496881A4}"/>
    <cellStyle name="Input 30 3" xfId="10155" xr:uid="{00000000-0005-0000-0000-0000AB270000}"/>
    <cellStyle name="Input 30 3 2" xfId="10156" xr:uid="{00000000-0005-0000-0000-0000AC270000}"/>
    <cellStyle name="Input 30 3 2 2" xfId="35431" xr:uid="{0184627D-8061-4559-B66F-DFD5BACFE343}"/>
    <cellStyle name="Input 30 3 3" xfId="35430" xr:uid="{2808D4CD-DDC3-4433-AC00-E87ADBAD2ADD}"/>
    <cellStyle name="Input 30 4" xfId="10157" xr:uid="{00000000-0005-0000-0000-0000AD270000}"/>
    <cellStyle name="Input 30 4 2" xfId="35432" xr:uid="{E9DF3124-9E03-4702-8D8A-310FF98B394A}"/>
    <cellStyle name="Input 30 5" xfId="35425" xr:uid="{DEB6E6D4-1BF0-4D5C-8E40-09A581280F1A}"/>
    <cellStyle name="Input 31" xfId="10158" xr:uid="{00000000-0005-0000-0000-0000AE270000}"/>
    <cellStyle name="Input 31 2" xfId="10159" xr:uid="{00000000-0005-0000-0000-0000AF270000}"/>
    <cellStyle name="Input 31 2 2" xfId="10160" xr:uid="{00000000-0005-0000-0000-0000B0270000}"/>
    <cellStyle name="Input 31 2 2 2" xfId="10161" xr:uid="{00000000-0005-0000-0000-0000B1270000}"/>
    <cellStyle name="Input 31 2 2 2 2" xfId="35436" xr:uid="{C4627A59-91E8-46E5-A9B1-91F6C3517975}"/>
    <cellStyle name="Input 31 2 2 3" xfId="35435" xr:uid="{42AE601F-BF1D-4754-9401-3E995F38449D}"/>
    <cellStyle name="Input 31 2 3" xfId="10162" xr:uid="{00000000-0005-0000-0000-0000B2270000}"/>
    <cellStyle name="Input 31 2 3 2" xfId="35437" xr:uid="{2449FBFD-4258-4B20-B80B-BBD0E4A708B8}"/>
    <cellStyle name="Input 31 2 4" xfId="35434" xr:uid="{F851BCE0-D3B9-447D-9C0C-A3B9C0C77D2E}"/>
    <cellStyle name="Input 31 3" xfId="10163" xr:uid="{00000000-0005-0000-0000-0000B3270000}"/>
    <cellStyle name="Input 31 3 2" xfId="10164" xr:uid="{00000000-0005-0000-0000-0000B4270000}"/>
    <cellStyle name="Input 31 3 2 2" xfId="35439" xr:uid="{ED774549-54A4-4D54-877D-8278B2129692}"/>
    <cellStyle name="Input 31 3 3" xfId="35438" xr:uid="{2954EA4C-83FE-4DAC-9B97-2C2074D8097C}"/>
    <cellStyle name="Input 31 4" xfId="10165" xr:uid="{00000000-0005-0000-0000-0000B5270000}"/>
    <cellStyle name="Input 31 4 2" xfId="35440" xr:uid="{2DE025DC-DA2E-4A6C-A7DB-76977E805D3F}"/>
    <cellStyle name="Input 31 5" xfId="35433" xr:uid="{C2BDA844-7978-4B89-B513-006714603785}"/>
    <cellStyle name="Input 32" xfId="10166" xr:uid="{00000000-0005-0000-0000-0000B6270000}"/>
    <cellStyle name="Input 32 2" xfId="10167" xr:uid="{00000000-0005-0000-0000-0000B7270000}"/>
    <cellStyle name="Input 32 2 2" xfId="10168" xr:uid="{00000000-0005-0000-0000-0000B8270000}"/>
    <cellStyle name="Input 32 2 2 2" xfId="10169" xr:uid="{00000000-0005-0000-0000-0000B9270000}"/>
    <cellStyle name="Input 32 2 2 2 2" xfId="35444" xr:uid="{2B98E958-3154-424E-8895-2484296FB98C}"/>
    <cellStyle name="Input 32 2 2 3" xfId="35443" xr:uid="{6A9F78E8-4500-4944-9C87-92679C766FC1}"/>
    <cellStyle name="Input 32 2 3" xfId="10170" xr:uid="{00000000-0005-0000-0000-0000BA270000}"/>
    <cellStyle name="Input 32 2 3 2" xfId="35445" xr:uid="{801AD1A4-5D5E-4B60-96FE-1E51437C25C1}"/>
    <cellStyle name="Input 32 2 4" xfId="35442" xr:uid="{F62A1B96-6180-4D71-8C82-83155E7FF0D6}"/>
    <cellStyle name="Input 32 3" xfId="10171" xr:uid="{00000000-0005-0000-0000-0000BB270000}"/>
    <cellStyle name="Input 32 3 2" xfId="10172" xr:uid="{00000000-0005-0000-0000-0000BC270000}"/>
    <cellStyle name="Input 32 3 2 2" xfId="35447" xr:uid="{31E02B2B-0FD1-4B48-A4A1-ED4A7B268F73}"/>
    <cellStyle name="Input 32 3 3" xfId="35446" xr:uid="{69096797-9676-4652-A277-1058122A4218}"/>
    <cellStyle name="Input 32 4" xfId="10173" xr:uid="{00000000-0005-0000-0000-0000BD270000}"/>
    <cellStyle name="Input 32 4 2" xfId="35448" xr:uid="{F3810143-5322-40C7-ABC1-D2476E02DA57}"/>
    <cellStyle name="Input 32 5" xfId="35441" xr:uid="{6F490381-C393-4576-8CEC-9D9731ED1F9A}"/>
    <cellStyle name="Input 33" xfId="10174" xr:uid="{00000000-0005-0000-0000-0000BE270000}"/>
    <cellStyle name="Input 33 2" xfId="10175" xr:uid="{00000000-0005-0000-0000-0000BF270000}"/>
    <cellStyle name="Input 33 2 2" xfId="10176" xr:uid="{00000000-0005-0000-0000-0000C0270000}"/>
    <cellStyle name="Input 33 2 2 2" xfId="10177" xr:uid="{00000000-0005-0000-0000-0000C1270000}"/>
    <cellStyle name="Input 33 2 2 2 2" xfId="35452" xr:uid="{F4F837E6-1601-4191-AE23-720FC912DCEA}"/>
    <cellStyle name="Input 33 2 2 3" xfId="35451" xr:uid="{BC01CEB8-C662-4509-ACDB-B861C98576DC}"/>
    <cellStyle name="Input 33 2 3" xfId="10178" xr:uid="{00000000-0005-0000-0000-0000C2270000}"/>
    <cellStyle name="Input 33 2 3 2" xfId="35453" xr:uid="{E871405F-8901-478F-AE48-CBF15E4A20CA}"/>
    <cellStyle name="Input 33 2 4" xfId="35450" xr:uid="{DB8043C6-4352-4353-A831-12BB004CA432}"/>
    <cellStyle name="Input 33 3" xfId="10179" xr:uid="{00000000-0005-0000-0000-0000C3270000}"/>
    <cellStyle name="Input 33 3 2" xfId="10180" xr:uid="{00000000-0005-0000-0000-0000C4270000}"/>
    <cellStyle name="Input 33 3 2 2" xfId="35455" xr:uid="{761B9A99-3FD0-4C1E-9249-1AE320E1452C}"/>
    <cellStyle name="Input 33 3 3" xfId="35454" xr:uid="{265188A1-40B2-4336-A6D3-623665B8D3F9}"/>
    <cellStyle name="Input 33 4" xfId="10181" xr:uid="{00000000-0005-0000-0000-0000C5270000}"/>
    <cellStyle name="Input 33 4 2" xfId="35456" xr:uid="{8947F7F1-E136-4F21-8270-D1F43B031FDA}"/>
    <cellStyle name="Input 33 5" xfId="35449" xr:uid="{6AF1E62F-3484-43B7-8BC5-FA8FC3382D31}"/>
    <cellStyle name="Input 34" xfId="10182" xr:uid="{00000000-0005-0000-0000-0000C6270000}"/>
    <cellStyle name="Input 34 2" xfId="10183" xr:uid="{00000000-0005-0000-0000-0000C7270000}"/>
    <cellStyle name="Input 34 2 2" xfId="10184" xr:uid="{00000000-0005-0000-0000-0000C8270000}"/>
    <cellStyle name="Input 34 2 2 2" xfId="10185" xr:uid="{00000000-0005-0000-0000-0000C9270000}"/>
    <cellStyle name="Input 34 2 2 2 2" xfId="35460" xr:uid="{3D8037D3-75BB-44D0-AF8D-78B1565802DB}"/>
    <cellStyle name="Input 34 2 2 3" xfId="35459" xr:uid="{58369FE4-DB81-4478-919A-C8A5CAAED125}"/>
    <cellStyle name="Input 34 2 3" xfId="10186" xr:uid="{00000000-0005-0000-0000-0000CA270000}"/>
    <cellStyle name="Input 34 2 3 2" xfId="35461" xr:uid="{EA645C5E-4D1D-4168-A322-3847BB104903}"/>
    <cellStyle name="Input 34 2 4" xfId="35458" xr:uid="{D2512351-2B7A-4E65-AB9B-58A66A4298F4}"/>
    <cellStyle name="Input 34 3" xfId="10187" xr:uid="{00000000-0005-0000-0000-0000CB270000}"/>
    <cellStyle name="Input 34 3 2" xfId="10188" xr:uid="{00000000-0005-0000-0000-0000CC270000}"/>
    <cellStyle name="Input 34 3 2 2" xfId="35463" xr:uid="{2EDDD8AB-672C-4BF2-AB94-A41C2D05C42E}"/>
    <cellStyle name="Input 34 3 3" xfId="35462" xr:uid="{B874BF5A-B483-4A7C-A150-C48CE606205E}"/>
    <cellStyle name="Input 34 4" xfId="10189" xr:uid="{00000000-0005-0000-0000-0000CD270000}"/>
    <cellStyle name="Input 34 4 2" xfId="35464" xr:uid="{904F9124-AF1D-4704-BA7F-9BF0C2A3FC7C}"/>
    <cellStyle name="Input 34 5" xfId="35457" xr:uid="{ECA0ABBB-E221-412C-AF03-3874CBCF9231}"/>
    <cellStyle name="Input 35" xfId="10190" xr:uid="{00000000-0005-0000-0000-0000CE270000}"/>
    <cellStyle name="Input 35 2" xfId="10191" xr:uid="{00000000-0005-0000-0000-0000CF270000}"/>
    <cellStyle name="Input 35 2 2" xfId="10192" xr:uid="{00000000-0005-0000-0000-0000D0270000}"/>
    <cellStyle name="Input 35 2 2 2" xfId="10193" xr:uid="{00000000-0005-0000-0000-0000D1270000}"/>
    <cellStyle name="Input 35 2 2 2 2" xfId="35468" xr:uid="{4D97BA97-4877-48B2-8716-218A5D5EFC23}"/>
    <cellStyle name="Input 35 2 2 3" xfId="35467" xr:uid="{5493002B-1E86-4B97-8C0D-BE6CF05C8DED}"/>
    <cellStyle name="Input 35 2 3" xfId="10194" xr:uid="{00000000-0005-0000-0000-0000D2270000}"/>
    <cellStyle name="Input 35 2 3 2" xfId="35469" xr:uid="{3993EF27-CAAC-42B9-BA2D-46948A6CEF39}"/>
    <cellStyle name="Input 35 2 4" xfId="35466" xr:uid="{97020F38-ECB0-490C-B315-4C93F636B2D1}"/>
    <cellStyle name="Input 35 3" xfId="10195" xr:uid="{00000000-0005-0000-0000-0000D3270000}"/>
    <cellStyle name="Input 35 3 2" xfId="10196" xr:uid="{00000000-0005-0000-0000-0000D4270000}"/>
    <cellStyle name="Input 35 3 2 2" xfId="35471" xr:uid="{F84989F9-E23C-4B13-A071-4373EF90CFD8}"/>
    <cellStyle name="Input 35 3 3" xfId="35470" xr:uid="{61082A7E-303F-4BF1-BF58-167B6A0CFD31}"/>
    <cellStyle name="Input 35 4" xfId="10197" xr:uid="{00000000-0005-0000-0000-0000D5270000}"/>
    <cellStyle name="Input 35 4 2" xfId="35472" xr:uid="{FC0C6BC3-CFEB-4647-B0DF-C30765CFE03C}"/>
    <cellStyle name="Input 35 5" xfId="35465" xr:uid="{6CCD6C50-EC8C-4F55-8A1D-CB4A73E53893}"/>
    <cellStyle name="Input 36" xfId="10198" xr:uid="{00000000-0005-0000-0000-0000D6270000}"/>
    <cellStyle name="Input 36 2" xfId="10199" xr:uid="{00000000-0005-0000-0000-0000D7270000}"/>
    <cellStyle name="Input 36 2 2" xfId="10200" xr:uid="{00000000-0005-0000-0000-0000D8270000}"/>
    <cellStyle name="Input 36 2 2 2" xfId="10201" xr:uid="{00000000-0005-0000-0000-0000D9270000}"/>
    <cellStyle name="Input 36 2 2 2 2" xfId="35476" xr:uid="{61D74E67-8B9F-43D3-99F8-BDABC7CB9DF8}"/>
    <cellStyle name="Input 36 2 2 3" xfId="35475" xr:uid="{5C4C4F41-76ED-4D64-BF50-7B8D470E2688}"/>
    <cellStyle name="Input 36 2 3" xfId="10202" xr:uid="{00000000-0005-0000-0000-0000DA270000}"/>
    <cellStyle name="Input 36 2 3 2" xfId="35477" xr:uid="{C99F2AF2-4960-4BB6-A918-9E9B40C16BC5}"/>
    <cellStyle name="Input 36 2 4" xfId="35474" xr:uid="{E6A87044-7686-40DE-A764-E23AEE5EF1BF}"/>
    <cellStyle name="Input 36 3" xfId="10203" xr:uid="{00000000-0005-0000-0000-0000DB270000}"/>
    <cellStyle name="Input 36 3 2" xfId="10204" xr:uid="{00000000-0005-0000-0000-0000DC270000}"/>
    <cellStyle name="Input 36 3 2 2" xfId="35479" xr:uid="{2403D8D3-903F-4373-B891-E5438831FD05}"/>
    <cellStyle name="Input 36 3 3" xfId="35478" xr:uid="{403AAAE6-BD39-4165-AFA0-4551ADADCDE6}"/>
    <cellStyle name="Input 36 4" xfId="10205" xr:uid="{00000000-0005-0000-0000-0000DD270000}"/>
    <cellStyle name="Input 36 4 2" xfId="35480" xr:uid="{4880041E-0E5F-4166-A23A-C43E355370C7}"/>
    <cellStyle name="Input 36 5" xfId="35473" xr:uid="{9CC131B0-771A-41DB-8768-FCFC86EDC8C1}"/>
    <cellStyle name="Input 37" xfId="10206" xr:uid="{00000000-0005-0000-0000-0000DE270000}"/>
    <cellStyle name="Input 37 2" xfId="10207" xr:uid="{00000000-0005-0000-0000-0000DF270000}"/>
    <cellStyle name="Input 37 2 2" xfId="10208" xr:uid="{00000000-0005-0000-0000-0000E0270000}"/>
    <cellStyle name="Input 37 2 2 2" xfId="10209" xr:uid="{00000000-0005-0000-0000-0000E1270000}"/>
    <cellStyle name="Input 37 2 2 2 2" xfId="35484" xr:uid="{96B61422-D06F-4C9F-9D65-EB488261D1DD}"/>
    <cellStyle name="Input 37 2 2 3" xfId="35483" xr:uid="{8A39201E-F755-4827-8E32-38DDC0A1FC0F}"/>
    <cellStyle name="Input 37 2 3" xfId="10210" xr:uid="{00000000-0005-0000-0000-0000E2270000}"/>
    <cellStyle name="Input 37 2 3 2" xfId="35485" xr:uid="{496E52BB-9526-47B0-A59F-1187A051B179}"/>
    <cellStyle name="Input 37 2 4" xfId="35482" xr:uid="{25B2CC77-E8BB-4B59-8AA4-CCB15C08DFAE}"/>
    <cellStyle name="Input 37 3" xfId="10211" xr:uid="{00000000-0005-0000-0000-0000E3270000}"/>
    <cellStyle name="Input 37 3 2" xfId="10212" xr:uid="{00000000-0005-0000-0000-0000E4270000}"/>
    <cellStyle name="Input 37 3 2 2" xfId="35487" xr:uid="{DAB4F41F-76F7-4A4B-8124-150E619B523A}"/>
    <cellStyle name="Input 37 3 3" xfId="35486" xr:uid="{E1B2CF6F-E20E-4A2B-899C-561E5F429D00}"/>
    <cellStyle name="Input 37 4" xfId="10213" xr:uid="{00000000-0005-0000-0000-0000E5270000}"/>
    <cellStyle name="Input 37 4 2" xfId="35488" xr:uid="{B5ECF0A6-E6F4-4EEA-9A12-CE1F19C1A0B5}"/>
    <cellStyle name="Input 37 5" xfId="35481" xr:uid="{176CAAA3-631C-4883-84B1-76678DD0CD22}"/>
    <cellStyle name="Input 38" xfId="10214" xr:uid="{00000000-0005-0000-0000-0000E6270000}"/>
    <cellStyle name="Input 38 2" xfId="10215" xr:uid="{00000000-0005-0000-0000-0000E7270000}"/>
    <cellStyle name="Input 38 2 2" xfId="10216" xr:uid="{00000000-0005-0000-0000-0000E8270000}"/>
    <cellStyle name="Input 38 2 2 2" xfId="10217" xr:uid="{00000000-0005-0000-0000-0000E9270000}"/>
    <cellStyle name="Input 38 2 2 2 2" xfId="35492" xr:uid="{A9DB3A19-879F-4F22-8B8D-BB41BF37A28B}"/>
    <cellStyle name="Input 38 2 2 3" xfId="35491" xr:uid="{3DABFCE3-0384-480D-8326-2A01725849AC}"/>
    <cellStyle name="Input 38 2 3" xfId="10218" xr:uid="{00000000-0005-0000-0000-0000EA270000}"/>
    <cellStyle name="Input 38 2 3 2" xfId="35493" xr:uid="{E6286DC7-3573-4467-A580-6F1453F8A774}"/>
    <cellStyle name="Input 38 2 4" xfId="35490" xr:uid="{1A7ACA55-7573-46B6-BDDA-FDCF323703A5}"/>
    <cellStyle name="Input 38 3" xfId="10219" xr:uid="{00000000-0005-0000-0000-0000EB270000}"/>
    <cellStyle name="Input 38 3 2" xfId="10220" xr:uid="{00000000-0005-0000-0000-0000EC270000}"/>
    <cellStyle name="Input 38 3 2 2" xfId="35495" xr:uid="{ABA0FBED-EDAB-4540-AF67-8326338C1386}"/>
    <cellStyle name="Input 38 3 3" xfId="35494" xr:uid="{EF162BD1-3833-4FF2-977C-81202D78D83F}"/>
    <cellStyle name="Input 38 4" xfId="10221" xr:uid="{00000000-0005-0000-0000-0000ED270000}"/>
    <cellStyle name="Input 38 4 2" xfId="35496" xr:uid="{559FEE91-1E2E-4373-B7BA-659D061092B8}"/>
    <cellStyle name="Input 38 5" xfId="35489" xr:uid="{E7611917-AFEC-42A0-A3FA-B0D0DE93A373}"/>
    <cellStyle name="Input 39" xfId="10222" xr:uid="{00000000-0005-0000-0000-0000EE270000}"/>
    <cellStyle name="Input 39 2" xfId="10223" xr:uid="{00000000-0005-0000-0000-0000EF270000}"/>
    <cellStyle name="Input 39 2 2" xfId="10224" xr:uid="{00000000-0005-0000-0000-0000F0270000}"/>
    <cellStyle name="Input 39 2 2 2" xfId="10225" xr:uid="{00000000-0005-0000-0000-0000F1270000}"/>
    <cellStyle name="Input 39 2 2 2 2" xfId="35500" xr:uid="{EF949CCE-A495-4BA8-A598-6BC846042883}"/>
    <cellStyle name="Input 39 2 2 3" xfId="35499" xr:uid="{CCBB019C-E8FE-4FBA-8E15-276B3085EAA5}"/>
    <cellStyle name="Input 39 2 3" xfId="10226" xr:uid="{00000000-0005-0000-0000-0000F2270000}"/>
    <cellStyle name="Input 39 2 3 2" xfId="35501" xr:uid="{1E70B3B5-AF28-49D0-B878-CFA7075C35C7}"/>
    <cellStyle name="Input 39 2 4" xfId="35498" xr:uid="{F095DAA6-0D22-4CAA-901F-DA38189E6578}"/>
    <cellStyle name="Input 39 3" xfId="10227" xr:uid="{00000000-0005-0000-0000-0000F3270000}"/>
    <cellStyle name="Input 39 3 2" xfId="10228" xr:uid="{00000000-0005-0000-0000-0000F4270000}"/>
    <cellStyle name="Input 39 3 2 2" xfId="35503" xr:uid="{C017F2B5-7303-440C-BEE3-693E8EE151EF}"/>
    <cellStyle name="Input 39 3 3" xfId="35502" xr:uid="{E581013B-9809-4896-8051-A88543194168}"/>
    <cellStyle name="Input 39 4" xfId="10229" xr:uid="{00000000-0005-0000-0000-0000F5270000}"/>
    <cellStyle name="Input 39 4 2" xfId="35504" xr:uid="{D6DE760F-1B21-456A-AF2D-A09393087901}"/>
    <cellStyle name="Input 39 5" xfId="35497" xr:uid="{F6B4B84B-0129-47B1-88B4-BF47D659FFDB}"/>
    <cellStyle name="Input 4" xfId="10230" xr:uid="{00000000-0005-0000-0000-0000F6270000}"/>
    <cellStyle name="Input 4 10" xfId="35505" xr:uid="{F52B6AC4-84CB-4F32-BC7D-76FA7D75F48A}"/>
    <cellStyle name="Input 4 2" xfId="10231" xr:uid="{00000000-0005-0000-0000-0000F7270000}"/>
    <cellStyle name="Input 4 2 2" xfId="10232" xr:uid="{00000000-0005-0000-0000-0000F8270000}"/>
    <cellStyle name="Input 4 2 2 2" xfId="10233" xr:uid="{00000000-0005-0000-0000-0000F9270000}"/>
    <cellStyle name="Input 4 2 3" xfId="10234" xr:uid="{00000000-0005-0000-0000-0000FA270000}"/>
    <cellStyle name="Input 4 2 3 2" xfId="10235" xr:uid="{00000000-0005-0000-0000-0000FB270000}"/>
    <cellStyle name="Input 4 2 3 2 2" xfId="10236" xr:uid="{00000000-0005-0000-0000-0000FC270000}"/>
    <cellStyle name="Input 4 2 3 3" xfId="10237" xr:uid="{00000000-0005-0000-0000-0000FD270000}"/>
    <cellStyle name="Input 4 2 4" xfId="10238" xr:uid="{00000000-0005-0000-0000-0000FE270000}"/>
    <cellStyle name="Input 4 3" xfId="10239" xr:uid="{00000000-0005-0000-0000-0000FF270000}"/>
    <cellStyle name="Input 4 3 2" xfId="10240" xr:uid="{00000000-0005-0000-0000-000000280000}"/>
    <cellStyle name="Input 4 3 2 2" xfId="10241" xr:uid="{00000000-0005-0000-0000-000001280000}"/>
    <cellStyle name="Input 4 3 2 2 2" xfId="10242" xr:uid="{00000000-0005-0000-0000-000002280000}"/>
    <cellStyle name="Input 4 3 2 2 2 2" xfId="35509" xr:uid="{16A029E3-837E-4057-877E-A2D7EBFDC525}"/>
    <cellStyle name="Input 4 3 2 2 3" xfId="35508" xr:uid="{0F95C368-9454-4DFD-8377-B8A203CADF7A}"/>
    <cellStyle name="Input 4 3 2 3" xfId="10243" xr:uid="{00000000-0005-0000-0000-000003280000}"/>
    <cellStyle name="Input 4 3 2 3 2" xfId="35510" xr:uid="{46AD8EAF-89C8-4301-A4DF-58AF9517CFF7}"/>
    <cellStyle name="Input 4 3 2 4" xfId="35507" xr:uid="{A1727A8B-1B13-47BC-A6FC-2EB3ADF9EDEA}"/>
    <cellStyle name="Input 4 3 3" xfId="10244" xr:uid="{00000000-0005-0000-0000-000004280000}"/>
    <cellStyle name="Input 4 3 3 2" xfId="10245" xr:uid="{00000000-0005-0000-0000-000005280000}"/>
    <cellStyle name="Input 4 3 3 2 2" xfId="10246" xr:uid="{00000000-0005-0000-0000-000006280000}"/>
    <cellStyle name="Input 4 3 3 2 2 2" xfId="10247" xr:uid="{00000000-0005-0000-0000-000007280000}"/>
    <cellStyle name="Input 4 3 3 2 2 2 2" xfId="35514" xr:uid="{6BEC00F6-012F-4674-B6FA-7FB2A29C6D6E}"/>
    <cellStyle name="Input 4 3 3 2 2 3" xfId="35513" xr:uid="{77A7B6FF-FF57-49DB-A605-84ABDA64E6B1}"/>
    <cellStyle name="Input 4 3 3 2 3" xfId="10248" xr:uid="{00000000-0005-0000-0000-000008280000}"/>
    <cellStyle name="Input 4 3 3 2 3 2" xfId="35515" xr:uid="{5EA73C94-8759-4501-9468-FA636FBC8B76}"/>
    <cellStyle name="Input 4 3 3 2 4" xfId="35512" xr:uid="{6107EDB8-05BC-44BC-A880-1554D0BCDD3D}"/>
    <cellStyle name="Input 4 3 3 3" xfId="10249" xr:uid="{00000000-0005-0000-0000-000009280000}"/>
    <cellStyle name="Input 4 3 3 3 2" xfId="10250" xr:uid="{00000000-0005-0000-0000-00000A280000}"/>
    <cellStyle name="Input 4 3 3 3 2 2" xfId="35517" xr:uid="{9C4C0B74-AA29-46A9-A1FF-3F7142D8D96D}"/>
    <cellStyle name="Input 4 3 3 3 3" xfId="35516" xr:uid="{E6C8F70F-D6AF-49E2-95AA-56B6030B4769}"/>
    <cellStyle name="Input 4 3 3 4" xfId="10251" xr:uid="{00000000-0005-0000-0000-00000B280000}"/>
    <cellStyle name="Input 4 3 3 4 2" xfId="35518" xr:uid="{0212E5F2-E1DC-4EB0-85FB-D55327CFC1E9}"/>
    <cellStyle name="Input 4 3 3 5" xfId="35511" xr:uid="{E5AB928B-D011-4943-AE4D-C038F242593C}"/>
    <cellStyle name="Input 4 3 4" xfId="10252" xr:uid="{00000000-0005-0000-0000-00000C280000}"/>
    <cellStyle name="Input 4 3 4 2" xfId="10253" xr:uid="{00000000-0005-0000-0000-00000D280000}"/>
    <cellStyle name="Input 4 3 4 2 2" xfId="35520" xr:uid="{6AC32732-52A8-4C0A-BE35-7229501E8BBE}"/>
    <cellStyle name="Input 4 3 4 3" xfId="35519" xr:uid="{D33F5CF0-DE6A-4AE9-9221-A635B214F346}"/>
    <cellStyle name="Input 4 3 5" xfId="10254" xr:uid="{00000000-0005-0000-0000-00000E280000}"/>
    <cellStyle name="Input 4 3 5 2" xfId="35521" xr:uid="{F556C496-E49B-4F21-A171-CB62716782EA}"/>
    <cellStyle name="Input 4 3 6" xfId="35506" xr:uid="{353BCAAC-40F8-48F8-9E2B-B26243652372}"/>
    <cellStyle name="Input 4 4" xfId="10255" xr:uid="{00000000-0005-0000-0000-00000F280000}"/>
    <cellStyle name="Input 4 4 2" xfId="10256" xr:uid="{00000000-0005-0000-0000-000010280000}"/>
    <cellStyle name="Input 4 4 2 2" xfId="10257" xr:uid="{00000000-0005-0000-0000-000011280000}"/>
    <cellStyle name="Input 4 4 2 2 2" xfId="10258" xr:uid="{00000000-0005-0000-0000-000012280000}"/>
    <cellStyle name="Input 4 4 2 2 2 2" xfId="35525" xr:uid="{88B8839D-9833-4819-8675-AF38295CE7CF}"/>
    <cellStyle name="Input 4 4 2 2 3" xfId="35524" xr:uid="{D50A0380-55D6-4123-9D81-91C299953A4E}"/>
    <cellStyle name="Input 4 4 2 3" xfId="10259" xr:uid="{00000000-0005-0000-0000-000013280000}"/>
    <cellStyle name="Input 4 4 2 3 2" xfId="35526" xr:uid="{F4A9914D-F312-492B-8C34-8350DC008E0B}"/>
    <cellStyle name="Input 4 4 2 4" xfId="35523" xr:uid="{B752D1C5-900A-4BD0-BAB9-0C1DDADC2771}"/>
    <cellStyle name="Input 4 4 3" xfId="10260" xr:uid="{00000000-0005-0000-0000-000014280000}"/>
    <cellStyle name="Input 4 4 3 2" xfId="10261" xr:uid="{00000000-0005-0000-0000-000015280000}"/>
    <cellStyle name="Input 4 4 3 2 2" xfId="35528" xr:uid="{64F214AE-3D73-4135-9CE4-506C6EFE0C3F}"/>
    <cellStyle name="Input 4 4 3 3" xfId="35527" xr:uid="{3FFCD86F-798A-4AD9-9EC9-A1B74FF6AEBB}"/>
    <cellStyle name="Input 4 4 4" xfId="10262" xr:uid="{00000000-0005-0000-0000-000016280000}"/>
    <cellStyle name="Input 4 4 4 2" xfId="35529" xr:uid="{87BEEC38-A799-458B-A1E8-5EEC11B3BE80}"/>
    <cellStyle name="Input 4 4 5" xfId="35522" xr:uid="{B857DEA5-040F-4F98-A6B0-D365A4B9D960}"/>
    <cellStyle name="Input 4 5" xfId="10263" xr:uid="{00000000-0005-0000-0000-000017280000}"/>
    <cellStyle name="Input 4 5 2" xfId="10264" xr:uid="{00000000-0005-0000-0000-000018280000}"/>
    <cellStyle name="Input 4 5 2 2" xfId="10265" xr:uid="{00000000-0005-0000-0000-000019280000}"/>
    <cellStyle name="Input 4 5 2 2 2" xfId="35532" xr:uid="{6D90A2CB-7EC3-499C-B35A-752F71C30BBF}"/>
    <cellStyle name="Input 4 5 2 3" xfId="35531" xr:uid="{4BB4654D-B4E7-4B5A-8A78-F06F86BDFCE7}"/>
    <cellStyle name="Input 4 5 3" xfId="10266" xr:uid="{00000000-0005-0000-0000-00001A280000}"/>
    <cellStyle name="Input 4 5 3 2" xfId="35533" xr:uid="{99FCAAC7-F6C6-4F2B-8AEC-6E78BBA15740}"/>
    <cellStyle name="Input 4 5 4" xfId="35530" xr:uid="{F6C70254-7E3D-424F-B43D-73BE3A04BE0B}"/>
    <cellStyle name="Input 4 6" xfId="10267" xr:uid="{00000000-0005-0000-0000-00001B280000}"/>
    <cellStyle name="Input 4 6 2" xfId="10268" xr:uid="{00000000-0005-0000-0000-00001C280000}"/>
    <cellStyle name="Input 4 6 2 2" xfId="10269" xr:uid="{00000000-0005-0000-0000-00001D280000}"/>
    <cellStyle name="Input 4 6 2 2 2" xfId="10270" xr:uid="{00000000-0005-0000-0000-00001E280000}"/>
    <cellStyle name="Input 4 6 2 2 2 2" xfId="10271" xr:uid="{00000000-0005-0000-0000-00001F280000}"/>
    <cellStyle name="Input 4 6 2 2 2 2 2" xfId="10272" xr:uid="{00000000-0005-0000-0000-000020280000}"/>
    <cellStyle name="Input 4 6 2 2 2 2 2 2" xfId="35539" xr:uid="{0511F130-B8C1-4A7E-9437-8DEA39DC24C3}"/>
    <cellStyle name="Input 4 6 2 2 2 2 3" xfId="35538" xr:uid="{AB45E791-BCFD-4B9E-A67F-A6FB5A1B5E33}"/>
    <cellStyle name="Input 4 6 2 2 2 3" xfId="10273" xr:uid="{00000000-0005-0000-0000-000021280000}"/>
    <cellStyle name="Input 4 6 2 2 2 3 2" xfId="35540" xr:uid="{015D15C4-C00D-451D-BF76-94B21EA358CC}"/>
    <cellStyle name="Input 4 6 2 2 2 4" xfId="35537" xr:uid="{546C3744-DD40-4AB1-843E-3EB874F2610D}"/>
    <cellStyle name="Input 4 6 2 2 3" xfId="10274" xr:uid="{00000000-0005-0000-0000-000022280000}"/>
    <cellStyle name="Input 4 6 2 2 3 2" xfId="10275" xr:uid="{00000000-0005-0000-0000-000023280000}"/>
    <cellStyle name="Input 4 6 2 2 3 2 2" xfId="35542" xr:uid="{C02D366E-2FFD-466E-99A3-797A85C30B25}"/>
    <cellStyle name="Input 4 6 2 2 3 3" xfId="35541" xr:uid="{3951D0C5-EAB5-4360-A657-E10A8A57F2A0}"/>
    <cellStyle name="Input 4 6 2 2 4" xfId="10276" xr:uid="{00000000-0005-0000-0000-000024280000}"/>
    <cellStyle name="Input 4 6 2 2 4 2" xfId="35543" xr:uid="{374A7659-B106-4587-BF65-A6F8CAC028C9}"/>
    <cellStyle name="Input 4 6 2 2 5" xfId="35536" xr:uid="{81DBD6C2-7B6D-4F8B-86BE-5C1395A05F4D}"/>
    <cellStyle name="Input 4 6 2 3" xfId="10277" xr:uid="{00000000-0005-0000-0000-000025280000}"/>
    <cellStyle name="Input 4 6 2 3 2" xfId="10278" xr:uid="{00000000-0005-0000-0000-000026280000}"/>
    <cellStyle name="Input 4 6 2 3 2 2" xfId="10279" xr:uid="{00000000-0005-0000-0000-000027280000}"/>
    <cellStyle name="Input 4 6 2 3 2 2 2" xfId="35546" xr:uid="{66140F44-D9C3-44C5-92EC-3D295BFAC970}"/>
    <cellStyle name="Input 4 6 2 3 2 3" xfId="35545" xr:uid="{032406E3-8180-44CD-A663-86D503F101B0}"/>
    <cellStyle name="Input 4 6 2 3 3" xfId="10280" xr:uid="{00000000-0005-0000-0000-000028280000}"/>
    <cellStyle name="Input 4 6 2 3 3 2" xfId="35547" xr:uid="{474DDFF2-1ACC-4D51-B95C-7D7C02D45AEE}"/>
    <cellStyle name="Input 4 6 2 3 4" xfId="35544" xr:uid="{93A059EF-D273-4864-822A-9416D56DA1EA}"/>
    <cellStyle name="Input 4 6 2 4" xfId="10281" xr:uid="{00000000-0005-0000-0000-000029280000}"/>
    <cellStyle name="Input 4 6 2 4 2" xfId="10282" xr:uid="{00000000-0005-0000-0000-00002A280000}"/>
    <cellStyle name="Input 4 6 2 4 2 2" xfId="35549" xr:uid="{EB858D65-983B-4111-8134-048843F506FF}"/>
    <cellStyle name="Input 4 6 2 4 3" xfId="35548" xr:uid="{E02CEA10-F540-49E8-A35D-682929385C69}"/>
    <cellStyle name="Input 4 6 2 5" xfId="10283" xr:uid="{00000000-0005-0000-0000-00002B280000}"/>
    <cellStyle name="Input 4 6 2 5 2" xfId="35550" xr:uid="{5CA7B4F7-1E78-448E-9696-340087DC05C3}"/>
    <cellStyle name="Input 4 6 2 6" xfId="35535" xr:uid="{307B2EF1-A0A7-42A4-9730-84A0234BC23A}"/>
    <cellStyle name="Input 4 6 3" xfId="10284" xr:uid="{00000000-0005-0000-0000-00002C280000}"/>
    <cellStyle name="Input 4 6 3 2" xfId="10285" xr:uid="{00000000-0005-0000-0000-00002D280000}"/>
    <cellStyle name="Input 4 6 3 2 2" xfId="10286" xr:uid="{00000000-0005-0000-0000-00002E280000}"/>
    <cellStyle name="Input 4 6 3 2 2 2" xfId="10287" xr:uid="{00000000-0005-0000-0000-00002F280000}"/>
    <cellStyle name="Input 4 6 3 2 2 2 2" xfId="35554" xr:uid="{21C9F32A-5E0C-4126-821E-678640116451}"/>
    <cellStyle name="Input 4 6 3 2 2 3" xfId="35553" xr:uid="{50B59B02-47D8-4F41-9A66-61C6280DA28F}"/>
    <cellStyle name="Input 4 6 3 2 3" xfId="10288" xr:uid="{00000000-0005-0000-0000-000030280000}"/>
    <cellStyle name="Input 4 6 3 2 3 2" xfId="35555" xr:uid="{2EDCD383-01F7-4B81-B11E-5D66A7027832}"/>
    <cellStyle name="Input 4 6 3 2 4" xfId="35552" xr:uid="{E4EDDD92-8F66-4892-9F75-D78FB1B41F1D}"/>
    <cellStyle name="Input 4 6 3 3" xfId="10289" xr:uid="{00000000-0005-0000-0000-000031280000}"/>
    <cellStyle name="Input 4 6 3 3 2" xfId="10290" xr:uid="{00000000-0005-0000-0000-000032280000}"/>
    <cellStyle name="Input 4 6 3 3 2 2" xfId="35557" xr:uid="{CF057208-CB4A-4C03-8D91-0F04C8D6B276}"/>
    <cellStyle name="Input 4 6 3 3 3" xfId="35556" xr:uid="{4120D913-33DE-4754-A5D1-FF4BBA4286FD}"/>
    <cellStyle name="Input 4 6 3 4" xfId="10291" xr:uid="{00000000-0005-0000-0000-000033280000}"/>
    <cellStyle name="Input 4 6 3 4 2" xfId="35558" xr:uid="{9DC8B031-C119-4E46-8D7C-20B97F4C2C73}"/>
    <cellStyle name="Input 4 6 3 5" xfId="35551" xr:uid="{9FBDC04C-D50A-46EC-89C5-CCC450D95942}"/>
    <cellStyle name="Input 4 6 4" xfId="10292" xr:uid="{00000000-0005-0000-0000-000034280000}"/>
    <cellStyle name="Input 4 6 4 2" xfId="10293" xr:uid="{00000000-0005-0000-0000-000035280000}"/>
    <cellStyle name="Input 4 6 4 2 2" xfId="10294" xr:uid="{00000000-0005-0000-0000-000036280000}"/>
    <cellStyle name="Input 4 6 4 2 2 2" xfId="35561" xr:uid="{6712A650-5769-4F16-AC06-9A92AE68A63D}"/>
    <cellStyle name="Input 4 6 4 2 3" xfId="35560" xr:uid="{DFADB4F3-346A-415D-A6AE-5351E2C383FB}"/>
    <cellStyle name="Input 4 6 4 3" xfId="10295" xr:uid="{00000000-0005-0000-0000-000037280000}"/>
    <cellStyle name="Input 4 6 4 3 2" xfId="35562" xr:uid="{4604BE4B-657C-43FC-8D05-012DBA208973}"/>
    <cellStyle name="Input 4 6 4 4" xfId="35559" xr:uid="{3BD0F739-AB3A-4BF4-A943-787FCA7BB3A5}"/>
    <cellStyle name="Input 4 6 5" xfId="10296" xr:uid="{00000000-0005-0000-0000-000038280000}"/>
    <cellStyle name="Input 4 6 5 2" xfId="10297" xr:uid="{00000000-0005-0000-0000-000039280000}"/>
    <cellStyle name="Input 4 6 5 2 2" xfId="35564" xr:uid="{81B1A167-2000-4DF3-B64C-6730335AB72B}"/>
    <cellStyle name="Input 4 6 5 3" xfId="35563" xr:uid="{CA40DCAB-90AF-43BF-BF7A-06399FAD47B5}"/>
    <cellStyle name="Input 4 6 6" xfId="10298" xr:uid="{00000000-0005-0000-0000-00003A280000}"/>
    <cellStyle name="Input 4 6 6 2" xfId="35565" xr:uid="{F21D4624-E004-484E-AEED-775EE0C83FF2}"/>
    <cellStyle name="Input 4 6 7" xfId="35534" xr:uid="{91A9AB05-1AFB-405E-90B2-FED0AAF0FD50}"/>
    <cellStyle name="Input 4 7" xfId="10299" xr:uid="{00000000-0005-0000-0000-00003B280000}"/>
    <cellStyle name="Input 4 7 2" xfId="10300" xr:uid="{00000000-0005-0000-0000-00003C280000}"/>
    <cellStyle name="Input 4 7 2 2" xfId="10301" xr:uid="{00000000-0005-0000-0000-00003D280000}"/>
    <cellStyle name="Input 4 7 2 2 2" xfId="35568" xr:uid="{676ABF6D-9E2D-490C-BC48-E249205F87FE}"/>
    <cellStyle name="Input 4 7 2 3" xfId="35567" xr:uid="{5259830E-A59B-46E1-AFBF-60DF2ACBF13B}"/>
    <cellStyle name="Input 4 7 3" xfId="10302" xr:uid="{00000000-0005-0000-0000-00003E280000}"/>
    <cellStyle name="Input 4 7 3 2" xfId="35569" xr:uid="{2516B701-F6C1-4ACF-B3B6-FAC0F24606FD}"/>
    <cellStyle name="Input 4 7 4" xfId="35566" xr:uid="{8D58B77E-4C6E-49D3-89E9-A2CC40A33458}"/>
    <cellStyle name="Input 4 8" xfId="10303" xr:uid="{00000000-0005-0000-0000-00003F280000}"/>
    <cellStyle name="Input 4 8 2" xfId="10304" xr:uid="{00000000-0005-0000-0000-000040280000}"/>
    <cellStyle name="Input 4 8 2 2" xfId="35571" xr:uid="{1C6425F2-B3B4-46BE-85F2-F26341EEE9A1}"/>
    <cellStyle name="Input 4 8 3" xfId="35570" xr:uid="{6DD3374A-2AE8-4D14-9509-95D1FB980941}"/>
    <cellStyle name="Input 4 9" xfId="10305" xr:uid="{00000000-0005-0000-0000-000041280000}"/>
    <cellStyle name="Input 4 9 2" xfId="35572" xr:uid="{DC719FB7-B1ED-4612-8F9B-EBFD75B681B4}"/>
    <cellStyle name="Input 40" xfId="10306" xr:uid="{00000000-0005-0000-0000-000042280000}"/>
    <cellStyle name="Input 40 2" xfId="10307" xr:uid="{00000000-0005-0000-0000-000043280000}"/>
    <cellStyle name="Input 40 2 2" xfId="10308" xr:uid="{00000000-0005-0000-0000-000044280000}"/>
    <cellStyle name="Input 40 2 2 2" xfId="10309" xr:uid="{00000000-0005-0000-0000-000045280000}"/>
    <cellStyle name="Input 40 2 2 2 2" xfId="35576" xr:uid="{DD8443CC-3E2E-4A91-B59C-E29CF08A02F3}"/>
    <cellStyle name="Input 40 2 2 3" xfId="35575" xr:uid="{64A390B2-C883-4FC5-9502-42FA1B012680}"/>
    <cellStyle name="Input 40 2 3" xfId="10310" xr:uid="{00000000-0005-0000-0000-000046280000}"/>
    <cellStyle name="Input 40 2 3 2" xfId="35577" xr:uid="{EE4E1215-F740-437A-BB30-D4C65A303733}"/>
    <cellStyle name="Input 40 2 4" xfId="35574" xr:uid="{8E422678-01B9-478B-9015-D308A1145874}"/>
    <cellStyle name="Input 40 3" xfId="10311" xr:uid="{00000000-0005-0000-0000-000047280000}"/>
    <cellStyle name="Input 40 3 2" xfId="10312" xr:uid="{00000000-0005-0000-0000-000048280000}"/>
    <cellStyle name="Input 40 3 2 2" xfId="35579" xr:uid="{C94EE973-2BA7-42C4-A47D-2F2FFC1F64DB}"/>
    <cellStyle name="Input 40 3 3" xfId="35578" xr:uid="{BD65AD19-D8CF-496E-864A-D3D42BE9F179}"/>
    <cellStyle name="Input 40 4" xfId="10313" xr:uid="{00000000-0005-0000-0000-000049280000}"/>
    <cellStyle name="Input 40 4 2" xfId="35580" xr:uid="{91DCF5DA-988E-410D-8AB4-321BE230797D}"/>
    <cellStyle name="Input 40 5" xfId="35573" xr:uid="{DF68A8F0-F2C6-4AAB-A1C1-1598D3AC255F}"/>
    <cellStyle name="Input 41" xfId="10314" xr:uid="{00000000-0005-0000-0000-00004A280000}"/>
    <cellStyle name="Input 41 2" xfId="10315" xr:uid="{00000000-0005-0000-0000-00004B280000}"/>
    <cellStyle name="Input 41 2 2" xfId="10316" xr:uid="{00000000-0005-0000-0000-00004C280000}"/>
    <cellStyle name="Input 41 2 2 2" xfId="10317" xr:uid="{00000000-0005-0000-0000-00004D280000}"/>
    <cellStyle name="Input 41 2 2 2 2" xfId="35584" xr:uid="{860C077B-3E18-4B5E-B01E-8CCFCA014127}"/>
    <cellStyle name="Input 41 2 2 3" xfId="35583" xr:uid="{E6D21FE7-DBB0-448E-B67C-5964ED6BD734}"/>
    <cellStyle name="Input 41 2 3" xfId="10318" xr:uid="{00000000-0005-0000-0000-00004E280000}"/>
    <cellStyle name="Input 41 2 3 2" xfId="35585" xr:uid="{B23D1343-8351-44CA-8C03-17ECC75D29D8}"/>
    <cellStyle name="Input 41 2 4" xfId="35582" xr:uid="{E2216EA6-22AC-430B-921C-D20656BCC87C}"/>
    <cellStyle name="Input 41 3" xfId="10319" xr:uid="{00000000-0005-0000-0000-00004F280000}"/>
    <cellStyle name="Input 41 3 2" xfId="10320" xr:uid="{00000000-0005-0000-0000-000050280000}"/>
    <cellStyle name="Input 41 3 2 2" xfId="35587" xr:uid="{C4349323-A96E-41E4-83C3-C5EC2D6C9595}"/>
    <cellStyle name="Input 41 3 3" xfId="35586" xr:uid="{53E674A0-FB19-4DC0-9F9B-BE1010A74427}"/>
    <cellStyle name="Input 41 4" xfId="10321" xr:uid="{00000000-0005-0000-0000-000051280000}"/>
    <cellStyle name="Input 41 4 2" xfId="35588" xr:uid="{E4DEC82D-BFD5-4905-B96D-86B46B462E47}"/>
    <cellStyle name="Input 41 5" xfId="35581" xr:uid="{B45CD3BB-A3AE-4C93-B628-B96F45A7CEBA}"/>
    <cellStyle name="Input 42" xfId="10322" xr:uid="{00000000-0005-0000-0000-000052280000}"/>
    <cellStyle name="Input 42 2" xfId="10323" xr:uid="{00000000-0005-0000-0000-000053280000}"/>
    <cellStyle name="Input 42 2 2" xfId="10324" xr:uid="{00000000-0005-0000-0000-000054280000}"/>
    <cellStyle name="Input 42 2 2 2" xfId="10325" xr:uid="{00000000-0005-0000-0000-000055280000}"/>
    <cellStyle name="Input 42 2 2 2 2" xfId="35592" xr:uid="{64187E48-2007-4867-91C8-39C30C5DEF57}"/>
    <cellStyle name="Input 42 2 2 3" xfId="35591" xr:uid="{514EB88E-500C-4AD1-BED7-32EE103C8222}"/>
    <cellStyle name="Input 42 2 3" xfId="10326" xr:uid="{00000000-0005-0000-0000-000056280000}"/>
    <cellStyle name="Input 42 2 3 2" xfId="35593" xr:uid="{BF893129-54B9-439F-A8A8-3ABF2DBAB73E}"/>
    <cellStyle name="Input 42 2 4" xfId="35590" xr:uid="{9344201D-1DEB-45B7-9E0C-7C2825497E37}"/>
    <cellStyle name="Input 42 3" xfId="10327" xr:uid="{00000000-0005-0000-0000-000057280000}"/>
    <cellStyle name="Input 42 3 2" xfId="10328" xr:uid="{00000000-0005-0000-0000-000058280000}"/>
    <cellStyle name="Input 42 3 2 2" xfId="35595" xr:uid="{039B292F-D356-4FE6-9FE3-9BB145854C57}"/>
    <cellStyle name="Input 42 3 3" xfId="35594" xr:uid="{23A670B7-1FC9-4801-A579-D177CA2267A4}"/>
    <cellStyle name="Input 42 4" xfId="10329" xr:uid="{00000000-0005-0000-0000-000059280000}"/>
    <cellStyle name="Input 42 4 2" xfId="35596" xr:uid="{3912BD7A-5C1A-4F42-AF9B-60A3C6494D9C}"/>
    <cellStyle name="Input 42 5" xfId="35589" xr:uid="{7D5E3507-208B-4896-A863-91D2B11AEBA5}"/>
    <cellStyle name="Input 43" xfId="10330" xr:uid="{00000000-0005-0000-0000-00005A280000}"/>
    <cellStyle name="Input 43 2" xfId="10331" xr:uid="{00000000-0005-0000-0000-00005B280000}"/>
    <cellStyle name="Input 43 2 2" xfId="10332" xr:uid="{00000000-0005-0000-0000-00005C280000}"/>
    <cellStyle name="Input 43 2 2 2" xfId="10333" xr:uid="{00000000-0005-0000-0000-00005D280000}"/>
    <cellStyle name="Input 43 2 2 2 2" xfId="35600" xr:uid="{A9513457-BA8F-4BFC-8193-7D636D8E5C6E}"/>
    <cellStyle name="Input 43 2 2 3" xfId="35599" xr:uid="{70326275-FFC1-459F-AB77-BBD9458DCCE1}"/>
    <cellStyle name="Input 43 2 3" xfId="10334" xr:uid="{00000000-0005-0000-0000-00005E280000}"/>
    <cellStyle name="Input 43 2 3 2" xfId="35601" xr:uid="{B5ADAF5F-BBDC-48ED-8C18-EA7D9D19B233}"/>
    <cellStyle name="Input 43 2 4" xfId="35598" xr:uid="{5CDF07E3-C28E-4F89-BCD4-4DDCE0ECED7E}"/>
    <cellStyle name="Input 43 3" xfId="10335" xr:uid="{00000000-0005-0000-0000-00005F280000}"/>
    <cellStyle name="Input 43 3 2" xfId="10336" xr:uid="{00000000-0005-0000-0000-000060280000}"/>
    <cellStyle name="Input 43 3 2 2" xfId="35603" xr:uid="{4A0A3B97-581A-4B9C-94A0-87CC89C80C79}"/>
    <cellStyle name="Input 43 3 3" xfId="35602" xr:uid="{14884AF6-27E5-4FE1-AE4A-8668D15BA46E}"/>
    <cellStyle name="Input 43 4" xfId="10337" xr:uid="{00000000-0005-0000-0000-000061280000}"/>
    <cellStyle name="Input 43 4 2" xfId="35604" xr:uid="{CC7C9CB0-9C15-419E-BBBD-29B39E519D19}"/>
    <cellStyle name="Input 43 5" xfId="35597" xr:uid="{E69EBEE7-0178-4283-918B-788B36A65A9F}"/>
    <cellStyle name="Input 44" xfId="10338" xr:uid="{00000000-0005-0000-0000-000062280000}"/>
    <cellStyle name="Input 44 2" xfId="10339" xr:uid="{00000000-0005-0000-0000-000063280000}"/>
    <cellStyle name="Input 44 2 2" xfId="10340" xr:uid="{00000000-0005-0000-0000-000064280000}"/>
    <cellStyle name="Input 44 2 2 2" xfId="10341" xr:uid="{00000000-0005-0000-0000-000065280000}"/>
    <cellStyle name="Input 44 2 2 2 2" xfId="35608" xr:uid="{F8E8A5E7-7536-4A5F-B805-0080808EF126}"/>
    <cellStyle name="Input 44 2 2 3" xfId="35607" xr:uid="{00D8E6E0-12DB-4F08-8BB6-A0CF97A66AC8}"/>
    <cellStyle name="Input 44 2 3" xfId="10342" xr:uid="{00000000-0005-0000-0000-000066280000}"/>
    <cellStyle name="Input 44 2 3 2" xfId="35609" xr:uid="{EC1E2F0E-3372-4562-ABAB-ABAC30B63CE4}"/>
    <cellStyle name="Input 44 2 4" xfId="35606" xr:uid="{B03C3C74-5052-4B97-9C7B-DCC683DD084B}"/>
    <cellStyle name="Input 44 3" xfId="10343" xr:uid="{00000000-0005-0000-0000-000067280000}"/>
    <cellStyle name="Input 44 3 2" xfId="10344" xr:uid="{00000000-0005-0000-0000-000068280000}"/>
    <cellStyle name="Input 44 3 2 2" xfId="35611" xr:uid="{ED411332-F80D-4CF2-8883-DFAB8049C616}"/>
    <cellStyle name="Input 44 3 3" xfId="35610" xr:uid="{60BE583E-2CDD-420A-BDD4-EB3390DF268C}"/>
    <cellStyle name="Input 44 4" xfId="10345" xr:uid="{00000000-0005-0000-0000-000069280000}"/>
    <cellStyle name="Input 44 4 2" xfId="35612" xr:uid="{C4FB7A58-C391-403D-AABC-2D7902BDF6B1}"/>
    <cellStyle name="Input 44 5" xfId="35605" xr:uid="{69178A0F-3D8C-4467-8500-5983F0E0C6DA}"/>
    <cellStyle name="Input 45" xfId="10346" xr:uid="{00000000-0005-0000-0000-00006A280000}"/>
    <cellStyle name="Input 45 2" xfId="10347" xr:uid="{00000000-0005-0000-0000-00006B280000}"/>
    <cellStyle name="Input 45 2 2" xfId="10348" xr:uid="{00000000-0005-0000-0000-00006C280000}"/>
    <cellStyle name="Input 45 2 2 2" xfId="10349" xr:uid="{00000000-0005-0000-0000-00006D280000}"/>
    <cellStyle name="Input 45 2 2 2 2" xfId="35616" xr:uid="{9AD95501-E786-4136-AEB3-07E42526AF82}"/>
    <cellStyle name="Input 45 2 2 3" xfId="35615" xr:uid="{2BFDA485-941F-4BDA-9E38-E82BB632FF61}"/>
    <cellStyle name="Input 45 2 3" xfId="10350" xr:uid="{00000000-0005-0000-0000-00006E280000}"/>
    <cellStyle name="Input 45 2 3 2" xfId="35617" xr:uid="{58042408-6200-4EFB-9A7E-F3EABCE2325F}"/>
    <cellStyle name="Input 45 2 4" xfId="35614" xr:uid="{903B8ECF-86B7-4077-8635-06C5C324F38C}"/>
    <cellStyle name="Input 45 3" xfId="10351" xr:uid="{00000000-0005-0000-0000-00006F280000}"/>
    <cellStyle name="Input 45 3 2" xfId="10352" xr:uid="{00000000-0005-0000-0000-000070280000}"/>
    <cellStyle name="Input 45 3 2 2" xfId="35619" xr:uid="{E24D7F46-995F-4552-BE99-74D35FE461A0}"/>
    <cellStyle name="Input 45 3 3" xfId="35618" xr:uid="{227497D2-7EA1-4D24-9430-BF7C663033CE}"/>
    <cellStyle name="Input 45 4" xfId="10353" xr:uid="{00000000-0005-0000-0000-000071280000}"/>
    <cellStyle name="Input 45 4 2" xfId="35620" xr:uid="{6ED063D5-44F0-4274-A000-12E2F498ADDB}"/>
    <cellStyle name="Input 45 5" xfId="35613" xr:uid="{B5172C6D-30F3-4068-8F21-C0602D0BA2E3}"/>
    <cellStyle name="Input 46" xfId="10354" xr:uid="{00000000-0005-0000-0000-000072280000}"/>
    <cellStyle name="Input 46 2" xfId="10355" xr:uid="{00000000-0005-0000-0000-000073280000}"/>
    <cellStyle name="Input 46 2 2" xfId="10356" xr:uid="{00000000-0005-0000-0000-000074280000}"/>
    <cellStyle name="Input 46 2 2 2" xfId="10357" xr:uid="{00000000-0005-0000-0000-000075280000}"/>
    <cellStyle name="Input 46 2 2 2 2" xfId="35624" xr:uid="{61E5291A-A073-4CED-9E2A-0EF9383C20D3}"/>
    <cellStyle name="Input 46 2 2 3" xfId="35623" xr:uid="{8E7496A5-A765-4900-9CD3-10BA8C1DBA21}"/>
    <cellStyle name="Input 46 2 3" xfId="10358" xr:uid="{00000000-0005-0000-0000-000076280000}"/>
    <cellStyle name="Input 46 2 3 2" xfId="35625" xr:uid="{88874C7C-B44A-4585-8BEA-4F2EDE4FE6D4}"/>
    <cellStyle name="Input 46 2 4" xfId="35622" xr:uid="{8450F5C2-F383-47BA-8139-FDA0EF063BF6}"/>
    <cellStyle name="Input 46 3" xfId="10359" xr:uid="{00000000-0005-0000-0000-000077280000}"/>
    <cellStyle name="Input 46 3 2" xfId="10360" xr:uid="{00000000-0005-0000-0000-000078280000}"/>
    <cellStyle name="Input 46 3 2 2" xfId="35627" xr:uid="{58A93BB7-5FAC-4A70-B893-C5493C0AB156}"/>
    <cellStyle name="Input 46 3 3" xfId="35626" xr:uid="{3F165BB9-1675-48B8-994E-81197987C6C2}"/>
    <cellStyle name="Input 46 4" xfId="10361" xr:uid="{00000000-0005-0000-0000-000079280000}"/>
    <cellStyle name="Input 46 4 2" xfId="35628" xr:uid="{78F5E29C-E456-423F-94FF-2CE8EE1912F9}"/>
    <cellStyle name="Input 46 5" xfId="35621" xr:uid="{4E0C216E-7179-40EB-BC33-9D33AE7433C5}"/>
    <cellStyle name="Input 47" xfId="10362" xr:uid="{00000000-0005-0000-0000-00007A280000}"/>
    <cellStyle name="Input 47 2" xfId="10363" xr:uid="{00000000-0005-0000-0000-00007B280000}"/>
    <cellStyle name="Input 47 2 2" xfId="10364" xr:uid="{00000000-0005-0000-0000-00007C280000}"/>
    <cellStyle name="Input 47 2 2 2" xfId="10365" xr:uid="{00000000-0005-0000-0000-00007D280000}"/>
    <cellStyle name="Input 47 2 2 2 2" xfId="35632" xr:uid="{5C373756-BEE4-46EE-84C7-DEC16846E1B9}"/>
    <cellStyle name="Input 47 2 2 3" xfId="35631" xr:uid="{85221AD0-CF09-41C1-B8D7-DE1AFDB9AF4A}"/>
    <cellStyle name="Input 47 2 3" xfId="10366" xr:uid="{00000000-0005-0000-0000-00007E280000}"/>
    <cellStyle name="Input 47 2 3 2" xfId="35633" xr:uid="{4B0C685F-479B-43A1-BD11-AB584B19DAEC}"/>
    <cellStyle name="Input 47 2 4" xfId="35630" xr:uid="{4DEB3696-6D00-4EEA-BA90-39EA671042B6}"/>
    <cellStyle name="Input 47 3" xfId="10367" xr:uid="{00000000-0005-0000-0000-00007F280000}"/>
    <cellStyle name="Input 47 3 2" xfId="10368" xr:uid="{00000000-0005-0000-0000-000080280000}"/>
    <cellStyle name="Input 47 3 2 2" xfId="35635" xr:uid="{BEAB5140-D04B-4C4E-8230-43E39A0B6E5A}"/>
    <cellStyle name="Input 47 3 3" xfId="35634" xr:uid="{507478FC-BB7F-4566-A2EF-2A1B933C2197}"/>
    <cellStyle name="Input 47 4" xfId="10369" xr:uid="{00000000-0005-0000-0000-000081280000}"/>
    <cellStyle name="Input 47 4 2" xfId="35636" xr:uid="{345A142C-D708-41E8-887D-211FCB5FE5F3}"/>
    <cellStyle name="Input 47 5" xfId="35629" xr:uid="{13ABC86E-E9CB-4D94-BF43-AB253F85F007}"/>
    <cellStyle name="Input 48" xfId="10370" xr:uid="{00000000-0005-0000-0000-000082280000}"/>
    <cellStyle name="Input 48 2" xfId="10371" xr:uid="{00000000-0005-0000-0000-000083280000}"/>
    <cellStyle name="Input 48 2 2" xfId="10372" xr:uid="{00000000-0005-0000-0000-000084280000}"/>
    <cellStyle name="Input 48 2 2 2" xfId="10373" xr:uid="{00000000-0005-0000-0000-000085280000}"/>
    <cellStyle name="Input 48 2 2 2 2" xfId="35640" xr:uid="{15651DCF-34C5-45D5-A28A-A6D37E9DB23D}"/>
    <cellStyle name="Input 48 2 2 3" xfId="35639" xr:uid="{1551E7B2-AA20-4E28-A64F-299C7CC41B6B}"/>
    <cellStyle name="Input 48 2 3" xfId="10374" xr:uid="{00000000-0005-0000-0000-000086280000}"/>
    <cellStyle name="Input 48 2 3 2" xfId="35641" xr:uid="{88EDDB69-2E99-4E24-AF8C-562325021F82}"/>
    <cellStyle name="Input 48 2 4" xfId="35638" xr:uid="{333DD6B8-C334-40AF-9AA6-D6EBD32054A2}"/>
    <cellStyle name="Input 48 3" xfId="10375" xr:uid="{00000000-0005-0000-0000-000087280000}"/>
    <cellStyle name="Input 48 3 2" xfId="10376" xr:uid="{00000000-0005-0000-0000-000088280000}"/>
    <cellStyle name="Input 48 3 2 2" xfId="10377" xr:uid="{00000000-0005-0000-0000-000089280000}"/>
    <cellStyle name="Input 48 3 2 2 2" xfId="10378" xr:uid="{00000000-0005-0000-0000-00008A280000}"/>
    <cellStyle name="Input 48 3 2 2 2 2" xfId="35645" xr:uid="{7C0ECA54-B35A-422C-AB1F-02CC9108B548}"/>
    <cellStyle name="Input 48 3 2 2 3" xfId="35644" xr:uid="{9ABDB2E7-DB17-4971-97E5-C8013E72A39D}"/>
    <cellStyle name="Input 48 3 2 3" xfId="10379" xr:uid="{00000000-0005-0000-0000-00008B280000}"/>
    <cellStyle name="Input 48 3 2 3 2" xfId="35646" xr:uid="{8EE6F644-2CAD-4120-AC98-045FE167C5EC}"/>
    <cellStyle name="Input 48 3 2 4" xfId="35643" xr:uid="{A458888A-7274-4D9F-8917-037C1B2B704B}"/>
    <cellStyle name="Input 48 3 3" xfId="10380" xr:uid="{00000000-0005-0000-0000-00008C280000}"/>
    <cellStyle name="Input 48 3 3 2" xfId="10381" xr:uid="{00000000-0005-0000-0000-00008D280000}"/>
    <cellStyle name="Input 48 3 3 2 2" xfId="35648" xr:uid="{3AE0D789-D6B2-4150-8505-66F01ECAF035}"/>
    <cellStyle name="Input 48 3 3 3" xfId="35647" xr:uid="{D1A68487-AD44-4F20-8B03-D1E2DFE34B06}"/>
    <cellStyle name="Input 48 3 4" xfId="10382" xr:uid="{00000000-0005-0000-0000-00008E280000}"/>
    <cellStyle name="Input 48 3 4 2" xfId="35649" xr:uid="{5B133D0F-F2D1-49BE-AE34-95EBC1EC7F47}"/>
    <cellStyle name="Input 48 3 5" xfId="35642" xr:uid="{3927A6F0-C39C-47EF-BD38-037032207226}"/>
    <cellStyle name="Input 48 4" xfId="10383" xr:uid="{00000000-0005-0000-0000-00008F280000}"/>
    <cellStyle name="Input 48 4 2" xfId="10384" xr:uid="{00000000-0005-0000-0000-000090280000}"/>
    <cellStyle name="Input 48 4 2 2" xfId="35651" xr:uid="{484FF86B-3882-49EC-8267-025BE8141243}"/>
    <cellStyle name="Input 48 4 3" xfId="35650" xr:uid="{FF627967-C142-4563-A217-5E4CF2E9A9B5}"/>
    <cellStyle name="Input 48 5" xfId="10385" xr:uid="{00000000-0005-0000-0000-000091280000}"/>
    <cellStyle name="Input 48 5 2" xfId="35652" xr:uid="{81F9AE18-BE7B-45B0-9592-313354F7E829}"/>
    <cellStyle name="Input 48 6" xfId="35637" xr:uid="{5262018F-5130-42B1-B64E-E5A98C43442A}"/>
    <cellStyle name="Input 49" xfId="10386" xr:uid="{00000000-0005-0000-0000-000092280000}"/>
    <cellStyle name="Input 49 2" xfId="10387" xr:uid="{00000000-0005-0000-0000-000093280000}"/>
    <cellStyle name="Input 49 2 2" xfId="10388" xr:uid="{00000000-0005-0000-0000-000094280000}"/>
    <cellStyle name="Input 49 2 2 2" xfId="10389" xr:uid="{00000000-0005-0000-0000-000095280000}"/>
    <cellStyle name="Input 49 2 2 2 2" xfId="35656" xr:uid="{72E29C9D-CAD2-4A9F-9510-5D8972B905D5}"/>
    <cellStyle name="Input 49 2 2 3" xfId="35655" xr:uid="{F08DA963-1D9D-4C37-AC84-BE8F512E83D4}"/>
    <cellStyle name="Input 49 2 3" xfId="10390" xr:uid="{00000000-0005-0000-0000-000096280000}"/>
    <cellStyle name="Input 49 2 3 2" xfId="35657" xr:uid="{7C79D3D6-D263-421B-8EE6-099375E13269}"/>
    <cellStyle name="Input 49 2 4" xfId="35654" xr:uid="{045F3D57-1075-4E19-B80E-266B67ADA4BC}"/>
    <cellStyle name="Input 49 3" xfId="10391" xr:uid="{00000000-0005-0000-0000-000097280000}"/>
    <cellStyle name="Input 49 3 2" xfId="10392" xr:uid="{00000000-0005-0000-0000-000098280000}"/>
    <cellStyle name="Input 49 3 2 2" xfId="10393" xr:uid="{00000000-0005-0000-0000-000099280000}"/>
    <cellStyle name="Input 49 3 2 2 2" xfId="10394" xr:uid="{00000000-0005-0000-0000-00009A280000}"/>
    <cellStyle name="Input 49 3 2 2 2 2" xfId="35661" xr:uid="{33BFBE38-F1ED-45F9-A89E-FA95009F2F9B}"/>
    <cellStyle name="Input 49 3 2 2 3" xfId="35660" xr:uid="{BC4C84AC-6167-4FE4-AACE-EB37054E47E1}"/>
    <cellStyle name="Input 49 3 2 3" xfId="10395" xr:uid="{00000000-0005-0000-0000-00009B280000}"/>
    <cellStyle name="Input 49 3 2 3 2" xfId="35662" xr:uid="{002FB611-7A70-4440-8E41-A1DA95CFB3CF}"/>
    <cellStyle name="Input 49 3 2 4" xfId="35659" xr:uid="{73F93E15-E35C-4E89-B827-7E45747E3F3F}"/>
    <cellStyle name="Input 49 3 3" xfId="10396" xr:uid="{00000000-0005-0000-0000-00009C280000}"/>
    <cellStyle name="Input 49 3 3 2" xfId="10397" xr:uid="{00000000-0005-0000-0000-00009D280000}"/>
    <cellStyle name="Input 49 3 3 2 2" xfId="35664" xr:uid="{1C273259-20D9-480E-86BA-F4E131C3C51D}"/>
    <cellStyle name="Input 49 3 3 3" xfId="35663" xr:uid="{A5E1ADDE-B707-489D-8590-873D6B0AF331}"/>
    <cellStyle name="Input 49 3 4" xfId="10398" xr:uid="{00000000-0005-0000-0000-00009E280000}"/>
    <cellStyle name="Input 49 3 4 2" xfId="35665" xr:uid="{9D81589E-E8D6-4EF5-BDB7-00B812742FBD}"/>
    <cellStyle name="Input 49 3 5" xfId="35658" xr:uid="{2FD0F8FB-BC74-4FD7-937E-B9AAE692149A}"/>
    <cellStyle name="Input 49 4" xfId="10399" xr:uid="{00000000-0005-0000-0000-00009F280000}"/>
    <cellStyle name="Input 49 4 2" xfId="10400" xr:uid="{00000000-0005-0000-0000-0000A0280000}"/>
    <cellStyle name="Input 49 4 2 2" xfId="35667" xr:uid="{B5E5CA90-BFAF-4786-862E-56439519DB22}"/>
    <cellStyle name="Input 49 4 3" xfId="35666" xr:uid="{79EF5AB5-CDC7-40BE-9FC4-97BA057830C1}"/>
    <cellStyle name="Input 49 5" xfId="10401" xr:uid="{00000000-0005-0000-0000-0000A1280000}"/>
    <cellStyle name="Input 49 5 2" xfId="35668" xr:uid="{D898A4A1-A5DC-4C8B-8F02-B1933BA0814C}"/>
    <cellStyle name="Input 49 6" xfId="35653" xr:uid="{3A563B80-45A2-4943-822C-390449BB9512}"/>
    <cellStyle name="Input 5" xfId="10402" xr:uid="{00000000-0005-0000-0000-0000A2280000}"/>
    <cellStyle name="Input 5 2" xfId="10403" xr:uid="{00000000-0005-0000-0000-0000A3280000}"/>
    <cellStyle name="Input 5 2 2" xfId="10404" xr:uid="{00000000-0005-0000-0000-0000A4280000}"/>
    <cellStyle name="Input 5 2 2 2" xfId="10405" xr:uid="{00000000-0005-0000-0000-0000A5280000}"/>
    <cellStyle name="Input 5 2 2 2 2" xfId="10406" xr:uid="{00000000-0005-0000-0000-0000A6280000}"/>
    <cellStyle name="Input 5 2 2 2 2 2" xfId="35673" xr:uid="{CEA85616-6E8E-4AE1-9725-A3B937617DCF}"/>
    <cellStyle name="Input 5 2 2 2 3" xfId="35672" xr:uid="{41F8D666-CD7F-4B67-8F3F-FACBE791B87B}"/>
    <cellStyle name="Input 5 2 2 3" xfId="10407" xr:uid="{00000000-0005-0000-0000-0000A7280000}"/>
    <cellStyle name="Input 5 2 2 3 2" xfId="35674" xr:uid="{08169A28-B308-4E28-A4E5-9E2D71E277BA}"/>
    <cellStyle name="Input 5 2 2 4" xfId="35671" xr:uid="{BBAF24B8-9A44-4808-B71D-4E70AB1799DD}"/>
    <cellStyle name="Input 5 2 3" xfId="10408" xr:uid="{00000000-0005-0000-0000-0000A8280000}"/>
    <cellStyle name="Input 5 2 3 2" xfId="10409" xr:uid="{00000000-0005-0000-0000-0000A9280000}"/>
    <cellStyle name="Input 5 2 3 2 2" xfId="10410" xr:uid="{00000000-0005-0000-0000-0000AA280000}"/>
    <cellStyle name="Input 5 2 3 2 2 2" xfId="10411" xr:uid="{00000000-0005-0000-0000-0000AB280000}"/>
    <cellStyle name="Input 5 2 3 2 2 2 2" xfId="35678" xr:uid="{A6FD595D-2D04-4563-8443-14BF5FD0ECD2}"/>
    <cellStyle name="Input 5 2 3 2 2 3" xfId="35677" xr:uid="{6278B05E-DBA3-41F6-BD32-979E1AFD7414}"/>
    <cellStyle name="Input 5 2 3 2 3" xfId="10412" xr:uid="{00000000-0005-0000-0000-0000AC280000}"/>
    <cellStyle name="Input 5 2 3 2 3 2" xfId="35679" xr:uid="{90BB2A29-DFDD-40FC-A0A0-F697792043FC}"/>
    <cellStyle name="Input 5 2 3 2 4" xfId="35676" xr:uid="{33094E63-53C9-4DC7-84E1-7E7DA522EBEB}"/>
    <cellStyle name="Input 5 2 3 3" xfId="10413" xr:uid="{00000000-0005-0000-0000-0000AD280000}"/>
    <cellStyle name="Input 5 2 3 3 2" xfId="10414" xr:uid="{00000000-0005-0000-0000-0000AE280000}"/>
    <cellStyle name="Input 5 2 3 3 2 2" xfId="35681" xr:uid="{4A633FA5-523E-4904-9989-B5A4B258E5AD}"/>
    <cellStyle name="Input 5 2 3 3 3" xfId="35680" xr:uid="{F3D2F1A1-5DDD-4570-974D-73E72DAD2445}"/>
    <cellStyle name="Input 5 2 3 4" xfId="10415" xr:uid="{00000000-0005-0000-0000-0000AF280000}"/>
    <cellStyle name="Input 5 2 3 4 2" xfId="35682" xr:uid="{E42B94C8-B5D1-4041-9306-5C400FB8E267}"/>
    <cellStyle name="Input 5 2 3 5" xfId="35675" xr:uid="{16BDFDD7-F81C-4B88-86C3-FE3B96C8D0A4}"/>
    <cellStyle name="Input 5 2 4" xfId="10416" xr:uid="{00000000-0005-0000-0000-0000B0280000}"/>
    <cellStyle name="Input 5 2 4 2" xfId="10417" xr:uid="{00000000-0005-0000-0000-0000B1280000}"/>
    <cellStyle name="Input 5 2 4 2 2" xfId="35684" xr:uid="{E318E8DC-67A1-4E2A-BAB1-6514BB04AE13}"/>
    <cellStyle name="Input 5 2 4 3" xfId="35683" xr:uid="{2E22C842-6441-4B89-B764-EE41BD6BBB25}"/>
    <cellStyle name="Input 5 2 5" xfId="10418" xr:uid="{00000000-0005-0000-0000-0000B2280000}"/>
    <cellStyle name="Input 5 2 5 2" xfId="35685" xr:uid="{0796F18E-6B72-4703-B598-7C2E691721A4}"/>
    <cellStyle name="Input 5 2 6" xfId="35670" xr:uid="{1186C6F7-F7E0-4B14-8363-DAF7F9B85156}"/>
    <cellStyle name="Input 5 3" xfId="10419" xr:uid="{00000000-0005-0000-0000-0000B3280000}"/>
    <cellStyle name="Input 5 3 2" xfId="10420" xr:uid="{00000000-0005-0000-0000-0000B4280000}"/>
    <cellStyle name="Input 5 3 2 2" xfId="10421" xr:uid="{00000000-0005-0000-0000-0000B5280000}"/>
    <cellStyle name="Input 5 3 2 2 2" xfId="10422" xr:uid="{00000000-0005-0000-0000-0000B6280000}"/>
    <cellStyle name="Input 5 3 2 2 2 2" xfId="35689" xr:uid="{E402EFDA-63A8-4D5A-8BB1-074AB7B3BECD}"/>
    <cellStyle name="Input 5 3 2 2 3" xfId="35688" xr:uid="{F8ADB4F6-B035-4620-AF86-A9957B04E536}"/>
    <cellStyle name="Input 5 3 2 3" xfId="10423" xr:uid="{00000000-0005-0000-0000-0000B7280000}"/>
    <cellStyle name="Input 5 3 2 3 2" xfId="35690" xr:uid="{C68877F0-F806-4CB3-9318-C834FC410C47}"/>
    <cellStyle name="Input 5 3 2 4" xfId="35687" xr:uid="{BA5A4BE5-A821-41F0-9683-E81AA5326129}"/>
    <cellStyle name="Input 5 3 3" xfId="10424" xr:uid="{00000000-0005-0000-0000-0000B8280000}"/>
    <cellStyle name="Input 5 3 3 2" xfId="10425" xr:uid="{00000000-0005-0000-0000-0000B9280000}"/>
    <cellStyle name="Input 5 3 3 2 2" xfId="10426" xr:uid="{00000000-0005-0000-0000-0000BA280000}"/>
    <cellStyle name="Input 5 3 3 2 2 2" xfId="10427" xr:uid="{00000000-0005-0000-0000-0000BB280000}"/>
    <cellStyle name="Input 5 3 3 2 2 2 2" xfId="35694" xr:uid="{02582BA0-43C8-4434-BAE0-606841E92402}"/>
    <cellStyle name="Input 5 3 3 2 2 3" xfId="35693" xr:uid="{CC9AB437-631A-4A31-976F-885C1638A4DE}"/>
    <cellStyle name="Input 5 3 3 2 3" xfId="10428" xr:uid="{00000000-0005-0000-0000-0000BC280000}"/>
    <cellStyle name="Input 5 3 3 2 3 2" xfId="35695" xr:uid="{99175916-4A10-4D57-8AE7-A8C232A174B6}"/>
    <cellStyle name="Input 5 3 3 2 4" xfId="35692" xr:uid="{C19FC26A-7157-49CC-B2DB-F15F05ABEEC4}"/>
    <cellStyle name="Input 5 3 3 3" xfId="10429" xr:uid="{00000000-0005-0000-0000-0000BD280000}"/>
    <cellStyle name="Input 5 3 3 3 2" xfId="10430" xr:uid="{00000000-0005-0000-0000-0000BE280000}"/>
    <cellStyle name="Input 5 3 3 3 2 2" xfId="35697" xr:uid="{DF38213E-0AEF-4B8B-B919-F91B649BD5E2}"/>
    <cellStyle name="Input 5 3 3 3 3" xfId="35696" xr:uid="{250E3C7E-911B-4464-8A6A-F54D2E73A387}"/>
    <cellStyle name="Input 5 3 3 4" xfId="10431" xr:uid="{00000000-0005-0000-0000-0000BF280000}"/>
    <cellStyle name="Input 5 3 3 4 2" xfId="35698" xr:uid="{420AC19D-4862-4C39-A095-805820CA6AC0}"/>
    <cellStyle name="Input 5 3 3 5" xfId="35691" xr:uid="{66E6BDD2-8049-464D-A965-F43DACA14F9A}"/>
    <cellStyle name="Input 5 3 4" xfId="10432" xr:uid="{00000000-0005-0000-0000-0000C0280000}"/>
    <cellStyle name="Input 5 3 4 2" xfId="10433" xr:uid="{00000000-0005-0000-0000-0000C1280000}"/>
    <cellStyle name="Input 5 3 4 2 2" xfId="35700" xr:uid="{4F808749-8D97-47D1-B3CD-CCEB141D45D6}"/>
    <cellStyle name="Input 5 3 4 3" xfId="35699" xr:uid="{8B8F0756-272E-4F6E-A351-7FEDAA2B56C4}"/>
    <cellStyle name="Input 5 3 5" xfId="10434" xr:uid="{00000000-0005-0000-0000-0000C2280000}"/>
    <cellStyle name="Input 5 3 5 2" xfId="35701" xr:uid="{7ABBF1E4-18F6-4426-9F8E-386F09757FBC}"/>
    <cellStyle name="Input 5 3 6" xfId="35686" xr:uid="{C4F25506-ABD9-423A-85B2-7E91B64948CD}"/>
    <cellStyle name="Input 5 4" xfId="10435" xr:uid="{00000000-0005-0000-0000-0000C3280000}"/>
    <cellStyle name="Input 5 4 2" xfId="10436" xr:uid="{00000000-0005-0000-0000-0000C4280000}"/>
    <cellStyle name="Input 5 4 2 2" xfId="10437" xr:uid="{00000000-0005-0000-0000-0000C5280000}"/>
    <cellStyle name="Input 5 4 2 2 2" xfId="35704" xr:uid="{1C6EA64C-CDC1-4CB0-8E2D-37DEE427321A}"/>
    <cellStyle name="Input 5 4 2 3" xfId="35703" xr:uid="{3764303F-9BF8-44D3-A3CE-3568B16CCE06}"/>
    <cellStyle name="Input 5 4 3" xfId="10438" xr:uid="{00000000-0005-0000-0000-0000C6280000}"/>
    <cellStyle name="Input 5 4 3 2" xfId="35705" xr:uid="{81E359A0-4A99-479C-8982-2CF27E532BF2}"/>
    <cellStyle name="Input 5 4 4" xfId="35702" xr:uid="{8732ED20-D980-4E2A-BE8D-D46DE7A957EF}"/>
    <cellStyle name="Input 5 5" xfId="10439" xr:uid="{00000000-0005-0000-0000-0000C7280000}"/>
    <cellStyle name="Input 5 5 2" xfId="10440" xr:uid="{00000000-0005-0000-0000-0000C8280000}"/>
    <cellStyle name="Input 5 5 2 2" xfId="10441" xr:uid="{00000000-0005-0000-0000-0000C9280000}"/>
    <cellStyle name="Input 5 5 2 2 2" xfId="10442" xr:uid="{00000000-0005-0000-0000-0000CA280000}"/>
    <cellStyle name="Input 5 5 2 2 2 2" xfId="10443" xr:uid="{00000000-0005-0000-0000-0000CB280000}"/>
    <cellStyle name="Input 5 5 2 2 2 2 2" xfId="10444" xr:uid="{00000000-0005-0000-0000-0000CC280000}"/>
    <cellStyle name="Input 5 5 2 2 2 2 2 2" xfId="35711" xr:uid="{8993196D-4E1B-4DEB-A1D8-02115B24D85A}"/>
    <cellStyle name="Input 5 5 2 2 2 2 3" xfId="35710" xr:uid="{E9004C90-058C-4496-AA96-71D463942C53}"/>
    <cellStyle name="Input 5 5 2 2 2 3" xfId="10445" xr:uid="{00000000-0005-0000-0000-0000CD280000}"/>
    <cellStyle name="Input 5 5 2 2 2 3 2" xfId="35712" xr:uid="{A9802306-905B-4FF6-A4FE-9C1731F477C5}"/>
    <cellStyle name="Input 5 5 2 2 2 4" xfId="35709" xr:uid="{AA4FDE14-0E6E-4921-A600-B06CFF8BB41D}"/>
    <cellStyle name="Input 5 5 2 2 3" xfId="10446" xr:uid="{00000000-0005-0000-0000-0000CE280000}"/>
    <cellStyle name="Input 5 5 2 2 3 2" xfId="10447" xr:uid="{00000000-0005-0000-0000-0000CF280000}"/>
    <cellStyle name="Input 5 5 2 2 3 2 2" xfId="35714" xr:uid="{E667F7AF-EF7D-4315-A2BA-2AFE7C20C061}"/>
    <cellStyle name="Input 5 5 2 2 3 3" xfId="35713" xr:uid="{EF5A6616-2C1F-4F14-9A46-9C0A994EF3BA}"/>
    <cellStyle name="Input 5 5 2 2 4" xfId="10448" xr:uid="{00000000-0005-0000-0000-0000D0280000}"/>
    <cellStyle name="Input 5 5 2 2 4 2" xfId="35715" xr:uid="{A0E9F088-8804-4488-B967-9BBC319ABD26}"/>
    <cellStyle name="Input 5 5 2 2 5" xfId="35708" xr:uid="{201509C4-BC24-46FD-A354-996795B26097}"/>
    <cellStyle name="Input 5 5 2 3" xfId="10449" xr:uid="{00000000-0005-0000-0000-0000D1280000}"/>
    <cellStyle name="Input 5 5 2 3 2" xfId="10450" xr:uid="{00000000-0005-0000-0000-0000D2280000}"/>
    <cellStyle name="Input 5 5 2 3 2 2" xfId="10451" xr:uid="{00000000-0005-0000-0000-0000D3280000}"/>
    <cellStyle name="Input 5 5 2 3 2 2 2" xfId="35718" xr:uid="{5AF1ACB6-BE99-4DC4-A351-7FBD00D61988}"/>
    <cellStyle name="Input 5 5 2 3 2 3" xfId="35717" xr:uid="{B55350E1-A9AA-4CD6-994C-87CE506904B7}"/>
    <cellStyle name="Input 5 5 2 3 3" xfId="10452" xr:uid="{00000000-0005-0000-0000-0000D4280000}"/>
    <cellStyle name="Input 5 5 2 3 3 2" xfId="35719" xr:uid="{A9B6F8F8-51C8-431F-886F-A73BB9E925AB}"/>
    <cellStyle name="Input 5 5 2 3 4" xfId="35716" xr:uid="{9303A823-0C0B-4AE9-A74C-EDC352C924A3}"/>
    <cellStyle name="Input 5 5 2 4" xfId="10453" xr:uid="{00000000-0005-0000-0000-0000D5280000}"/>
    <cellStyle name="Input 5 5 2 4 2" xfId="10454" xr:uid="{00000000-0005-0000-0000-0000D6280000}"/>
    <cellStyle name="Input 5 5 2 4 2 2" xfId="35721" xr:uid="{DBFE9B1E-9220-463C-96FA-80F25A3DBA44}"/>
    <cellStyle name="Input 5 5 2 4 3" xfId="35720" xr:uid="{CBE14350-68FC-4E67-9D4D-8FF4FB8DF1DC}"/>
    <cellStyle name="Input 5 5 2 5" xfId="10455" xr:uid="{00000000-0005-0000-0000-0000D7280000}"/>
    <cellStyle name="Input 5 5 2 5 2" xfId="35722" xr:uid="{F53E11B2-B45E-4D5A-B74C-040669C56DDD}"/>
    <cellStyle name="Input 5 5 2 6" xfId="35707" xr:uid="{DB730D9E-DD99-4BAD-80A7-3E243CF002F5}"/>
    <cellStyle name="Input 5 5 3" xfId="10456" xr:uid="{00000000-0005-0000-0000-0000D8280000}"/>
    <cellStyle name="Input 5 5 3 2" xfId="10457" xr:uid="{00000000-0005-0000-0000-0000D9280000}"/>
    <cellStyle name="Input 5 5 3 2 2" xfId="10458" xr:uid="{00000000-0005-0000-0000-0000DA280000}"/>
    <cellStyle name="Input 5 5 3 2 2 2" xfId="10459" xr:uid="{00000000-0005-0000-0000-0000DB280000}"/>
    <cellStyle name="Input 5 5 3 2 2 2 2" xfId="35726" xr:uid="{0E459A86-0DA9-4814-96DA-641DE01EA1DA}"/>
    <cellStyle name="Input 5 5 3 2 2 3" xfId="35725" xr:uid="{4174AF3E-407A-4EBD-94BB-A9FFF87CED73}"/>
    <cellStyle name="Input 5 5 3 2 3" xfId="10460" xr:uid="{00000000-0005-0000-0000-0000DC280000}"/>
    <cellStyle name="Input 5 5 3 2 3 2" xfId="35727" xr:uid="{099CBB82-A6BE-44E7-A375-A2856CB8FB2D}"/>
    <cellStyle name="Input 5 5 3 2 4" xfId="35724" xr:uid="{DA950DDF-B921-41D3-B4B0-02DAD7A933C8}"/>
    <cellStyle name="Input 5 5 3 3" xfId="10461" xr:uid="{00000000-0005-0000-0000-0000DD280000}"/>
    <cellStyle name="Input 5 5 3 3 2" xfId="10462" xr:uid="{00000000-0005-0000-0000-0000DE280000}"/>
    <cellStyle name="Input 5 5 3 3 2 2" xfId="35729" xr:uid="{BD3C1C49-CDB9-430C-8F0E-B30B0978175C}"/>
    <cellStyle name="Input 5 5 3 3 3" xfId="35728" xr:uid="{923D362A-8045-4489-B1B9-DAD7BD567077}"/>
    <cellStyle name="Input 5 5 3 4" xfId="10463" xr:uid="{00000000-0005-0000-0000-0000DF280000}"/>
    <cellStyle name="Input 5 5 3 4 2" xfId="35730" xr:uid="{F636CC09-AB51-4A24-8619-95D46F918A9C}"/>
    <cellStyle name="Input 5 5 3 5" xfId="35723" xr:uid="{AFFBBADD-9A27-4228-8606-09E6938424BB}"/>
    <cellStyle name="Input 5 5 4" xfId="10464" xr:uid="{00000000-0005-0000-0000-0000E0280000}"/>
    <cellStyle name="Input 5 5 4 2" xfId="10465" xr:uid="{00000000-0005-0000-0000-0000E1280000}"/>
    <cellStyle name="Input 5 5 4 2 2" xfId="10466" xr:uid="{00000000-0005-0000-0000-0000E2280000}"/>
    <cellStyle name="Input 5 5 4 2 2 2" xfId="35733" xr:uid="{E1A5885B-0042-4BF4-AE57-49A897674CCD}"/>
    <cellStyle name="Input 5 5 4 2 3" xfId="35732" xr:uid="{87AA8B48-5431-4E0C-9534-5EAC72528FF1}"/>
    <cellStyle name="Input 5 5 4 3" xfId="10467" xr:uid="{00000000-0005-0000-0000-0000E3280000}"/>
    <cellStyle name="Input 5 5 4 3 2" xfId="35734" xr:uid="{708A7132-5492-4882-A6F7-04BE08718A19}"/>
    <cellStyle name="Input 5 5 4 4" xfId="35731" xr:uid="{43DEE68A-AAD3-4418-8228-B647893D1996}"/>
    <cellStyle name="Input 5 5 5" xfId="10468" xr:uid="{00000000-0005-0000-0000-0000E4280000}"/>
    <cellStyle name="Input 5 5 5 2" xfId="10469" xr:uid="{00000000-0005-0000-0000-0000E5280000}"/>
    <cellStyle name="Input 5 5 5 2 2" xfId="35736" xr:uid="{9BD37AE2-2ABE-46F7-88CF-5421E51FB7B0}"/>
    <cellStyle name="Input 5 5 5 3" xfId="35735" xr:uid="{4F7EC9CE-07FF-4459-B3A9-00038AD8BD09}"/>
    <cellStyle name="Input 5 5 6" xfId="10470" xr:uid="{00000000-0005-0000-0000-0000E6280000}"/>
    <cellStyle name="Input 5 5 6 2" xfId="35737" xr:uid="{39B26EB9-A14E-4526-ADD8-CC688EB0B015}"/>
    <cellStyle name="Input 5 5 7" xfId="35706" xr:uid="{CCD8AFBB-A982-436F-8611-48C3E41D0C3A}"/>
    <cellStyle name="Input 5 6" xfId="10471" xr:uid="{00000000-0005-0000-0000-0000E7280000}"/>
    <cellStyle name="Input 5 6 2" xfId="10472" xr:uid="{00000000-0005-0000-0000-0000E8280000}"/>
    <cellStyle name="Input 5 6 2 2" xfId="35739" xr:uid="{759445DA-4F83-4FED-90DD-2DD205BEAF74}"/>
    <cellStyle name="Input 5 6 3" xfId="35738" xr:uid="{5DD60D00-756F-4B16-9C49-C94A43F9FFBC}"/>
    <cellStyle name="Input 5 7" xfId="10473" xr:uid="{00000000-0005-0000-0000-0000E9280000}"/>
    <cellStyle name="Input 5 7 2" xfId="35740" xr:uid="{2903B566-C61A-479C-A705-1182197A3F65}"/>
    <cellStyle name="Input 5 8" xfId="35669" xr:uid="{FD08A364-EC15-42B3-B02F-49B20F84DFC7}"/>
    <cellStyle name="Input 50" xfId="10474" xr:uid="{00000000-0005-0000-0000-0000EA280000}"/>
    <cellStyle name="Input 50 2" xfId="10475" xr:uid="{00000000-0005-0000-0000-0000EB280000}"/>
    <cellStyle name="Input 50 2 2" xfId="10476" xr:uid="{00000000-0005-0000-0000-0000EC280000}"/>
    <cellStyle name="Input 50 2 2 2" xfId="10477" xr:uid="{00000000-0005-0000-0000-0000ED280000}"/>
    <cellStyle name="Input 50 2 2 2 2" xfId="35744" xr:uid="{DD60FE45-1FD5-4B46-A6AE-57355F5B16F7}"/>
    <cellStyle name="Input 50 2 2 3" xfId="35743" xr:uid="{70554439-4609-446F-9EF2-CA1A0B169EAE}"/>
    <cellStyle name="Input 50 2 3" xfId="10478" xr:uid="{00000000-0005-0000-0000-0000EE280000}"/>
    <cellStyle name="Input 50 2 3 2" xfId="35745" xr:uid="{11F62770-170B-4BC2-9C19-A8610AEAF191}"/>
    <cellStyle name="Input 50 2 4" xfId="35742" xr:uid="{07A23FAE-2029-4DEF-813A-5DB39E93D79A}"/>
    <cellStyle name="Input 50 3" xfId="10479" xr:uid="{00000000-0005-0000-0000-0000EF280000}"/>
    <cellStyle name="Input 50 3 2" xfId="10480" xr:uid="{00000000-0005-0000-0000-0000F0280000}"/>
    <cellStyle name="Input 50 3 2 2" xfId="10481" xr:uid="{00000000-0005-0000-0000-0000F1280000}"/>
    <cellStyle name="Input 50 3 2 2 2" xfId="10482" xr:uid="{00000000-0005-0000-0000-0000F2280000}"/>
    <cellStyle name="Input 50 3 2 2 2 2" xfId="35749" xr:uid="{C4A619E1-5510-42C5-BAC6-0D7393EC472C}"/>
    <cellStyle name="Input 50 3 2 2 3" xfId="35748" xr:uid="{DD7EDB6D-139A-4508-A382-2891A7F52353}"/>
    <cellStyle name="Input 50 3 2 3" xfId="10483" xr:uid="{00000000-0005-0000-0000-0000F3280000}"/>
    <cellStyle name="Input 50 3 2 3 2" xfId="35750" xr:uid="{485B07BC-E2E9-4494-BE29-F30284DADB14}"/>
    <cellStyle name="Input 50 3 2 4" xfId="35747" xr:uid="{04C1B51D-402B-41FF-AAC2-334311F20AA1}"/>
    <cellStyle name="Input 50 3 3" xfId="10484" xr:uid="{00000000-0005-0000-0000-0000F4280000}"/>
    <cellStyle name="Input 50 3 3 2" xfId="10485" xr:uid="{00000000-0005-0000-0000-0000F5280000}"/>
    <cellStyle name="Input 50 3 3 2 2" xfId="35752" xr:uid="{CF010D67-0FEE-4C8F-A6BA-CF5B11260643}"/>
    <cellStyle name="Input 50 3 3 3" xfId="35751" xr:uid="{63CE8B91-06E4-4963-81DD-EF0F586E12B1}"/>
    <cellStyle name="Input 50 3 4" xfId="10486" xr:uid="{00000000-0005-0000-0000-0000F6280000}"/>
    <cellStyle name="Input 50 3 4 2" xfId="35753" xr:uid="{F9471A42-AC5E-4661-B73C-B650847DCECD}"/>
    <cellStyle name="Input 50 3 5" xfId="35746" xr:uid="{4E741408-21BB-481F-85CF-8C8A018DFD35}"/>
    <cellStyle name="Input 50 4" xfId="10487" xr:uid="{00000000-0005-0000-0000-0000F7280000}"/>
    <cellStyle name="Input 50 4 2" xfId="10488" xr:uid="{00000000-0005-0000-0000-0000F8280000}"/>
    <cellStyle name="Input 50 4 2 2" xfId="35755" xr:uid="{C605213A-17C7-43B7-A4DC-3A93E416C7EE}"/>
    <cellStyle name="Input 50 4 3" xfId="35754" xr:uid="{6D368C85-104F-40E0-B74D-3DB823EA46B4}"/>
    <cellStyle name="Input 50 5" xfId="10489" xr:uid="{00000000-0005-0000-0000-0000F9280000}"/>
    <cellStyle name="Input 50 5 2" xfId="35756" xr:uid="{C5116C98-B606-45A2-8518-C6F740BDB7CF}"/>
    <cellStyle name="Input 50 6" xfId="35741" xr:uid="{F778E194-620C-45F6-8B92-CCBA670779FF}"/>
    <cellStyle name="Input 51" xfId="10490" xr:uid="{00000000-0005-0000-0000-0000FA280000}"/>
    <cellStyle name="Input 51 2" xfId="10491" xr:uid="{00000000-0005-0000-0000-0000FB280000}"/>
    <cellStyle name="Input 51 2 2" xfId="10492" xr:uid="{00000000-0005-0000-0000-0000FC280000}"/>
    <cellStyle name="Input 51 2 2 2" xfId="10493" xr:uid="{00000000-0005-0000-0000-0000FD280000}"/>
    <cellStyle name="Input 51 2 2 2 2" xfId="35760" xr:uid="{FCB74C52-C763-4BC5-9D0C-AAFD850AB384}"/>
    <cellStyle name="Input 51 2 2 3" xfId="35759" xr:uid="{B85F1C05-431B-425C-B41D-ADB3F5F4B371}"/>
    <cellStyle name="Input 51 2 3" xfId="10494" xr:uid="{00000000-0005-0000-0000-0000FE280000}"/>
    <cellStyle name="Input 51 2 3 2" xfId="35761" xr:uid="{49C8EDD0-EF14-425C-930E-49A581441832}"/>
    <cellStyle name="Input 51 2 4" xfId="35758" xr:uid="{2B8899B3-3BAD-4903-A310-8FAD16D19405}"/>
    <cellStyle name="Input 51 3" xfId="10495" xr:uid="{00000000-0005-0000-0000-0000FF280000}"/>
    <cellStyle name="Input 51 3 2" xfId="10496" xr:uid="{00000000-0005-0000-0000-000000290000}"/>
    <cellStyle name="Input 51 3 2 2" xfId="10497" xr:uid="{00000000-0005-0000-0000-000001290000}"/>
    <cellStyle name="Input 51 3 2 2 2" xfId="10498" xr:uid="{00000000-0005-0000-0000-000002290000}"/>
    <cellStyle name="Input 51 3 2 2 2 2" xfId="35765" xr:uid="{AF263CD8-187D-4C2E-B4BA-3C60628FB2C6}"/>
    <cellStyle name="Input 51 3 2 2 3" xfId="35764" xr:uid="{B2F834F1-6630-4DBC-925F-F9CEC4D8425A}"/>
    <cellStyle name="Input 51 3 2 3" xfId="10499" xr:uid="{00000000-0005-0000-0000-000003290000}"/>
    <cellStyle name="Input 51 3 2 3 2" xfId="35766" xr:uid="{8F32353E-65FF-4B24-8C7A-6FF03D678771}"/>
    <cellStyle name="Input 51 3 2 4" xfId="35763" xr:uid="{87476C69-568E-452F-BCF5-91A7204562AC}"/>
    <cellStyle name="Input 51 3 3" xfId="10500" xr:uid="{00000000-0005-0000-0000-000004290000}"/>
    <cellStyle name="Input 51 3 3 2" xfId="10501" xr:uid="{00000000-0005-0000-0000-000005290000}"/>
    <cellStyle name="Input 51 3 3 2 2" xfId="35768" xr:uid="{A5F1C914-BCFC-4A89-85CC-3DB32D32962A}"/>
    <cellStyle name="Input 51 3 3 3" xfId="35767" xr:uid="{CDBDA2B2-A666-4712-97CF-BB0BC6A2CA76}"/>
    <cellStyle name="Input 51 3 4" xfId="10502" xr:uid="{00000000-0005-0000-0000-000006290000}"/>
    <cellStyle name="Input 51 3 4 2" xfId="35769" xr:uid="{CD8DE6C0-6E25-440F-A316-99EFFD79DD3D}"/>
    <cellStyle name="Input 51 3 5" xfId="35762" xr:uid="{2A58172E-3BB7-46C1-8779-622CA255C2CD}"/>
    <cellStyle name="Input 51 4" xfId="10503" xr:uid="{00000000-0005-0000-0000-000007290000}"/>
    <cellStyle name="Input 51 4 2" xfId="10504" xr:uid="{00000000-0005-0000-0000-000008290000}"/>
    <cellStyle name="Input 51 4 2 2" xfId="35771" xr:uid="{771EFAEF-083B-4C7B-8BF9-59E4B7BDB125}"/>
    <cellStyle name="Input 51 4 3" xfId="35770" xr:uid="{834E01A3-28A7-4250-AC9D-D464E6874EFB}"/>
    <cellStyle name="Input 51 5" xfId="10505" xr:uid="{00000000-0005-0000-0000-000009290000}"/>
    <cellStyle name="Input 51 5 2" xfId="35772" xr:uid="{5C987692-C500-4D58-8DBD-FAC29DC183C8}"/>
    <cellStyle name="Input 51 6" xfId="35757" xr:uid="{4698CE17-DEBE-4984-8AD3-192239DE978F}"/>
    <cellStyle name="Input 52" xfId="10506" xr:uid="{00000000-0005-0000-0000-00000A290000}"/>
    <cellStyle name="Input 52 2" xfId="10507" xr:uid="{00000000-0005-0000-0000-00000B290000}"/>
    <cellStyle name="Input 52 2 2" xfId="10508" xr:uid="{00000000-0005-0000-0000-00000C290000}"/>
    <cellStyle name="Input 52 2 2 2" xfId="10509" xr:uid="{00000000-0005-0000-0000-00000D290000}"/>
    <cellStyle name="Input 52 2 2 2 2" xfId="35776" xr:uid="{3E6A93F8-8616-4EF8-9449-C520CAE81AE3}"/>
    <cellStyle name="Input 52 2 2 3" xfId="35775" xr:uid="{585281F2-9EC4-4F56-B1AC-3D50BA083C05}"/>
    <cellStyle name="Input 52 2 3" xfId="10510" xr:uid="{00000000-0005-0000-0000-00000E290000}"/>
    <cellStyle name="Input 52 2 3 2" xfId="35777" xr:uid="{1EE82C86-D76A-4CC5-BFAD-9BCBFDB18B7B}"/>
    <cellStyle name="Input 52 2 4" xfId="35774" xr:uid="{4C44D7A8-1C21-4EC1-8924-AF8A82A8E46C}"/>
    <cellStyle name="Input 52 3" xfId="10511" xr:uid="{00000000-0005-0000-0000-00000F290000}"/>
    <cellStyle name="Input 52 3 2" xfId="10512" xr:uid="{00000000-0005-0000-0000-000010290000}"/>
    <cellStyle name="Input 52 3 2 2" xfId="35779" xr:uid="{1C6CA137-51F5-4763-BCEC-BA7F91A338F5}"/>
    <cellStyle name="Input 52 3 3" xfId="35778" xr:uid="{FB517482-6B82-4E09-94B3-54DC07ACE612}"/>
    <cellStyle name="Input 52 4" xfId="10513" xr:uid="{00000000-0005-0000-0000-000011290000}"/>
    <cellStyle name="Input 52 4 2" xfId="35780" xr:uid="{3702E50E-D718-4974-A8DF-819A390CAFA4}"/>
    <cellStyle name="Input 52 5" xfId="35773" xr:uid="{ED6B5051-70B3-44CD-88D6-AB8B22B320E7}"/>
    <cellStyle name="Input 53" xfId="10514" xr:uid="{00000000-0005-0000-0000-000012290000}"/>
    <cellStyle name="Input 53 2" xfId="10515" xr:uid="{00000000-0005-0000-0000-000013290000}"/>
    <cellStyle name="Input 53 2 2" xfId="10516" xr:uid="{00000000-0005-0000-0000-000014290000}"/>
    <cellStyle name="Input 53 2 2 2" xfId="10517" xr:uid="{00000000-0005-0000-0000-000015290000}"/>
    <cellStyle name="Input 53 2 2 2 2" xfId="35784" xr:uid="{F37796DC-CC9A-442C-9E84-4C248F8971CC}"/>
    <cellStyle name="Input 53 2 2 3" xfId="35783" xr:uid="{E0146C61-7C49-4D54-BB70-E53C773D3285}"/>
    <cellStyle name="Input 53 2 3" xfId="10518" xr:uid="{00000000-0005-0000-0000-000016290000}"/>
    <cellStyle name="Input 53 2 3 2" xfId="35785" xr:uid="{E26BEAE0-4130-4956-8506-F5B6094D4410}"/>
    <cellStyle name="Input 53 2 4" xfId="35782" xr:uid="{51279987-02C7-49D1-8D12-C3B8B37E8F42}"/>
    <cellStyle name="Input 53 3" xfId="10519" xr:uid="{00000000-0005-0000-0000-000017290000}"/>
    <cellStyle name="Input 53 3 2" xfId="10520" xr:uid="{00000000-0005-0000-0000-000018290000}"/>
    <cellStyle name="Input 53 3 2 2" xfId="35787" xr:uid="{DAC4DBB5-ABDD-4163-BE4B-40580BF24F1A}"/>
    <cellStyle name="Input 53 3 3" xfId="35786" xr:uid="{35C6F40A-2CC2-4158-B5AC-8790D23215A6}"/>
    <cellStyle name="Input 53 4" xfId="10521" xr:uid="{00000000-0005-0000-0000-000019290000}"/>
    <cellStyle name="Input 53 4 2" xfId="35788" xr:uid="{782A585D-D9B7-4CF4-9E32-3AE75117FE4A}"/>
    <cellStyle name="Input 53 5" xfId="35781" xr:uid="{FB85B601-C489-450A-9F74-70A30DF8E0A5}"/>
    <cellStyle name="Input 54" xfId="10522" xr:uid="{00000000-0005-0000-0000-00001A290000}"/>
    <cellStyle name="Input 54 2" xfId="10523" xr:uid="{00000000-0005-0000-0000-00001B290000}"/>
    <cellStyle name="Input 54 2 2" xfId="10524" xr:uid="{00000000-0005-0000-0000-00001C290000}"/>
    <cellStyle name="Input 54 2 2 2" xfId="10525" xr:uid="{00000000-0005-0000-0000-00001D290000}"/>
    <cellStyle name="Input 54 2 2 2 2" xfId="35792" xr:uid="{32666F0A-9EC9-46D7-BEA3-29C332DE7B4C}"/>
    <cellStyle name="Input 54 2 2 3" xfId="35791" xr:uid="{3D83A99D-3BCB-4E40-8CF9-2620BC535D3D}"/>
    <cellStyle name="Input 54 2 3" xfId="10526" xr:uid="{00000000-0005-0000-0000-00001E290000}"/>
    <cellStyle name="Input 54 2 3 2" xfId="35793" xr:uid="{AA41AA16-04B4-4961-A4EE-D9E083682D2D}"/>
    <cellStyle name="Input 54 2 4" xfId="35790" xr:uid="{CE7CBEF7-E9F0-4563-8994-DA57D5C2B7BF}"/>
    <cellStyle name="Input 54 3" xfId="10527" xr:uid="{00000000-0005-0000-0000-00001F290000}"/>
    <cellStyle name="Input 54 3 2" xfId="10528" xr:uid="{00000000-0005-0000-0000-000020290000}"/>
    <cellStyle name="Input 54 3 2 2" xfId="35795" xr:uid="{B2CDBF51-425A-4321-AE25-0D4FCEE03263}"/>
    <cellStyle name="Input 54 3 3" xfId="35794" xr:uid="{40CD2935-880D-4230-895B-6EFDE9495C9D}"/>
    <cellStyle name="Input 54 4" xfId="10529" xr:uid="{00000000-0005-0000-0000-000021290000}"/>
    <cellStyle name="Input 54 4 2" xfId="35796" xr:uid="{A5C77D47-4803-4287-9FE1-70BD08BA5A6A}"/>
    <cellStyle name="Input 54 5" xfId="35789" xr:uid="{7839F149-1E40-4053-B2F4-CCB5C2E27585}"/>
    <cellStyle name="Input 55" xfId="10530" xr:uid="{00000000-0005-0000-0000-000022290000}"/>
    <cellStyle name="Input 55 2" xfId="10531" xr:uid="{00000000-0005-0000-0000-000023290000}"/>
    <cellStyle name="Input 55 2 2" xfId="10532" xr:uid="{00000000-0005-0000-0000-000024290000}"/>
    <cellStyle name="Input 55 2 2 2" xfId="10533" xr:uid="{00000000-0005-0000-0000-000025290000}"/>
    <cellStyle name="Input 55 2 2 2 2" xfId="35800" xr:uid="{CD9C5DA8-DB0C-4326-A960-B96F6F861FFB}"/>
    <cellStyle name="Input 55 2 2 3" xfId="35799" xr:uid="{28D0DA7C-687A-4967-8062-D384FF62DDD4}"/>
    <cellStyle name="Input 55 2 3" xfId="10534" xr:uid="{00000000-0005-0000-0000-000026290000}"/>
    <cellStyle name="Input 55 2 3 2" xfId="35801" xr:uid="{26C6D04A-E35D-4D34-904E-2160E2D36B1A}"/>
    <cellStyle name="Input 55 2 4" xfId="35798" xr:uid="{6111494D-4BCD-4EA7-B8F2-1DD78B72EE3D}"/>
    <cellStyle name="Input 55 3" xfId="10535" xr:uid="{00000000-0005-0000-0000-000027290000}"/>
    <cellStyle name="Input 55 3 2" xfId="10536" xr:uid="{00000000-0005-0000-0000-000028290000}"/>
    <cellStyle name="Input 55 3 2 2" xfId="35803" xr:uid="{D8BED6C7-32E6-4186-997F-1702CD828B5D}"/>
    <cellStyle name="Input 55 3 3" xfId="35802" xr:uid="{B5FFE6FD-BC2D-4E50-B5C1-9DEC87D770AA}"/>
    <cellStyle name="Input 55 4" xfId="10537" xr:uid="{00000000-0005-0000-0000-000029290000}"/>
    <cellStyle name="Input 55 4 2" xfId="35804" xr:uid="{2984A13E-FC48-4BD1-9DA6-95D88B1CE842}"/>
    <cellStyle name="Input 55 5" xfId="35797" xr:uid="{594E4B35-06FA-41E0-B959-D653CE8D6A16}"/>
    <cellStyle name="Input 56" xfId="10538" xr:uid="{00000000-0005-0000-0000-00002A290000}"/>
    <cellStyle name="Input 56 2" xfId="10539" xr:uid="{00000000-0005-0000-0000-00002B290000}"/>
    <cellStyle name="Input 56 2 2" xfId="10540" xr:uid="{00000000-0005-0000-0000-00002C290000}"/>
    <cellStyle name="Input 56 2 2 2" xfId="10541" xr:uid="{00000000-0005-0000-0000-00002D290000}"/>
    <cellStyle name="Input 56 2 2 2 2" xfId="35808" xr:uid="{476A456C-B07E-49D3-9247-1D55EFE778ED}"/>
    <cellStyle name="Input 56 2 2 3" xfId="35807" xr:uid="{A6F01E7B-080A-4DF7-9BA3-E3B119B230B1}"/>
    <cellStyle name="Input 56 2 3" xfId="10542" xr:uid="{00000000-0005-0000-0000-00002E290000}"/>
    <cellStyle name="Input 56 2 3 2" xfId="35809" xr:uid="{790AC627-AC8C-4167-89FE-FE4B2BBAA9C2}"/>
    <cellStyle name="Input 56 2 4" xfId="35806" xr:uid="{BDC68B6F-77DB-4DD3-8B9C-4E2CB32468D7}"/>
    <cellStyle name="Input 56 3" xfId="10543" xr:uid="{00000000-0005-0000-0000-00002F290000}"/>
    <cellStyle name="Input 56 3 2" xfId="10544" xr:uid="{00000000-0005-0000-0000-000030290000}"/>
    <cellStyle name="Input 56 3 2 2" xfId="35811" xr:uid="{F2C48D3B-FD85-4576-90A2-8BD1F577375A}"/>
    <cellStyle name="Input 56 3 3" xfId="35810" xr:uid="{3B3CBFA3-1C29-4E25-ACC0-88F136252C0A}"/>
    <cellStyle name="Input 56 4" xfId="10545" xr:uid="{00000000-0005-0000-0000-000031290000}"/>
    <cellStyle name="Input 56 4 2" xfId="35812" xr:uid="{EC170BF4-2F50-4A49-BB98-FAC8DA2B9EC5}"/>
    <cellStyle name="Input 56 5" xfId="35805" xr:uid="{F999A693-48F5-4A1E-8343-48CD7877F121}"/>
    <cellStyle name="Input 57" xfId="10546" xr:uid="{00000000-0005-0000-0000-000032290000}"/>
    <cellStyle name="Input 57 2" xfId="10547" xr:uid="{00000000-0005-0000-0000-000033290000}"/>
    <cellStyle name="Input 57 2 2" xfId="10548" xr:uid="{00000000-0005-0000-0000-000034290000}"/>
    <cellStyle name="Input 57 2 2 2" xfId="10549" xr:uid="{00000000-0005-0000-0000-000035290000}"/>
    <cellStyle name="Input 57 2 2 2 2" xfId="35816" xr:uid="{54134002-8C3C-480C-9344-D286C8AD2AE5}"/>
    <cellStyle name="Input 57 2 2 3" xfId="35815" xr:uid="{57E3C92D-EEE7-40C1-8404-BAA01EC3F6F5}"/>
    <cellStyle name="Input 57 2 3" xfId="10550" xr:uid="{00000000-0005-0000-0000-000036290000}"/>
    <cellStyle name="Input 57 2 3 2" xfId="35817" xr:uid="{8803C7AF-CD19-4A25-B6AF-B088952CC7D6}"/>
    <cellStyle name="Input 57 2 4" xfId="35814" xr:uid="{77110BD8-171E-4F68-9185-16CA4F40A7A5}"/>
    <cellStyle name="Input 57 3" xfId="10551" xr:uid="{00000000-0005-0000-0000-000037290000}"/>
    <cellStyle name="Input 57 3 2" xfId="10552" xr:uid="{00000000-0005-0000-0000-000038290000}"/>
    <cellStyle name="Input 57 3 2 2" xfId="35819" xr:uid="{EDD859CF-E107-4E59-9A6A-4A7A2D555183}"/>
    <cellStyle name="Input 57 3 3" xfId="35818" xr:uid="{936DBAE4-286C-4150-8758-8AB4A922EE59}"/>
    <cellStyle name="Input 57 4" xfId="10553" xr:uid="{00000000-0005-0000-0000-000039290000}"/>
    <cellStyle name="Input 57 4 2" xfId="35820" xr:uid="{B4600379-1D9A-4BC6-ADDF-5C690D4D583E}"/>
    <cellStyle name="Input 57 5" xfId="35813" xr:uid="{6560EC48-90B2-4031-A2D1-DFB638C8FA8F}"/>
    <cellStyle name="Input 58" xfId="10554" xr:uid="{00000000-0005-0000-0000-00003A290000}"/>
    <cellStyle name="Input 58 2" xfId="10555" xr:uid="{00000000-0005-0000-0000-00003B290000}"/>
    <cellStyle name="Input 58 2 2" xfId="10556" xr:uid="{00000000-0005-0000-0000-00003C290000}"/>
    <cellStyle name="Input 58 2 2 2" xfId="10557" xr:uid="{00000000-0005-0000-0000-00003D290000}"/>
    <cellStyle name="Input 58 2 2 2 2" xfId="35824" xr:uid="{B0DEAEDD-86F1-4091-8EED-BA8B0BB98CA2}"/>
    <cellStyle name="Input 58 2 2 3" xfId="35823" xr:uid="{CD83C676-BD24-4838-9728-9BF2CEBB82AD}"/>
    <cellStyle name="Input 58 2 3" xfId="10558" xr:uid="{00000000-0005-0000-0000-00003E290000}"/>
    <cellStyle name="Input 58 2 3 2" xfId="35825" xr:uid="{C0C4DF9D-7F7D-4EFE-8ABC-1E56E8160C4A}"/>
    <cellStyle name="Input 58 2 4" xfId="35822" xr:uid="{9ED1B6EF-F7B5-4BD4-A9AA-63BD6B7E75EC}"/>
    <cellStyle name="Input 58 3" xfId="10559" xr:uid="{00000000-0005-0000-0000-00003F290000}"/>
    <cellStyle name="Input 58 3 2" xfId="10560" xr:uid="{00000000-0005-0000-0000-000040290000}"/>
    <cellStyle name="Input 58 3 2 2" xfId="10561" xr:uid="{00000000-0005-0000-0000-000041290000}"/>
    <cellStyle name="Input 58 3 2 2 2" xfId="10562" xr:uid="{00000000-0005-0000-0000-000042290000}"/>
    <cellStyle name="Input 58 3 2 2 2 2" xfId="35829" xr:uid="{820EAC0F-00B1-4AB7-9AF8-11B1D2851200}"/>
    <cellStyle name="Input 58 3 2 2 3" xfId="35828" xr:uid="{3F026922-5B86-44D8-A5BB-77974113199A}"/>
    <cellStyle name="Input 58 3 2 3" xfId="10563" xr:uid="{00000000-0005-0000-0000-000043290000}"/>
    <cellStyle name="Input 58 3 2 3 2" xfId="35830" xr:uid="{697DC9F6-9E30-4C5F-854C-778EE1DC1927}"/>
    <cellStyle name="Input 58 3 2 4" xfId="35827" xr:uid="{235B1F2A-B729-475C-9703-05BD7830A7AF}"/>
    <cellStyle name="Input 58 3 3" xfId="10564" xr:uid="{00000000-0005-0000-0000-000044290000}"/>
    <cellStyle name="Input 58 3 3 2" xfId="10565" xr:uid="{00000000-0005-0000-0000-000045290000}"/>
    <cellStyle name="Input 58 3 3 2 2" xfId="35832" xr:uid="{30EBE493-2F6C-4C79-BEAF-A87C4D5306D8}"/>
    <cellStyle name="Input 58 3 3 3" xfId="35831" xr:uid="{D5FA19CB-9969-47FB-B6B9-F59A743BC447}"/>
    <cellStyle name="Input 58 3 4" xfId="10566" xr:uid="{00000000-0005-0000-0000-000046290000}"/>
    <cellStyle name="Input 58 3 4 2" xfId="35833" xr:uid="{DEBCAB9B-6813-4424-AC3F-3917C7F8276D}"/>
    <cellStyle name="Input 58 3 5" xfId="35826" xr:uid="{78CB2F2B-5101-4DA5-830B-BBE218CD0EF4}"/>
    <cellStyle name="Input 58 4" xfId="10567" xr:uid="{00000000-0005-0000-0000-000047290000}"/>
    <cellStyle name="Input 58 4 2" xfId="10568" xr:uid="{00000000-0005-0000-0000-000048290000}"/>
    <cellStyle name="Input 58 4 2 2" xfId="35835" xr:uid="{83383E83-908B-4A1B-B459-B385B01FF49A}"/>
    <cellStyle name="Input 58 4 3" xfId="35834" xr:uid="{73518815-9FF0-48F9-9BB9-BB84CA728D10}"/>
    <cellStyle name="Input 58 5" xfId="10569" xr:uid="{00000000-0005-0000-0000-000049290000}"/>
    <cellStyle name="Input 58 5 2" xfId="35836" xr:uid="{51EC4389-A15A-4B80-923E-E4CB79F8ADDD}"/>
    <cellStyle name="Input 58 6" xfId="35821" xr:uid="{66165D72-A075-4B6C-9958-62A360695EB4}"/>
    <cellStyle name="Input 59" xfId="10570" xr:uid="{00000000-0005-0000-0000-00004A290000}"/>
    <cellStyle name="Input 59 2" xfId="10571" xr:uid="{00000000-0005-0000-0000-00004B290000}"/>
    <cellStyle name="Input 59 2 2" xfId="10572" xr:uid="{00000000-0005-0000-0000-00004C290000}"/>
    <cellStyle name="Input 59 2 2 2" xfId="10573" xr:uid="{00000000-0005-0000-0000-00004D290000}"/>
    <cellStyle name="Input 59 2 2 2 2" xfId="35840" xr:uid="{3461F573-6FDE-45D0-ADCA-8FA20022C198}"/>
    <cellStyle name="Input 59 2 2 3" xfId="35839" xr:uid="{EC0EEABD-55A0-4539-929E-72800C06524D}"/>
    <cellStyle name="Input 59 2 3" xfId="10574" xr:uid="{00000000-0005-0000-0000-00004E290000}"/>
    <cellStyle name="Input 59 2 3 2" xfId="35841" xr:uid="{7A467BF7-9F2A-4C2F-9EA6-B6D6153ED855}"/>
    <cellStyle name="Input 59 2 4" xfId="35838" xr:uid="{6DEED019-DBD2-42C8-B281-51A873052EEA}"/>
    <cellStyle name="Input 59 3" xfId="10575" xr:uid="{00000000-0005-0000-0000-00004F290000}"/>
    <cellStyle name="Input 59 3 2" xfId="10576" xr:uid="{00000000-0005-0000-0000-000050290000}"/>
    <cellStyle name="Input 59 3 2 2" xfId="10577" xr:uid="{00000000-0005-0000-0000-000051290000}"/>
    <cellStyle name="Input 59 3 2 2 2" xfId="10578" xr:uid="{00000000-0005-0000-0000-000052290000}"/>
    <cellStyle name="Input 59 3 2 2 2 2" xfId="35845" xr:uid="{2E4E3BF9-FF3A-44B1-B84F-4C25C1D9F3A6}"/>
    <cellStyle name="Input 59 3 2 2 3" xfId="35844" xr:uid="{9AF64706-9596-4588-8F6A-5E8DE74B22B1}"/>
    <cellStyle name="Input 59 3 2 3" xfId="10579" xr:uid="{00000000-0005-0000-0000-000053290000}"/>
    <cellStyle name="Input 59 3 2 3 2" xfId="35846" xr:uid="{AD80945F-237D-4841-BFA2-1794EAE47004}"/>
    <cellStyle name="Input 59 3 2 4" xfId="35843" xr:uid="{02970610-2B06-4047-AD6D-2243F48285C9}"/>
    <cellStyle name="Input 59 3 3" xfId="10580" xr:uid="{00000000-0005-0000-0000-000054290000}"/>
    <cellStyle name="Input 59 3 3 2" xfId="10581" xr:uid="{00000000-0005-0000-0000-000055290000}"/>
    <cellStyle name="Input 59 3 3 2 2" xfId="35848" xr:uid="{8BF987D8-32A7-412E-A899-C837BF504999}"/>
    <cellStyle name="Input 59 3 3 3" xfId="35847" xr:uid="{B5A33FA8-030F-4FEF-9D02-A6ED594C6C8E}"/>
    <cellStyle name="Input 59 3 4" xfId="10582" xr:uid="{00000000-0005-0000-0000-000056290000}"/>
    <cellStyle name="Input 59 3 4 2" xfId="35849" xr:uid="{8F19E382-F29B-4217-BB30-86698F8CACEC}"/>
    <cellStyle name="Input 59 3 5" xfId="35842" xr:uid="{4C810466-837E-4F06-ADF9-D3E2DCD511F2}"/>
    <cellStyle name="Input 59 4" xfId="10583" xr:uid="{00000000-0005-0000-0000-000057290000}"/>
    <cellStyle name="Input 59 4 2" xfId="10584" xr:uid="{00000000-0005-0000-0000-000058290000}"/>
    <cellStyle name="Input 59 4 2 2" xfId="35851" xr:uid="{F1ACE9A8-3FCA-454F-87B2-48267AB445DF}"/>
    <cellStyle name="Input 59 4 3" xfId="35850" xr:uid="{B0211FFF-7966-43A5-90BD-2FBD885507E9}"/>
    <cellStyle name="Input 59 5" xfId="10585" xr:uid="{00000000-0005-0000-0000-000059290000}"/>
    <cellStyle name="Input 59 5 2" xfId="35852" xr:uid="{4E74BFFB-6C59-4F3D-B223-0208A3B63223}"/>
    <cellStyle name="Input 59 6" xfId="35837" xr:uid="{A4B34957-5A04-4875-95D5-98CC2DE0C1F9}"/>
    <cellStyle name="Input 6" xfId="10586" xr:uid="{00000000-0005-0000-0000-00005A290000}"/>
    <cellStyle name="Input 6 2" xfId="10587" xr:uid="{00000000-0005-0000-0000-00005B290000}"/>
    <cellStyle name="Input 6 2 2" xfId="10588" xr:uid="{00000000-0005-0000-0000-00005C290000}"/>
    <cellStyle name="Input 6 2 2 2" xfId="10589" xr:uid="{00000000-0005-0000-0000-00005D290000}"/>
    <cellStyle name="Input 6 2 2 2 2" xfId="10590" xr:uid="{00000000-0005-0000-0000-00005E290000}"/>
    <cellStyle name="Input 6 2 2 2 2 2" xfId="35857" xr:uid="{1F44BCA8-2F65-49BF-89B3-8CB94145A40E}"/>
    <cellStyle name="Input 6 2 2 2 3" xfId="35856" xr:uid="{F0FBF655-2DEA-490B-8AEB-782C478A1556}"/>
    <cellStyle name="Input 6 2 2 3" xfId="10591" xr:uid="{00000000-0005-0000-0000-00005F290000}"/>
    <cellStyle name="Input 6 2 2 3 2" xfId="35858" xr:uid="{16CFA646-5A92-45F8-88BB-994210A6C3FD}"/>
    <cellStyle name="Input 6 2 2 4" xfId="35855" xr:uid="{DD34CDA6-E335-4D4F-BCB9-B7B592139A11}"/>
    <cellStyle name="Input 6 2 3" xfId="10592" xr:uid="{00000000-0005-0000-0000-000060290000}"/>
    <cellStyle name="Input 6 2 3 2" xfId="10593" xr:uid="{00000000-0005-0000-0000-000061290000}"/>
    <cellStyle name="Input 6 2 3 2 2" xfId="10594" xr:uid="{00000000-0005-0000-0000-000062290000}"/>
    <cellStyle name="Input 6 2 3 2 2 2" xfId="10595" xr:uid="{00000000-0005-0000-0000-000063290000}"/>
    <cellStyle name="Input 6 2 3 2 2 2 2" xfId="35862" xr:uid="{B551AD02-E967-4E2D-BF6B-05A156694091}"/>
    <cellStyle name="Input 6 2 3 2 2 3" xfId="35861" xr:uid="{9EB28734-7023-4B53-B234-0C0898784210}"/>
    <cellStyle name="Input 6 2 3 2 3" xfId="10596" xr:uid="{00000000-0005-0000-0000-000064290000}"/>
    <cellStyle name="Input 6 2 3 2 3 2" xfId="35863" xr:uid="{B8CAFA35-18CC-446E-A610-40D8344D590F}"/>
    <cellStyle name="Input 6 2 3 2 4" xfId="35860" xr:uid="{CAB05B9A-36E8-4C6E-9F93-090C25F208AC}"/>
    <cellStyle name="Input 6 2 3 3" xfId="10597" xr:uid="{00000000-0005-0000-0000-000065290000}"/>
    <cellStyle name="Input 6 2 3 3 2" xfId="10598" xr:uid="{00000000-0005-0000-0000-000066290000}"/>
    <cellStyle name="Input 6 2 3 3 2 2" xfId="35865" xr:uid="{C13CD0EF-A59A-498F-A1B9-761838AC8650}"/>
    <cellStyle name="Input 6 2 3 3 3" xfId="35864" xr:uid="{39B5BD93-1734-4875-873D-B53ED05CA02D}"/>
    <cellStyle name="Input 6 2 3 4" xfId="10599" xr:uid="{00000000-0005-0000-0000-000067290000}"/>
    <cellStyle name="Input 6 2 3 4 2" xfId="35866" xr:uid="{B2B11F2C-07CC-4F19-AA02-CA1B4A569AB0}"/>
    <cellStyle name="Input 6 2 3 5" xfId="35859" xr:uid="{9A307101-A237-44E4-8A08-3404CC0511A7}"/>
    <cellStyle name="Input 6 2 4" xfId="10600" xr:uid="{00000000-0005-0000-0000-000068290000}"/>
    <cellStyle name="Input 6 2 4 2" xfId="10601" xr:uid="{00000000-0005-0000-0000-000069290000}"/>
    <cellStyle name="Input 6 2 4 2 2" xfId="35868" xr:uid="{19105001-8AE4-4FA5-A8FD-30D26A04C85C}"/>
    <cellStyle name="Input 6 2 4 3" xfId="35867" xr:uid="{A3A42915-104C-4804-BAFC-07117B2D68C5}"/>
    <cellStyle name="Input 6 2 5" xfId="10602" xr:uid="{00000000-0005-0000-0000-00006A290000}"/>
    <cellStyle name="Input 6 2 5 2" xfId="35869" xr:uid="{1BC92798-DD9B-4629-BBF6-8037DFA5C194}"/>
    <cellStyle name="Input 6 2 6" xfId="35854" xr:uid="{CC6EE2DA-9154-4C50-A9AB-BA370C8FDD00}"/>
    <cellStyle name="Input 6 3" xfId="10603" xr:uid="{00000000-0005-0000-0000-00006B290000}"/>
    <cellStyle name="Input 6 3 2" xfId="10604" xr:uid="{00000000-0005-0000-0000-00006C290000}"/>
    <cellStyle name="Input 6 3 2 2" xfId="10605" xr:uid="{00000000-0005-0000-0000-00006D290000}"/>
    <cellStyle name="Input 6 3 2 2 2" xfId="35872" xr:uid="{247F6ACB-E2FC-4F0E-8B38-2E4125E00D26}"/>
    <cellStyle name="Input 6 3 2 3" xfId="35871" xr:uid="{6E204034-291D-4903-BAF3-3CD42C85BD3A}"/>
    <cellStyle name="Input 6 3 3" xfId="10606" xr:uid="{00000000-0005-0000-0000-00006E290000}"/>
    <cellStyle name="Input 6 3 3 2" xfId="35873" xr:uid="{CFF3379A-6F12-460D-BCC0-F285E5296D2C}"/>
    <cellStyle name="Input 6 3 4" xfId="35870" xr:uid="{A340EDE1-9C76-471A-9C44-2D4DBEA70E09}"/>
    <cellStyle name="Input 6 4" xfId="10607" xr:uid="{00000000-0005-0000-0000-00006F290000}"/>
    <cellStyle name="Input 6 4 2" xfId="10608" xr:uid="{00000000-0005-0000-0000-000070290000}"/>
    <cellStyle name="Input 6 4 2 2" xfId="10609" xr:uid="{00000000-0005-0000-0000-000071290000}"/>
    <cellStyle name="Input 6 4 2 2 2" xfId="10610" xr:uid="{00000000-0005-0000-0000-000072290000}"/>
    <cellStyle name="Input 6 4 2 2 2 2" xfId="10611" xr:uid="{00000000-0005-0000-0000-000073290000}"/>
    <cellStyle name="Input 6 4 2 2 2 2 2" xfId="10612" xr:uid="{00000000-0005-0000-0000-000074290000}"/>
    <cellStyle name="Input 6 4 2 2 2 2 2 2" xfId="35879" xr:uid="{983ECB6F-09BB-437C-854B-936CDF8331F8}"/>
    <cellStyle name="Input 6 4 2 2 2 2 3" xfId="35878" xr:uid="{4A726091-727C-48D5-9F23-635A6D83D89C}"/>
    <cellStyle name="Input 6 4 2 2 2 3" xfId="10613" xr:uid="{00000000-0005-0000-0000-000075290000}"/>
    <cellStyle name="Input 6 4 2 2 2 3 2" xfId="35880" xr:uid="{B4C96FA9-DE42-4890-AEC1-78A917A95936}"/>
    <cellStyle name="Input 6 4 2 2 2 4" xfId="35877" xr:uid="{FA9D28CD-F61D-4011-86E7-549D08112C18}"/>
    <cellStyle name="Input 6 4 2 2 3" xfId="10614" xr:uid="{00000000-0005-0000-0000-000076290000}"/>
    <cellStyle name="Input 6 4 2 2 3 2" xfId="10615" xr:uid="{00000000-0005-0000-0000-000077290000}"/>
    <cellStyle name="Input 6 4 2 2 3 2 2" xfId="35882" xr:uid="{0E451325-05E6-48F2-B2E1-80DBAC4365D5}"/>
    <cellStyle name="Input 6 4 2 2 3 3" xfId="35881" xr:uid="{E6B828D2-994E-4059-8CBA-E155A02FFD92}"/>
    <cellStyle name="Input 6 4 2 2 4" xfId="10616" xr:uid="{00000000-0005-0000-0000-000078290000}"/>
    <cellStyle name="Input 6 4 2 2 4 2" xfId="35883" xr:uid="{D14DDAF7-6619-416E-B47D-65F638823DE9}"/>
    <cellStyle name="Input 6 4 2 2 5" xfId="35876" xr:uid="{8B890B3A-3DB2-4052-B3CD-4375454E6218}"/>
    <cellStyle name="Input 6 4 2 3" xfId="10617" xr:uid="{00000000-0005-0000-0000-000079290000}"/>
    <cellStyle name="Input 6 4 2 3 2" xfId="10618" xr:uid="{00000000-0005-0000-0000-00007A290000}"/>
    <cellStyle name="Input 6 4 2 3 2 2" xfId="10619" xr:uid="{00000000-0005-0000-0000-00007B290000}"/>
    <cellStyle name="Input 6 4 2 3 2 2 2" xfId="35886" xr:uid="{AC7CD235-DEBD-4FCB-A2C8-0D3CB3AF3FB5}"/>
    <cellStyle name="Input 6 4 2 3 2 3" xfId="35885" xr:uid="{D5C68CC4-BD30-4393-85FE-862B98245C78}"/>
    <cellStyle name="Input 6 4 2 3 3" xfId="10620" xr:uid="{00000000-0005-0000-0000-00007C290000}"/>
    <cellStyle name="Input 6 4 2 3 3 2" xfId="35887" xr:uid="{4CF08B7C-4D0F-4A9D-81AB-5B3AB9E72D14}"/>
    <cellStyle name="Input 6 4 2 3 4" xfId="35884" xr:uid="{C40CE027-26E4-4A2A-A051-8933CC5511CB}"/>
    <cellStyle name="Input 6 4 2 4" xfId="10621" xr:uid="{00000000-0005-0000-0000-00007D290000}"/>
    <cellStyle name="Input 6 4 2 4 2" xfId="10622" xr:uid="{00000000-0005-0000-0000-00007E290000}"/>
    <cellStyle name="Input 6 4 2 4 2 2" xfId="35889" xr:uid="{7E40ADB1-0059-46D9-B0B8-FF896525CD64}"/>
    <cellStyle name="Input 6 4 2 4 3" xfId="35888" xr:uid="{4D24BCF3-A6A8-4F84-9C3A-C74B35A78150}"/>
    <cellStyle name="Input 6 4 2 5" xfId="10623" xr:uid="{00000000-0005-0000-0000-00007F290000}"/>
    <cellStyle name="Input 6 4 2 5 2" xfId="35890" xr:uid="{4394DC63-5E50-4575-B14C-EB69787E725A}"/>
    <cellStyle name="Input 6 4 2 6" xfId="35875" xr:uid="{AFA35BA8-20E2-4E07-BDA6-BF7B03397319}"/>
    <cellStyle name="Input 6 4 3" xfId="10624" xr:uid="{00000000-0005-0000-0000-000080290000}"/>
    <cellStyle name="Input 6 4 3 2" xfId="10625" xr:uid="{00000000-0005-0000-0000-000081290000}"/>
    <cellStyle name="Input 6 4 3 2 2" xfId="10626" xr:uid="{00000000-0005-0000-0000-000082290000}"/>
    <cellStyle name="Input 6 4 3 2 2 2" xfId="10627" xr:uid="{00000000-0005-0000-0000-000083290000}"/>
    <cellStyle name="Input 6 4 3 2 2 2 2" xfId="35894" xr:uid="{5158B990-34AB-4FE5-80B2-346B63367DCA}"/>
    <cellStyle name="Input 6 4 3 2 2 3" xfId="35893" xr:uid="{BA2B3BC8-5B9A-4FDD-8065-0B5B9409593B}"/>
    <cellStyle name="Input 6 4 3 2 3" xfId="10628" xr:uid="{00000000-0005-0000-0000-000084290000}"/>
    <cellStyle name="Input 6 4 3 2 3 2" xfId="35895" xr:uid="{DB5FA054-2671-4DA6-A73F-1A932034F057}"/>
    <cellStyle name="Input 6 4 3 2 4" xfId="35892" xr:uid="{3DA5A440-A6BC-4EA2-A03F-DFDB24CBA8EB}"/>
    <cellStyle name="Input 6 4 3 3" xfId="10629" xr:uid="{00000000-0005-0000-0000-000085290000}"/>
    <cellStyle name="Input 6 4 3 3 2" xfId="10630" xr:uid="{00000000-0005-0000-0000-000086290000}"/>
    <cellStyle name="Input 6 4 3 3 2 2" xfId="35897" xr:uid="{EB7A0807-AF59-4BD2-AC5F-9C34A2EA584E}"/>
    <cellStyle name="Input 6 4 3 3 3" xfId="35896" xr:uid="{E503704E-8684-4532-9FDE-261AC69EF457}"/>
    <cellStyle name="Input 6 4 3 4" xfId="10631" xr:uid="{00000000-0005-0000-0000-000087290000}"/>
    <cellStyle name="Input 6 4 3 4 2" xfId="35898" xr:uid="{03FD286B-F472-4E2F-A92A-86F135F68524}"/>
    <cellStyle name="Input 6 4 3 5" xfId="35891" xr:uid="{739BB528-CF97-411E-A0A7-E3FF0855B470}"/>
    <cellStyle name="Input 6 4 4" xfId="10632" xr:uid="{00000000-0005-0000-0000-000088290000}"/>
    <cellStyle name="Input 6 4 4 2" xfId="10633" xr:uid="{00000000-0005-0000-0000-000089290000}"/>
    <cellStyle name="Input 6 4 4 2 2" xfId="10634" xr:uid="{00000000-0005-0000-0000-00008A290000}"/>
    <cellStyle name="Input 6 4 4 2 2 2" xfId="35901" xr:uid="{BC7C5530-B753-4A21-907B-D7CAD247AB26}"/>
    <cellStyle name="Input 6 4 4 2 3" xfId="35900" xr:uid="{44F3D2E3-8A11-427A-A0F7-80D47F473CBC}"/>
    <cellStyle name="Input 6 4 4 3" xfId="10635" xr:uid="{00000000-0005-0000-0000-00008B290000}"/>
    <cellStyle name="Input 6 4 4 3 2" xfId="35902" xr:uid="{79EF84E4-BBD4-4911-BAD0-4281B1E1E624}"/>
    <cellStyle name="Input 6 4 4 4" xfId="35899" xr:uid="{C62B0675-190C-47A9-BABE-BD3F24504ECC}"/>
    <cellStyle name="Input 6 4 5" xfId="10636" xr:uid="{00000000-0005-0000-0000-00008C290000}"/>
    <cellStyle name="Input 6 4 5 2" xfId="10637" xr:uid="{00000000-0005-0000-0000-00008D290000}"/>
    <cellStyle name="Input 6 4 5 2 2" xfId="35904" xr:uid="{9B5CB5EF-F460-4348-911A-C7532DF9173D}"/>
    <cellStyle name="Input 6 4 5 3" xfId="35903" xr:uid="{D9FBFC50-9D2F-4E21-95EE-435DD6628074}"/>
    <cellStyle name="Input 6 4 6" xfId="10638" xr:uid="{00000000-0005-0000-0000-00008E290000}"/>
    <cellStyle name="Input 6 4 6 2" xfId="35905" xr:uid="{E763BA5F-EDFD-43BF-BAAA-64FD4BF6C0E3}"/>
    <cellStyle name="Input 6 4 7" xfId="35874" xr:uid="{41049B6B-735F-4170-BFEA-C288EEA9363A}"/>
    <cellStyle name="Input 6 5" xfId="10639" xr:uid="{00000000-0005-0000-0000-00008F290000}"/>
    <cellStyle name="Input 6 5 2" xfId="10640" xr:uid="{00000000-0005-0000-0000-000090290000}"/>
    <cellStyle name="Input 6 5 2 2" xfId="35907" xr:uid="{2953AB69-D3AD-4688-BC50-0974039A3DC4}"/>
    <cellStyle name="Input 6 5 3" xfId="35906" xr:uid="{C3E08DF0-E9A8-4DB8-ACE8-8507EE1AEB6A}"/>
    <cellStyle name="Input 6 6" xfId="10641" xr:uid="{00000000-0005-0000-0000-000091290000}"/>
    <cellStyle name="Input 6 6 2" xfId="35908" xr:uid="{FB6974F7-EF27-4B6E-83EF-83948AEA0BD4}"/>
    <cellStyle name="Input 6 7" xfId="35853" xr:uid="{BD53B6D9-C5BE-447E-A111-DCE24DE96616}"/>
    <cellStyle name="Input 60" xfId="10642" xr:uid="{00000000-0005-0000-0000-000092290000}"/>
    <cellStyle name="Input 60 2" xfId="10643" xr:uid="{00000000-0005-0000-0000-000093290000}"/>
    <cellStyle name="Input 60 2 2" xfId="10644" xr:uid="{00000000-0005-0000-0000-000094290000}"/>
    <cellStyle name="Input 60 2 2 2" xfId="10645" xr:uid="{00000000-0005-0000-0000-000095290000}"/>
    <cellStyle name="Input 60 2 2 2 2" xfId="35912" xr:uid="{574073BB-27B9-40B5-B98E-7832B69EB763}"/>
    <cellStyle name="Input 60 2 2 3" xfId="35911" xr:uid="{B49128AF-C43E-44A4-B5B6-13EEA60868DC}"/>
    <cellStyle name="Input 60 2 3" xfId="10646" xr:uid="{00000000-0005-0000-0000-000096290000}"/>
    <cellStyle name="Input 60 2 3 2" xfId="35913" xr:uid="{AAD8AB36-AB84-4366-A77D-7BCD8783C68E}"/>
    <cellStyle name="Input 60 2 4" xfId="35910" xr:uid="{12A918F4-EB83-4DB9-8057-84DFE52BA11A}"/>
    <cellStyle name="Input 60 3" xfId="10647" xr:uid="{00000000-0005-0000-0000-000097290000}"/>
    <cellStyle name="Input 60 3 2" xfId="10648" xr:uid="{00000000-0005-0000-0000-000098290000}"/>
    <cellStyle name="Input 60 3 2 2" xfId="10649" xr:uid="{00000000-0005-0000-0000-000099290000}"/>
    <cellStyle name="Input 60 3 2 2 2" xfId="10650" xr:uid="{00000000-0005-0000-0000-00009A290000}"/>
    <cellStyle name="Input 60 3 2 2 2 2" xfId="35917" xr:uid="{0A9C101C-43BD-4A71-8A02-6F80D077FC2B}"/>
    <cellStyle name="Input 60 3 2 2 3" xfId="35916" xr:uid="{49E1957A-7ADA-4F29-94DB-3639E8B68B6E}"/>
    <cellStyle name="Input 60 3 2 3" xfId="10651" xr:uid="{00000000-0005-0000-0000-00009B290000}"/>
    <cellStyle name="Input 60 3 2 3 2" xfId="35918" xr:uid="{2BA34CE6-4B48-415D-B8F0-1CA7973554A4}"/>
    <cellStyle name="Input 60 3 2 4" xfId="35915" xr:uid="{479148AD-0563-4C87-9671-2643017552D6}"/>
    <cellStyle name="Input 60 3 3" xfId="10652" xr:uid="{00000000-0005-0000-0000-00009C290000}"/>
    <cellStyle name="Input 60 3 3 2" xfId="10653" xr:uid="{00000000-0005-0000-0000-00009D290000}"/>
    <cellStyle name="Input 60 3 3 2 2" xfId="35920" xr:uid="{EFEFA896-51DF-4234-B086-B8A84A611525}"/>
    <cellStyle name="Input 60 3 3 3" xfId="35919" xr:uid="{EC2BB336-339D-4A75-98F2-CDAC60584E7A}"/>
    <cellStyle name="Input 60 3 4" xfId="10654" xr:uid="{00000000-0005-0000-0000-00009E290000}"/>
    <cellStyle name="Input 60 3 4 2" xfId="35921" xr:uid="{B724B3D9-197C-4D0C-BDFF-65DCF4D75044}"/>
    <cellStyle name="Input 60 3 5" xfId="35914" xr:uid="{58A2CA77-516A-4173-A8CA-ABBC66784CE8}"/>
    <cellStyle name="Input 60 4" xfId="10655" xr:uid="{00000000-0005-0000-0000-00009F290000}"/>
    <cellStyle name="Input 60 4 2" xfId="10656" xr:uid="{00000000-0005-0000-0000-0000A0290000}"/>
    <cellStyle name="Input 60 4 2 2" xfId="35923" xr:uid="{0173EB09-5CA4-4A84-B037-4E2ADE95EE38}"/>
    <cellStyle name="Input 60 4 3" xfId="35922" xr:uid="{A99EFB42-505B-42BA-A915-D10A8C49B4F4}"/>
    <cellStyle name="Input 60 5" xfId="10657" xr:uid="{00000000-0005-0000-0000-0000A1290000}"/>
    <cellStyle name="Input 60 5 2" xfId="35924" xr:uid="{89291FCF-9E8A-4D4B-BDDD-79CAD904CD63}"/>
    <cellStyle name="Input 60 6" xfId="35909" xr:uid="{F07EF44C-041B-4F0E-A0F3-A8DE06224D47}"/>
    <cellStyle name="Input 61" xfId="10658" xr:uid="{00000000-0005-0000-0000-0000A2290000}"/>
    <cellStyle name="Input 61 2" xfId="10659" xr:uid="{00000000-0005-0000-0000-0000A3290000}"/>
    <cellStyle name="Input 61 2 2" xfId="10660" xr:uid="{00000000-0005-0000-0000-0000A4290000}"/>
    <cellStyle name="Input 61 2 2 2" xfId="10661" xr:uid="{00000000-0005-0000-0000-0000A5290000}"/>
    <cellStyle name="Input 61 2 2 2 2" xfId="35928" xr:uid="{222DD2CB-6774-4CF6-A8D6-DF239A576590}"/>
    <cellStyle name="Input 61 2 2 3" xfId="35927" xr:uid="{C7E54D40-CBC1-489E-B79D-5C11A129CED5}"/>
    <cellStyle name="Input 61 2 3" xfId="10662" xr:uid="{00000000-0005-0000-0000-0000A6290000}"/>
    <cellStyle name="Input 61 2 3 2" xfId="35929" xr:uid="{DC7F60FC-67F8-444A-8FDF-AC024ED3D648}"/>
    <cellStyle name="Input 61 2 4" xfId="35926" xr:uid="{81D9A687-2353-466A-B283-B9CFDAD88AEA}"/>
    <cellStyle name="Input 61 3" xfId="10663" xr:uid="{00000000-0005-0000-0000-0000A7290000}"/>
    <cellStyle name="Input 61 3 2" xfId="10664" xr:uid="{00000000-0005-0000-0000-0000A8290000}"/>
    <cellStyle name="Input 61 3 2 2" xfId="10665" xr:uid="{00000000-0005-0000-0000-0000A9290000}"/>
    <cellStyle name="Input 61 3 2 2 2" xfId="10666" xr:uid="{00000000-0005-0000-0000-0000AA290000}"/>
    <cellStyle name="Input 61 3 2 2 2 2" xfId="35933" xr:uid="{AACB4298-C216-49DE-B0AC-C2D32582692C}"/>
    <cellStyle name="Input 61 3 2 2 3" xfId="35932" xr:uid="{5209CB19-DA23-42BA-B949-A6DF37E54341}"/>
    <cellStyle name="Input 61 3 2 3" xfId="10667" xr:uid="{00000000-0005-0000-0000-0000AB290000}"/>
    <cellStyle name="Input 61 3 2 3 2" xfId="35934" xr:uid="{B7EB8598-DA15-4109-9EA1-253709FAC045}"/>
    <cellStyle name="Input 61 3 2 4" xfId="35931" xr:uid="{ADB4D95B-3A78-495C-94BC-909E91131EF3}"/>
    <cellStyle name="Input 61 3 3" xfId="10668" xr:uid="{00000000-0005-0000-0000-0000AC290000}"/>
    <cellStyle name="Input 61 3 3 2" xfId="10669" xr:uid="{00000000-0005-0000-0000-0000AD290000}"/>
    <cellStyle name="Input 61 3 3 2 2" xfId="35936" xr:uid="{2FE88B10-A90D-4FD9-BBD7-C6230BAD1954}"/>
    <cellStyle name="Input 61 3 3 3" xfId="35935" xr:uid="{68817D7B-6817-4325-A357-9643E14E78C6}"/>
    <cellStyle name="Input 61 3 4" xfId="10670" xr:uid="{00000000-0005-0000-0000-0000AE290000}"/>
    <cellStyle name="Input 61 3 4 2" xfId="35937" xr:uid="{8B5A2EF4-DE02-4BE2-A4EF-C898E8DF0087}"/>
    <cellStyle name="Input 61 3 5" xfId="35930" xr:uid="{8DB2011F-74E5-4FC2-9CED-DE7FADA39352}"/>
    <cellStyle name="Input 61 4" xfId="10671" xr:uid="{00000000-0005-0000-0000-0000AF290000}"/>
    <cellStyle name="Input 61 4 2" xfId="10672" xr:uid="{00000000-0005-0000-0000-0000B0290000}"/>
    <cellStyle name="Input 61 4 2 2" xfId="35939" xr:uid="{6D3F64BF-2B3F-44D2-AFBE-9CD0E2704801}"/>
    <cellStyle name="Input 61 4 3" xfId="35938" xr:uid="{05CE5646-30B9-44E0-895C-32723A4FB62F}"/>
    <cellStyle name="Input 61 5" xfId="10673" xr:uid="{00000000-0005-0000-0000-0000B1290000}"/>
    <cellStyle name="Input 61 5 2" xfId="35940" xr:uid="{98F12CFC-B746-4286-BA66-286938386539}"/>
    <cellStyle name="Input 61 6" xfId="35925" xr:uid="{9B5A3049-9B0E-4C56-9A77-19D074BA4AAA}"/>
    <cellStyle name="Input 62" xfId="10674" xr:uid="{00000000-0005-0000-0000-0000B2290000}"/>
    <cellStyle name="Input 62 2" xfId="10675" xr:uid="{00000000-0005-0000-0000-0000B3290000}"/>
    <cellStyle name="Input 62 2 2" xfId="10676" xr:uid="{00000000-0005-0000-0000-0000B4290000}"/>
    <cellStyle name="Input 62 2 2 2" xfId="10677" xr:uid="{00000000-0005-0000-0000-0000B5290000}"/>
    <cellStyle name="Input 62 2 2 2 2" xfId="35944" xr:uid="{AB6C54ED-9671-4156-A861-46B694EC839D}"/>
    <cellStyle name="Input 62 2 2 3" xfId="35943" xr:uid="{C0132F0F-66E2-41DE-A91A-6616CDA8C413}"/>
    <cellStyle name="Input 62 2 3" xfId="10678" xr:uid="{00000000-0005-0000-0000-0000B6290000}"/>
    <cellStyle name="Input 62 2 3 2" xfId="35945" xr:uid="{B1E79DB6-6A57-41CC-8F7B-58F54023D26C}"/>
    <cellStyle name="Input 62 2 4" xfId="35942" xr:uid="{295F83B4-99F3-44F1-BF68-07231F211CE2}"/>
    <cellStyle name="Input 62 3" xfId="10679" xr:uid="{00000000-0005-0000-0000-0000B7290000}"/>
    <cellStyle name="Input 62 3 2" xfId="10680" xr:uid="{00000000-0005-0000-0000-0000B8290000}"/>
    <cellStyle name="Input 62 3 2 2" xfId="10681" xr:uid="{00000000-0005-0000-0000-0000B9290000}"/>
    <cellStyle name="Input 62 3 2 2 2" xfId="10682" xr:uid="{00000000-0005-0000-0000-0000BA290000}"/>
    <cellStyle name="Input 62 3 2 2 2 2" xfId="35949" xr:uid="{66C98BDA-0919-4D84-8ECC-C68E4127E0E8}"/>
    <cellStyle name="Input 62 3 2 2 3" xfId="35948" xr:uid="{2B7912F3-D9E0-4BED-9CF9-C788A7262945}"/>
    <cellStyle name="Input 62 3 2 3" xfId="10683" xr:uid="{00000000-0005-0000-0000-0000BB290000}"/>
    <cellStyle name="Input 62 3 2 3 2" xfId="35950" xr:uid="{95B1DAAB-93C6-4118-9226-EC832CFAD7E2}"/>
    <cellStyle name="Input 62 3 2 4" xfId="35947" xr:uid="{AFFC9E32-1E44-488A-8E41-4A745EBFA95E}"/>
    <cellStyle name="Input 62 3 3" xfId="10684" xr:uid="{00000000-0005-0000-0000-0000BC290000}"/>
    <cellStyle name="Input 62 3 3 2" xfId="10685" xr:uid="{00000000-0005-0000-0000-0000BD290000}"/>
    <cellStyle name="Input 62 3 3 2 2" xfId="35952" xr:uid="{9BFA1BA2-A6E9-49E0-8DF1-79623AC3BAD0}"/>
    <cellStyle name="Input 62 3 3 3" xfId="35951" xr:uid="{CCB7DE58-B8D1-4402-BB40-9E2B09F9D301}"/>
    <cellStyle name="Input 62 3 4" xfId="10686" xr:uid="{00000000-0005-0000-0000-0000BE290000}"/>
    <cellStyle name="Input 62 3 4 2" xfId="35953" xr:uid="{F3C5D6E4-CA6A-4764-84C4-027D4E78DFC6}"/>
    <cellStyle name="Input 62 3 5" xfId="35946" xr:uid="{75902E15-0C30-4C21-959E-A7407E343B9F}"/>
    <cellStyle name="Input 62 4" xfId="10687" xr:uid="{00000000-0005-0000-0000-0000BF290000}"/>
    <cellStyle name="Input 62 4 2" xfId="10688" xr:uid="{00000000-0005-0000-0000-0000C0290000}"/>
    <cellStyle name="Input 62 4 2 2" xfId="35955" xr:uid="{5F628104-547D-4C48-BA8D-EB06DE52D96A}"/>
    <cellStyle name="Input 62 4 3" xfId="35954" xr:uid="{EA08EE91-BEEF-4643-A308-CBFDC01EB433}"/>
    <cellStyle name="Input 62 5" xfId="10689" xr:uid="{00000000-0005-0000-0000-0000C1290000}"/>
    <cellStyle name="Input 62 5 2" xfId="35956" xr:uid="{078E8264-E3F2-4445-B81D-61806AC4159B}"/>
    <cellStyle name="Input 62 6" xfId="35941" xr:uid="{13EEC7A0-0250-49C4-A4FA-A670BBD7386B}"/>
    <cellStyle name="Input 63" xfId="10690" xr:uid="{00000000-0005-0000-0000-0000C2290000}"/>
    <cellStyle name="Input 63 2" xfId="10691" xr:uid="{00000000-0005-0000-0000-0000C3290000}"/>
    <cellStyle name="Input 63 2 2" xfId="10692" xr:uid="{00000000-0005-0000-0000-0000C4290000}"/>
    <cellStyle name="Input 63 2 2 2" xfId="10693" xr:uid="{00000000-0005-0000-0000-0000C5290000}"/>
    <cellStyle name="Input 63 2 2 2 2" xfId="35960" xr:uid="{E42E1CEE-E1BC-4A14-A813-A8C7EA50ADB3}"/>
    <cellStyle name="Input 63 2 2 3" xfId="35959" xr:uid="{BDFE0EDE-F14D-47AC-825D-24F833CDE29F}"/>
    <cellStyle name="Input 63 2 3" xfId="10694" xr:uid="{00000000-0005-0000-0000-0000C6290000}"/>
    <cellStyle name="Input 63 2 3 2" xfId="35961" xr:uid="{D0FBD6D2-1BB2-46CD-9406-869E4BA9598E}"/>
    <cellStyle name="Input 63 2 4" xfId="35958" xr:uid="{492E9EA9-50D5-4531-BCEC-4580EEC2143E}"/>
    <cellStyle name="Input 63 3" xfId="10695" xr:uid="{00000000-0005-0000-0000-0000C7290000}"/>
    <cellStyle name="Input 63 3 2" xfId="10696" xr:uid="{00000000-0005-0000-0000-0000C8290000}"/>
    <cellStyle name="Input 63 3 2 2" xfId="10697" xr:uid="{00000000-0005-0000-0000-0000C9290000}"/>
    <cellStyle name="Input 63 3 2 2 2" xfId="10698" xr:uid="{00000000-0005-0000-0000-0000CA290000}"/>
    <cellStyle name="Input 63 3 2 2 2 2" xfId="35965" xr:uid="{44BD7E80-2971-485D-AFFA-8D92ED4404CF}"/>
    <cellStyle name="Input 63 3 2 2 3" xfId="35964" xr:uid="{FBC00AF6-C989-48B8-AFA7-CCCF7DF8F0BB}"/>
    <cellStyle name="Input 63 3 2 3" xfId="10699" xr:uid="{00000000-0005-0000-0000-0000CB290000}"/>
    <cellStyle name="Input 63 3 2 3 2" xfId="35966" xr:uid="{A7785760-70D1-4091-8780-9EA756C96613}"/>
    <cellStyle name="Input 63 3 2 4" xfId="35963" xr:uid="{7EAF404E-4A51-4336-BA3F-E8EE470C9374}"/>
    <cellStyle name="Input 63 3 3" xfId="10700" xr:uid="{00000000-0005-0000-0000-0000CC290000}"/>
    <cellStyle name="Input 63 3 3 2" xfId="10701" xr:uid="{00000000-0005-0000-0000-0000CD290000}"/>
    <cellStyle name="Input 63 3 3 2 2" xfId="35968" xr:uid="{848CBFB9-4C37-42F4-95BC-6EF52BC1B8A6}"/>
    <cellStyle name="Input 63 3 3 3" xfId="35967" xr:uid="{4AA8A429-B21E-436B-B0B4-A8C3071F97F7}"/>
    <cellStyle name="Input 63 3 4" xfId="10702" xr:uid="{00000000-0005-0000-0000-0000CE290000}"/>
    <cellStyle name="Input 63 3 4 2" xfId="35969" xr:uid="{91053FCB-0DBD-474E-8476-AEB6F93D86BC}"/>
    <cellStyle name="Input 63 3 5" xfId="35962" xr:uid="{3F4C13AD-5089-4C89-A02A-32837FDEF588}"/>
    <cellStyle name="Input 63 4" xfId="10703" xr:uid="{00000000-0005-0000-0000-0000CF290000}"/>
    <cellStyle name="Input 63 4 2" xfId="10704" xr:uid="{00000000-0005-0000-0000-0000D0290000}"/>
    <cellStyle name="Input 63 4 2 2" xfId="35971" xr:uid="{4F9931DB-3B96-4CF5-82B1-7F4DDA9F5DDE}"/>
    <cellStyle name="Input 63 4 3" xfId="35970" xr:uid="{DDAF6EAE-7203-481B-B606-F04760A49152}"/>
    <cellStyle name="Input 63 5" xfId="10705" xr:uid="{00000000-0005-0000-0000-0000D1290000}"/>
    <cellStyle name="Input 63 5 2" xfId="35972" xr:uid="{E31764C6-1B99-4453-A5E7-0B9C9578DD54}"/>
    <cellStyle name="Input 63 6" xfId="35957" xr:uid="{765F7303-9373-4F35-B823-B90C151B9772}"/>
    <cellStyle name="Input 64" xfId="10706" xr:uid="{00000000-0005-0000-0000-0000D2290000}"/>
    <cellStyle name="Input 64 2" xfId="10707" xr:uid="{00000000-0005-0000-0000-0000D3290000}"/>
    <cellStyle name="Input 64 2 2" xfId="10708" xr:uid="{00000000-0005-0000-0000-0000D4290000}"/>
    <cellStyle name="Input 64 2 2 2" xfId="10709" xr:uid="{00000000-0005-0000-0000-0000D5290000}"/>
    <cellStyle name="Input 64 2 2 2 2" xfId="35976" xr:uid="{8EC9D07A-9733-471D-9771-35B342107335}"/>
    <cellStyle name="Input 64 2 2 3" xfId="35975" xr:uid="{546E8872-B190-42A6-BCFC-09519D62856D}"/>
    <cellStyle name="Input 64 2 3" xfId="10710" xr:uid="{00000000-0005-0000-0000-0000D6290000}"/>
    <cellStyle name="Input 64 2 3 2" xfId="35977" xr:uid="{68310088-C189-4316-9996-493BF5D88CA2}"/>
    <cellStyle name="Input 64 2 4" xfId="35974" xr:uid="{60C0D0EA-A4BB-4EB5-BB0B-9F447274792B}"/>
    <cellStyle name="Input 64 3" xfId="10711" xr:uid="{00000000-0005-0000-0000-0000D7290000}"/>
    <cellStyle name="Input 64 3 2" xfId="10712" xr:uid="{00000000-0005-0000-0000-0000D8290000}"/>
    <cellStyle name="Input 64 3 2 2" xfId="10713" xr:uid="{00000000-0005-0000-0000-0000D9290000}"/>
    <cellStyle name="Input 64 3 2 2 2" xfId="10714" xr:uid="{00000000-0005-0000-0000-0000DA290000}"/>
    <cellStyle name="Input 64 3 2 2 2 2" xfId="35981" xr:uid="{3EE7C105-62FF-45B3-BA1A-043FFC69192D}"/>
    <cellStyle name="Input 64 3 2 2 3" xfId="35980" xr:uid="{5B35510A-50AC-4CA0-8557-E4566287DBCB}"/>
    <cellStyle name="Input 64 3 2 3" xfId="10715" xr:uid="{00000000-0005-0000-0000-0000DB290000}"/>
    <cellStyle name="Input 64 3 2 3 2" xfId="35982" xr:uid="{1D96EDF0-4897-4308-AD74-A7F81C89958A}"/>
    <cellStyle name="Input 64 3 2 4" xfId="35979" xr:uid="{125FE762-8616-4CE1-BC99-7A605CB9A98F}"/>
    <cellStyle name="Input 64 3 3" xfId="10716" xr:uid="{00000000-0005-0000-0000-0000DC290000}"/>
    <cellStyle name="Input 64 3 3 2" xfId="10717" xr:uid="{00000000-0005-0000-0000-0000DD290000}"/>
    <cellStyle name="Input 64 3 3 2 2" xfId="35984" xr:uid="{CE2F5B45-C52E-4333-95CC-35CF3C067A29}"/>
    <cellStyle name="Input 64 3 3 3" xfId="35983" xr:uid="{773DB0E4-1C73-413E-B2AD-CAFC5BC8F04E}"/>
    <cellStyle name="Input 64 3 4" xfId="10718" xr:uid="{00000000-0005-0000-0000-0000DE290000}"/>
    <cellStyle name="Input 64 3 4 2" xfId="35985" xr:uid="{960BBBDB-F00E-4850-A650-990EAC96B855}"/>
    <cellStyle name="Input 64 3 5" xfId="35978" xr:uid="{E70E7C7D-0D7E-4835-956E-C2DF30418D86}"/>
    <cellStyle name="Input 64 4" xfId="10719" xr:uid="{00000000-0005-0000-0000-0000DF290000}"/>
    <cellStyle name="Input 64 4 2" xfId="10720" xr:uid="{00000000-0005-0000-0000-0000E0290000}"/>
    <cellStyle name="Input 64 4 2 2" xfId="35987" xr:uid="{96A8C3C3-5033-4BE7-AFB1-FE328C44EA6A}"/>
    <cellStyle name="Input 64 4 3" xfId="35986" xr:uid="{DD6A39F1-9460-4105-B089-270A1B4241A9}"/>
    <cellStyle name="Input 64 5" xfId="10721" xr:uid="{00000000-0005-0000-0000-0000E1290000}"/>
    <cellStyle name="Input 64 5 2" xfId="35988" xr:uid="{D20E18E7-B358-4E03-B116-156B529B9FFA}"/>
    <cellStyle name="Input 64 6" xfId="35973" xr:uid="{D78A53C5-687B-47F7-B2A9-509BA06B402B}"/>
    <cellStyle name="Input 65" xfId="10722" xr:uid="{00000000-0005-0000-0000-0000E2290000}"/>
    <cellStyle name="Input 65 2" xfId="10723" xr:uid="{00000000-0005-0000-0000-0000E3290000}"/>
    <cellStyle name="Input 65 2 2" xfId="10724" xr:uid="{00000000-0005-0000-0000-0000E4290000}"/>
    <cellStyle name="Input 65 2 2 2" xfId="10725" xr:uid="{00000000-0005-0000-0000-0000E5290000}"/>
    <cellStyle name="Input 65 2 2 2 2" xfId="35992" xr:uid="{EC7091F7-10B3-4765-B85E-15130C34208D}"/>
    <cellStyle name="Input 65 2 2 3" xfId="35991" xr:uid="{964F12CF-C597-43F0-8CAA-FFF3B543D5E4}"/>
    <cellStyle name="Input 65 2 3" xfId="10726" xr:uid="{00000000-0005-0000-0000-0000E6290000}"/>
    <cellStyle name="Input 65 2 3 2" xfId="35993" xr:uid="{F5CCEFAD-A5AD-4718-9284-9589DF35F807}"/>
    <cellStyle name="Input 65 2 4" xfId="35990" xr:uid="{0AECD87E-D496-4201-AE2C-1279C060FE1C}"/>
    <cellStyle name="Input 65 3" xfId="10727" xr:uid="{00000000-0005-0000-0000-0000E7290000}"/>
    <cellStyle name="Input 65 3 2" xfId="10728" xr:uid="{00000000-0005-0000-0000-0000E8290000}"/>
    <cellStyle name="Input 65 3 2 2" xfId="10729" xr:uid="{00000000-0005-0000-0000-0000E9290000}"/>
    <cellStyle name="Input 65 3 2 2 2" xfId="10730" xr:uid="{00000000-0005-0000-0000-0000EA290000}"/>
    <cellStyle name="Input 65 3 2 2 2 2" xfId="35997" xr:uid="{E8CE1109-C62D-490D-AD84-C010EE329E70}"/>
    <cellStyle name="Input 65 3 2 2 3" xfId="35996" xr:uid="{4D10962A-6843-4A2F-842B-2819582A0B72}"/>
    <cellStyle name="Input 65 3 2 3" xfId="10731" xr:uid="{00000000-0005-0000-0000-0000EB290000}"/>
    <cellStyle name="Input 65 3 2 3 2" xfId="35998" xr:uid="{A65823D0-A071-4F1B-BF35-9AF38C81EF71}"/>
    <cellStyle name="Input 65 3 2 4" xfId="35995" xr:uid="{D821CFBF-1081-4BA5-86CA-6B1B06B8E3A6}"/>
    <cellStyle name="Input 65 3 3" xfId="10732" xr:uid="{00000000-0005-0000-0000-0000EC290000}"/>
    <cellStyle name="Input 65 3 3 2" xfId="10733" xr:uid="{00000000-0005-0000-0000-0000ED290000}"/>
    <cellStyle name="Input 65 3 3 2 2" xfId="36000" xr:uid="{D341ECE9-7586-4C73-9AB7-D9A94682567B}"/>
    <cellStyle name="Input 65 3 3 3" xfId="35999" xr:uid="{4DE1DC49-C295-4321-96E4-00330E8B8583}"/>
    <cellStyle name="Input 65 3 4" xfId="10734" xr:uid="{00000000-0005-0000-0000-0000EE290000}"/>
    <cellStyle name="Input 65 3 4 2" xfId="36001" xr:uid="{D3EE3FC5-08B4-4422-BD7F-6BF81419ABB4}"/>
    <cellStyle name="Input 65 3 5" xfId="35994" xr:uid="{7988418A-96B3-4E80-8F5C-B529BF04FE48}"/>
    <cellStyle name="Input 65 4" xfId="10735" xr:uid="{00000000-0005-0000-0000-0000EF290000}"/>
    <cellStyle name="Input 65 4 2" xfId="10736" xr:uid="{00000000-0005-0000-0000-0000F0290000}"/>
    <cellStyle name="Input 65 4 2 2" xfId="36003" xr:uid="{425D10F3-36CF-483E-A489-799511B7A570}"/>
    <cellStyle name="Input 65 4 3" xfId="36002" xr:uid="{9F3D1756-017A-4151-9630-FB5A585A0F81}"/>
    <cellStyle name="Input 65 5" xfId="10737" xr:uid="{00000000-0005-0000-0000-0000F1290000}"/>
    <cellStyle name="Input 65 5 2" xfId="36004" xr:uid="{F205B7A2-4A02-4B1F-98A0-1C0C6A5A1286}"/>
    <cellStyle name="Input 65 6" xfId="35989" xr:uid="{9BFF128E-05AE-45B7-8EE5-EE3F579F8E3F}"/>
    <cellStyle name="Input 66" xfId="10738" xr:uid="{00000000-0005-0000-0000-0000F2290000}"/>
    <cellStyle name="Input 66 2" xfId="10739" xr:uid="{00000000-0005-0000-0000-0000F3290000}"/>
    <cellStyle name="Input 66 2 2" xfId="10740" xr:uid="{00000000-0005-0000-0000-0000F4290000}"/>
    <cellStyle name="Input 66 2 2 2" xfId="10741" xr:uid="{00000000-0005-0000-0000-0000F5290000}"/>
    <cellStyle name="Input 66 2 2 2 2" xfId="36008" xr:uid="{F54F5C17-207E-4CA1-9160-DCEC19B980A1}"/>
    <cellStyle name="Input 66 2 2 3" xfId="36007" xr:uid="{E4195A8C-7601-4AEC-AC3D-5EC02C1BCFE0}"/>
    <cellStyle name="Input 66 2 3" xfId="10742" xr:uid="{00000000-0005-0000-0000-0000F6290000}"/>
    <cellStyle name="Input 66 2 3 2" xfId="36009" xr:uid="{7F7CA1F6-102D-42A2-B716-D6BBF95E7413}"/>
    <cellStyle name="Input 66 2 4" xfId="36006" xr:uid="{AD74B9C4-419C-4860-BB11-B51371F449AF}"/>
    <cellStyle name="Input 66 3" xfId="10743" xr:uid="{00000000-0005-0000-0000-0000F7290000}"/>
    <cellStyle name="Input 66 3 2" xfId="10744" xr:uid="{00000000-0005-0000-0000-0000F8290000}"/>
    <cellStyle name="Input 66 3 2 2" xfId="10745" xr:uid="{00000000-0005-0000-0000-0000F9290000}"/>
    <cellStyle name="Input 66 3 2 2 2" xfId="10746" xr:uid="{00000000-0005-0000-0000-0000FA290000}"/>
    <cellStyle name="Input 66 3 2 2 2 2" xfId="36013" xr:uid="{16480ED7-6EAB-49CC-A1E9-97B82B1106D1}"/>
    <cellStyle name="Input 66 3 2 2 3" xfId="36012" xr:uid="{CC562505-DC46-4E60-8EFA-8636B5F6E1EE}"/>
    <cellStyle name="Input 66 3 2 3" xfId="10747" xr:uid="{00000000-0005-0000-0000-0000FB290000}"/>
    <cellStyle name="Input 66 3 2 3 2" xfId="36014" xr:uid="{67DA3E93-07FE-4CF4-9B71-7C8DBDC4FEF1}"/>
    <cellStyle name="Input 66 3 2 4" xfId="36011" xr:uid="{AA49B9AB-E6F2-4F9C-AB3A-5E5D04CEAB44}"/>
    <cellStyle name="Input 66 3 3" xfId="10748" xr:uid="{00000000-0005-0000-0000-0000FC290000}"/>
    <cellStyle name="Input 66 3 3 2" xfId="10749" xr:uid="{00000000-0005-0000-0000-0000FD290000}"/>
    <cellStyle name="Input 66 3 3 2 2" xfId="36016" xr:uid="{CC1E9F98-EAFA-4BF7-8645-E15E17631563}"/>
    <cellStyle name="Input 66 3 3 3" xfId="36015" xr:uid="{C0BCEAC5-0436-4B13-82F5-123EA7F98D0B}"/>
    <cellStyle name="Input 66 3 4" xfId="10750" xr:uid="{00000000-0005-0000-0000-0000FE290000}"/>
    <cellStyle name="Input 66 3 4 2" xfId="36017" xr:uid="{EAE5AA78-2A57-45E3-94BF-83E5FD978093}"/>
    <cellStyle name="Input 66 3 5" xfId="36010" xr:uid="{C83184A4-7FE2-4D37-B914-BCFA7537553A}"/>
    <cellStyle name="Input 66 4" xfId="10751" xr:uid="{00000000-0005-0000-0000-0000FF290000}"/>
    <cellStyle name="Input 66 4 2" xfId="10752" xr:uid="{00000000-0005-0000-0000-0000002A0000}"/>
    <cellStyle name="Input 66 4 2 2" xfId="36019" xr:uid="{11C8C3C6-0238-4810-88FC-3B672A3EE637}"/>
    <cellStyle name="Input 66 4 3" xfId="36018" xr:uid="{7FB39AD7-F255-466F-B95A-BE0BD0372273}"/>
    <cellStyle name="Input 66 5" xfId="10753" xr:uid="{00000000-0005-0000-0000-0000012A0000}"/>
    <cellStyle name="Input 66 5 2" xfId="36020" xr:uid="{AA6A5759-4397-4B46-A3C2-D6940AF86342}"/>
    <cellStyle name="Input 66 6" xfId="36005" xr:uid="{A2E72290-2D6E-4AA3-A688-56285E695AA8}"/>
    <cellStyle name="Input 67" xfId="10754" xr:uid="{00000000-0005-0000-0000-0000022A0000}"/>
    <cellStyle name="Input 67 2" xfId="10755" xr:uid="{00000000-0005-0000-0000-0000032A0000}"/>
    <cellStyle name="Input 67 2 2" xfId="10756" xr:uid="{00000000-0005-0000-0000-0000042A0000}"/>
    <cellStyle name="Input 67 2 2 2" xfId="10757" xr:uid="{00000000-0005-0000-0000-0000052A0000}"/>
    <cellStyle name="Input 67 2 2 2 2" xfId="36024" xr:uid="{ECE26C39-F8E5-49D8-8C48-4B73F0F3ADD9}"/>
    <cellStyle name="Input 67 2 2 3" xfId="36023" xr:uid="{024CB52C-7797-41FA-9B98-EA1B1929AC09}"/>
    <cellStyle name="Input 67 2 3" xfId="10758" xr:uid="{00000000-0005-0000-0000-0000062A0000}"/>
    <cellStyle name="Input 67 2 3 2" xfId="36025" xr:uid="{F32CC61C-C0B1-45D3-9491-5872322351E1}"/>
    <cellStyle name="Input 67 2 4" xfId="36022" xr:uid="{73334D68-B8A7-46A5-A8F1-CF5934F332FA}"/>
    <cellStyle name="Input 67 3" xfId="10759" xr:uid="{00000000-0005-0000-0000-0000072A0000}"/>
    <cellStyle name="Input 67 3 2" xfId="10760" xr:uid="{00000000-0005-0000-0000-0000082A0000}"/>
    <cellStyle name="Input 67 3 2 2" xfId="10761" xr:uid="{00000000-0005-0000-0000-0000092A0000}"/>
    <cellStyle name="Input 67 3 2 2 2" xfId="10762" xr:uid="{00000000-0005-0000-0000-00000A2A0000}"/>
    <cellStyle name="Input 67 3 2 2 2 2" xfId="36029" xr:uid="{AACA275B-BCB1-49B8-B0CB-1169C1BCE4E7}"/>
    <cellStyle name="Input 67 3 2 2 3" xfId="36028" xr:uid="{670196F2-603B-40EA-9B49-A344DA6CC9FA}"/>
    <cellStyle name="Input 67 3 2 3" xfId="10763" xr:uid="{00000000-0005-0000-0000-00000B2A0000}"/>
    <cellStyle name="Input 67 3 2 3 2" xfId="36030" xr:uid="{B0E2D64E-2030-4CC5-BAD0-211A9397B3AD}"/>
    <cellStyle name="Input 67 3 2 4" xfId="36027" xr:uid="{7AB526E9-621E-403C-8463-27C44959F460}"/>
    <cellStyle name="Input 67 3 3" xfId="10764" xr:uid="{00000000-0005-0000-0000-00000C2A0000}"/>
    <cellStyle name="Input 67 3 3 2" xfId="10765" xr:uid="{00000000-0005-0000-0000-00000D2A0000}"/>
    <cellStyle name="Input 67 3 3 2 2" xfId="36032" xr:uid="{61FDB128-5DF6-4951-992B-96515B4912BE}"/>
    <cellStyle name="Input 67 3 3 3" xfId="36031" xr:uid="{6209694F-2C76-486A-B9C6-9ED7DBAF800C}"/>
    <cellStyle name="Input 67 3 4" xfId="10766" xr:uid="{00000000-0005-0000-0000-00000E2A0000}"/>
    <cellStyle name="Input 67 3 4 2" xfId="36033" xr:uid="{D6BFDF14-65DD-4A8F-A386-6B96D2FAC71F}"/>
    <cellStyle name="Input 67 3 5" xfId="36026" xr:uid="{785C010F-F80C-45D9-9659-E3E3189F7C9A}"/>
    <cellStyle name="Input 67 4" xfId="10767" xr:uid="{00000000-0005-0000-0000-00000F2A0000}"/>
    <cellStyle name="Input 67 4 2" xfId="10768" xr:uid="{00000000-0005-0000-0000-0000102A0000}"/>
    <cellStyle name="Input 67 4 2 2" xfId="36035" xr:uid="{B541622C-E4CE-459E-A304-EF493E5F51D1}"/>
    <cellStyle name="Input 67 4 3" xfId="36034" xr:uid="{944A7722-809B-49F0-ADD4-D14F8329DD5E}"/>
    <cellStyle name="Input 67 5" xfId="10769" xr:uid="{00000000-0005-0000-0000-0000112A0000}"/>
    <cellStyle name="Input 67 5 2" xfId="36036" xr:uid="{7C2CB820-B18A-4268-8D11-E283CB373B27}"/>
    <cellStyle name="Input 67 6" xfId="36021" xr:uid="{D3209CE3-5605-4ECA-B9CE-40D8A122BADA}"/>
    <cellStyle name="Input 68" xfId="10770" xr:uid="{00000000-0005-0000-0000-0000122A0000}"/>
    <cellStyle name="Input 68 2" xfId="10771" xr:uid="{00000000-0005-0000-0000-0000132A0000}"/>
    <cellStyle name="Input 68 2 2" xfId="10772" xr:uid="{00000000-0005-0000-0000-0000142A0000}"/>
    <cellStyle name="Input 68 2 2 2" xfId="10773" xr:uid="{00000000-0005-0000-0000-0000152A0000}"/>
    <cellStyle name="Input 68 2 2 2 2" xfId="36040" xr:uid="{4A8E3757-53CB-4022-958C-2A64AB8D43F4}"/>
    <cellStyle name="Input 68 2 2 3" xfId="36039" xr:uid="{BBF1D289-B393-4711-905E-E649616967EF}"/>
    <cellStyle name="Input 68 2 3" xfId="10774" xr:uid="{00000000-0005-0000-0000-0000162A0000}"/>
    <cellStyle name="Input 68 2 3 2" xfId="36041" xr:uid="{D500B439-2F7A-4EFD-B183-355D39E3F0B9}"/>
    <cellStyle name="Input 68 2 4" xfId="36038" xr:uid="{992751BC-CA87-414F-B237-BFA70011C386}"/>
    <cellStyle name="Input 68 3" xfId="10775" xr:uid="{00000000-0005-0000-0000-0000172A0000}"/>
    <cellStyle name="Input 68 3 2" xfId="10776" xr:uid="{00000000-0005-0000-0000-0000182A0000}"/>
    <cellStyle name="Input 68 3 2 2" xfId="10777" xr:uid="{00000000-0005-0000-0000-0000192A0000}"/>
    <cellStyle name="Input 68 3 2 2 2" xfId="10778" xr:uid="{00000000-0005-0000-0000-00001A2A0000}"/>
    <cellStyle name="Input 68 3 2 2 2 2" xfId="36045" xr:uid="{32CE4E61-7427-4915-930D-EE839027FAA4}"/>
    <cellStyle name="Input 68 3 2 2 3" xfId="36044" xr:uid="{93B87E2B-C120-4DE5-8590-0BC52682D9C9}"/>
    <cellStyle name="Input 68 3 2 3" xfId="10779" xr:uid="{00000000-0005-0000-0000-00001B2A0000}"/>
    <cellStyle name="Input 68 3 2 3 2" xfId="36046" xr:uid="{88BD082D-F035-4D15-A0AA-ABEF520D63B7}"/>
    <cellStyle name="Input 68 3 2 4" xfId="36043" xr:uid="{3401468B-6DCE-48E9-A39F-DB744E2058CF}"/>
    <cellStyle name="Input 68 3 3" xfId="10780" xr:uid="{00000000-0005-0000-0000-00001C2A0000}"/>
    <cellStyle name="Input 68 3 3 2" xfId="10781" xr:uid="{00000000-0005-0000-0000-00001D2A0000}"/>
    <cellStyle name="Input 68 3 3 2 2" xfId="36048" xr:uid="{E1853ED2-5E72-4A67-983E-D2DEA9D05DA9}"/>
    <cellStyle name="Input 68 3 3 3" xfId="36047" xr:uid="{107A66C2-428C-4FBE-8391-42A85FD0ED82}"/>
    <cellStyle name="Input 68 3 4" xfId="10782" xr:uid="{00000000-0005-0000-0000-00001E2A0000}"/>
    <cellStyle name="Input 68 3 4 2" xfId="36049" xr:uid="{E9853E75-EDB1-4CF8-A36D-7C5B120C4BDB}"/>
    <cellStyle name="Input 68 3 5" xfId="36042" xr:uid="{EE5B0F6B-749F-43D8-BA33-78D8303E1D4E}"/>
    <cellStyle name="Input 68 4" xfId="10783" xr:uid="{00000000-0005-0000-0000-00001F2A0000}"/>
    <cellStyle name="Input 68 4 2" xfId="10784" xr:uid="{00000000-0005-0000-0000-0000202A0000}"/>
    <cellStyle name="Input 68 4 2 2" xfId="36051" xr:uid="{6F2B4D27-C2A3-49C1-87CB-51D53A7D3C32}"/>
    <cellStyle name="Input 68 4 3" xfId="36050" xr:uid="{68D4447D-BC6F-4484-8E5A-38015BA3E502}"/>
    <cellStyle name="Input 68 5" xfId="10785" xr:uid="{00000000-0005-0000-0000-0000212A0000}"/>
    <cellStyle name="Input 68 5 2" xfId="36052" xr:uid="{8AC07F99-DB11-4D9D-9EEE-1AAEA0404BDC}"/>
    <cellStyle name="Input 68 6" xfId="36037" xr:uid="{C9C8E76A-E5E1-4542-9B58-A3421D199937}"/>
    <cellStyle name="Input 69" xfId="10786" xr:uid="{00000000-0005-0000-0000-0000222A0000}"/>
    <cellStyle name="Input 69 2" xfId="10787" xr:uid="{00000000-0005-0000-0000-0000232A0000}"/>
    <cellStyle name="Input 69 2 2" xfId="10788" xr:uid="{00000000-0005-0000-0000-0000242A0000}"/>
    <cellStyle name="Input 69 2 2 2" xfId="10789" xr:uid="{00000000-0005-0000-0000-0000252A0000}"/>
    <cellStyle name="Input 69 2 2 2 2" xfId="36056" xr:uid="{DC9FF088-6EEB-4335-8D1E-7D7603834DDA}"/>
    <cellStyle name="Input 69 2 2 3" xfId="36055" xr:uid="{5F1C3BDD-D677-434C-9440-DE35A653D30B}"/>
    <cellStyle name="Input 69 2 3" xfId="10790" xr:uid="{00000000-0005-0000-0000-0000262A0000}"/>
    <cellStyle name="Input 69 2 3 2" xfId="36057" xr:uid="{EEC202E5-0FB4-4258-B50E-EDA39C5460D4}"/>
    <cellStyle name="Input 69 2 4" xfId="36054" xr:uid="{1FE6EDB5-41F9-41CD-8B63-9F3EB28F7D89}"/>
    <cellStyle name="Input 69 3" xfId="10791" xr:uid="{00000000-0005-0000-0000-0000272A0000}"/>
    <cellStyle name="Input 69 3 2" xfId="10792" xr:uid="{00000000-0005-0000-0000-0000282A0000}"/>
    <cellStyle name="Input 69 3 2 2" xfId="10793" xr:uid="{00000000-0005-0000-0000-0000292A0000}"/>
    <cellStyle name="Input 69 3 2 2 2" xfId="10794" xr:uid="{00000000-0005-0000-0000-00002A2A0000}"/>
    <cellStyle name="Input 69 3 2 2 2 2" xfId="36061" xr:uid="{2F5B51DE-A922-4213-B311-1D9A9CDC1CC9}"/>
    <cellStyle name="Input 69 3 2 2 3" xfId="36060" xr:uid="{762ADFB6-2456-4AF5-8201-B617CFE5C45B}"/>
    <cellStyle name="Input 69 3 2 3" xfId="10795" xr:uid="{00000000-0005-0000-0000-00002B2A0000}"/>
    <cellStyle name="Input 69 3 2 3 2" xfId="36062" xr:uid="{FF875049-4D16-4684-B5A9-497D1C318BC0}"/>
    <cellStyle name="Input 69 3 2 4" xfId="36059" xr:uid="{5B0DFB48-5660-4FBF-A48B-AFD47984D4F6}"/>
    <cellStyle name="Input 69 3 3" xfId="10796" xr:uid="{00000000-0005-0000-0000-00002C2A0000}"/>
    <cellStyle name="Input 69 3 3 2" xfId="10797" xr:uid="{00000000-0005-0000-0000-00002D2A0000}"/>
    <cellStyle name="Input 69 3 3 2 2" xfId="36064" xr:uid="{87A894C5-EA7D-4825-B783-DF651AC03DD1}"/>
    <cellStyle name="Input 69 3 3 3" xfId="36063" xr:uid="{F1B5182A-FD76-467E-BA70-11721FAC4029}"/>
    <cellStyle name="Input 69 3 4" xfId="10798" xr:uid="{00000000-0005-0000-0000-00002E2A0000}"/>
    <cellStyle name="Input 69 3 4 2" xfId="36065" xr:uid="{1171FB1E-30FB-4ABE-A413-5D06BD84478E}"/>
    <cellStyle name="Input 69 3 5" xfId="36058" xr:uid="{99205969-3911-4DD7-9B5E-5E5897B2BB0B}"/>
    <cellStyle name="Input 69 4" xfId="10799" xr:uid="{00000000-0005-0000-0000-00002F2A0000}"/>
    <cellStyle name="Input 69 4 2" xfId="10800" xr:uid="{00000000-0005-0000-0000-0000302A0000}"/>
    <cellStyle name="Input 69 4 2 2" xfId="36067" xr:uid="{478393CF-5755-4363-9EB9-F2B5F6F39D8F}"/>
    <cellStyle name="Input 69 4 3" xfId="36066" xr:uid="{21695E07-C0B8-4004-9DAF-D3B50B47874F}"/>
    <cellStyle name="Input 69 5" xfId="10801" xr:uid="{00000000-0005-0000-0000-0000312A0000}"/>
    <cellStyle name="Input 69 5 2" xfId="36068" xr:uid="{2BE38090-241B-459B-B874-AC531D851E11}"/>
    <cellStyle name="Input 69 6" xfId="36053" xr:uid="{A0A28390-E429-4FAC-9934-5FD391910901}"/>
    <cellStyle name="Input 7" xfId="10802" xr:uid="{00000000-0005-0000-0000-0000322A0000}"/>
    <cellStyle name="Input 7 2" xfId="10803" xr:uid="{00000000-0005-0000-0000-0000332A0000}"/>
    <cellStyle name="Input 7 2 2" xfId="10804" xr:uid="{00000000-0005-0000-0000-0000342A0000}"/>
    <cellStyle name="Input 7 2 2 2" xfId="10805" xr:uid="{00000000-0005-0000-0000-0000352A0000}"/>
    <cellStyle name="Input 7 2 2 2 2" xfId="10806" xr:uid="{00000000-0005-0000-0000-0000362A0000}"/>
    <cellStyle name="Input 7 2 2 2 2 2" xfId="36073" xr:uid="{F7C40634-42EB-45F6-B8F8-5F41052D05CC}"/>
    <cellStyle name="Input 7 2 2 2 3" xfId="36072" xr:uid="{1A957F88-3748-4F7F-94CE-B146A999AC2C}"/>
    <cellStyle name="Input 7 2 2 3" xfId="10807" xr:uid="{00000000-0005-0000-0000-0000372A0000}"/>
    <cellStyle name="Input 7 2 2 3 2" xfId="36074" xr:uid="{C826F537-DCA7-4819-8312-CEA5DE86A5F3}"/>
    <cellStyle name="Input 7 2 2 4" xfId="36071" xr:uid="{0BAA1B5F-D217-456C-8931-4DB70CB8EC3F}"/>
    <cellStyle name="Input 7 2 3" xfId="10808" xr:uid="{00000000-0005-0000-0000-0000382A0000}"/>
    <cellStyle name="Input 7 2 3 2" xfId="10809" xr:uid="{00000000-0005-0000-0000-0000392A0000}"/>
    <cellStyle name="Input 7 2 3 2 2" xfId="10810" xr:uid="{00000000-0005-0000-0000-00003A2A0000}"/>
    <cellStyle name="Input 7 2 3 2 2 2" xfId="10811" xr:uid="{00000000-0005-0000-0000-00003B2A0000}"/>
    <cellStyle name="Input 7 2 3 2 2 2 2" xfId="36078" xr:uid="{5CF1F086-EB37-44EB-A650-B52B1B863C41}"/>
    <cellStyle name="Input 7 2 3 2 2 3" xfId="36077" xr:uid="{95631E5B-667F-4CD6-B180-7B551A8924DD}"/>
    <cellStyle name="Input 7 2 3 2 3" xfId="10812" xr:uid="{00000000-0005-0000-0000-00003C2A0000}"/>
    <cellStyle name="Input 7 2 3 2 3 2" xfId="36079" xr:uid="{AAC57B22-136A-492C-8591-BB9C3722F885}"/>
    <cellStyle name="Input 7 2 3 2 4" xfId="36076" xr:uid="{CC09D492-0AF0-4312-85D6-5F30B73D6826}"/>
    <cellStyle name="Input 7 2 3 3" xfId="10813" xr:uid="{00000000-0005-0000-0000-00003D2A0000}"/>
    <cellStyle name="Input 7 2 3 3 2" xfId="10814" xr:uid="{00000000-0005-0000-0000-00003E2A0000}"/>
    <cellStyle name="Input 7 2 3 3 2 2" xfId="36081" xr:uid="{379BFF50-54FE-4924-A819-642EE76A6535}"/>
    <cellStyle name="Input 7 2 3 3 3" xfId="36080" xr:uid="{55EC6CCB-2E15-43C0-8525-D7F23EC6974E}"/>
    <cellStyle name="Input 7 2 3 4" xfId="10815" xr:uid="{00000000-0005-0000-0000-00003F2A0000}"/>
    <cellStyle name="Input 7 2 3 4 2" xfId="36082" xr:uid="{6BFAF716-350A-43AB-BFED-B1AA64602A01}"/>
    <cellStyle name="Input 7 2 3 5" xfId="36075" xr:uid="{BCDC5184-B12B-481A-9A1F-3D3C41AA3EAA}"/>
    <cellStyle name="Input 7 2 4" xfId="10816" xr:uid="{00000000-0005-0000-0000-0000402A0000}"/>
    <cellStyle name="Input 7 2 4 2" xfId="10817" xr:uid="{00000000-0005-0000-0000-0000412A0000}"/>
    <cellStyle name="Input 7 2 4 2 2" xfId="36084" xr:uid="{4E0E81C9-024E-43A4-8188-93E35BC0C5B0}"/>
    <cellStyle name="Input 7 2 4 3" xfId="36083" xr:uid="{6D65D669-1037-4CCF-9CAF-B0E2E3D8344E}"/>
    <cellStyle name="Input 7 2 5" xfId="10818" xr:uid="{00000000-0005-0000-0000-0000422A0000}"/>
    <cellStyle name="Input 7 2 5 2" xfId="36085" xr:uid="{7D080FC5-8322-450E-835D-15313042FF9A}"/>
    <cellStyle name="Input 7 2 6" xfId="36070" xr:uid="{60615646-8618-4D4C-BB6E-79D3E52F2D94}"/>
    <cellStyle name="Input 7 3" xfId="10819" xr:uid="{00000000-0005-0000-0000-0000432A0000}"/>
    <cellStyle name="Input 7 3 2" xfId="10820" xr:uid="{00000000-0005-0000-0000-0000442A0000}"/>
    <cellStyle name="Input 7 3 2 2" xfId="10821" xr:uid="{00000000-0005-0000-0000-0000452A0000}"/>
    <cellStyle name="Input 7 3 2 2 2" xfId="36088" xr:uid="{EC254DBC-1E21-43C0-B943-1435A14D733F}"/>
    <cellStyle name="Input 7 3 2 3" xfId="36087" xr:uid="{C74AAC36-9CED-42A3-AD08-82BBF97BF26E}"/>
    <cellStyle name="Input 7 3 3" xfId="10822" xr:uid="{00000000-0005-0000-0000-0000462A0000}"/>
    <cellStyle name="Input 7 3 3 2" xfId="36089" xr:uid="{3DF71F44-3457-4778-9B17-7047C343CA31}"/>
    <cellStyle name="Input 7 3 4" xfId="36086" xr:uid="{D8929E8C-ECD1-4EC0-9511-6875428CD636}"/>
    <cellStyle name="Input 7 4" xfId="10823" xr:uid="{00000000-0005-0000-0000-0000472A0000}"/>
    <cellStyle name="Input 7 4 2" xfId="10824" xr:uid="{00000000-0005-0000-0000-0000482A0000}"/>
    <cellStyle name="Input 7 4 2 2" xfId="10825" xr:uid="{00000000-0005-0000-0000-0000492A0000}"/>
    <cellStyle name="Input 7 4 2 2 2" xfId="10826" xr:uid="{00000000-0005-0000-0000-00004A2A0000}"/>
    <cellStyle name="Input 7 4 2 2 2 2" xfId="10827" xr:uid="{00000000-0005-0000-0000-00004B2A0000}"/>
    <cellStyle name="Input 7 4 2 2 2 2 2" xfId="10828" xr:uid="{00000000-0005-0000-0000-00004C2A0000}"/>
    <cellStyle name="Input 7 4 2 2 2 2 2 2" xfId="36095" xr:uid="{9335B18D-CA5B-453B-866B-6BF15CA6E54D}"/>
    <cellStyle name="Input 7 4 2 2 2 2 3" xfId="36094" xr:uid="{FEA1CF85-0328-4943-85E1-EF9A7AE4AA6A}"/>
    <cellStyle name="Input 7 4 2 2 2 3" xfId="10829" xr:uid="{00000000-0005-0000-0000-00004D2A0000}"/>
    <cellStyle name="Input 7 4 2 2 2 3 2" xfId="36096" xr:uid="{661B2C31-D431-4493-A538-9A8595CAFE99}"/>
    <cellStyle name="Input 7 4 2 2 2 4" xfId="36093" xr:uid="{08964C10-C190-4E98-BB74-49DEE6D055A0}"/>
    <cellStyle name="Input 7 4 2 2 3" xfId="10830" xr:uid="{00000000-0005-0000-0000-00004E2A0000}"/>
    <cellStyle name="Input 7 4 2 2 3 2" xfId="10831" xr:uid="{00000000-0005-0000-0000-00004F2A0000}"/>
    <cellStyle name="Input 7 4 2 2 3 2 2" xfId="36098" xr:uid="{C8A3EB09-74B4-4404-9E69-884DB3C281AD}"/>
    <cellStyle name="Input 7 4 2 2 3 3" xfId="36097" xr:uid="{94ACC95B-F11D-4B38-956A-6C8DD0054C17}"/>
    <cellStyle name="Input 7 4 2 2 4" xfId="10832" xr:uid="{00000000-0005-0000-0000-0000502A0000}"/>
    <cellStyle name="Input 7 4 2 2 4 2" xfId="36099" xr:uid="{73A1FB00-EE57-42DC-9643-B96097E5BE42}"/>
    <cellStyle name="Input 7 4 2 2 5" xfId="36092" xr:uid="{14D51308-EFBD-4D10-AD0C-2C4F703BC3A9}"/>
    <cellStyle name="Input 7 4 2 3" xfId="10833" xr:uid="{00000000-0005-0000-0000-0000512A0000}"/>
    <cellStyle name="Input 7 4 2 3 2" xfId="10834" xr:uid="{00000000-0005-0000-0000-0000522A0000}"/>
    <cellStyle name="Input 7 4 2 3 2 2" xfId="10835" xr:uid="{00000000-0005-0000-0000-0000532A0000}"/>
    <cellStyle name="Input 7 4 2 3 2 2 2" xfId="36102" xr:uid="{B3D8C58E-2AA0-45CA-B531-789D9457DC8B}"/>
    <cellStyle name="Input 7 4 2 3 2 3" xfId="36101" xr:uid="{8770C8FB-CBCA-4930-A93B-77DA42DE4DF0}"/>
    <cellStyle name="Input 7 4 2 3 3" xfId="10836" xr:uid="{00000000-0005-0000-0000-0000542A0000}"/>
    <cellStyle name="Input 7 4 2 3 3 2" xfId="36103" xr:uid="{E8BF31F2-2B0A-417C-91BE-4E17F82707D8}"/>
    <cellStyle name="Input 7 4 2 3 4" xfId="36100" xr:uid="{06BDF820-1809-47BD-9132-3921D2C64A1E}"/>
    <cellStyle name="Input 7 4 2 4" xfId="10837" xr:uid="{00000000-0005-0000-0000-0000552A0000}"/>
    <cellStyle name="Input 7 4 2 4 2" xfId="10838" xr:uid="{00000000-0005-0000-0000-0000562A0000}"/>
    <cellStyle name="Input 7 4 2 4 2 2" xfId="36105" xr:uid="{D6E4D505-6CAC-4291-A7C0-2EB4FA66454C}"/>
    <cellStyle name="Input 7 4 2 4 3" xfId="36104" xr:uid="{36A580A4-3B3A-4251-BA73-C00B62FC5C95}"/>
    <cellStyle name="Input 7 4 2 5" xfId="10839" xr:uid="{00000000-0005-0000-0000-0000572A0000}"/>
    <cellStyle name="Input 7 4 2 5 2" xfId="36106" xr:uid="{B4AC3AB0-BA62-4EBF-AB4B-6D20026C908E}"/>
    <cellStyle name="Input 7 4 2 6" xfId="36091" xr:uid="{1CF0980F-6939-4598-BD30-3B0DF2C5E42D}"/>
    <cellStyle name="Input 7 4 3" xfId="10840" xr:uid="{00000000-0005-0000-0000-0000582A0000}"/>
    <cellStyle name="Input 7 4 3 2" xfId="10841" xr:uid="{00000000-0005-0000-0000-0000592A0000}"/>
    <cellStyle name="Input 7 4 3 2 2" xfId="10842" xr:uid="{00000000-0005-0000-0000-00005A2A0000}"/>
    <cellStyle name="Input 7 4 3 2 2 2" xfId="10843" xr:uid="{00000000-0005-0000-0000-00005B2A0000}"/>
    <cellStyle name="Input 7 4 3 2 2 2 2" xfId="36110" xr:uid="{117AC88A-47E3-4EEB-A6BA-26200815D9A3}"/>
    <cellStyle name="Input 7 4 3 2 2 3" xfId="36109" xr:uid="{16A2F77D-12F9-4B5D-AC9E-CD68C9AB4A18}"/>
    <cellStyle name="Input 7 4 3 2 3" xfId="10844" xr:uid="{00000000-0005-0000-0000-00005C2A0000}"/>
    <cellStyle name="Input 7 4 3 2 3 2" xfId="36111" xr:uid="{25B2E865-60D3-414C-843B-3F50216CAD4E}"/>
    <cellStyle name="Input 7 4 3 2 4" xfId="36108" xr:uid="{BC07A23A-E806-4D40-9935-3ACBC4DB3AC9}"/>
    <cellStyle name="Input 7 4 3 3" xfId="10845" xr:uid="{00000000-0005-0000-0000-00005D2A0000}"/>
    <cellStyle name="Input 7 4 3 3 2" xfId="10846" xr:uid="{00000000-0005-0000-0000-00005E2A0000}"/>
    <cellStyle name="Input 7 4 3 3 2 2" xfId="36113" xr:uid="{B5490D1E-CDE4-43F4-AB9D-91E49BB13CFE}"/>
    <cellStyle name="Input 7 4 3 3 3" xfId="36112" xr:uid="{9E76499C-DAF5-4725-8C75-174F5FA8B042}"/>
    <cellStyle name="Input 7 4 3 4" xfId="10847" xr:uid="{00000000-0005-0000-0000-00005F2A0000}"/>
    <cellStyle name="Input 7 4 3 4 2" xfId="36114" xr:uid="{2D097D5B-FBD2-4382-9DBF-894A25868FEA}"/>
    <cellStyle name="Input 7 4 3 5" xfId="36107" xr:uid="{E15BE1BE-FA21-47F8-BD68-F2C78DC911B9}"/>
    <cellStyle name="Input 7 4 4" xfId="10848" xr:uid="{00000000-0005-0000-0000-0000602A0000}"/>
    <cellStyle name="Input 7 4 4 2" xfId="10849" xr:uid="{00000000-0005-0000-0000-0000612A0000}"/>
    <cellStyle name="Input 7 4 4 2 2" xfId="10850" xr:uid="{00000000-0005-0000-0000-0000622A0000}"/>
    <cellStyle name="Input 7 4 4 2 2 2" xfId="36117" xr:uid="{45ACD2D9-6EDC-4C21-B5CC-50C7C2FDD528}"/>
    <cellStyle name="Input 7 4 4 2 3" xfId="36116" xr:uid="{BEE987DD-75B9-488B-BCDD-63B37136D626}"/>
    <cellStyle name="Input 7 4 4 3" xfId="10851" xr:uid="{00000000-0005-0000-0000-0000632A0000}"/>
    <cellStyle name="Input 7 4 4 3 2" xfId="36118" xr:uid="{8472382E-D082-49F5-9E6A-46FE4746EA1A}"/>
    <cellStyle name="Input 7 4 4 4" xfId="36115" xr:uid="{7F071842-52AF-424C-A18E-AFEB6255A510}"/>
    <cellStyle name="Input 7 4 5" xfId="10852" xr:uid="{00000000-0005-0000-0000-0000642A0000}"/>
    <cellStyle name="Input 7 4 5 2" xfId="10853" xr:uid="{00000000-0005-0000-0000-0000652A0000}"/>
    <cellStyle name="Input 7 4 5 2 2" xfId="36120" xr:uid="{2F08F7D3-4196-4F3F-88C4-7686470871F1}"/>
    <cellStyle name="Input 7 4 5 3" xfId="36119" xr:uid="{2F8DB0BD-041D-42D6-9311-4E15AD41E6CC}"/>
    <cellStyle name="Input 7 4 6" xfId="10854" xr:uid="{00000000-0005-0000-0000-0000662A0000}"/>
    <cellStyle name="Input 7 4 6 2" xfId="36121" xr:uid="{7C1DA0D8-2E91-4B37-B75A-F74F7FC3549D}"/>
    <cellStyle name="Input 7 4 7" xfId="36090" xr:uid="{AF587B5F-A566-4510-8533-DA5DC30C7F59}"/>
    <cellStyle name="Input 7 5" xfId="10855" xr:uid="{00000000-0005-0000-0000-0000672A0000}"/>
    <cellStyle name="Input 7 5 2" xfId="10856" xr:uid="{00000000-0005-0000-0000-0000682A0000}"/>
    <cellStyle name="Input 7 5 2 2" xfId="36123" xr:uid="{4671BB1C-EDBE-4FA3-B8A2-15C7C0C91E80}"/>
    <cellStyle name="Input 7 5 3" xfId="36122" xr:uid="{7007EAA5-9F7D-4EF9-9498-D76BE6FBA641}"/>
    <cellStyle name="Input 7 6" xfId="10857" xr:uid="{00000000-0005-0000-0000-0000692A0000}"/>
    <cellStyle name="Input 7 6 2" xfId="36124" xr:uid="{16D80611-549C-43B5-BB49-7D5EFC6C7D8A}"/>
    <cellStyle name="Input 7 7" xfId="36069" xr:uid="{712297B7-FEF3-4633-B5B1-23BDF774FECF}"/>
    <cellStyle name="Input 70" xfId="10858" xr:uid="{00000000-0005-0000-0000-00006A2A0000}"/>
    <cellStyle name="Input 70 2" xfId="10859" xr:uid="{00000000-0005-0000-0000-00006B2A0000}"/>
    <cellStyle name="Input 70 2 2" xfId="10860" xr:uid="{00000000-0005-0000-0000-00006C2A0000}"/>
    <cellStyle name="Input 70 2 2 2" xfId="10861" xr:uid="{00000000-0005-0000-0000-00006D2A0000}"/>
    <cellStyle name="Input 70 2 2 2 2" xfId="36128" xr:uid="{D6993027-042C-492D-8267-AD4F19742C48}"/>
    <cellStyle name="Input 70 2 2 3" xfId="36127" xr:uid="{F35F0C3A-F307-44BA-89AE-A07E9C1EE718}"/>
    <cellStyle name="Input 70 2 3" xfId="10862" xr:uid="{00000000-0005-0000-0000-00006E2A0000}"/>
    <cellStyle name="Input 70 2 3 2" xfId="36129" xr:uid="{2B0572C1-D5A2-4F47-8DF1-B02F6FFDB215}"/>
    <cellStyle name="Input 70 2 4" xfId="36126" xr:uid="{9B5AE1DB-356A-4ABA-B5B2-1F405A9A21B7}"/>
    <cellStyle name="Input 70 3" xfId="10863" xr:uid="{00000000-0005-0000-0000-00006F2A0000}"/>
    <cellStyle name="Input 70 3 2" xfId="10864" xr:uid="{00000000-0005-0000-0000-0000702A0000}"/>
    <cellStyle name="Input 70 3 2 2" xfId="10865" xr:uid="{00000000-0005-0000-0000-0000712A0000}"/>
    <cellStyle name="Input 70 3 2 2 2" xfId="10866" xr:uid="{00000000-0005-0000-0000-0000722A0000}"/>
    <cellStyle name="Input 70 3 2 2 2 2" xfId="36133" xr:uid="{16DE0BC2-CF8B-494B-8F3B-5AE7626A65CB}"/>
    <cellStyle name="Input 70 3 2 2 3" xfId="36132" xr:uid="{909F9610-6F0A-4E49-8680-A7AC745ED468}"/>
    <cellStyle name="Input 70 3 2 3" xfId="10867" xr:uid="{00000000-0005-0000-0000-0000732A0000}"/>
    <cellStyle name="Input 70 3 2 3 2" xfId="36134" xr:uid="{E38FE38B-2B0E-416D-9EAF-89779AE77E9D}"/>
    <cellStyle name="Input 70 3 2 4" xfId="36131" xr:uid="{081710C3-61DE-4B91-A8AE-FACD240F4B40}"/>
    <cellStyle name="Input 70 3 3" xfId="10868" xr:uid="{00000000-0005-0000-0000-0000742A0000}"/>
    <cellStyle name="Input 70 3 3 2" xfId="10869" xr:uid="{00000000-0005-0000-0000-0000752A0000}"/>
    <cellStyle name="Input 70 3 3 2 2" xfId="36136" xr:uid="{65AC8184-EF6E-4556-AA1C-3D63F33E24DB}"/>
    <cellStyle name="Input 70 3 3 3" xfId="36135" xr:uid="{56C8AF2B-8B81-4487-BCB9-9EF1A60B4745}"/>
    <cellStyle name="Input 70 3 4" xfId="10870" xr:uid="{00000000-0005-0000-0000-0000762A0000}"/>
    <cellStyle name="Input 70 3 4 2" xfId="36137" xr:uid="{02DE9057-2983-4AB2-978E-92AEDAE1D291}"/>
    <cellStyle name="Input 70 3 5" xfId="36130" xr:uid="{8066AE50-C135-44BC-BCAE-98AE03AE0DEC}"/>
    <cellStyle name="Input 70 4" xfId="10871" xr:uid="{00000000-0005-0000-0000-0000772A0000}"/>
    <cellStyle name="Input 70 4 2" xfId="10872" xr:uid="{00000000-0005-0000-0000-0000782A0000}"/>
    <cellStyle name="Input 70 4 2 2" xfId="36139" xr:uid="{7D0DD391-7D16-49A0-9715-DDD792FFA779}"/>
    <cellStyle name="Input 70 4 3" xfId="36138" xr:uid="{44B00026-F06B-440B-9E9A-F15EDE4A6089}"/>
    <cellStyle name="Input 70 5" xfId="10873" xr:uid="{00000000-0005-0000-0000-0000792A0000}"/>
    <cellStyle name="Input 70 5 2" xfId="36140" xr:uid="{7C4CA289-EE69-4696-9DE3-DFF2EDC19FA1}"/>
    <cellStyle name="Input 70 6" xfId="36125" xr:uid="{B4B691DB-5D67-469E-82A6-2B479CBA57D3}"/>
    <cellStyle name="Input 71" xfId="10874" xr:uid="{00000000-0005-0000-0000-00007A2A0000}"/>
    <cellStyle name="Input 71 2" xfId="10875" xr:uid="{00000000-0005-0000-0000-00007B2A0000}"/>
    <cellStyle name="Input 71 2 2" xfId="10876" xr:uid="{00000000-0005-0000-0000-00007C2A0000}"/>
    <cellStyle name="Input 71 2 2 2" xfId="10877" xr:uid="{00000000-0005-0000-0000-00007D2A0000}"/>
    <cellStyle name="Input 71 2 2 2 2" xfId="36144" xr:uid="{B439E3D1-07F0-41AB-BCBE-FA4540AA2037}"/>
    <cellStyle name="Input 71 2 2 3" xfId="36143" xr:uid="{CFC882AE-6A7E-446B-8B91-32FAA02DC1F5}"/>
    <cellStyle name="Input 71 2 3" xfId="10878" xr:uid="{00000000-0005-0000-0000-00007E2A0000}"/>
    <cellStyle name="Input 71 2 3 2" xfId="36145" xr:uid="{5FB1D0F1-CEBB-4D12-A4FF-B004D4228937}"/>
    <cellStyle name="Input 71 2 4" xfId="36142" xr:uid="{6613C274-12E3-4E52-85B2-B92EB559A1E7}"/>
    <cellStyle name="Input 71 3" xfId="10879" xr:uid="{00000000-0005-0000-0000-00007F2A0000}"/>
    <cellStyle name="Input 71 3 2" xfId="10880" xr:uid="{00000000-0005-0000-0000-0000802A0000}"/>
    <cellStyle name="Input 71 3 2 2" xfId="10881" xr:uid="{00000000-0005-0000-0000-0000812A0000}"/>
    <cellStyle name="Input 71 3 2 2 2" xfId="10882" xr:uid="{00000000-0005-0000-0000-0000822A0000}"/>
    <cellStyle name="Input 71 3 2 2 2 2" xfId="36149" xr:uid="{DCFDBD2A-6457-46A1-9340-91A54EA649DA}"/>
    <cellStyle name="Input 71 3 2 2 3" xfId="36148" xr:uid="{718E0A5B-B78C-4BD4-89C5-0FE178BDFFD8}"/>
    <cellStyle name="Input 71 3 2 3" xfId="10883" xr:uid="{00000000-0005-0000-0000-0000832A0000}"/>
    <cellStyle name="Input 71 3 2 3 2" xfId="36150" xr:uid="{9EE7E42B-9203-4F3E-B037-E46784C09780}"/>
    <cellStyle name="Input 71 3 2 4" xfId="36147" xr:uid="{2A075078-416F-47B2-92AE-0BF0CD9EEC77}"/>
    <cellStyle name="Input 71 3 3" xfId="10884" xr:uid="{00000000-0005-0000-0000-0000842A0000}"/>
    <cellStyle name="Input 71 3 3 2" xfId="10885" xr:uid="{00000000-0005-0000-0000-0000852A0000}"/>
    <cellStyle name="Input 71 3 3 2 2" xfId="36152" xr:uid="{F517EA5E-21AC-4C9C-B83A-D42A436126E9}"/>
    <cellStyle name="Input 71 3 3 3" xfId="36151" xr:uid="{34C3AD26-7325-4699-8136-E9BE31FEB510}"/>
    <cellStyle name="Input 71 3 4" xfId="10886" xr:uid="{00000000-0005-0000-0000-0000862A0000}"/>
    <cellStyle name="Input 71 3 4 2" xfId="36153" xr:uid="{9980751C-237E-488E-9D27-6B65D598C88F}"/>
    <cellStyle name="Input 71 3 5" xfId="36146" xr:uid="{A8C2A0B0-1FC2-4372-BC43-025C16A5FB2F}"/>
    <cellStyle name="Input 71 4" xfId="10887" xr:uid="{00000000-0005-0000-0000-0000872A0000}"/>
    <cellStyle name="Input 71 4 2" xfId="10888" xr:uid="{00000000-0005-0000-0000-0000882A0000}"/>
    <cellStyle name="Input 71 4 2 2" xfId="36155" xr:uid="{6E140D44-1E39-41CA-B480-B7845136483B}"/>
    <cellStyle name="Input 71 4 3" xfId="36154" xr:uid="{C0AE6F33-01CF-4770-8E9B-6C7C67C58CD7}"/>
    <cellStyle name="Input 71 5" xfId="10889" xr:uid="{00000000-0005-0000-0000-0000892A0000}"/>
    <cellStyle name="Input 71 5 2" xfId="36156" xr:uid="{E02343BA-E985-483F-B7B8-DE8034D2E0C3}"/>
    <cellStyle name="Input 71 6" xfId="36141" xr:uid="{6CA82BD6-FE66-46B0-869B-D6EBE9B4C928}"/>
    <cellStyle name="Input 72" xfId="10890" xr:uid="{00000000-0005-0000-0000-00008A2A0000}"/>
    <cellStyle name="Input 72 2" xfId="10891" xr:uid="{00000000-0005-0000-0000-00008B2A0000}"/>
    <cellStyle name="Input 72 2 2" xfId="10892" xr:uid="{00000000-0005-0000-0000-00008C2A0000}"/>
    <cellStyle name="Input 72 2 2 2" xfId="10893" xr:uid="{00000000-0005-0000-0000-00008D2A0000}"/>
    <cellStyle name="Input 72 2 2 2 2" xfId="36160" xr:uid="{68BB117F-5EB3-43E0-A575-6A0B00D4B853}"/>
    <cellStyle name="Input 72 2 2 3" xfId="36159" xr:uid="{76704E10-D52C-4684-97CD-506FC1D9B954}"/>
    <cellStyle name="Input 72 2 3" xfId="10894" xr:uid="{00000000-0005-0000-0000-00008E2A0000}"/>
    <cellStyle name="Input 72 2 3 2" xfId="36161" xr:uid="{3AD3B2D5-B2E4-48E3-AC10-2426DEBD9BF2}"/>
    <cellStyle name="Input 72 2 4" xfId="36158" xr:uid="{3C570281-2111-4CEF-89AC-F62EF4349597}"/>
    <cellStyle name="Input 72 3" xfId="10895" xr:uid="{00000000-0005-0000-0000-00008F2A0000}"/>
    <cellStyle name="Input 72 3 2" xfId="10896" xr:uid="{00000000-0005-0000-0000-0000902A0000}"/>
    <cellStyle name="Input 72 3 2 2" xfId="10897" xr:uid="{00000000-0005-0000-0000-0000912A0000}"/>
    <cellStyle name="Input 72 3 2 2 2" xfId="10898" xr:uid="{00000000-0005-0000-0000-0000922A0000}"/>
    <cellStyle name="Input 72 3 2 2 2 2" xfId="36165" xr:uid="{465E45D3-DC9D-4BE9-9EC4-B7C136655EA3}"/>
    <cellStyle name="Input 72 3 2 2 3" xfId="36164" xr:uid="{F6DA1CEF-F06B-443B-945F-26DA6651B69A}"/>
    <cellStyle name="Input 72 3 2 3" xfId="10899" xr:uid="{00000000-0005-0000-0000-0000932A0000}"/>
    <cellStyle name="Input 72 3 2 3 2" xfId="36166" xr:uid="{35154202-E5A1-48E1-8CBD-7E708E6C0ECC}"/>
    <cellStyle name="Input 72 3 2 4" xfId="36163" xr:uid="{5EFDE6CB-2F5E-4479-820D-2E12EAD1E7DE}"/>
    <cellStyle name="Input 72 3 3" xfId="10900" xr:uid="{00000000-0005-0000-0000-0000942A0000}"/>
    <cellStyle name="Input 72 3 3 2" xfId="10901" xr:uid="{00000000-0005-0000-0000-0000952A0000}"/>
    <cellStyle name="Input 72 3 3 2 2" xfId="36168" xr:uid="{CCE14EB3-3798-4FFC-B891-72231FBD20FB}"/>
    <cellStyle name="Input 72 3 3 3" xfId="36167" xr:uid="{50B9E50E-4A35-4425-BD1E-45CF0A0549DC}"/>
    <cellStyle name="Input 72 3 4" xfId="10902" xr:uid="{00000000-0005-0000-0000-0000962A0000}"/>
    <cellStyle name="Input 72 3 4 2" xfId="36169" xr:uid="{80291071-B1F5-4222-8554-D7344497342C}"/>
    <cellStyle name="Input 72 3 5" xfId="36162" xr:uid="{619CFEB9-EAFE-4A9D-8891-10BA021CDA4B}"/>
    <cellStyle name="Input 72 4" xfId="10903" xr:uid="{00000000-0005-0000-0000-0000972A0000}"/>
    <cellStyle name="Input 72 4 2" xfId="10904" xr:uid="{00000000-0005-0000-0000-0000982A0000}"/>
    <cellStyle name="Input 72 4 2 2" xfId="36171" xr:uid="{AE5C5288-C4F9-4FE8-A7C6-E5ED919D9092}"/>
    <cellStyle name="Input 72 4 3" xfId="36170" xr:uid="{EC7BD29A-C474-47E0-AA03-0BBB21261A87}"/>
    <cellStyle name="Input 72 5" xfId="10905" xr:uid="{00000000-0005-0000-0000-0000992A0000}"/>
    <cellStyle name="Input 72 5 2" xfId="36172" xr:uid="{E8E06998-4A25-430E-A3DA-A89628AC9DAD}"/>
    <cellStyle name="Input 72 6" xfId="36157" xr:uid="{6797581D-E5FB-4F84-BEF0-573B1DCD2663}"/>
    <cellStyle name="Input 73" xfId="10906" xr:uid="{00000000-0005-0000-0000-00009A2A0000}"/>
    <cellStyle name="Input 73 2" xfId="10907" xr:uid="{00000000-0005-0000-0000-00009B2A0000}"/>
    <cellStyle name="Input 73 2 2" xfId="10908" xr:uid="{00000000-0005-0000-0000-00009C2A0000}"/>
    <cellStyle name="Input 73 2 2 2" xfId="10909" xr:uid="{00000000-0005-0000-0000-00009D2A0000}"/>
    <cellStyle name="Input 73 2 2 2 2" xfId="36176" xr:uid="{A287DA03-E980-41F3-A1DB-33D4D9687D2D}"/>
    <cellStyle name="Input 73 2 2 3" xfId="36175" xr:uid="{0BA835AA-AFE8-477E-B382-D4C5E355909C}"/>
    <cellStyle name="Input 73 2 3" xfId="10910" xr:uid="{00000000-0005-0000-0000-00009E2A0000}"/>
    <cellStyle name="Input 73 2 3 2" xfId="36177" xr:uid="{EB0C4814-8F47-41BD-9735-7C8E85FD8CDC}"/>
    <cellStyle name="Input 73 2 4" xfId="36174" xr:uid="{461D17AB-EA20-40B2-AABA-251CA8FBDCDE}"/>
    <cellStyle name="Input 73 3" xfId="10911" xr:uid="{00000000-0005-0000-0000-00009F2A0000}"/>
    <cellStyle name="Input 73 3 2" xfId="10912" xr:uid="{00000000-0005-0000-0000-0000A02A0000}"/>
    <cellStyle name="Input 73 3 2 2" xfId="10913" xr:uid="{00000000-0005-0000-0000-0000A12A0000}"/>
    <cellStyle name="Input 73 3 2 2 2" xfId="10914" xr:uid="{00000000-0005-0000-0000-0000A22A0000}"/>
    <cellStyle name="Input 73 3 2 2 2 2" xfId="36181" xr:uid="{9EB42A2F-DB01-40DC-A2F8-6810175FCEA4}"/>
    <cellStyle name="Input 73 3 2 2 3" xfId="36180" xr:uid="{7A67AFDD-8D06-469A-9E4B-AD8FD588526F}"/>
    <cellStyle name="Input 73 3 2 3" xfId="10915" xr:uid="{00000000-0005-0000-0000-0000A32A0000}"/>
    <cellStyle name="Input 73 3 2 3 2" xfId="36182" xr:uid="{C30B5B4D-B855-4A75-B5CC-A8FAACC46740}"/>
    <cellStyle name="Input 73 3 2 4" xfId="36179" xr:uid="{35F23287-832B-4EA7-B3A1-05E39D10C9C9}"/>
    <cellStyle name="Input 73 3 3" xfId="10916" xr:uid="{00000000-0005-0000-0000-0000A42A0000}"/>
    <cellStyle name="Input 73 3 3 2" xfId="10917" xr:uid="{00000000-0005-0000-0000-0000A52A0000}"/>
    <cellStyle name="Input 73 3 3 2 2" xfId="36184" xr:uid="{0C1BCBCB-23C8-4684-A6ED-28E0A151A1A8}"/>
    <cellStyle name="Input 73 3 3 3" xfId="36183" xr:uid="{13D92F3E-38FB-4FBC-ABE1-94FFA17041D6}"/>
    <cellStyle name="Input 73 3 4" xfId="10918" xr:uid="{00000000-0005-0000-0000-0000A62A0000}"/>
    <cellStyle name="Input 73 3 4 2" xfId="36185" xr:uid="{4370B9D4-62D9-450E-9B13-E47E2421E61D}"/>
    <cellStyle name="Input 73 3 5" xfId="36178" xr:uid="{87E9AF54-39FB-43E5-A8C5-86501C7CA50A}"/>
    <cellStyle name="Input 73 4" xfId="10919" xr:uid="{00000000-0005-0000-0000-0000A72A0000}"/>
    <cellStyle name="Input 73 4 2" xfId="10920" xr:uid="{00000000-0005-0000-0000-0000A82A0000}"/>
    <cellStyle name="Input 73 4 2 2" xfId="36187" xr:uid="{D21C1E3D-CF04-48BF-B251-E2EE62FE8DFE}"/>
    <cellStyle name="Input 73 4 3" xfId="36186" xr:uid="{710C054F-60C7-4846-8773-A22F6DD124F2}"/>
    <cellStyle name="Input 73 5" xfId="10921" xr:uid="{00000000-0005-0000-0000-0000A92A0000}"/>
    <cellStyle name="Input 73 5 2" xfId="36188" xr:uid="{95A7F0E7-A9DA-4F90-AA34-873BDD96CAB9}"/>
    <cellStyle name="Input 73 6" xfId="36173" xr:uid="{EC605C76-2DFE-470B-A6E6-091D237CE940}"/>
    <cellStyle name="Input 74" xfId="10922" xr:uid="{00000000-0005-0000-0000-0000AA2A0000}"/>
    <cellStyle name="Input 74 2" xfId="10923" xr:uid="{00000000-0005-0000-0000-0000AB2A0000}"/>
    <cellStyle name="Input 74 2 2" xfId="10924" xr:uid="{00000000-0005-0000-0000-0000AC2A0000}"/>
    <cellStyle name="Input 74 2 2 2" xfId="10925" xr:uid="{00000000-0005-0000-0000-0000AD2A0000}"/>
    <cellStyle name="Input 74 2 2 2 2" xfId="36192" xr:uid="{A83DE277-C735-4707-9237-45ECC6AE150C}"/>
    <cellStyle name="Input 74 2 2 3" xfId="36191" xr:uid="{F35D13FC-D0C5-47E3-A445-0CE92AA56E61}"/>
    <cellStyle name="Input 74 2 3" xfId="10926" xr:uid="{00000000-0005-0000-0000-0000AE2A0000}"/>
    <cellStyle name="Input 74 2 3 2" xfId="36193" xr:uid="{B1496B61-D353-428B-ADAE-EB0481CB9AD2}"/>
    <cellStyle name="Input 74 2 4" xfId="36190" xr:uid="{58CCA851-2683-4A3D-ACA6-06D72B115284}"/>
    <cellStyle name="Input 74 3" xfId="10927" xr:uid="{00000000-0005-0000-0000-0000AF2A0000}"/>
    <cellStyle name="Input 74 3 2" xfId="10928" xr:uid="{00000000-0005-0000-0000-0000B02A0000}"/>
    <cellStyle name="Input 74 3 2 2" xfId="10929" xr:uid="{00000000-0005-0000-0000-0000B12A0000}"/>
    <cellStyle name="Input 74 3 2 2 2" xfId="10930" xr:uid="{00000000-0005-0000-0000-0000B22A0000}"/>
    <cellStyle name="Input 74 3 2 2 2 2" xfId="36197" xr:uid="{EDE86FE3-843A-4135-AF34-BA03402BD9CC}"/>
    <cellStyle name="Input 74 3 2 2 3" xfId="36196" xr:uid="{17736043-9630-454B-92FD-C0AC9F1DD0DB}"/>
    <cellStyle name="Input 74 3 2 3" xfId="10931" xr:uid="{00000000-0005-0000-0000-0000B32A0000}"/>
    <cellStyle name="Input 74 3 2 3 2" xfId="36198" xr:uid="{4A996753-0353-4E97-B776-FEA28352D0CF}"/>
    <cellStyle name="Input 74 3 2 4" xfId="36195" xr:uid="{6C7DB10D-AF0C-4454-AA35-4E93AD5CCF42}"/>
    <cellStyle name="Input 74 3 3" xfId="10932" xr:uid="{00000000-0005-0000-0000-0000B42A0000}"/>
    <cellStyle name="Input 74 3 3 2" xfId="10933" xr:uid="{00000000-0005-0000-0000-0000B52A0000}"/>
    <cellStyle name="Input 74 3 3 2 2" xfId="36200" xr:uid="{FE0C0872-0676-4F26-AAF7-CA005586AF1E}"/>
    <cellStyle name="Input 74 3 3 3" xfId="36199" xr:uid="{6F5C0630-B4DD-4E19-B2B8-A34EDBB687AA}"/>
    <cellStyle name="Input 74 3 4" xfId="10934" xr:uid="{00000000-0005-0000-0000-0000B62A0000}"/>
    <cellStyle name="Input 74 3 4 2" xfId="36201" xr:uid="{AB0D2B56-6731-455F-92A9-FD92BF60D70E}"/>
    <cellStyle name="Input 74 3 5" xfId="36194" xr:uid="{BDFF326B-B625-4AC8-898D-BE76F90A04E4}"/>
    <cellStyle name="Input 74 4" xfId="10935" xr:uid="{00000000-0005-0000-0000-0000B72A0000}"/>
    <cellStyle name="Input 74 4 2" xfId="10936" xr:uid="{00000000-0005-0000-0000-0000B82A0000}"/>
    <cellStyle name="Input 74 4 2 2" xfId="36203" xr:uid="{D73FF2FD-D58A-4A36-BB02-A3B27402BF91}"/>
    <cellStyle name="Input 74 4 3" xfId="36202" xr:uid="{21CB1BB6-3063-4E12-A063-16AD72C11001}"/>
    <cellStyle name="Input 74 5" xfId="10937" xr:uid="{00000000-0005-0000-0000-0000B92A0000}"/>
    <cellStyle name="Input 74 5 2" xfId="36204" xr:uid="{BD57D6D7-FA05-4D35-A13D-6DE80D178AE6}"/>
    <cellStyle name="Input 74 6" xfId="36189" xr:uid="{4B82DF2F-DD52-4B4D-B1C6-2BA4657D95C8}"/>
    <cellStyle name="Input 75" xfId="10938" xr:uid="{00000000-0005-0000-0000-0000BA2A0000}"/>
    <cellStyle name="Input 75 2" xfId="10939" xr:uid="{00000000-0005-0000-0000-0000BB2A0000}"/>
    <cellStyle name="Input 75 2 2" xfId="10940" xr:uid="{00000000-0005-0000-0000-0000BC2A0000}"/>
    <cellStyle name="Input 75 2 2 2" xfId="10941" xr:uid="{00000000-0005-0000-0000-0000BD2A0000}"/>
    <cellStyle name="Input 75 2 2 2 2" xfId="36208" xr:uid="{6532EE77-A4D2-4983-B9CF-D5D4F9A2E6AF}"/>
    <cellStyle name="Input 75 2 2 3" xfId="36207" xr:uid="{18598B8F-6889-4E29-BC5A-96860B23E59D}"/>
    <cellStyle name="Input 75 2 3" xfId="10942" xr:uid="{00000000-0005-0000-0000-0000BE2A0000}"/>
    <cellStyle name="Input 75 2 3 2" xfId="36209" xr:uid="{5F51DAB0-A2A0-4317-9095-E4F1B8704EB1}"/>
    <cellStyle name="Input 75 2 4" xfId="36206" xr:uid="{2CC4EAF5-B249-4010-94BC-4AA56B5899B4}"/>
    <cellStyle name="Input 75 3" xfId="10943" xr:uid="{00000000-0005-0000-0000-0000BF2A0000}"/>
    <cellStyle name="Input 75 3 2" xfId="10944" xr:uid="{00000000-0005-0000-0000-0000C02A0000}"/>
    <cellStyle name="Input 75 3 2 2" xfId="10945" xr:uid="{00000000-0005-0000-0000-0000C12A0000}"/>
    <cellStyle name="Input 75 3 2 2 2" xfId="10946" xr:uid="{00000000-0005-0000-0000-0000C22A0000}"/>
    <cellStyle name="Input 75 3 2 2 2 2" xfId="36213" xr:uid="{785398F6-B67B-47AC-B3DE-D60A5409570C}"/>
    <cellStyle name="Input 75 3 2 2 3" xfId="36212" xr:uid="{2C5DCF02-28D0-4B44-8AC7-2DA77871A733}"/>
    <cellStyle name="Input 75 3 2 3" xfId="10947" xr:uid="{00000000-0005-0000-0000-0000C32A0000}"/>
    <cellStyle name="Input 75 3 2 3 2" xfId="36214" xr:uid="{82AB9C3E-CE93-4D96-A7C9-48E033F1BBF8}"/>
    <cellStyle name="Input 75 3 2 4" xfId="36211" xr:uid="{C4B4EBDF-6B32-4842-81ED-81B278C47E4E}"/>
    <cellStyle name="Input 75 3 3" xfId="10948" xr:uid="{00000000-0005-0000-0000-0000C42A0000}"/>
    <cellStyle name="Input 75 3 3 2" xfId="10949" xr:uid="{00000000-0005-0000-0000-0000C52A0000}"/>
    <cellStyle name="Input 75 3 3 2 2" xfId="36216" xr:uid="{B70870A6-720B-45D3-8C53-47829D8052DC}"/>
    <cellStyle name="Input 75 3 3 3" xfId="36215" xr:uid="{10966B5E-4EC0-4D8F-84C6-C8E9D0C980C7}"/>
    <cellStyle name="Input 75 3 4" xfId="10950" xr:uid="{00000000-0005-0000-0000-0000C62A0000}"/>
    <cellStyle name="Input 75 3 4 2" xfId="36217" xr:uid="{4602DA47-EE8C-4D2F-9CEF-A188B9955B2A}"/>
    <cellStyle name="Input 75 3 5" xfId="36210" xr:uid="{2CDD5F48-9D87-43F6-926B-9C765C2397CC}"/>
    <cellStyle name="Input 75 4" xfId="10951" xr:uid="{00000000-0005-0000-0000-0000C72A0000}"/>
    <cellStyle name="Input 75 4 2" xfId="10952" xr:uid="{00000000-0005-0000-0000-0000C82A0000}"/>
    <cellStyle name="Input 75 4 2 2" xfId="36219" xr:uid="{9280D322-F9E6-44CA-BA0F-F690A045BA4E}"/>
    <cellStyle name="Input 75 4 3" xfId="36218" xr:uid="{3233B7C2-2876-4CDF-8C7F-730F786D3DB6}"/>
    <cellStyle name="Input 75 5" xfId="10953" xr:uid="{00000000-0005-0000-0000-0000C92A0000}"/>
    <cellStyle name="Input 75 5 2" xfId="36220" xr:uid="{C592C5B4-3355-4FCF-B15C-1C240040CF49}"/>
    <cellStyle name="Input 75 6" xfId="36205" xr:uid="{C9B45AC7-ED54-4F2E-B545-1C08BFAEC1D1}"/>
    <cellStyle name="Input 76" xfId="10954" xr:uid="{00000000-0005-0000-0000-0000CA2A0000}"/>
    <cellStyle name="Input 76 2" xfId="10955" xr:uid="{00000000-0005-0000-0000-0000CB2A0000}"/>
    <cellStyle name="Input 76 2 2" xfId="10956" xr:uid="{00000000-0005-0000-0000-0000CC2A0000}"/>
    <cellStyle name="Input 76 2 2 2" xfId="10957" xr:uid="{00000000-0005-0000-0000-0000CD2A0000}"/>
    <cellStyle name="Input 76 2 2 2 2" xfId="36224" xr:uid="{3C149BDD-9FA2-474F-B8A2-81834AB0CE54}"/>
    <cellStyle name="Input 76 2 2 3" xfId="36223" xr:uid="{8627B5AE-3D8D-4821-80E7-35A04F2891C8}"/>
    <cellStyle name="Input 76 2 3" xfId="10958" xr:uid="{00000000-0005-0000-0000-0000CE2A0000}"/>
    <cellStyle name="Input 76 2 3 2" xfId="36225" xr:uid="{7B0CF576-006C-470F-8D45-9743EC7308A1}"/>
    <cellStyle name="Input 76 2 4" xfId="36222" xr:uid="{D5ED2EA8-18A9-48E3-BBE0-1469472295B0}"/>
    <cellStyle name="Input 76 3" xfId="10959" xr:uid="{00000000-0005-0000-0000-0000CF2A0000}"/>
    <cellStyle name="Input 76 3 2" xfId="10960" xr:uid="{00000000-0005-0000-0000-0000D02A0000}"/>
    <cellStyle name="Input 76 3 2 2" xfId="10961" xr:uid="{00000000-0005-0000-0000-0000D12A0000}"/>
    <cellStyle name="Input 76 3 2 2 2" xfId="10962" xr:uid="{00000000-0005-0000-0000-0000D22A0000}"/>
    <cellStyle name="Input 76 3 2 2 2 2" xfId="36229" xr:uid="{6051F79D-B700-4F8B-9A96-67EF0D1FE4A3}"/>
    <cellStyle name="Input 76 3 2 2 3" xfId="36228" xr:uid="{73133276-11C3-4E4A-83BE-DC7F4C6E630E}"/>
    <cellStyle name="Input 76 3 2 3" xfId="10963" xr:uid="{00000000-0005-0000-0000-0000D32A0000}"/>
    <cellStyle name="Input 76 3 2 3 2" xfId="36230" xr:uid="{C6693510-72A3-4716-BD0D-5D54D5616225}"/>
    <cellStyle name="Input 76 3 2 4" xfId="36227" xr:uid="{F2F3BAB1-FAB9-4CD1-ABCF-B90AE37B2FE6}"/>
    <cellStyle name="Input 76 3 3" xfId="10964" xr:uid="{00000000-0005-0000-0000-0000D42A0000}"/>
    <cellStyle name="Input 76 3 3 2" xfId="10965" xr:uid="{00000000-0005-0000-0000-0000D52A0000}"/>
    <cellStyle name="Input 76 3 3 2 2" xfId="36232" xr:uid="{6BE54B36-ADD7-4BAB-A73F-BE419D691F6D}"/>
    <cellStyle name="Input 76 3 3 3" xfId="36231" xr:uid="{D98CAA7A-28DC-4A0D-9AC5-808717CF7D6F}"/>
    <cellStyle name="Input 76 3 4" xfId="10966" xr:uid="{00000000-0005-0000-0000-0000D62A0000}"/>
    <cellStyle name="Input 76 3 4 2" xfId="36233" xr:uid="{D34D2E41-5947-4973-BFE2-401672BEF617}"/>
    <cellStyle name="Input 76 3 5" xfId="36226" xr:uid="{712216E0-9680-47C1-A03C-F160C8F6FF9F}"/>
    <cellStyle name="Input 76 4" xfId="10967" xr:uid="{00000000-0005-0000-0000-0000D72A0000}"/>
    <cellStyle name="Input 76 4 2" xfId="10968" xr:uid="{00000000-0005-0000-0000-0000D82A0000}"/>
    <cellStyle name="Input 76 4 2 2" xfId="36235" xr:uid="{44227A81-34F8-494D-8BC7-BF5F885C7BB4}"/>
    <cellStyle name="Input 76 4 3" xfId="36234" xr:uid="{BBAED49C-1AF2-4E5E-A553-237A66AC3C37}"/>
    <cellStyle name="Input 76 5" xfId="10969" xr:uid="{00000000-0005-0000-0000-0000D92A0000}"/>
    <cellStyle name="Input 76 5 2" xfId="36236" xr:uid="{7D235A91-9307-4344-A769-EF17FF2018D4}"/>
    <cellStyle name="Input 76 6" xfId="36221" xr:uid="{C459371D-8962-4A15-84D9-AD9B9DAE6DBC}"/>
    <cellStyle name="Input 77" xfId="10970" xr:uid="{00000000-0005-0000-0000-0000DA2A0000}"/>
    <cellStyle name="Input 77 2" xfId="10971" xr:uid="{00000000-0005-0000-0000-0000DB2A0000}"/>
    <cellStyle name="Input 77 2 2" xfId="10972" xr:uid="{00000000-0005-0000-0000-0000DC2A0000}"/>
    <cellStyle name="Input 77 2 2 2" xfId="10973" xr:uid="{00000000-0005-0000-0000-0000DD2A0000}"/>
    <cellStyle name="Input 77 2 2 2 2" xfId="36240" xr:uid="{1D06235C-821C-46D1-92EF-A3231C3E1E1A}"/>
    <cellStyle name="Input 77 2 2 3" xfId="36239" xr:uid="{00472474-1EE6-4169-A8FB-3C4EE15960BC}"/>
    <cellStyle name="Input 77 2 3" xfId="10974" xr:uid="{00000000-0005-0000-0000-0000DE2A0000}"/>
    <cellStyle name="Input 77 2 3 2" xfId="36241" xr:uid="{A19853C8-1A57-4DF6-993B-45E2A55EF03D}"/>
    <cellStyle name="Input 77 2 4" xfId="36238" xr:uid="{89D24FDA-02C4-4607-A097-3719F86F58D1}"/>
    <cellStyle name="Input 77 3" xfId="10975" xr:uid="{00000000-0005-0000-0000-0000DF2A0000}"/>
    <cellStyle name="Input 77 3 2" xfId="10976" xr:uid="{00000000-0005-0000-0000-0000E02A0000}"/>
    <cellStyle name="Input 77 3 2 2" xfId="10977" xr:uid="{00000000-0005-0000-0000-0000E12A0000}"/>
    <cellStyle name="Input 77 3 2 2 2" xfId="10978" xr:uid="{00000000-0005-0000-0000-0000E22A0000}"/>
    <cellStyle name="Input 77 3 2 2 2 2" xfId="36245" xr:uid="{64862A93-8B15-4166-A166-35B677CDCC67}"/>
    <cellStyle name="Input 77 3 2 2 3" xfId="36244" xr:uid="{A60DAB00-3C88-40D1-AF17-417B4C71CADD}"/>
    <cellStyle name="Input 77 3 2 3" xfId="10979" xr:uid="{00000000-0005-0000-0000-0000E32A0000}"/>
    <cellStyle name="Input 77 3 2 3 2" xfId="36246" xr:uid="{91AB7174-263D-4BCE-822B-AD287E0965AF}"/>
    <cellStyle name="Input 77 3 2 4" xfId="36243" xr:uid="{EB80709B-C956-4C4B-9C1D-B9AD89932281}"/>
    <cellStyle name="Input 77 3 3" xfId="10980" xr:uid="{00000000-0005-0000-0000-0000E42A0000}"/>
    <cellStyle name="Input 77 3 3 2" xfId="10981" xr:uid="{00000000-0005-0000-0000-0000E52A0000}"/>
    <cellStyle name="Input 77 3 3 2 2" xfId="36248" xr:uid="{BDA7C14C-0619-46BB-9501-0A6DAC975326}"/>
    <cellStyle name="Input 77 3 3 3" xfId="36247" xr:uid="{3DC4CEB1-BD7E-4604-8AC2-D4073921FD10}"/>
    <cellStyle name="Input 77 3 4" xfId="10982" xr:uid="{00000000-0005-0000-0000-0000E62A0000}"/>
    <cellStyle name="Input 77 3 4 2" xfId="36249" xr:uid="{82736809-6A8B-451F-9297-BCA47840B2E4}"/>
    <cellStyle name="Input 77 3 5" xfId="36242" xr:uid="{749B95AC-DDD5-4889-AF0D-8AB913614AC4}"/>
    <cellStyle name="Input 77 4" xfId="10983" xr:uid="{00000000-0005-0000-0000-0000E72A0000}"/>
    <cellStyle name="Input 77 4 2" xfId="10984" xr:uid="{00000000-0005-0000-0000-0000E82A0000}"/>
    <cellStyle name="Input 77 4 2 2" xfId="36251" xr:uid="{76958CA4-5BC0-4B8B-841B-A0BE71C7E869}"/>
    <cellStyle name="Input 77 4 3" xfId="36250" xr:uid="{2FDC6DFF-7FF3-44E7-A04E-A32D52E8AAF5}"/>
    <cellStyle name="Input 77 5" xfId="10985" xr:uid="{00000000-0005-0000-0000-0000E92A0000}"/>
    <cellStyle name="Input 77 5 2" xfId="36252" xr:uid="{1B2F16ED-68B1-448A-9253-57632F67B2F5}"/>
    <cellStyle name="Input 77 6" xfId="36237" xr:uid="{A9DA6CA0-C349-429C-AC22-0620EEE96598}"/>
    <cellStyle name="Input 78" xfId="10986" xr:uid="{00000000-0005-0000-0000-0000EA2A0000}"/>
    <cellStyle name="Input 78 2" xfId="10987" xr:uid="{00000000-0005-0000-0000-0000EB2A0000}"/>
    <cellStyle name="Input 78 2 2" xfId="10988" xr:uid="{00000000-0005-0000-0000-0000EC2A0000}"/>
    <cellStyle name="Input 78 2 2 2" xfId="10989" xr:uid="{00000000-0005-0000-0000-0000ED2A0000}"/>
    <cellStyle name="Input 78 2 2 2 2" xfId="36256" xr:uid="{2EB388A7-9877-448A-8776-DB158F912B89}"/>
    <cellStyle name="Input 78 2 2 3" xfId="36255" xr:uid="{7A17DF47-722B-4F42-B01C-C27441B39DD4}"/>
    <cellStyle name="Input 78 2 3" xfId="10990" xr:uid="{00000000-0005-0000-0000-0000EE2A0000}"/>
    <cellStyle name="Input 78 2 3 2" xfId="36257" xr:uid="{05FC4618-0021-40C6-A698-CB1D35C03730}"/>
    <cellStyle name="Input 78 2 4" xfId="36254" xr:uid="{1F43BF27-80F6-46D8-8616-1EBF5C3BD273}"/>
    <cellStyle name="Input 78 3" xfId="10991" xr:uid="{00000000-0005-0000-0000-0000EF2A0000}"/>
    <cellStyle name="Input 78 3 2" xfId="10992" xr:uid="{00000000-0005-0000-0000-0000F02A0000}"/>
    <cellStyle name="Input 78 3 2 2" xfId="10993" xr:uid="{00000000-0005-0000-0000-0000F12A0000}"/>
    <cellStyle name="Input 78 3 2 2 2" xfId="10994" xr:uid="{00000000-0005-0000-0000-0000F22A0000}"/>
    <cellStyle name="Input 78 3 2 2 2 2" xfId="36261" xr:uid="{87FB2A26-CDEB-4CD6-82A5-CFB162C44314}"/>
    <cellStyle name="Input 78 3 2 2 3" xfId="36260" xr:uid="{1C320B59-CD9F-4810-A6E0-CBEA9567E2D5}"/>
    <cellStyle name="Input 78 3 2 3" xfId="10995" xr:uid="{00000000-0005-0000-0000-0000F32A0000}"/>
    <cellStyle name="Input 78 3 2 3 2" xfId="36262" xr:uid="{9FC2495B-3FCB-42A0-A9BA-92587B6D6828}"/>
    <cellStyle name="Input 78 3 2 4" xfId="36259" xr:uid="{B654D356-2E4F-41E8-AC56-346E03519CD5}"/>
    <cellStyle name="Input 78 3 3" xfId="10996" xr:uid="{00000000-0005-0000-0000-0000F42A0000}"/>
    <cellStyle name="Input 78 3 3 2" xfId="10997" xr:uid="{00000000-0005-0000-0000-0000F52A0000}"/>
    <cellStyle name="Input 78 3 3 2 2" xfId="36264" xr:uid="{B40288DF-6B0A-4EFD-B10C-C1511FEB1B26}"/>
    <cellStyle name="Input 78 3 3 3" xfId="36263" xr:uid="{2CE6B00E-89A8-437A-AEC8-C85C4E1341F4}"/>
    <cellStyle name="Input 78 3 4" xfId="10998" xr:uid="{00000000-0005-0000-0000-0000F62A0000}"/>
    <cellStyle name="Input 78 3 4 2" xfId="36265" xr:uid="{A7C0B987-02A7-441D-9992-3ACF48869148}"/>
    <cellStyle name="Input 78 3 5" xfId="36258" xr:uid="{5B2C1CF4-323D-464E-892C-B50C06E9A729}"/>
    <cellStyle name="Input 78 4" xfId="10999" xr:uid="{00000000-0005-0000-0000-0000F72A0000}"/>
    <cellStyle name="Input 78 4 2" xfId="11000" xr:uid="{00000000-0005-0000-0000-0000F82A0000}"/>
    <cellStyle name="Input 78 4 2 2" xfId="36267" xr:uid="{8DCEA46D-64BB-403C-B00D-1387B396BA1C}"/>
    <cellStyle name="Input 78 4 3" xfId="36266" xr:uid="{88F5FC56-07AD-42E9-82F9-C06214E73BEB}"/>
    <cellStyle name="Input 78 5" xfId="11001" xr:uid="{00000000-0005-0000-0000-0000F92A0000}"/>
    <cellStyle name="Input 78 5 2" xfId="36268" xr:uid="{3BDAB208-776D-48AA-B985-14DC0699323C}"/>
    <cellStyle name="Input 78 6" xfId="36253" xr:uid="{04A94CEE-896A-48A9-938C-2C13DF47632E}"/>
    <cellStyle name="Input 79" xfId="11002" xr:uid="{00000000-0005-0000-0000-0000FA2A0000}"/>
    <cellStyle name="Input 79 2" xfId="11003" xr:uid="{00000000-0005-0000-0000-0000FB2A0000}"/>
    <cellStyle name="Input 79 2 2" xfId="11004" xr:uid="{00000000-0005-0000-0000-0000FC2A0000}"/>
    <cellStyle name="Input 79 2 2 2" xfId="11005" xr:uid="{00000000-0005-0000-0000-0000FD2A0000}"/>
    <cellStyle name="Input 79 2 2 2 2" xfId="36272" xr:uid="{FECD77CC-D0A9-4BC3-A2D0-C6889EF3C1FC}"/>
    <cellStyle name="Input 79 2 2 3" xfId="36271" xr:uid="{AF9FE39C-F5CE-41E0-8F97-31927D86D858}"/>
    <cellStyle name="Input 79 2 3" xfId="11006" xr:uid="{00000000-0005-0000-0000-0000FE2A0000}"/>
    <cellStyle name="Input 79 2 3 2" xfId="36273" xr:uid="{D020EC09-07AA-4811-87AB-B26C0C5B4027}"/>
    <cellStyle name="Input 79 2 4" xfId="36270" xr:uid="{8B55F8AB-495B-4ECB-8385-FE3F9E679D81}"/>
    <cellStyle name="Input 79 3" xfId="11007" xr:uid="{00000000-0005-0000-0000-0000FF2A0000}"/>
    <cellStyle name="Input 79 3 2" xfId="11008" xr:uid="{00000000-0005-0000-0000-0000002B0000}"/>
    <cellStyle name="Input 79 3 2 2" xfId="11009" xr:uid="{00000000-0005-0000-0000-0000012B0000}"/>
    <cellStyle name="Input 79 3 2 2 2" xfId="11010" xr:uid="{00000000-0005-0000-0000-0000022B0000}"/>
    <cellStyle name="Input 79 3 2 2 2 2" xfId="36277" xr:uid="{F0FCF253-D533-41FA-BDD9-AF3DB1172415}"/>
    <cellStyle name="Input 79 3 2 2 3" xfId="36276" xr:uid="{58AA70A9-0247-40DE-801A-3A6DA15600CB}"/>
    <cellStyle name="Input 79 3 2 3" xfId="11011" xr:uid="{00000000-0005-0000-0000-0000032B0000}"/>
    <cellStyle name="Input 79 3 2 3 2" xfId="36278" xr:uid="{AEE2A9A6-4C11-4AF1-AA61-EE913FCA3267}"/>
    <cellStyle name="Input 79 3 2 4" xfId="36275" xr:uid="{35DD5EAF-E48C-4ECC-9767-7850AA7FDE75}"/>
    <cellStyle name="Input 79 3 3" xfId="11012" xr:uid="{00000000-0005-0000-0000-0000042B0000}"/>
    <cellStyle name="Input 79 3 3 2" xfId="11013" xr:uid="{00000000-0005-0000-0000-0000052B0000}"/>
    <cellStyle name="Input 79 3 3 2 2" xfId="36280" xr:uid="{CAA54B7B-557D-40E1-A11C-4BE2DE183E5F}"/>
    <cellStyle name="Input 79 3 3 3" xfId="36279" xr:uid="{3AFC7A21-200E-4756-A2E0-FDC1EADEE33D}"/>
    <cellStyle name="Input 79 3 4" xfId="11014" xr:uid="{00000000-0005-0000-0000-0000062B0000}"/>
    <cellStyle name="Input 79 3 4 2" xfId="36281" xr:uid="{6CAEC242-A993-47AA-8538-777249F3516E}"/>
    <cellStyle name="Input 79 3 5" xfId="36274" xr:uid="{6D7D8701-F441-4034-86A6-872F7B0210D9}"/>
    <cellStyle name="Input 79 4" xfId="11015" xr:uid="{00000000-0005-0000-0000-0000072B0000}"/>
    <cellStyle name="Input 79 4 2" xfId="11016" xr:uid="{00000000-0005-0000-0000-0000082B0000}"/>
    <cellStyle name="Input 79 4 2 2" xfId="36283" xr:uid="{28B55E40-F901-4568-BEE6-14D1F388C4C7}"/>
    <cellStyle name="Input 79 4 3" xfId="36282" xr:uid="{CF8B71C1-DAFD-4239-A162-E4D962F0CF8F}"/>
    <cellStyle name="Input 79 5" xfId="11017" xr:uid="{00000000-0005-0000-0000-0000092B0000}"/>
    <cellStyle name="Input 79 5 2" xfId="36284" xr:uid="{C2B3688D-0F40-4EBF-8C78-510A17F8B283}"/>
    <cellStyle name="Input 79 6" xfId="36269" xr:uid="{EAF5ED76-F40D-48A1-A136-E513AC9C7D41}"/>
    <cellStyle name="Input 8" xfId="11018" xr:uid="{00000000-0005-0000-0000-00000A2B0000}"/>
    <cellStyle name="Input 8 2" xfId="11019" xr:uid="{00000000-0005-0000-0000-00000B2B0000}"/>
    <cellStyle name="Input 8 2 2" xfId="11020" xr:uid="{00000000-0005-0000-0000-00000C2B0000}"/>
    <cellStyle name="Input 8 2 2 2" xfId="11021" xr:uid="{00000000-0005-0000-0000-00000D2B0000}"/>
    <cellStyle name="Input 8 2 2 2 2" xfId="36288" xr:uid="{3C4BACA1-450B-4970-880A-FBA3D5BD9951}"/>
    <cellStyle name="Input 8 2 2 3" xfId="36287" xr:uid="{6F3D1E13-BFDE-45D6-BF8A-45A14217FE83}"/>
    <cellStyle name="Input 8 2 3" xfId="11022" xr:uid="{00000000-0005-0000-0000-00000E2B0000}"/>
    <cellStyle name="Input 8 2 3 2" xfId="36289" xr:uid="{44417702-49E8-4224-AD06-E7C3E1430883}"/>
    <cellStyle name="Input 8 2 4" xfId="36286" xr:uid="{1E6D6795-D999-4EA3-930B-651566E00B9D}"/>
    <cellStyle name="Input 8 3" xfId="11023" xr:uid="{00000000-0005-0000-0000-00000F2B0000}"/>
    <cellStyle name="Input 8 3 2" xfId="11024" xr:uid="{00000000-0005-0000-0000-0000102B0000}"/>
    <cellStyle name="Input 8 3 2 2" xfId="36291" xr:uid="{887DB476-5382-46FB-8BEE-7BE3EDEA9AAA}"/>
    <cellStyle name="Input 8 3 3" xfId="36290" xr:uid="{133F695C-1D54-4F1F-B094-62EC2D61C2C5}"/>
    <cellStyle name="Input 8 4" xfId="11025" xr:uid="{00000000-0005-0000-0000-0000112B0000}"/>
    <cellStyle name="Input 8 4 2" xfId="36292" xr:uid="{0C2FB713-A8BF-4541-84E2-9DA2F2D399A7}"/>
    <cellStyle name="Input 8 5" xfId="36285" xr:uid="{E992B0D5-C141-4A8C-A113-90085B35C825}"/>
    <cellStyle name="Input 80" xfId="11026" xr:uid="{00000000-0005-0000-0000-0000122B0000}"/>
    <cellStyle name="Input 80 2" xfId="11027" xr:uid="{00000000-0005-0000-0000-0000132B0000}"/>
    <cellStyle name="Input 80 2 2" xfId="11028" xr:uid="{00000000-0005-0000-0000-0000142B0000}"/>
    <cellStyle name="Input 80 2 2 2" xfId="11029" xr:uid="{00000000-0005-0000-0000-0000152B0000}"/>
    <cellStyle name="Input 80 2 2 2 2" xfId="36296" xr:uid="{328AF41E-E04A-43DF-9D5B-2DBD996344E2}"/>
    <cellStyle name="Input 80 2 2 3" xfId="36295" xr:uid="{AC0A286E-8F9B-49C1-8077-0F8B4F04498E}"/>
    <cellStyle name="Input 80 2 3" xfId="11030" xr:uid="{00000000-0005-0000-0000-0000162B0000}"/>
    <cellStyle name="Input 80 2 3 2" xfId="36297" xr:uid="{DC295B07-AE3D-43D3-8F2F-1B339ABB64D1}"/>
    <cellStyle name="Input 80 2 4" xfId="36294" xr:uid="{10AB5DD8-2C11-44A2-844F-DFFD886D5476}"/>
    <cellStyle name="Input 80 3" xfId="11031" xr:uid="{00000000-0005-0000-0000-0000172B0000}"/>
    <cellStyle name="Input 80 3 2" xfId="11032" xr:uid="{00000000-0005-0000-0000-0000182B0000}"/>
    <cellStyle name="Input 80 3 2 2" xfId="11033" xr:uid="{00000000-0005-0000-0000-0000192B0000}"/>
    <cellStyle name="Input 80 3 2 2 2" xfId="11034" xr:uid="{00000000-0005-0000-0000-00001A2B0000}"/>
    <cellStyle name="Input 80 3 2 2 2 2" xfId="36301" xr:uid="{14213A4B-E092-4C5A-BC38-71EA3AB40DB8}"/>
    <cellStyle name="Input 80 3 2 2 3" xfId="36300" xr:uid="{E3FBE351-8DA3-4031-A830-E057707316DF}"/>
    <cellStyle name="Input 80 3 2 3" xfId="11035" xr:uid="{00000000-0005-0000-0000-00001B2B0000}"/>
    <cellStyle name="Input 80 3 2 3 2" xfId="36302" xr:uid="{344EA264-B82D-4123-882D-3D1C2D73D9D5}"/>
    <cellStyle name="Input 80 3 2 4" xfId="36299" xr:uid="{77A71BB8-AEB5-4FFC-9DAB-8B66C4126143}"/>
    <cellStyle name="Input 80 3 3" xfId="11036" xr:uid="{00000000-0005-0000-0000-00001C2B0000}"/>
    <cellStyle name="Input 80 3 3 2" xfId="11037" xr:uid="{00000000-0005-0000-0000-00001D2B0000}"/>
    <cellStyle name="Input 80 3 3 2 2" xfId="36304" xr:uid="{A150AF0B-C8F2-47FE-8757-557B7564E341}"/>
    <cellStyle name="Input 80 3 3 3" xfId="36303" xr:uid="{9AF2CDFD-6A3D-4C25-B6AB-BC8E9A7ECD9A}"/>
    <cellStyle name="Input 80 3 4" xfId="11038" xr:uid="{00000000-0005-0000-0000-00001E2B0000}"/>
    <cellStyle name="Input 80 3 4 2" xfId="36305" xr:uid="{59A02244-E56A-4F55-8EC4-8BFC339735A8}"/>
    <cellStyle name="Input 80 3 5" xfId="36298" xr:uid="{7B6287B2-6C20-478F-95CF-5E45DD063513}"/>
    <cellStyle name="Input 80 4" xfId="11039" xr:uid="{00000000-0005-0000-0000-00001F2B0000}"/>
    <cellStyle name="Input 80 4 2" xfId="11040" xr:uid="{00000000-0005-0000-0000-0000202B0000}"/>
    <cellStyle name="Input 80 4 2 2" xfId="36307" xr:uid="{CC6DC8E7-8A50-4868-A71B-ABD4031B9078}"/>
    <cellStyle name="Input 80 4 3" xfId="36306" xr:uid="{3A50F559-5E42-45D8-B071-4E23AA151869}"/>
    <cellStyle name="Input 80 5" xfId="11041" xr:uid="{00000000-0005-0000-0000-0000212B0000}"/>
    <cellStyle name="Input 80 5 2" xfId="36308" xr:uid="{104ABAA9-92DD-4BF9-B77B-B6AC31952F4A}"/>
    <cellStyle name="Input 80 6" xfId="36293" xr:uid="{88206634-1F66-445A-BD93-1884F1129A0A}"/>
    <cellStyle name="Input 81" xfId="11042" xr:uid="{00000000-0005-0000-0000-0000222B0000}"/>
    <cellStyle name="Input 81 2" xfId="11043" xr:uid="{00000000-0005-0000-0000-0000232B0000}"/>
    <cellStyle name="Input 81 2 2" xfId="11044" xr:uid="{00000000-0005-0000-0000-0000242B0000}"/>
    <cellStyle name="Input 81 2 2 2" xfId="11045" xr:uid="{00000000-0005-0000-0000-0000252B0000}"/>
    <cellStyle name="Input 81 2 2 2 2" xfId="36312" xr:uid="{90FDD482-77EB-4803-A13F-7F467A7A2AB2}"/>
    <cellStyle name="Input 81 2 2 3" xfId="36311" xr:uid="{782957A5-F227-4D94-89ED-3B0CBA359D2E}"/>
    <cellStyle name="Input 81 2 3" xfId="11046" xr:uid="{00000000-0005-0000-0000-0000262B0000}"/>
    <cellStyle name="Input 81 2 3 2" xfId="36313" xr:uid="{A59258B4-A981-4F07-ADAE-94346D9246C0}"/>
    <cellStyle name="Input 81 2 4" xfId="36310" xr:uid="{07F2FD38-7835-40B8-9C47-86687ADDC51E}"/>
    <cellStyle name="Input 81 3" xfId="11047" xr:uid="{00000000-0005-0000-0000-0000272B0000}"/>
    <cellStyle name="Input 81 3 2" xfId="11048" xr:uid="{00000000-0005-0000-0000-0000282B0000}"/>
    <cellStyle name="Input 81 3 2 2" xfId="11049" xr:uid="{00000000-0005-0000-0000-0000292B0000}"/>
    <cellStyle name="Input 81 3 2 2 2" xfId="11050" xr:uid="{00000000-0005-0000-0000-00002A2B0000}"/>
    <cellStyle name="Input 81 3 2 2 2 2" xfId="36317" xr:uid="{F5F7158A-5817-482E-B183-E8EB94772739}"/>
    <cellStyle name="Input 81 3 2 2 3" xfId="36316" xr:uid="{66F73A5A-C15D-419B-82DD-F08999CA0A51}"/>
    <cellStyle name="Input 81 3 2 3" xfId="11051" xr:uid="{00000000-0005-0000-0000-00002B2B0000}"/>
    <cellStyle name="Input 81 3 2 3 2" xfId="36318" xr:uid="{64FA3285-971C-49B1-A255-137B50C11510}"/>
    <cellStyle name="Input 81 3 2 4" xfId="36315" xr:uid="{ED292D63-BD7C-4064-8AB9-BAC5E9A96C6A}"/>
    <cellStyle name="Input 81 3 3" xfId="11052" xr:uid="{00000000-0005-0000-0000-00002C2B0000}"/>
    <cellStyle name="Input 81 3 3 2" xfId="11053" xr:uid="{00000000-0005-0000-0000-00002D2B0000}"/>
    <cellStyle name="Input 81 3 3 2 2" xfId="36320" xr:uid="{C00B36F1-2C36-44C2-BA3D-A9406019BEF9}"/>
    <cellStyle name="Input 81 3 3 3" xfId="36319" xr:uid="{3FEDDB31-C269-4BE5-842A-60825E9DEAC3}"/>
    <cellStyle name="Input 81 3 4" xfId="11054" xr:uid="{00000000-0005-0000-0000-00002E2B0000}"/>
    <cellStyle name="Input 81 3 4 2" xfId="36321" xr:uid="{3AE558D2-B47F-43A2-BD3B-880CC7EBB710}"/>
    <cellStyle name="Input 81 3 5" xfId="36314" xr:uid="{A36F4CEE-79DC-4300-A3DD-93635AB9E71D}"/>
    <cellStyle name="Input 81 4" xfId="11055" xr:uid="{00000000-0005-0000-0000-00002F2B0000}"/>
    <cellStyle name="Input 81 4 2" xfId="11056" xr:uid="{00000000-0005-0000-0000-0000302B0000}"/>
    <cellStyle name="Input 81 4 2 2" xfId="36323" xr:uid="{F83B689C-16CC-4879-BA8B-DFFDBB80AB14}"/>
    <cellStyle name="Input 81 4 3" xfId="36322" xr:uid="{882BEFB4-07FF-4339-AD7B-AA4DFF79125B}"/>
    <cellStyle name="Input 81 5" xfId="11057" xr:uid="{00000000-0005-0000-0000-0000312B0000}"/>
    <cellStyle name="Input 81 5 2" xfId="36324" xr:uid="{152EF98D-5D9B-48B6-8967-5CDE7E4EF3AE}"/>
    <cellStyle name="Input 81 6" xfId="36309" xr:uid="{FDE9F472-2D80-44DF-A911-9A7036AA10D6}"/>
    <cellStyle name="Input 82" xfId="11058" xr:uid="{00000000-0005-0000-0000-0000322B0000}"/>
    <cellStyle name="Input 82 2" xfId="11059" xr:uid="{00000000-0005-0000-0000-0000332B0000}"/>
    <cellStyle name="Input 82 2 2" xfId="11060" xr:uid="{00000000-0005-0000-0000-0000342B0000}"/>
    <cellStyle name="Input 82 2 2 2" xfId="11061" xr:uid="{00000000-0005-0000-0000-0000352B0000}"/>
    <cellStyle name="Input 82 2 2 2 2" xfId="36328" xr:uid="{9D49AF7D-FB6A-4ED8-A290-FFFBAF6F1A2D}"/>
    <cellStyle name="Input 82 2 2 3" xfId="36327" xr:uid="{3F73BB1B-3D53-43F3-8496-0529051C15B9}"/>
    <cellStyle name="Input 82 2 3" xfId="11062" xr:uid="{00000000-0005-0000-0000-0000362B0000}"/>
    <cellStyle name="Input 82 2 3 2" xfId="36329" xr:uid="{C0477AB5-38B8-4540-9EA7-F75BCAAD9639}"/>
    <cellStyle name="Input 82 2 4" xfId="36326" xr:uid="{816EDFFE-F7DE-401B-8091-A5B805B1ACBE}"/>
    <cellStyle name="Input 82 3" xfId="11063" xr:uid="{00000000-0005-0000-0000-0000372B0000}"/>
    <cellStyle name="Input 82 3 2" xfId="11064" xr:uid="{00000000-0005-0000-0000-0000382B0000}"/>
    <cellStyle name="Input 82 3 2 2" xfId="11065" xr:uid="{00000000-0005-0000-0000-0000392B0000}"/>
    <cellStyle name="Input 82 3 2 2 2" xfId="11066" xr:uid="{00000000-0005-0000-0000-00003A2B0000}"/>
    <cellStyle name="Input 82 3 2 2 2 2" xfId="36333" xr:uid="{17527095-7FCE-4BEF-B4A0-C386BA1BD19E}"/>
    <cellStyle name="Input 82 3 2 2 3" xfId="36332" xr:uid="{1C7CA5AE-D1CA-4A69-8902-F7E39B9E3200}"/>
    <cellStyle name="Input 82 3 2 3" xfId="11067" xr:uid="{00000000-0005-0000-0000-00003B2B0000}"/>
    <cellStyle name="Input 82 3 2 3 2" xfId="36334" xr:uid="{150D88BA-C288-4D2A-9E72-CD229A8D2965}"/>
    <cellStyle name="Input 82 3 2 4" xfId="36331" xr:uid="{0322853D-145B-4F44-A9EF-2F397C42D643}"/>
    <cellStyle name="Input 82 3 3" xfId="11068" xr:uid="{00000000-0005-0000-0000-00003C2B0000}"/>
    <cellStyle name="Input 82 3 3 2" xfId="11069" xr:uid="{00000000-0005-0000-0000-00003D2B0000}"/>
    <cellStyle name="Input 82 3 3 2 2" xfId="36336" xr:uid="{7FAEDBEF-68A2-46C5-923C-A39D83E95813}"/>
    <cellStyle name="Input 82 3 3 3" xfId="36335" xr:uid="{EDD11890-45F4-45FB-97AA-E1BF46463391}"/>
    <cellStyle name="Input 82 3 4" xfId="11070" xr:uid="{00000000-0005-0000-0000-00003E2B0000}"/>
    <cellStyle name="Input 82 3 4 2" xfId="36337" xr:uid="{C8ACD799-F8C8-40B7-B40A-3D3E5096A0F1}"/>
    <cellStyle name="Input 82 3 5" xfId="36330" xr:uid="{B34026EA-EB0D-4C74-B202-268C38CA99EF}"/>
    <cellStyle name="Input 82 4" xfId="11071" xr:uid="{00000000-0005-0000-0000-00003F2B0000}"/>
    <cellStyle name="Input 82 4 2" xfId="11072" xr:uid="{00000000-0005-0000-0000-0000402B0000}"/>
    <cellStyle name="Input 82 4 2 2" xfId="36339" xr:uid="{3FCBBB1F-4821-4F61-BEB3-5E3A5344FC65}"/>
    <cellStyle name="Input 82 4 3" xfId="36338" xr:uid="{61714AF0-3250-4835-AB03-0884096E821D}"/>
    <cellStyle name="Input 82 5" xfId="11073" xr:uid="{00000000-0005-0000-0000-0000412B0000}"/>
    <cellStyle name="Input 82 5 2" xfId="36340" xr:uid="{5610A982-50AB-41EA-BBEE-162E3BEB3CAA}"/>
    <cellStyle name="Input 82 6" xfId="36325" xr:uid="{0562D12B-477A-4038-A4AC-116CC8CFDD40}"/>
    <cellStyle name="Input 83" xfId="11074" xr:uid="{00000000-0005-0000-0000-0000422B0000}"/>
    <cellStyle name="Input 83 2" xfId="11075" xr:uid="{00000000-0005-0000-0000-0000432B0000}"/>
    <cellStyle name="Input 83 2 2" xfId="11076" xr:uid="{00000000-0005-0000-0000-0000442B0000}"/>
    <cellStyle name="Input 83 2 2 2" xfId="11077" xr:uid="{00000000-0005-0000-0000-0000452B0000}"/>
    <cellStyle name="Input 83 2 2 2 2" xfId="36344" xr:uid="{57B20CF3-299D-4DA1-B7CD-1314CF7FC8C5}"/>
    <cellStyle name="Input 83 2 2 3" xfId="36343" xr:uid="{7574E29D-2C3E-47EA-891E-ACC2253C33BD}"/>
    <cellStyle name="Input 83 2 3" xfId="11078" xr:uid="{00000000-0005-0000-0000-0000462B0000}"/>
    <cellStyle name="Input 83 2 3 2" xfId="36345" xr:uid="{25118F46-5752-4198-8177-8BC1FA04C253}"/>
    <cellStyle name="Input 83 2 4" xfId="36342" xr:uid="{71F0C019-C404-4FFC-AC99-1B5D3268ECAC}"/>
    <cellStyle name="Input 83 3" xfId="11079" xr:uid="{00000000-0005-0000-0000-0000472B0000}"/>
    <cellStyle name="Input 83 3 2" xfId="11080" xr:uid="{00000000-0005-0000-0000-0000482B0000}"/>
    <cellStyle name="Input 83 3 2 2" xfId="11081" xr:uid="{00000000-0005-0000-0000-0000492B0000}"/>
    <cellStyle name="Input 83 3 2 2 2" xfId="11082" xr:uid="{00000000-0005-0000-0000-00004A2B0000}"/>
    <cellStyle name="Input 83 3 2 2 2 2" xfId="36349" xr:uid="{5D9E1BF5-F4B0-447A-B3CC-9CF0CAFC0E1F}"/>
    <cellStyle name="Input 83 3 2 2 3" xfId="36348" xr:uid="{512E428D-3D8D-4B30-9E58-6DAEB53E0147}"/>
    <cellStyle name="Input 83 3 2 3" xfId="11083" xr:uid="{00000000-0005-0000-0000-00004B2B0000}"/>
    <cellStyle name="Input 83 3 2 3 2" xfId="36350" xr:uid="{5452EA47-8DEA-4542-A01D-E95395F069E4}"/>
    <cellStyle name="Input 83 3 2 4" xfId="36347" xr:uid="{32D77BB7-B088-4741-A480-F6F444C18412}"/>
    <cellStyle name="Input 83 3 3" xfId="11084" xr:uid="{00000000-0005-0000-0000-00004C2B0000}"/>
    <cellStyle name="Input 83 3 3 2" xfId="11085" xr:uid="{00000000-0005-0000-0000-00004D2B0000}"/>
    <cellStyle name="Input 83 3 3 2 2" xfId="36352" xr:uid="{7CD66E03-6317-4254-8BF2-9550FD9197D9}"/>
    <cellStyle name="Input 83 3 3 3" xfId="36351" xr:uid="{5AAC2F1C-7228-4518-9809-4F3A9DB6656E}"/>
    <cellStyle name="Input 83 3 4" xfId="11086" xr:uid="{00000000-0005-0000-0000-00004E2B0000}"/>
    <cellStyle name="Input 83 3 4 2" xfId="36353" xr:uid="{99EEBEA4-BCAB-4908-A293-03B9AE478722}"/>
    <cellStyle name="Input 83 3 5" xfId="36346" xr:uid="{E4737CA7-A382-405F-A2B5-528F657BEDC1}"/>
    <cellStyle name="Input 83 4" xfId="11087" xr:uid="{00000000-0005-0000-0000-00004F2B0000}"/>
    <cellStyle name="Input 83 4 2" xfId="11088" xr:uid="{00000000-0005-0000-0000-0000502B0000}"/>
    <cellStyle name="Input 83 4 2 2" xfId="36355" xr:uid="{52C72197-2551-4021-9CA1-88D3281BA79C}"/>
    <cellStyle name="Input 83 4 3" xfId="36354" xr:uid="{27B0DAE5-CA29-4998-A89F-9C48BC78C1BC}"/>
    <cellStyle name="Input 83 5" xfId="11089" xr:uid="{00000000-0005-0000-0000-0000512B0000}"/>
    <cellStyle name="Input 83 5 2" xfId="36356" xr:uid="{AD5810A5-3D1F-48D8-BFB7-EFFD71E1DEFA}"/>
    <cellStyle name="Input 83 6" xfId="36341" xr:uid="{055E7FBA-18F3-4E63-B44B-FAF889FBE030}"/>
    <cellStyle name="Input 84" xfId="11090" xr:uid="{00000000-0005-0000-0000-0000522B0000}"/>
    <cellStyle name="Input 84 2" xfId="11091" xr:uid="{00000000-0005-0000-0000-0000532B0000}"/>
    <cellStyle name="Input 84 2 2" xfId="11092" xr:uid="{00000000-0005-0000-0000-0000542B0000}"/>
    <cellStyle name="Input 84 2 2 2" xfId="11093" xr:uid="{00000000-0005-0000-0000-0000552B0000}"/>
    <cellStyle name="Input 84 2 2 2 2" xfId="36360" xr:uid="{85451CA6-ED18-41FC-B304-71C72CD38259}"/>
    <cellStyle name="Input 84 2 2 3" xfId="36359" xr:uid="{D9976212-4C91-4881-85B5-A1E14F110429}"/>
    <cellStyle name="Input 84 2 3" xfId="11094" xr:uid="{00000000-0005-0000-0000-0000562B0000}"/>
    <cellStyle name="Input 84 2 3 2" xfId="36361" xr:uid="{9A7E3F1F-4521-4985-B6CB-081E39F54996}"/>
    <cellStyle name="Input 84 2 4" xfId="36358" xr:uid="{FC209C51-2025-41D7-9CDC-F9655B2E0288}"/>
    <cellStyle name="Input 84 3" xfId="11095" xr:uid="{00000000-0005-0000-0000-0000572B0000}"/>
    <cellStyle name="Input 84 3 2" xfId="11096" xr:uid="{00000000-0005-0000-0000-0000582B0000}"/>
    <cellStyle name="Input 84 3 2 2" xfId="36363" xr:uid="{1CED9D63-43DC-4972-A87A-2AE0A525F26F}"/>
    <cellStyle name="Input 84 3 3" xfId="36362" xr:uid="{13847ADB-4DA5-44C1-91EF-4D2D6EE3F02A}"/>
    <cellStyle name="Input 84 4" xfId="11097" xr:uid="{00000000-0005-0000-0000-0000592B0000}"/>
    <cellStyle name="Input 84 4 2" xfId="36364" xr:uid="{842C78D2-C25C-4D92-804D-21BBBF98B780}"/>
    <cellStyle name="Input 84 5" xfId="36357" xr:uid="{3D668E4B-9616-45CE-B5E0-D91DE20D068F}"/>
    <cellStyle name="Input 85" xfId="11098" xr:uid="{00000000-0005-0000-0000-00005A2B0000}"/>
    <cellStyle name="Input 85 2" xfId="11099" xr:uid="{00000000-0005-0000-0000-00005B2B0000}"/>
    <cellStyle name="Input 85 2 2" xfId="11100" xr:uid="{00000000-0005-0000-0000-00005C2B0000}"/>
    <cellStyle name="Input 85 2 2 2" xfId="11101" xr:uid="{00000000-0005-0000-0000-00005D2B0000}"/>
    <cellStyle name="Input 85 2 2 2 2" xfId="36368" xr:uid="{6D5529FB-E6F7-438D-884C-FAD482810576}"/>
    <cellStyle name="Input 85 2 2 3" xfId="36367" xr:uid="{E8BCF16E-95CD-4B11-9395-796E8A96E47F}"/>
    <cellStyle name="Input 85 2 3" xfId="11102" xr:uid="{00000000-0005-0000-0000-00005E2B0000}"/>
    <cellStyle name="Input 85 2 3 2" xfId="36369" xr:uid="{EFE6AEA1-FACD-4B36-A198-6704F4434806}"/>
    <cellStyle name="Input 85 2 4" xfId="36366" xr:uid="{ACC6418E-3D87-4EA9-8392-37B2E1E70C43}"/>
    <cellStyle name="Input 85 3" xfId="11103" xr:uid="{00000000-0005-0000-0000-00005F2B0000}"/>
    <cellStyle name="Input 85 3 2" xfId="11104" xr:uid="{00000000-0005-0000-0000-0000602B0000}"/>
    <cellStyle name="Input 85 3 2 2" xfId="36371" xr:uid="{BE66FC05-5CC1-4E28-80B7-3D91B045E028}"/>
    <cellStyle name="Input 85 3 3" xfId="36370" xr:uid="{33DC4CA6-AED5-429E-9E5E-26227247298B}"/>
    <cellStyle name="Input 85 4" xfId="11105" xr:uid="{00000000-0005-0000-0000-0000612B0000}"/>
    <cellStyle name="Input 85 4 2" xfId="36372" xr:uid="{F76E1C79-5CD6-4BF6-B502-3EEDD8666045}"/>
    <cellStyle name="Input 85 5" xfId="36365" xr:uid="{2FC04713-B018-4460-9AA5-FCB85FC1512A}"/>
    <cellStyle name="Input 86" xfId="11106" xr:uid="{00000000-0005-0000-0000-0000622B0000}"/>
    <cellStyle name="Input 86 2" xfId="11107" xr:uid="{00000000-0005-0000-0000-0000632B0000}"/>
    <cellStyle name="Input 86 2 2" xfId="11108" xr:uid="{00000000-0005-0000-0000-0000642B0000}"/>
    <cellStyle name="Input 86 2 2 2" xfId="11109" xr:uid="{00000000-0005-0000-0000-0000652B0000}"/>
    <cellStyle name="Input 86 2 2 2 2" xfId="36376" xr:uid="{3F0B2877-D209-4ED0-AAA5-CAA06971FDDE}"/>
    <cellStyle name="Input 86 2 2 3" xfId="36375" xr:uid="{A315A6FF-6288-4056-BED8-20FCF75999A2}"/>
    <cellStyle name="Input 86 2 3" xfId="11110" xr:uid="{00000000-0005-0000-0000-0000662B0000}"/>
    <cellStyle name="Input 86 2 3 2" xfId="36377" xr:uid="{4DC05118-983A-4E08-B8AC-7C38679718C2}"/>
    <cellStyle name="Input 86 2 4" xfId="36374" xr:uid="{835395AB-9651-4839-A9FA-B19D993C73F5}"/>
    <cellStyle name="Input 86 3" xfId="11111" xr:uid="{00000000-0005-0000-0000-0000672B0000}"/>
    <cellStyle name="Input 86 3 2" xfId="11112" xr:uid="{00000000-0005-0000-0000-0000682B0000}"/>
    <cellStyle name="Input 86 3 2 2" xfId="36379" xr:uid="{544114C7-9D58-4F63-9963-858EEC904983}"/>
    <cellStyle name="Input 86 3 3" xfId="36378" xr:uid="{EC75CE12-32D5-42DA-8FFD-38E81E1450FC}"/>
    <cellStyle name="Input 86 4" xfId="11113" xr:uid="{00000000-0005-0000-0000-0000692B0000}"/>
    <cellStyle name="Input 86 4 2" xfId="36380" xr:uid="{40925980-3D35-4EA0-B854-1A20B9B107A1}"/>
    <cellStyle name="Input 86 5" xfId="36373" xr:uid="{E2FE6BE0-5D08-4964-860D-33700E6FA7F6}"/>
    <cellStyle name="Input 87" xfId="11114" xr:uid="{00000000-0005-0000-0000-00006A2B0000}"/>
    <cellStyle name="Input 87 2" xfId="11115" xr:uid="{00000000-0005-0000-0000-00006B2B0000}"/>
    <cellStyle name="Input 87 2 2" xfId="11116" xr:uid="{00000000-0005-0000-0000-00006C2B0000}"/>
    <cellStyle name="Input 87 2 2 2" xfId="11117" xr:uid="{00000000-0005-0000-0000-00006D2B0000}"/>
    <cellStyle name="Input 87 2 2 2 2" xfId="36384" xr:uid="{33C4D418-426D-4467-9525-C391E7A9A9AD}"/>
    <cellStyle name="Input 87 2 2 3" xfId="36383" xr:uid="{6E338A2E-9FA2-464C-BAD8-E489A0592CF4}"/>
    <cellStyle name="Input 87 2 3" xfId="11118" xr:uid="{00000000-0005-0000-0000-00006E2B0000}"/>
    <cellStyle name="Input 87 2 3 2" xfId="36385" xr:uid="{772BE998-67B3-45FE-86EE-E4F7D6E08526}"/>
    <cellStyle name="Input 87 2 4" xfId="36382" xr:uid="{F116776F-5F63-4205-B8E1-933106412133}"/>
    <cellStyle name="Input 87 3" xfId="11119" xr:uid="{00000000-0005-0000-0000-00006F2B0000}"/>
    <cellStyle name="Input 87 3 2" xfId="11120" xr:uid="{00000000-0005-0000-0000-0000702B0000}"/>
    <cellStyle name="Input 87 3 2 2" xfId="36387" xr:uid="{72985BC6-7A39-425C-AD58-03054B545741}"/>
    <cellStyle name="Input 87 3 3" xfId="36386" xr:uid="{3C751DF3-7382-404F-82BF-F00A45C5AB30}"/>
    <cellStyle name="Input 87 4" xfId="11121" xr:uid="{00000000-0005-0000-0000-0000712B0000}"/>
    <cellStyle name="Input 87 4 2" xfId="36388" xr:uid="{93BD0BA9-DF67-42FE-A5B3-7BA90B1C0C12}"/>
    <cellStyle name="Input 87 5" xfId="36381" xr:uid="{20FC9939-410C-49A5-A3A4-8E9A40866B91}"/>
    <cellStyle name="Input 88" xfId="11122" xr:uid="{00000000-0005-0000-0000-0000722B0000}"/>
    <cellStyle name="Input 88 2" xfId="11123" xr:uid="{00000000-0005-0000-0000-0000732B0000}"/>
    <cellStyle name="Input 88 2 2" xfId="11124" xr:uid="{00000000-0005-0000-0000-0000742B0000}"/>
    <cellStyle name="Input 88 2 2 2" xfId="11125" xr:uid="{00000000-0005-0000-0000-0000752B0000}"/>
    <cellStyle name="Input 88 2 2 2 2" xfId="36392" xr:uid="{3ED83584-FE4C-46AB-B526-B33A0C3AAEE1}"/>
    <cellStyle name="Input 88 2 2 3" xfId="36391" xr:uid="{DA3D6043-98C4-4C52-9C4E-0C6199771ED3}"/>
    <cellStyle name="Input 88 2 3" xfId="11126" xr:uid="{00000000-0005-0000-0000-0000762B0000}"/>
    <cellStyle name="Input 88 2 3 2" xfId="36393" xr:uid="{154B3BA8-30F5-4D5E-8D6A-2B48E6C46A90}"/>
    <cellStyle name="Input 88 2 4" xfId="36390" xr:uid="{5989FB04-6EBA-406D-BBDC-041E78B0A1F2}"/>
    <cellStyle name="Input 88 3" xfId="11127" xr:uid="{00000000-0005-0000-0000-0000772B0000}"/>
    <cellStyle name="Input 88 3 2" xfId="11128" xr:uid="{00000000-0005-0000-0000-0000782B0000}"/>
    <cellStyle name="Input 88 3 2 2" xfId="36395" xr:uid="{CAD4F36F-ED24-49C1-B28C-9573C9F3E1FE}"/>
    <cellStyle name="Input 88 3 3" xfId="36394" xr:uid="{308D4073-D6E6-4EE1-860A-F7346129CFA3}"/>
    <cellStyle name="Input 88 4" xfId="11129" xr:uid="{00000000-0005-0000-0000-0000792B0000}"/>
    <cellStyle name="Input 88 4 2" xfId="36396" xr:uid="{388C99D2-F3E4-4047-93B6-32CD49186D83}"/>
    <cellStyle name="Input 88 5" xfId="36389" xr:uid="{D8028DCE-B71E-4BE0-8E3D-3881FF26603F}"/>
    <cellStyle name="Input 89" xfId="11130" xr:uid="{00000000-0005-0000-0000-00007A2B0000}"/>
    <cellStyle name="Input 89 2" xfId="11131" xr:uid="{00000000-0005-0000-0000-00007B2B0000}"/>
    <cellStyle name="Input 89 2 2" xfId="11132" xr:uid="{00000000-0005-0000-0000-00007C2B0000}"/>
    <cellStyle name="Input 89 2 2 2" xfId="11133" xr:uid="{00000000-0005-0000-0000-00007D2B0000}"/>
    <cellStyle name="Input 89 2 2 2 2" xfId="36400" xr:uid="{63EE730D-143A-4855-B164-1F92556A823F}"/>
    <cellStyle name="Input 89 2 2 3" xfId="36399" xr:uid="{B5B3DB01-6E98-49F2-A0BE-61E108CDCC0C}"/>
    <cellStyle name="Input 89 2 3" xfId="11134" xr:uid="{00000000-0005-0000-0000-00007E2B0000}"/>
    <cellStyle name="Input 89 2 3 2" xfId="36401" xr:uid="{025039A3-4FCB-41F3-B57D-D5571A38B201}"/>
    <cellStyle name="Input 89 2 4" xfId="36398" xr:uid="{35DACFAD-865D-4189-8DAD-89E2E0327EC8}"/>
    <cellStyle name="Input 89 3" xfId="11135" xr:uid="{00000000-0005-0000-0000-00007F2B0000}"/>
    <cellStyle name="Input 89 3 2" xfId="11136" xr:uid="{00000000-0005-0000-0000-0000802B0000}"/>
    <cellStyle name="Input 89 3 2 2" xfId="36403" xr:uid="{349B70DC-2037-469F-A0B2-ED2CF0D34800}"/>
    <cellStyle name="Input 89 3 3" xfId="36402" xr:uid="{A5DD5A1D-C97F-4257-AD7A-C710F099BD58}"/>
    <cellStyle name="Input 89 4" xfId="11137" xr:uid="{00000000-0005-0000-0000-0000812B0000}"/>
    <cellStyle name="Input 89 4 2" xfId="36404" xr:uid="{38BB7AA5-4FE7-4E00-8445-325AD52326C6}"/>
    <cellStyle name="Input 89 5" xfId="36397" xr:uid="{4338557F-931A-4A06-9D48-E2098780CC08}"/>
    <cellStyle name="Input 9" xfId="11138" xr:uid="{00000000-0005-0000-0000-0000822B0000}"/>
    <cellStyle name="Input 9 2" xfId="11139" xr:uid="{00000000-0005-0000-0000-0000832B0000}"/>
    <cellStyle name="Input 9 2 2" xfId="11140" xr:uid="{00000000-0005-0000-0000-0000842B0000}"/>
    <cellStyle name="Input 9 2 2 2" xfId="11141" xr:uid="{00000000-0005-0000-0000-0000852B0000}"/>
    <cellStyle name="Input 9 2 2 2 2" xfId="36408" xr:uid="{39301338-EEF2-4DF7-BB3F-B1750C08BE70}"/>
    <cellStyle name="Input 9 2 2 3" xfId="36407" xr:uid="{E85B3509-6640-4328-AAD1-A4C4493D1A6D}"/>
    <cellStyle name="Input 9 2 3" xfId="11142" xr:uid="{00000000-0005-0000-0000-0000862B0000}"/>
    <cellStyle name="Input 9 2 3 2" xfId="36409" xr:uid="{B9655554-6B08-441A-B7D5-4778E1F273A6}"/>
    <cellStyle name="Input 9 2 4" xfId="36406" xr:uid="{E41D199A-79E4-4458-8AAF-34F033038698}"/>
    <cellStyle name="Input 9 3" xfId="11143" xr:uid="{00000000-0005-0000-0000-0000872B0000}"/>
    <cellStyle name="Input 9 3 2" xfId="11144" xr:uid="{00000000-0005-0000-0000-0000882B0000}"/>
    <cellStyle name="Input 9 3 2 2" xfId="36411" xr:uid="{D6CDE268-DFCF-41D7-9BF6-ADA522F72677}"/>
    <cellStyle name="Input 9 3 3" xfId="36410" xr:uid="{CE7F16F7-85F7-460B-9E1F-DCF5343DB48C}"/>
    <cellStyle name="Input 9 4" xfId="11145" xr:uid="{00000000-0005-0000-0000-0000892B0000}"/>
    <cellStyle name="Input 9 4 2" xfId="36412" xr:uid="{218D4637-68FA-44AF-997B-55AEA5A8E873}"/>
    <cellStyle name="Input 9 5" xfId="36405" xr:uid="{4A33AE47-A2CB-46EE-9BC5-DC83230A691F}"/>
    <cellStyle name="Input 90" xfId="11146" xr:uid="{00000000-0005-0000-0000-00008A2B0000}"/>
    <cellStyle name="Input 90 2" xfId="11147" xr:uid="{00000000-0005-0000-0000-00008B2B0000}"/>
    <cellStyle name="Input 90 2 2" xfId="11148" xr:uid="{00000000-0005-0000-0000-00008C2B0000}"/>
    <cellStyle name="Input 90 2 2 2" xfId="11149" xr:uid="{00000000-0005-0000-0000-00008D2B0000}"/>
    <cellStyle name="Input 90 2 2 2 2" xfId="36416" xr:uid="{1A8A69C2-AA4F-4BD8-B997-1658F9A350DB}"/>
    <cellStyle name="Input 90 2 2 3" xfId="36415" xr:uid="{3057D6B2-3205-4913-B464-25A3FFE29D0F}"/>
    <cellStyle name="Input 90 2 3" xfId="11150" xr:uid="{00000000-0005-0000-0000-00008E2B0000}"/>
    <cellStyle name="Input 90 2 3 2" xfId="36417" xr:uid="{C98626F0-C664-48D2-B161-12DB2D524474}"/>
    <cellStyle name="Input 90 2 4" xfId="36414" xr:uid="{ABA37540-8F87-4FF3-BED6-902FC21D2B0C}"/>
    <cellStyle name="Input 90 3" xfId="11151" xr:uid="{00000000-0005-0000-0000-00008F2B0000}"/>
    <cellStyle name="Input 90 3 2" xfId="11152" xr:uid="{00000000-0005-0000-0000-0000902B0000}"/>
    <cellStyle name="Input 90 3 2 2" xfId="36419" xr:uid="{BAA11683-F390-420B-9961-BF0225B41A65}"/>
    <cellStyle name="Input 90 3 3" xfId="36418" xr:uid="{6BB32FF3-EBE5-4027-8E3A-1187AF27FBE0}"/>
    <cellStyle name="Input 90 4" xfId="11153" xr:uid="{00000000-0005-0000-0000-0000912B0000}"/>
    <cellStyle name="Input 90 4 2" xfId="36420" xr:uid="{6E0E1271-BC99-4B86-ACD8-C49CBCA0BCB5}"/>
    <cellStyle name="Input 90 5" xfId="36413" xr:uid="{37FD0CF4-006E-40BE-AC16-BB660FD171B2}"/>
    <cellStyle name="Input 91" xfId="11154" xr:uid="{00000000-0005-0000-0000-0000922B0000}"/>
    <cellStyle name="Input 91 2" xfId="11155" xr:uid="{00000000-0005-0000-0000-0000932B0000}"/>
    <cellStyle name="Input 91 2 2" xfId="11156" xr:uid="{00000000-0005-0000-0000-0000942B0000}"/>
    <cellStyle name="Input 91 2 2 2" xfId="11157" xr:uid="{00000000-0005-0000-0000-0000952B0000}"/>
    <cellStyle name="Input 91 2 2 2 2" xfId="36424" xr:uid="{7D375E9F-430F-452C-9321-65D9E3A1303A}"/>
    <cellStyle name="Input 91 2 2 3" xfId="36423" xr:uid="{E3E8D9DE-FE22-493A-A4CC-C4F18B612959}"/>
    <cellStyle name="Input 91 2 3" xfId="11158" xr:uid="{00000000-0005-0000-0000-0000962B0000}"/>
    <cellStyle name="Input 91 2 3 2" xfId="36425" xr:uid="{1D9346B7-8748-449B-9FE9-CE84EB69A7B0}"/>
    <cellStyle name="Input 91 2 4" xfId="36422" xr:uid="{2CADA00B-C7DA-44E4-ADDD-1DFC91591C62}"/>
    <cellStyle name="Input 91 3" xfId="11159" xr:uid="{00000000-0005-0000-0000-0000972B0000}"/>
    <cellStyle name="Input 91 3 2" xfId="11160" xr:uid="{00000000-0005-0000-0000-0000982B0000}"/>
    <cellStyle name="Input 91 3 2 2" xfId="36427" xr:uid="{8DA1A1CB-B956-4A93-AA11-183174EC99F2}"/>
    <cellStyle name="Input 91 3 3" xfId="36426" xr:uid="{7972E858-5117-4BF8-967A-32B568FEE30B}"/>
    <cellStyle name="Input 91 4" xfId="11161" xr:uid="{00000000-0005-0000-0000-0000992B0000}"/>
    <cellStyle name="Input 91 4 2" xfId="36428" xr:uid="{FC3285EA-0AA7-40A8-B122-59714F68017B}"/>
    <cellStyle name="Input 91 5" xfId="36421" xr:uid="{6D65336D-14D8-48C4-A4C4-E22A5E36079E}"/>
    <cellStyle name="Input 92" xfId="11162" xr:uid="{00000000-0005-0000-0000-00009A2B0000}"/>
    <cellStyle name="Input 92 2" xfId="11163" xr:uid="{00000000-0005-0000-0000-00009B2B0000}"/>
    <cellStyle name="Input 92 2 2" xfId="11164" xr:uid="{00000000-0005-0000-0000-00009C2B0000}"/>
    <cellStyle name="Input 92 2 2 2" xfId="11165" xr:uid="{00000000-0005-0000-0000-00009D2B0000}"/>
    <cellStyle name="Input 92 2 2 2 2" xfId="36432" xr:uid="{60AB117D-5148-4398-BD2B-3AFFA6431C1F}"/>
    <cellStyle name="Input 92 2 2 3" xfId="36431" xr:uid="{482C1A28-7FF4-438D-BB32-F279F4594CD3}"/>
    <cellStyle name="Input 92 2 3" xfId="11166" xr:uid="{00000000-0005-0000-0000-00009E2B0000}"/>
    <cellStyle name="Input 92 2 3 2" xfId="36433" xr:uid="{7E12D8E1-27A0-4DB1-BB5D-A2703B31CFF4}"/>
    <cellStyle name="Input 92 2 4" xfId="36430" xr:uid="{58DF22C1-DC48-439C-B8F7-6C25669460C1}"/>
    <cellStyle name="Input 92 3" xfId="11167" xr:uid="{00000000-0005-0000-0000-00009F2B0000}"/>
    <cellStyle name="Input 92 3 2" xfId="11168" xr:uid="{00000000-0005-0000-0000-0000A02B0000}"/>
    <cellStyle name="Input 92 3 2 2" xfId="36435" xr:uid="{33EAEC05-925A-4920-B593-88503C2FDD6C}"/>
    <cellStyle name="Input 92 3 3" xfId="36434" xr:uid="{DB44FD7C-9E09-4F60-B43C-6F0E0ADEFB4A}"/>
    <cellStyle name="Input 92 4" xfId="11169" xr:uid="{00000000-0005-0000-0000-0000A12B0000}"/>
    <cellStyle name="Input 92 4 2" xfId="36436" xr:uid="{9C002AC5-43CE-4221-AE43-8181FC0EA66A}"/>
    <cellStyle name="Input 92 5" xfId="36429" xr:uid="{A5139D1E-8ABF-4834-89B4-40AB9FE47FD4}"/>
    <cellStyle name="Input 93" xfId="11170" xr:uid="{00000000-0005-0000-0000-0000A22B0000}"/>
    <cellStyle name="Input 93 2" xfId="11171" xr:uid="{00000000-0005-0000-0000-0000A32B0000}"/>
    <cellStyle name="Input 93 2 2" xfId="11172" xr:uid="{00000000-0005-0000-0000-0000A42B0000}"/>
    <cellStyle name="Input 93 2 2 2" xfId="11173" xr:uid="{00000000-0005-0000-0000-0000A52B0000}"/>
    <cellStyle name="Input 93 2 2 2 2" xfId="36440" xr:uid="{16300A68-DEE4-42E3-AAA0-D0ED8096EA43}"/>
    <cellStyle name="Input 93 2 2 3" xfId="36439" xr:uid="{50A24182-8172-486C-8D86-B2980B4076E1}"/>
    <cellStyle name="Input 93 2 3" xfId="11174" xr:uid="{00000000-0005-0000-0000-0000A62B0000}"/>
    <cellStyle name="Input 93 2 3 2" xfId="36441" xr:uid="{18E4680F-4BEB-4ADE-A5DD-104760772898}"/>
    <cellStyle name="Input 93 2 4" xfId="36438" xr:uid="{266EA0C1-143E-49E3-8DD2-8771128325B6}"/>
    <cellStyle name="Input 93 3" xfId="11175" xr:uid="{00000000-0005-0000-0000-0000A72B0000}"/>
    <cellStyle name="Input 93 3 2" xfId="11176" xr:uid="{00000000-0005-0000-0000-0000A82B0000}"/>
    <cellStyle name="Input 93 3 2 2" xfId="36443" xr:uid="{C6229A1E-D282-4AB1-B4CA-7D55DC65AD6C}"/>
    <cellStyle name="Input 93 3 3" xfId="36442" xr:uid="{430AF6AA-278A-4E76-AE49-76D5F25E1566}"/>
    <cellStyle name="Input 93 4" xfId="11177" xr:uid="{00000000-0005-0000-0000-0000A92B0000}"/>
    <cellStyle name="Input 93 4 2" xfId="36444" xr:uid="{D94C681E-6D8B-48FB-B73A-E4A2CB6F003F}"/>
    <cellStyle name="Input 93 5" xfId="36437" xr:uid="{AA6806EB-088C-49D1-ACE3-45E33C00DEA7}"/>
    <cellStyle name="Input 94" xfId="11178" xr:uid="{00000000-0005-0000-0000-0000AA2B0000}"/>
    <cellStyle name="Input 94 2" xfId="11179" xr:uid="{00000000-0005-0000-0000-0000AB2B0000}"/>
    <cellStyle name="Input 94 2 2" xfId="11180" xr:uid="{00000000-0005-0000-0000-0000AC2B0000}"/>
    <cellStyle name="Input 94 2 2 2" xfId="11181" xr:uid="{00000000-0005-0000-0000-0000AD2B0000}"/>
    <cellStyle name="Input 94 2 2 2 2" xfId="36448" xr:uid="{8D88D82D-3937-41B1-A327-E39C6B91F272}"/>
    <cellStyle name="Input 94 2 2 3" xfId="36447" xr:uid="{37817054-C0E8-4952-A076-3C20C55C945F}"/>
    <cellStyle name="Input 94 2 3" xfId="11182" xr:uid="{00000000-0005-0000-0000-0000AE2B0000}"/>
    <cellStyle name="Input 94 2 3 2" xfId="36449" xr:uid="{7F3FD6B9-5F4B-4C11-8A5A-6DD44F950562}"/>
    <cellStyle name="Input 94 2 4" xfId="36446" xr:uid="{DC7091A6-6798-4376-B12E-090B87BB8C7E}"/>
    <cellStyle name="Input 94 3" xfId="11183" xr:uid="{00000000-0005-0000-0000-0000AF2B0000}"/>
    <cellStyle name="Input 94 3 2" xfId="11184" xr:uid="{00000000-0005-0000-0000-0000B02B0000}"/>
    <cellStyle name="Input 94 3 2 2" xfId="36451" xr:uid="{A83051BC-C280-4B95-96AE-F0134973251B}"/>
    <cellStyle name="Input 94 3 3" xfId="36450" xr:uid="{2564ED2F-E385-4E61-8E7F-80D80D23CA43}"/>
    <cellStyle name="Input 94 4" xfId="11185" xr:uid="{00000000-0005-0000-0000-0000B12B0000}"/>
    <cellStyle name="Input 94 4 2" xfId="36452" xr:uid="{A77CB121-C14E-4424-9188-EFDCEF93DC5C}"/>
    <cellStyle name="Input 94 5" xfId="36445" xr:uid="{C5C4D41F-2184-47BB-97C9-D4939416F8AF}"/>
    <cellStyle name="Input 95" xfId="11186" xr:uid="{00000000-0005-0000-0000-0000B22B0000}"/>
    <cellStyle name="Input 95 2" xfId="11187" xr:uid="{00000000-0005-0000-0000-0000B32B0000}"/>
    <cellStyle name="Input 95 2 2" xfId="11188" xr:uid="{00000000-0005-0000-0000-0000B42B0000}"/>
    <cellStyle name="Input 95 2 2 2" xfId="11189" xr:uid="{00000000-0005-0000-0000-0000B52B0000}"/>
    <cellStyle name="Input 95 2 2 2 2" xfId="36456" xr:uid="{A3FAB3FC-511C-47A6-AFB6-7D0C3349659D}"/>
    <cellStyle name="Input 95 2 2 3" xfId="36455" xr:uid="{CF0D64DA-A8CF-4B04-ADAC-025953BFC4D9}"/>
    <cellStyle name="Input 95 2 3" xfId="11190" xr:uid="{00000000-0005-0000-0000-0000B62B0000}"/>
    <cellStyle name="Input 95 2 3 2" xfId="36457" xr:uid="{E0AEE506-72FE-4C90-8413-3C9B560FA238}"/>
    <cellStyle name="Input 95 2 4" xfId="36454" xr:uid="{FFD1ABFE-BAE0-410B-A7FA-FAF395EA5185}"/>
    <cellStyle name="Input 95 3" xfId="11191" xr:uid="{00000000-0005-0000-0000-0000B72B0000}"/>
    <cellStyle name="Input 95 3 2" xfId="11192" xr:uid="{00000000-0005-0000-0000-0000B82B0000}"/>
    <cellStyle name="Input 95 3 2 2" xfId="36459" xr:uid="{54F5C05A-2384-4C46-9692-68FD8B8B5468}"/>
    <cellStyle name="Input 95 3 3" xfId="36458" xr:uid="{8F600592-7ED5-4C3F-A061-AE494CD5070F}"/>
    <cellStyle name="Input 95 4" xfId="11193" xr:uid="{00000000-0005-0000-0000-0000B92B0000}"/>
    <cellStyle name="Input 95 4 2" xfId="36460" xr:uid="{BF421BB7-637B-4284-99FD-54E0EBB8B40C}"/>
    <cellStyle name="Input 95 5" xfId="36453" xr:uid="{23C861D4-7622-4616-8B69-3FD9CE58BC92}"/>
    <cellStyle name="Input 96" xfId="11194" xr:uid="{00000000-0005-0000-0000-0000BA2B0000}"/>
    <cellStyle name="Input 96 2" xfId="11195" xr:uid="{00000000-0005-0000-0000-0000BB2B0000}"/>
    <cellStyle name="Input 96 2 2" xfId="11196" xr:uid="{00000000-0005-0000-0000-0000BC2B0000}"/>
    <cellStyle name="Input 96 2 2 2" xfId="11197" xr:uid="{00000000-0005-0000-0000-0000BD2B0000}"/>
    <cellStyle name="Input 96 2 2 2 2" xfId="36464" xr:uid="{BECFB6EA-777D-4FAF-ADD1-9CC73B96FAFE}"/>
    <cellStyle name="Input 96 2 2 3" xfId="36463" xr:uid="{BC5E58F0-CEC4-46BC-9719-9A54FB94DBAA}"/>
    <cellStyle name="Input 96 2 3" xfId="11198" xr:uid="{00000000-0005-0000-0000-0000BE2B0000}"/>
    <cellStyle name="Input 96 2 3 2" xfId="36465" xr:uid="{10F006AA-C702-4FBC-B9EF-8CF8AD223AF1}"/>
    <cellStyle name="Input 96 2 4" xfId="36462" xr:uid="{27581FB2-756E-49A2-850D-53D0A3A69591}"/>
    <cellStyle name="Input 96 3" xfId="11199" xr:uid="{00000000-0005-0000-0000-0000BF2B0000}"/>
    <cellStyle name="Input 96 3 2" xfId="11200" xr:uid="{00000000-0005-0000-0000-0000C02B0000}"/>
    <cellStyle name="Input 96 3 2 2" xfId="36467" xr:uid="{9151B4F5-FA61-484C-8DC9-B29B28420B01}"/>
    <cellStyle name="Input 96 3 3" xfId="36466" xr:uid="{3413D457-CFF9-4342-AF8B-06FACC0B39A5}"/>
    <cellStyle name="Input 96 4" xfId="11201" xr:uid="{00000000-0005-0000-0000-0000C12B0000}"/>
    <cellStyle name="Input 96 4 2" xfId="36468" xr:uid="{5D53AEE1-CF44-4DCF-828C-F52BF44607A1}"/>
    <cellStyle name="Input 96 5" xfId="36461" xr:uid="{8399CF1C-6AF3-4CCA-9B2A-78454324C1D7}"/>
    <cellStyle name="Input 97" xfId="11202" xr:uid="{00000000-0005-0000-0000-0000C22B0000}"/>
    <cellStyle name="Input 97 2" xfId="11203" xr:uid="{00000000-0005-0000-0000-0000C32B0000}"/>
    <cellStyle name="Input 97 2 2" xfId="11204" xr:uid="{00000000-0005-0000-0000-0000C42B0000}"/>
    <cellStyle name="Input 97 2 2 2" xfId="11205" xr:uid="{00000000-0005-0000-0000-0000C52B0000}"/>
    <cellStyle name="Input 97 2 2 2 2" xfId="36472" xr:uid="{82AF710F-DF5E-4D70-B6E1-9F43AC5B6B2D}"/>
    <cellStyle name="Input 97 2 2 3" xfId="36471" xr:uid="{51739DCF-5966-450D-9F74-7CC44E21E958}"/>
    <cellStyle name="Input 97 2 3" xfId="11206" xr:uid="{00000000-0005-0000-0000-0000C62B0000}"/>
    <cellStyle name="Input 97 2 3 2" xfId="36473" xr:uid="{3B6B32C6-4394-4FBE-87CB-E8C69465B8A7}"/>
    <cellStyle name="Input 97 2 4" xfId="36470" xr:uid="{8DDD6722-2A45-4875-A812-B734AA511111}"/>
    <cellStyle name="Input 97 3" xfId="11207" xr:uid="{00000000-0005-0000-0000-0000C72B0000}"/>
    <cellStyle name="Input 97 3 2" xfId="11208" xr:uid="{00000000-0005-0000-0000-0000C82B0000}"/>
    <cellStyle name="Input 97 3 2 2" xfId="36475" xr:uid="{833CD952-B074-4072-8910-AFE173E251BF}"/>
    <cellStyle name="Input 97 3 3" xfId="36474" xr:uid="{78F3F67B-5A40-48B1-A06E-79DFFB1682DD}"/>
    <cellStyle name="Input 97 4" xfId="11209" xr:uid="{00000000-0005-0000-0000-0000C92B0000}"/>
    <cellStyle name="Input 97 4 2" xfId="36476" xr:uid="{25E267F1-A5AF-45B3-9230-5C1495CD69B7}"/>
    <cellStyle name="Input 97 5" xfId="36469" xr:uid="{9DF3F983-D386-43DC-9665-05D8ACF652C4}"/>
    <cellStyle name="Input 98" xfId="11210" xr:uid="{00000000-0005-0000-0000-0000CA2B0000}"/>
    <cellStyle name="Input 98 2" xfId="11211" xr:uid="{00000000-0005-0000-0000-0000CB2B0000}"/>
    <cellStyle name="Input 98 2 2" xfId="11212" xr:uid="{00000000-0005-0000-0000-0000CC2B0000}"/>
    <cellStyle name="Input 98 2 2 2" xfId="11213" xr:uid="{00000000-0005-0000-0000-0000CD2B0000}"/>
    <cellStyle name="Input 98 2 2 2 2" xfId="36480" xr:uid="{CDB98D85-5619-474B-8ADA-0A3D25BBF250}"/>
    <cellStyle name="Input 98 2 2 3" xfId="36479" xr:uid="{8D73691E-BF0C-46BD-9617-28E482824F91}"/>
    <cellStyle name="Input 98 2 3" xfId="11214" xr:uid="{00000000-0005-0000-0000-0000CE2B0000}"/>
    <cellStyle name="Input 98 2 3 2" xfId="36481" xr:uid="{2CECA55E-1F52-4ED2-9761-01C7407AC7B2}"/>
    <cellStyle name="Input 98 2 4" xfId="36478" xr:uid="{9C5648BB-BB70-4FC6-B241-4E1E8427DA6F}"/>
    <cellStyle name="Input 98 3" xfId="11215" xr:uid="{00000000-0005-0000-0000-0000CF2B0000}"/>
    <cellStyle name="Input 98 3 2" xfId="11216" xr:uid="{00000000-0005-0000-0000-0000D02B0000}"/>
    <cellStyle name="Input 98 3 2 2" xfId="36483" xr:uid="{BC66FC5D-8DE4-4B2C-AFD8-F36A4D681F3C}"/>
    <cellStyle name="Input 98 3 3" xfId="36482" xr:uid="{BF0E7223-EB65-4CFF-BD4F-B6CC316676BC}"/>
    <cellStyle name="Input 98 4" xfId="11217" xr:uid="{00000000-0005-0000-0000-0000D12B0000}"/>
    <cellStyle name="Input 98 4 2" xfId="36484" xr:uid="{FEB9EB9B-7586-4913-B8A2-D5538AFF164F}"/>
    <cellStyle name="Input 98 5" xfId="36477" xr:uid="{EE69F6E7-604F-4121-AA04-20903E0757DD}"/>
    <cellStyle name="Input 99" xfId="11218" xr:uid="{00000000-0005-0000-0000-0000D22B0000}"/>
    <cellStyle name="Input 99 2" xfId="11219" xr:uid="{00000000-0005-0000-0000-0000D32B0000}"/>
    <cellStyle name="Input 99 2 2" xfId="11220" xr:uid="{00000000-0005-0000-0000-0000D42B0000}"/>
    <cellStyle name="Input 99 2 2 2" xfId="11221" xr:uid="{00000000-0005-0000-0000-0000D52B0000}"/>
    <cellStyle name="Input 99 2 2 2 2" xfId="36488" xr:uid="{4BB68C91-08C5-4D4D-B4B9-27789637490C}"/>
    <cellStyle name="Input 99 2 2 3" xfId="36487" xr:uid="{A2D16917-198E-4E10-8360-B9A632125C32}"/>
    <cellStyle name="Input 99 2 3" xfId="11222" xr:uid="{00000000-0005-0000-0000-0000D62B0000}"/>
    <cellStyle name="Input 99 2 3 2" xfId="36489" xr:uid="{A47DA8FB-761E-4DC6-B6B5-817EF0004DDE}"/>
    <cellStyle name="Input 99 2 4" xfId="36486" xr:uid="{8BA06A6A-B2D8-41AB-BEC9-F896B59DF950}"/>
    <cellStyle name="Input 99 3" xfId="11223" xr:uid="{00000000-0005-0000-0000-0000D72B0000}"/>
    <cellStyle name="Input 99 3 2" xfId="11224" xr:uid="{00000000-0005-0000-0000-0000D82B0000}"/>
    <cellStyle name="Input 99 3 2 2" xfId="36491" xr:uid="{16FA29F6-FBFE-45BD-9736-0A3E9C0DA391}"/>
    <cellStyle name="Input 99 3 3" xfId="36490" xr:uid="{9699ED4A-767C-469F-BE8E-4A4C6ED8B24A}"/>
    <cellStyle name="Input 99 4" xfId="11225" xr:uid="{00000000-0005-0000-0000-0000D92B0000}"/>
    <cellStyle name="Input 99 4 2" xfId="36492" xr:uid="{DCF53D39-9F9D-4587-AA17-5DC5073B0347}"/>
    <cellStyle name="Input 99 5" xfId="36485" xr:uid="{6551E0A3-F5D6-4A27-AB3C-7B8103CD4129}"/>
    <cellStyle name="IntegerNoZero" xfId="11226" xr:uid="{00000000-0005-0000-0000-0000DA2B0000}"/>
    <cellStyle name="Linked" xfId="11227" xr:uid="{00000000-0005-0000-0000-0000DB2B0000}"/>
    <cellStyle name="Linked 2" xfId="11228" xr:uid="{00000000-0005-0000-0000-0000DC2B0000}"/>
    <cellStyle name="Linked Cell 2" xfId="11229" xr:uid="{00000000-0005-0000-0000-0000DD2B0000}"/>
    <cellStyle name="Linked Cell 2 10" xfId="11230" xr:uid="{00000000-0005-0000-0000-0000DE2B0000}"/>
    <cellStyle name="Linked Cell 2 10 2" xfId="11231" xr:uid="{00000000-0005-0000-0000-0000DF2B0000}"/>
    <cellStyle name="Linked Cell 2 11" xfId="11232" xr:uid="{00000000-0005-0000-0000-0000E02B0000}"/>
    <cellStyle name="Linked Cell 2 12" xfId="11233" xr:uid="{00000000-0005-0000-0000-0000E12B0000}"/>
    <cellStyle name="Linked Cell 2 2" xfId="11234" xr:uid="{00000000-0005-0000-0000-0000E22B0000}"/>
    <cellStyle name="Linked Cell 2 2 2" xfId="11235" xr:uid="{00000000-0005-0000-0000-0000E32B0000}"/>
    <cellStyle name="Linked Cell 2 2 2 2" xfId="11236" xr:uid="{00000000-0005-0000-0000-0000E42B0000}"/>
    <cellStyle name="Linked Cell 2 2 3" xfId="11237" xr:uid="{00000000-0005-0000-0000-0000E52B0000}"/>
    <cellStyle name="Linked Cell 2 2 3 2" xfId="11238" xr:uid="{00000000-0005-0000-0000-0000E62B0000}"/>
    <cellStyle name="Linked Cell 2 2 3 2 2" xfId="11239" xr:uid="{00000000-0005-0000-0000-0000E72B0000}"/>
    <cellStyle name="Linked Cell 2 2 3 3" xfId="11240" xr:uid="{00000000-0005-0000-0000-0000E82B0000}"/>
    <cellStyle name="Linked Cell 2 2 4" xfId="11241" xr:uid="{00000000-0005-0000-0000-0000E92B0000}"/>
    <cellStyle name="Linked Cell 2 3" xfId="11242" xr:uid="{00000000-0005-0000-0000-0000EA2B0000}"/>
    <cellStyle name="Linked Cell 2 3 2" xfId="11243" xr:uid="{00000000-0005-0000-0000-0000EB2B0000}"/>
    <cellStyle name="Linked Cell 2 3 2 2" xfId="11244" xr:uid="{00000000-0005-0000-0000-0000EC2B0000}"/>
    <cellStyle name="Linked Cell 2 3 3" xfId="11245" xr:uid="{00000000-0005-0000-0000-0000ED2B0000}"/>
    <cellStyle name="Linked Cell 2 3 3 2" xfId="11246" xr:uid="{00000000-0005-0000-0000-0000EE2B0000}"/>
    <cellStyle name="Linked Cell 2 3 3 2 2" xfId="11247" xr:uid="{00000000-0005-0000-0000-0000EF2B0000}"/>
    <cellStyle name="Linked Cell 2 3 3 3" xfId="11248" xr:uid="{00000000-0005-0000-0000-0000F02B0000}"/>
    <cellStyle name="Linked Cell 2 3 4" xfId="11249" xr:uid="{00000000-0005-0000-0000-0000F12B0000}"/>
    <cellStyle name="Linked Cell 2 4" xfId="11250" xr:uid="{00000000-0005-0000-0000-0000F22B0000}"/>
    <cellStyle name="Linked Cell 2 4 2" xfId="11251" xr:uid="{00000000-0005-0000-0000-0000F32B0000}"/>
    <cellStyle name="Linked Cell 2 4 2 2" xfId="11252" xr:uid="{00000000-0005-0000-0000-0000F42B0000}"/>
    <cellStyle name="Linked Cell 2 4 3" xfId="11253" xr:uid="{00000000-0005-0000-0000-0000F52B0000}"/>
    <cellStyle name="Linked Cell 2 5" xfId="11254" xr:uid="{00000000-0005-0000-0000-0000F62B0000}"/>
    <cellStyle name="Linked Cell 2 5 2" xfId="11255" xr:uid="{00000000-0005-0000-0000-0000F72B0000}"/>
    <cellStyle name="Linked Cell 2 5 2 2" xfId="11256" xr:uid="{00000000-0005-0000-0000-0000F82B0000}"/>
    <cellStyle name="Linked Cell 2 5 3" xfId="11257" xr:uid="{00000000-0005-0000-0000-0000F92B0000}"/>
    <cellStyle name="Linked Cell 2 5 3 2" xfId="11258" xr:uid="{00000000-0005-0000-0000-0000FA2B0000}"/>
    <cellStyle name="Linked Cell 2 5 3 2 2" xfId="11259" xr:uid="{00000000-0005-0000-0000-0000FB2B0000}"/>
    <cellStyle name="Linked Cell 2 5 3 3" xfId="11260" xr:uid="{00000000-0005-0000-0000-0000FC2B0000}"/>
    <cellStyle name="Linked Cell 2 5 4" xfId="11261" xr:uid="{00000000-0005-0000-0000-0000FD2B0000}"/>
    <cellStyle name="Linked Cell 2 6" xfId="11262" xr:uid="{00000000-0005-0000-0000-0000FE2B0000}"/>
    <cellStyle name="Linked Cell 2 6 2" xfId="11263" xr:uid="{00000000-0005-0000-0000-0000FF2B0000}"/>
    <cellStyle name="Linked Cell 2 6 2 2" xfId="11264" xr:uid="{00000000-0005-0000-0000-0000002C0000}"/>
    <cellStyle name="Linked Cell 2 6 3" xfId="11265" xr:uid="{00000000-0005-0000-0000-0000012C0000}"/>
    <cellStyle name="Linked Cell 2 6 3 2" xfId="11266" xr:uid="{00000000-0005-0000-0000-0000022C0000}"/>
    <cellStyle name="Linked Cell 2 6 4" xfId="11267" xr:uid="{00000000-0005-0000-0000-0000032C0000}"/>
    <cellStyle name="Linked Cell 2 7" xfId="11268" xr:uid="{00000000-0005-0000-0000-0000042C0000}"/>
    <cellStyle name="Linked Cell 2 7 2" xfId="11269" xr:uid="{00000000-0005-0000-0000-0000052C0000}"/>
    <cellStyle name="Linked Cell 2 8" xfId="11270" xr:uid="{00000000-0005-0000-0000-0000062C0000}"/>
    <cellStyle name="Linked Cell 2 8 2" xfId="11271" xr:uid="{00000000-0005-0000-0000-0000072C0000}"/>
    <cellStyle name="Linked Cell 2 8 2 2" xfId="11272" xr:uid="{00000000-0005-0000-0000-0000082C0000}"/>
    <cellStyle name="Linked Cell 2 8 3" xfId="11273" xr:uid="{00000000-0005-0000-0000-0000092C0000}"/>
    <cellStyle name="Linked Cell 2 9" xfId="11274" xr:uid="{00000000-0005-0000-0000-00000A2C0000}"/>
    <cellStyle name="Linked Cell 2 9 2" xfId="11275" xr:uid="{00000000-0005-0000-0000-00000B2C0000}"/>
    <cellStyle name="Linked Cell 2 9 2 2" xfId="11276" xr:uid="{00000000-0005-0000-0000-00000C2C0000}"/>
    <cellStyle name="Linked Cell 2 9 3" xfId="11277" xr:uid="{00000000-0005-0000-0000-00000D2C0000}"/>
    <cellStyle name="Linked Cell 3" xfId="11278" xr:uid="{00000000-0005-0000-0000-00000E2C0000}"/>
    <cellStyle name="Linked Cell 3 2" xfId="11279" xr:uid="{00000000-0005-0000-0000-00000F2C0000}"/>
    <cellStyle name="Linked Cell 3 2 2" xfId="11280" xr:uid="{00000000-0005-0000-0000-0000102C0000}"/>
    <cellStyle name="Linked Cell 3 3" xfId="11281" xr:uid="{00000000-0005-0000-0000-0000112C0000}"/>
    <cellStyle name="Linked Cell 3 3 2" xfId="11282" xr:uid="{00000000-0005-0000-0000-0000122C0000}"/>
    <cellStyle name="Linked Cell 3 4" xfId="11283" xr:uid="{00000000-0005-0000-0000-0000132C0000}"/>
    <cellStyle name="Linked Cell 3 4 2" xfId="11284" xr:uid="{00000000-0005-0000-0000-0000142C0000}"/>
    <cellStyle name="Linked Cell 3 4 2 2" xfId="11285" xr:uid="{00000000-0005-0000-0000-0000152C0000}"/>
    <cellStyle name="Linked Cell 3 4 3" xfId="11286" xr:uid="{00000000-0005-0000-0000-0000162C0000}"/>
    <cellStyle name="Linked Cell 3 5" xfId="11287" xr:uid="{00000000-0005-0000-0000-0000172C0000}"/>
    <cellStyle name="Linked Cell 4" xfId="11288" xr:uid="{00000000-0005-0000-0000-0000182C0000}"/>
    <cellStyle name="Linked Cell 4 2" xfId="11289" xr:uid="{00000000-0005-0000-0000-0000192C0000}"/>
    <cellStyle name="Linked Cell 4 2 2" xfId="11290" xr:uid="{00000000-0005-0000-0000-00001A2C0000}"/>
    <cellStyle name="Linked Cell 4 3" xfId="11291" xr:uid="{00000000-0005-0000-0000-00001B2C0000}"/>
    <cellStyle name="Linked Cell 4 3 2" xfId="11292" xr:uid="{00000000-0005-0000-0000-00001C2C0000}"/>
    <cellStyle name="Linked Cell 4 3 2 2" xfId="11293" xr:uid="{00000000-0005-0000-0000-00001D2C0000}"/>
    <cellStyle name="Linked Cell 4 3 3" xfId="11294" xr:uid="{00000000-0005-0000-0000-00001E2C0000}"/>
    <cellStyle name="Linked Cell 4 4" xfId="11295" xr:uid="{00000000-0005-0000-0000-00001F2C0000}"/>
    <cellStyle name="Linked Cell 5" xfId="11296" xr:uid="{00000000-0005-0000-0000-0000202C0000}"/>
    <cellStyle name="Linked Cell 5 2" xfId="11297" xr:uid="{00000000-0005-0000-0000-0000212C0000}"/>
    <cellStyle name="Linked Cell 5 2 2" xfId="11298" xr:uid="{00000000-0005-0000-0000-0000222C0000}"/>
    <cellStyle name="Linked Cell 5 3" xfId="11299" xr:uid="{00000000-0005-0000-0000-0000232C0000}"/>
    <cellStyle name="Linked Cell 5 3 2" xfId="11300" xr:uid="{00000000-0005-0000-0000-0000242C0000}"/>
    <cellStyle name="Linked Cell 5 3 2 2" xfId="11301" xr:uid="{00000000-0005-0000-0000-0000252C0000}"/>
    <cellStyle name="Linked Cell 5 3 3" xfId="11302" xr:uid="{00000000-0005-0000-0000-0000262C0000}"/>
    <cellStyle name="Linked Cell 5 4" xfId="11303" xr:uid="{00000000-0005-0000-0000-0000272C0000}"/>
    <cellStyle name="Linked Cell 6" xfId="11304" xr:uid="{00000000-0005-0000-0000-0000282C0000}"/>
    <cellStyle name="Linked Cell 6 2" xfId="11305" xr:uid="{00000000-0005-0000-0000-0000292C0000}"/>
    <cellStyle name="Linked Cell 6 2 2" xfId="11306" xr:uid="{00000000-0005-0000-0000-00002A2C0000}"/>
    <cellStyle name="Linked Cell 6 3" xfId="11307" xr:uid="{00000000-0005-0000-0000-00002B2C0000}"/>
    <cellStyle name="Linked Cell 7" xfId="11308" xr:uid="{00000000-0005-0000-0000-00002C2C0000}"/>
    <cellStyle name="Linked Cell 7 2" xfId="11309" xr:uid="{00000000-0005-0000-0000-00002D2C0000}"/>
    <cellStyle name="Linked Cell 8" xfId="11310" xr:uid="{00000000-0005-0000-0000-00002E2C0000}"/>
    <cellStyle name="Linked Cell 9" xfId="11311" xr:uid="{00000000-0005-0000-0000-00002F2C0000}"/>
    <cellStyle name="Missing" xfId="11312" xr:uid="{00000000-0005-0000-0000-0000302C0000}"/>
    <cellStyle name="Missing 2" xfId="11313" xr:uid="{00000000-0005-0000-0000-0000312C0000}"/>
    <cellStyle name="mmmyy" xfId="11314" xr:uid="{00000000-0005-0000-0000-0000322C0000}"/>
    <cellStyle name="Neutral 2" xfId="11315" xr:uid="{00000000-0005-0000-0000-0000332C0000}"/>
    <cellStyle name="Neutral 2 10" xfId="11316" xr:uid="{00000000-0005-0000-0000-0000342C0000}"/>
    <cellStyle name="Neutral 2 10 2" xfId="11317" xr:uid="{00000000-0005-0000-0000-0000352C0000}"/>
    <cellStyle name="Neutral 2 11" xfId="11318" xr:uid="{00000000-0005-0000-0000-0000362C0000}"/>
    <cellStyle name="Neutral 2 12" xfId="11319" xr:uid="{00000000-0005-0000-0000-0000372C0000}"/>
    <cellStyle name="Neutral 2 2" xfId="11320" xr:uid="{00000000-0005-0000-0000-0000382C0000}"/>
    <cellStyle name="Neutral 2 2 2" xfId="11321" xr:uid="{00000000-0005-0000-0000-0000392C0000}"/>
    <cellStyle name="Neutral 2 2 2 2" xfId="11322" xr:uid="{00000000-0005-0000-0000-00003A2C0000}"/>
    <cellStyle name="Neutral 2 2 3" xfId="11323" xr:uid="{00000000-0005-0000-0000-00003B2C0000}"/>
    <cellStyle name="Neutral 2 2 3 2" xfId="11324" xr:uid="{00000000-0005-0000-0000-00003C2C0000}"/>
    <cellStyle name="Neutral 2 2 3 2 2" xfId="11325" xr:uid="{00000000-0005-0000-0000-00003D2C0000}"/>
    <cellStyle name="Neutral 2 2 3 3" xfId="11326" xr:uid="{00000000-0005-0000-0000-00003E2C0000}"/>
    <cellStyle name="Neutral 2 2 4" xfId="11327" xr:uid="{00000000-0005-0000-0000-00003F2C0000}"/>
    <cellStyle name="Neutral 2 2 4 2" xfId="11328" xr:uid="{00000000-0005-0000-0000-0000402C0000}"/>
    <cellStyle name="Neutral 2 2 5" xfId="11329" xr:uid="{00000000-0005-0000-0000-0000412C0000}"/>
    <cellStyle name="Neutral 2 3" xfId="11330" xr:uid="{00000000-0005-0000-0000-0000422C0000}"/>
    <cellStyle name="Neutral 2 3 2" xfId="11331" xr:uid="{00000000-0005-0000-0000-0000432C0000}"/>
    <cellStyle name="Neutral 2 3 2 2" xfId="11332" xr:uid="{00000000-0005-0000-0000-0000442C0000}"/>
    <cellStyle name="Neutral 2 3 3" xfId="11333" xr:uid="{00000000-0005-0000-0000-0000452C0000}"/>
    <cellStyle name="Neutral 2 3 3 2" xfId="11334" xr:uid="{00000000-0005-0000-0000-0000462C0000}"/>
    <cellStyle name="Neutral 2 3 3 2 2" xfId="11335" xr:uid="{00000000-0005-0000-0000-0000472C0000}"/>
    <cellStyle name="Neutral 2 3 3 3" xfId="11336" xr:uid="{00000000-0005-0000-0000-0000482C0000}"/>
    <cellStyle name="Neutral 2 3 4" xfId="11337" xr:uid="{00000000-0005-0000-0000-0000492C0000}"/>
    <cellStyle name="Neutral 2 4" xfId="11338" xr:uid="{00000000-0005-0000-0000-00004A2C0000}"/>
    <cellStyle name="Neutral 2 4 2" xfId="11339" xr:uid="{00000000-0005-0000-0000-00004B2C0000}"/>
    <cellStyle name="Neutral 2 4 2 2" xfId="11340" xr:uid="{00000000-0005-0000-0000-00004C2C0000}"/>
    <cellStyle name="Neutral 2 4 3" xfId="11341" xr:uid="{00000000-0005-0000-0000-00004D2C0000}"/>
    <cellStyle name="Neutral 2 5" xfId="11342" xr:uid="{00000000-0005-0000-0000-00004E2C0000}"/>
    <cellStyle name="Neutral 2 5 2" xfId="11343" xr:uid="{00000000-0005-0000-0000-00004F2C0000}"/>
    <cellStyle name="Neutral 2 5 2 2" xfId="11344" xr:uid="{00000000-0005-0000-0000-0000502C0000}"/>
    <cellStyle name="Neutral 2 5 3" xfId="11345" xr:uid="{00000000-0005-0000-0000-0000512C0000}"/>
    <cellStyle name="Neutral 2 5 3 2" xfId="11346" xr:uid="{00000000-0005-0000-0000-0000522C0000}"/>
    <cellStyle name="Neutral 2 5 3 2 2" xfId="11347" xr:uid="{00000000-0005-0000-0000-0000532C0000}"/>
    <cellStyle name="Neutral 2 5 3 3" xfId="11348" xr:uid="{00000000-0005-0000-0000-0000542C0000}"/>
    <cellStyle name="Neutral 2 5 4" xfId="11349" xr:uid="{00000000-0005-0000-0000-0000552C0000}"/>
    <cellStyle name="Neutral 2 6" xfId="11350" xr:uid="{00000000-0005-0000-0000-0000562C0000}"/>
    <cellStyle name="Neutral 2 6 2" xfId="11351" xr:uid="{00000000-0005-0000-0000-0000572C0000}"/>
    <cellStyle name="Neutral 2 6 2 2" xfId="11352" xr:uid="{00000000-0005-0000-0000-0000582C0000}"/>
    <cellStyle name="Neutral 2 6 3" xfId="11353" xr:uid="{00000000-0005-0000-0000-0000592C0000}"/>
    <cellStyle name="Neutral 2 6 3 2" xfId="11354" xr:uid="{00000000-0005-0000-0000-00005A2C0000}"/>
    <cellStyle name="Neutral 2 6 4" xfId="11355" xr:uid="{00000000-0005-0000-0000-00005B2C0000}"/>
    <cellStyle name="Neutral 2 7" xfId="11356" xr:uid="{00000000-0005-0000-0000-00005C2C0000}"/>
    <cellStyle name="Neutral 2 7 2" xfId="11357" xr:uid="{00000000-0005-0000-0000-00005D2C0000}"/>
    <cellStyle name="Neutral 2 8" xfId="11358" xr:uid="{00000000-0005-0000-0000-00005E2C0000}"/>
    <cellStyle name="Neutral 2 8 2" xfId="11359" xr:uid="{00000000-0005-0000-0000-00005F2C0000}"/>
    <cellStyle name="Neutral 2 8 2 2" xfId="11360" xr:uid="{00000000-0005-0000-0000-0000602C0000}"/>
    <cellStyle name="Neutral 2 8 3" xfId="11361" xr:uid="{00000000-0005-0000-0000-0000612C0000}"/>
    <cellStyle name="Neutral 2 9" xfId="11362" xr:uid="{00000000-0005-0000-0000-0000622C0000}"/>
    <cellStyle name="Neutral 2 9 2" xfId="11363" xr:uid="{00000000-0005-0000-0000-0000632C0000}"/>
    <cellStyle name="Neutral 2 9 2 2" xfId="11364" xr:uid="{00000000-0005-0000-0000-0000642C0000}"/>
    <cellStyle name="Neutral 2 9 3" xfId="11365" xr:uid="{00000000-0005-0000-0000-0000652C0000}"/>
    <cellStyle name="Neutral 3" xfId="11366" xr:uid="{00000000-0005-0000-0000-0000662C0000}"/>
    <cellStyle name="Neutral 3 2" xfId="11367" xr:uid="{00000000-0005-0000-0000-0000672C0000}"/>
    <cellStyle name="Neutral 3 2 2" xfId="11368" xr:uid="{00000000-0005-0000-0000-0000682C0000}"/>
    <cellStyle name="Neutral 3 3" xfId="11369" xr:uid="{00000000-0005-0000-0000-0000692C0000}"/>
    <cellStyle name="Neutral 3 3 2" xfId="11370" xr:uid="{00000000-0005-0000-0000-00006A2C0000}"/>
    <cellStyle name="Neutral 3 4" xfId="11371" xr:uid="{00000000-0005-0000-0000-00006B2C0000}"/>
    <cellStyle name="Neutral 3 4 2" xfId="11372" xr:uid="{00000000-0005-0000-0000-00006C2C0000}"/>
    <cellStyle name="Neutral 3 4 2 2" xfId="11373" xr:uid="{00000000-0005-0000-0000-00006D2C0000}"/>
    <cellStyle name="Neutral 3 4 3" xfId="11374" xr:uid="{00000000-0005-0000-0000-00006E2C0000}"/>
    <cellStyle name="Neutral 3 5" xfId="11375" xr:uid="{00000000-0005-0000-0000-00006F2C0000}"/>
    <cellStyle name="Neutral 4" xfId="11376" xr:uid="{00000000-0005-0000-0000-0000702C0000}"/>
    <cellStyle name="Neutral 4 2" xfId="11377" xr:uid="{00000000-0005-0000-0000-0000712C0000}"/>
    <cellStyle name="Neutral 4 2 2" xfId="11378" xr:uid="{00000000-0005-0000-0000-0000722C0000}"/>
    <cellStyle name="Neutral 4 3" xfId="11379" xr:uid="{00000000-0005-0000-0000-0000732C0000}"/>
    <cellStyle name="Neutral 4 3 2" xfId="11380" xr:uid="{00000000-0005-0000-0000-0000742C0000}"/>
    <cellStyle name="Neutral 4 3 2 2" xfId="11381" xr:uid="{00000000-0005-0000-0000-0000752C0000}"/>
    <cellStyle name="Neutral 4 3 3" xfId="11382" xr:uid="{00000000-0005-0000-0000-0000762C0000}"/>
    <cellStyle name="Neutral 4 4" xfId="11383" xr:uid="{00000000-0005-0000-0000-0000772C0000}"/>
    <cellStyle name="Neutral 5" xfId="11384" xr:uid="{00000000-0005-0000-0000-0000782C0000}"/>
    <cellStyle name="Neutral 5 2" xfId="11385" xr:uid="{00000000-0005-0000-0000-0000792C0000}"/>
    <cellStyle name="Neutral 5 2 2" xfId="11386" xr:uid="{00000000-0005-0000-0000-00007A2C0000}"/>
    <cellStyle name="Neutral 5 3" xfId="11387" xr:uid="{00000000-0005-0000-0000-00007B2C0000}"/>
    <cellStyle name="Neutral 5 3 2" xfId="11388" xr:uid="{00000000-0005-0000-0000-00007C2C0000}"/>
    <cellStyle name="Neutral 5 3 2 2" xfId="11389" xr:uid="{00000000-0005-0000-0000-00007D2C0000}"/>
    <cellStyle name="Neutral 5 3 3" xfId="11390" xr:uid="{00000000-0005-0000-0000-00007E2C0000}"/>
    <cellStyle name="Neutral 5 4" xfId="11391" xr:uid="{00000000-0005-0000-0000-00007F2C0000}"/>
    <cellStyle name="Neutral 6" xfId="11392" xr:uid="{00000000-0005-0000-0000-0000802C0000}"/>
    <cellStyle name="Neutral 6 2" xfId="11393" xr:uid="{00000000-0005-0000-0000-0000812C0000}"/>
    <cellStyle name="Neutral 6 2 2" xfId="11394" xr:uid="{00000000-0005-0000-0000-0000822C0000}"/>
    <cellStyle name="Neutral 6 3" xfId="11395" xr:uid="{00000000-0005-0000-0000-0000832C0000}"/>
    <cellStyle name="Neutral 7" xfId="11396" xr:uid="{00000000-0005-0000-0000-0000842C0000}"/>
    <cellStyle name="Neutral 7 2" xfId="11397" xr:uid="{00000000-0005-0000-0000-0000852C0000}"/>
    <cellStyle name="Neutral 8" xfId="11398" xr:uid="{00000000-0005-0000-0000-0000862C0000}"/>
    <cellStyle name="Neutral 9" xfId="11399" xr:uid="{00000000-0005-0000-0000-0000872C0000}"/>
    <cellStyle name="no dec" xfId="11400" xr:uid="{00000000-0005-0000-0000-0000882C0000}"/>
    <cellStyle name="Normal" xfId="0" builtinId="0"/>
    <cellStyle name="Normal - Style1" xfId="11401" xr:uid="{00000000-0005-0000-0000-0000892C0000}"/>
    <cellStyle name="Normal - Style1 2" xfId="11402" xr:uid="{00000000-0005-0000-0000-00008A2C0000}"/>
    <cellStyle name="Normal - Style1 2 2" xfId="11403" xr:uid="{00000000-0005-0000-0000-00008B2C0000}"/>
    <cellStyle name="Normal - Style1 3" xfId="11404" xr:uid="{00000000-0005-0000-0000-00008C2C0000}"/>
    <cellStyle name="Normal - Style1 3 2" xfId="11405" xr:uid="{00000000-0005-0000-0000-00008D2C0000}"/>
    <cellStyle name="Normal - Style1 4" xfId="11406" xr:uid="{00000000-0005-0000-0000-00008E2C0000}"/>
    <cellStyle name="Normal - Style1 5" xfId="11407" xr:uid="{00000000-0005-0000-0000-00008F2C0000}"/>
    <cellStyle name="Normal 10" xfId="47" xr:uid="{00000000-0005-0000-0000-00002F000000}"/>
    <cellStyle name="Normal 10 2" xfId="11408" xr:uid="{00000000-0005-0000-0000-0000902C0000}"/>
    <cellStyle name="Normal 10 2 2" xfId="11409" xr:uid="{00000000-0005-0000-0000-0000912C0000}"/>
    <cellStyle name="Normal 10 2 2 2" xfId="11410" xr:uid="{00000000-0005-0000-0000-0000922C0000}"/>
    <cellStyle name="Normal 10 2 3" xfId="11411" xr:uid="{00000000-0005-0000-0000-0000932C0000}"/>
    <cellStyle name="Normal 10 2 3 2" xfId="11412" xr:uid="{00000000-0005-0000-0000-0000942C0000}"/>
    <cellStyle name="Normal 10 2 3 2 2" xfId="11413" xr:uid="{00000000-0005-0000-0000-0000952C0000}"/>
    <cellStyle name="Normal 10 2 3 3" xfId="11414" xr:uid="{00000000-0005-0000-0000-0000962C0000}"/>
    <cellStyle name="Normal 10 2 4" xfId="11415" xr:uid="{00000000-0005-0000-0000-0000972C0000}"/>
    <cellStyle name="Normal 10 3" xfId="11416" xr:uid="{00000000-0005-0000-0000-0000982C0000}"/>
    <cellStyle name="Normal 10 3 2" xfId="11417" xr:uid="{00000000-0005-0000-0000-0000992C0000}"/>
    <cellStyle name="Normal 10 3 2 2" xfId="11418" xr:uid="{00000000-0005-0000-0000-00009A2C0000}"/>
    <cellStyle name="Normal 10 3 2 2 2" xfId="11419" xr:uid="{00000000-0005-0000-0000-00009B2C0000}"/>
    <cellStyle name="Normal 10 3 2 3" xfId="11420" xr:uid="{00000000-0005-0000-0000-00009C2C0000}"/>
    <cellStyle name="Normal 10 3 3" xfId="11421" xr:uid="{00000000-0005-0000-0000-00009D2C0000}"/>
    <cellStyle name="Normal 10 3 3 2" xfId="11422" xr:uid="{00000000-0005-0000-0000-00009E2C0000}"/>
    <cellStyle name="Normal 10 3 3 2 2" xfId="11423" xr:uid="{00000000-0005-0000-0000-00009F2C0000}"/>
    <cellStyle name="Normal 10 3 3 3" xfId="11424" xr:uid="{00000000-0005-0000-0000-0000A02C0000}"/>
    <cellStyle name="Normal 10 3 4" xfId="11425" xr:uid="{00000000-0005-0000-0000-0000A12C0000}"/>
    <cellStyle name="Normal 10 4" xfId="11426" xr:uid="{00000000-0005-0000-0000-0000A22C0000}"/>
    <cellStyle name="Normal 10 4 2" xfId="11427" xr:uid="{00000000-0005-0000-0000-0000A32C0000}"/>
    <cellStyle name="Normal 10 5" xfId="11428" xr:uid="{00000000-0005-0000-0000-0000A42C0000}"/>
    <cellStyle name="Normal 10 5 2" xfId="11429" xr:uid="{00000000-0005-0000-0000-0000A52C0000}"/>
    <cellStyle name="Normal 10 5 2 2" xfId="11430" xr:uid="{00000000-0005-0000-0000-0000A62C0000}"/>
    <cellStyle name="Normal 10 5 3" xfId="11431" xr:uid="{00000000-0005-0000-0000-0000A72C0000}"/>
    <cellStyle name="Normal 10 6" xfId="11432" xr:uid="{00000000-0005-0000-0000-0000A82C0000}"/>
    <cellStyle name="Normal 10 6 2" xfId="11433" xr:uid="{00000000-0005-0000-0000-0000A92C0000}"/>
    <cellStyle name="Normal 10 6 2 2" xfId="11434" xr:uid="{00000000-0005-0000-0000-0000AA2C0000}"/>
    <cellStyle name="Normal 10 6 3" xfId="11435" xr:uid="{00000000-0005-0000-0000-0000AB2C0000}"/>
    <cellStyle name="Normal 10 7" xfId="11436" xr:uid="{00000000-0005-0000-0000-0000AC2C0000}"/>
    <cellStyle name="Normal 10 7 2" xfId="11437" xr:uid="{00000000-0005-0000-0000-0000AD2C0000}"/>
    <cellStyle name="Normal 10 7 2 2" xfId="11438" xr:uid="{00000000-0005-0000-0000-0000AE2C0000}"/>
    <cellStyle name="Normal 10 7 3" xfId="11439" xr:uid="{00000000-0005-0000-0000-0000AF2C0000}"/>
    <cellStyle name="Normal 10 8" xfId="11440" xr:uid="{00000000-0005-0000-0000-0000B02C0000}"/>
    <cellStyle name="Normal 10 9" xfId="11441" xr:uid="{00000000-0005-0000-0000-0000B12C0000}"/>
    <cellStyle name="Normal 100" xfId="11442" xr:uid="{00000000-0005-0000-0000-0000B22C0000}"/>
    <cellStyle name="Normal 100 2" xfId="11443" xr:uid="{00000000-0005-0000-0000-0000B32C0000}"/>
    <cellStyle name="Normal 100 2 2" xfId="11444" xr:uid="{00000000-0005-0000-0000-0000B42C0000}"/>
    <cellStyle name="Normal 100 2 2 2" xfId="11445" xr:uid="{00000000-0005-0000-0000-0000B52C0000}"/>
    <cellStyle name="Normal 100 2 3" xfId="11446" xr:uid="{00000000-0005-0000-0000-0000B62C0000}"/>
    <cellStyle name="Normal 100 3" xfId="11447" xr:uid="{00000000-0005-0000-0000-0000B72C0000}"/>
    <cellStyle name="Normal 100 3 2" xfId="11448" xr:uid="{00000000-0005-0000-0000-0000B82C0000}"/>
    <cellStyle name="Normal 100 3 2 2" xfId="11449" xr:uid="{00000000-0005-0000-0000-0000B92C0000}"/>
    <cellStyle name="Normal 100 3 3" xfId="11450" xr:uid="{00000000-0005-0000-0000-0000BA2C0000}"/>
    <cellStyle name="Normal 100 3 3 2" xfId="11451" xr:uid="{00000000-0005-0000-0000-0000BB2C0000}"/>
    <cellStyle name="Normal 100 3 3 2 2" xfId="11452" xr:uid="{00000000-0005-0000-0000-0000BC2C0000}"/>
    <cellStyle name="Normal 100 3 3 3" xfId="11453" xr:uid="{00000000-0005-0000-0000-0000BD2C0000}"/>
    <cellStyle name="Normal 100 3 4" xfId="11454" xr:uid="{00000000-0005-0000-0000-0000BE2C0000}"/>
    <cellStyle name="Normal 100 4" xfId="11455" xr:uid="{00000000-0005-0000-0000-0000BF2C0000}"/>
    <cellStyle name="Normal 100 4 2" xfId="11456" xr:uid="{00000000-0005-0000-0000-0000C02C0000}"/>
    <cellStyle name="Normal 100 4 2 2" xfId="11457" xr:uid="{00000000-0005-0000-0000-0000C12C0000}"/>
    <cellStyle name="Normal 100 4 3" xfId="11458" xr:uid="{00000000-0005-0000-0000-0000C22C0000}"/>
    <cellStyle name="Normal 100 5" xfId="11459" xr:uid="{00000000-0005-0000-0000-0000C32C0000}"/>
    <cellStyle name="Normal 101" xfId="11460" xr:uid="{00000000-0005-0000-0000-0000C42C0000}"/>
    <cellStyle name="Normal 101 2" xfId="11461" xr:uid="{00000000-0005-0000-0000-0000C52C0000}"/>
    <cellStyle name="Normal 101 2 2" xfId="11462" xr:uid="{00000000-0005-0000-0000-0000C62C0000}"/>
    <cellStyle name="Normal 101 2 2 2" xfId="11463" xr:uid="{00000000-0005-0000-0000-0000C72C0000}"/>
    <cellStyle name="Normal 101 2 3" xfId="11464" xr:uid="{00000000-0005-0000-0000-0000C82C0000}"/>
    <cellStyle name="Normal 101 3" xfId="11465" xr:uid="{00000000-0005-0000-0000-0000C92C0000}"/>
    <cellStyle name="Normal 101 3 2" xfId="11466" xr:uid="{00000000-0005-0000-0000-0000CA2C0000}"/>
    <cellStyle name="Normal 101 3 2 2" xfId="11467" xr:uid="{00000000-0005-0000-0000-0000CB2C0000}"/>
    <cellStyle name="Normal 101 3 3" xfId="11468" xr:uid="{00000000-0005-0000-0000-0000CC2C0000}"/>
    <cellStyle name="Normal 101 3 3 2" xfId="11469" xr:uid="{00000000-0005-0000-0000-0000CD2C0000}"/>
    <cellStyle name="Normal 101 3 3 2 2" xfId="11470" xr:uid="{00000000-0005-0000-0000-0000CE2C0000}"/>
    <cellStyle name="Normal 101 3 3 3" xfId="11471" xr:uid="{00000000-0005-0000-0000-0000CF2C0000}"/>
    <cellStyle name="Normal 101 3 4" xfId="11472" xr:uid="{00000000-0005-0000-0000-0000D02C0000}"/>
    <cellStyle name="Normal 101 4" xfId="11473" xr:uid="{00000000-0005-0000-0000-0000D12C0000}"/>
    <cellStyle name="Normal 101 4 2" xfId="11474" xr:uid="{00000000-0005-0000-0000-0000D22C0000}"/>
    <cellStyle name="Normal 101 4 2 2" xfId="11475" xr:uid="{00000000-0005-0000-0000-0000D32C0000}"/>
    <cellStyle name="Normal 101 4 3" xfId="11476" xr:uid="{00000000-0005-0000-0000-0000D42C0000}"/>
    <cellStyle name="Normal 101 5" xfId="11477" xr:uid="{00000000-0005-0000-0000-0000D52C0000}"/>
    <cellStyle name="Normal 102" xfId="11478" xr:uid="{00000000-0005-0000-0000-0000D62C0000}"/>
    <cellStyle name="Normal 102 2" xfId="11479" xr:uid="{00000000-0005-0000-0000-0000D72C0000}"/>
    <cellStyle name="Normal 102 2 2" xfId="11480" xr:uid="{00000000-0005-0000-0000-0000D82C0000}"/>
    <cellStyle name="Normal 102 2 2 2" xfId="11481" xr:uid="{00000000-0005-0000-0000-0000D92C0000}"/>
    <cellStyle name="Normal 102 2 3" xfId="11482" xr:uid="{00000000-0005-0000-0000-0000DA2C0000}"/>
    <cellStyle name="Normal 102 3" xfId="11483" xr:uid="{00000000-0005-0000-0000-0000DB2C0000}"/>
    <cellStyle name="Normal 102 3 2" xfId="11484" xr:uid="{00000000-0005-0000-0000-0000DC2C0000}"/>
    <cellStyle name="Normal 102 3 2 2" xfId="11485" xr:uid="{00000000-0005-0000-0000-0000DD2C0000}"/>
    <cellStyle name="Normal 102 3 3" xfId="11486" xr:uid="{00000000-0005-0000-0000-0000DE2C0000}"/>
    <cellStyle name="Normal 102 3 3 2" xfId="11487" xr:uid="{00000000-0005-0000-0000-0000DF2C0000}"/>
    <cellStyle name="Normal 102 3 3 2 2" xfId="11488" xr:uid="{00000000-0005-0000-0000-0000E02C0000}"/>
    <cellStyle name="Normal 102 3 3 3" xfId="11489" xr:uid="{00000000-0005-0000-0000-0000E12C0000}"/>
    <cellStyle name="Normal 102 3 4" xfId="11490" xr:uid="{00000000-0005-0000-0000-0000E22C0000}"/>
    <cellStyle name="Normal 102 4" xfId="11491" xr:uid="{00000000-0005-0000-0000-0000E32C0000}"/>
    <cellStyle name="Normal 102 4 2" xfId="11492" xr:uid="{00000000-0005-0000-0000-0000E42C0000}"/>
    <cellStyle name="Normal 102 4 2 2" xfId="11493" xr:uid="{00000000-0005-0000-0000-0000E52C0000}"/>
    <cellStyle name="Normal 102 4 3" xfId="11494" xr:uid="{00000000-0005-0000-0000-0000E62C0000}"/>
    <cellStyle name="Normal 102 5" xfId="11495" xr:uid="{00000000-0005-0000-0000-0000E72C0000}"/>
    <cellStyle name="Normal 103" xfId="11496" xr:uid="{00000000-0005-0000-0000-0000E82C0000}"/>
    <cellStyle name="Normal 103 2" xfId="11497" xr:uid="{00000000-0005-0000-0000-0000E92C0000}"/>
    <cellStyle name="Normal 103 2 2" xfId="11498" xr:uid="{00000000-0005-0000-0000-0000EA2C0000}"/>
    <cellStyle name="Normal 103 2 2 2" xfId="11499" xr:uid="{00000000-0005-0000-0000-0000EB2C0000}"/>
    <cellStyle name="Normal 103 2 3" xfId="11500" xr:uid="{00000000-0005-0000-0000-0000EC2C0000}"/>
    <cellStyle name="Normal 103 3" xfId="11501" xr:uid="{00000000-0005-0000-0000-0000ED2C0000}"/>
    <cellStyle name="Normal 103 3 2" xfId="11502" xr:uid="{00000000-0005-0000-0000-0000EE2C0000}"/>
    <cellStyle name="Normal 103 3 2 2" xfId="11503" xr:uid="{00000000-0005-0000-0000-0000EF2C0000}"/>
    <cellStyle name="Normal 103 3 3" xfId="11504" xr:uid="{00000000-0005-0000-0000-0000F02C0000}"/>
    <cellStyle name="Normal 103 3 3 2" xfId="11505" xr:uid="{00000000-0005-0000-0000-0000F12C0000}"/>
    <cellStyle name="Normal 103 3 3 2 2" xfId="11506" xr:uid="{00000000-0005-0000-0000-0000F22C0000}"/>
    <cellStyle name="Normal 103 3 3 3" xfId="11507" xr:uid="{00000000-0005-0000-0000-0000F32C0000}"/>
    <cellStyle name="Normal 103 3 4" xfId="11508" xr:uid="{00000000-0005-0000-0000-0000F42C0000}"/>
    <cellStyle name="Normal 103 4" xfId="11509" xr:uid="{00000000-0005-0000-0000-0000F52C0000}"/>
    <cellStyle name="Normal 103 4 2" xfId="11510" xr:uid="{00000000-0005-0000-0000-0000F62C0000}"/>
    <cellStyle name="Normal 103 4 2 2" xfId="11511" xr:uid="{00000000-0005-0000-0000-0000F72C0000}"/>
    <cellStyle name="Normal 103 4 3" xfId="11512" xr:uid="{00000000-0005-0000-0000-0000F82C0000}"/>
    <cellStyle name="Normal 103 5" xfId="11513" xr:uid="{00000000-0005-0000-0000-0000F92C0000}"/>
    <cellStyle name="Normal 104" xfId="11514" xr:uid="{00000000-0005-0000-0000-0000FA2C0000}"/>
    <cellStyle name="Normal 104 2" xfId="11515" xr:uid="{00000000-0005-0000-0000-0000FB2C0000}"/>
    <cellStyle name="Normal 104 2 2" xfId="11516" xr:uid="{00000000-0005-0000-0000-0000FC2C0000}"/>
    <cellStyle name="Normal 104 2 2 2" xfId="11517" xr:uid="{00000000-0005-0000-0000-0000FD2C0000}"/>
    <cellStyle name="Normal 104 2 3" xfId="11518" xr:uid="{00000000-0005-0000-0000-0000FE2C0000}"/>
    <cellStyle name="Normal 104 3" xfId="11519" xr:uid="{00000000-0005-0000-0000-0000FF2C0000}"/>
    <cellStyle name="Normal 104 3 2" xfId="11520" xr:uid="{00000000-0005-0000-0000-0000002D0000}"/>
    <cellStyle name="Normal 104 3 2 2" xfId="11521" xr:uid="{00000000-0005-0000-0000-0000012D0000}"/>
    <cellStyle name="Normal 104 3 3" xfId="11522" xr:uid="{00000000-0005-0000-0000-0000022D0000}"/>
    <cellStyle name="Normal 104 3 3 2" xfId="11523" xr:uid="{00000000-0005-0000-0000-0000032D0000}"/>
    <cellStyle name="Normal 104 3 3 2 2" xfId="11524" xr:uid="{00000000-0005-0000-0000-0000042D0000}"/>
    <cellStyle name="Normal 104 3 3 3" xfId="11525" xr:uid="{00000000-0005-0000-0000-0000052D0000}"/>
    <cellStyle name="Normal 104 3 4" xfId="11526" xr:uid="{00000000-0005-0000-0000-0000062D0000}"/>
    <cellStyle name="Normal 104 4" xfId="11527" xr:uid="{00000000-0005-0000-0000-0000072D0000}"/>
    <cellStyle name="Normal 104 4 2" xfId="11528" xr:uid="{00000000-0005-0000-0000-0000082D0000}"/>
    <cellStyle name="Normal 104 4 2 2" xfId="11529" xr:uid="{00000000-0005-0000-0000-0000092D0000}"/>
    <cellStyle name="Normal 104 4 3" xfId="11530" xr:uid="{00000000-0005-0000-0000-00000A2D0000}"/>
    <cellStyle name="Normal 104 5" xfId="11531" xr:uid="{00000000-0005-0000-0000-00000B2D0000}"/>
    <cellStyle name="Normal 105" xfId="11532" xr:uid="{00000000-0005-0000-0000-00000C2D0000}"/>
    <cellStyle name="Normal 105 2" xfId="11533" xr:uid="{00000000-0005-0000-0000-00000D2D0000}"/>
    <cellStyle name="Normal 105 2 2" xfId="11534" xr:uid="{00000000-0005-0000-0000-00000E2D0000}"/>
    <cellStyle name="Normal 105 2 2 2" xfId="11535" xr:uid="{00000000-0005-0000-0000-00000F2D0000}"/>
    <cellStyle name="Normal 105 2 3" xfId="11536" xr:uid="{00000000-0005-0000-0000-0000102D0000}"/>
    <cellStyle name="Normal 105 3" xfId="11537" xr:uid="{00000000-0005-0000-0000-0000112D0000}"/>
    <cellStyle name="Normal 105 3 2" xfId="11538" xr:uid="{00000000-0005-0000-0000-0000122D0000}"/>
    <cellStyle name="Normal 105 3 2 2" xfId="11539" xr:uid="{00000000-0005-0000-0000-0000132D0000}"/>
    <cellStyle name="Normal 105 3 3" xfId="11540" xr:uid="{00000000-0005-0000-0000-0000142D0000}"/>
    <cellStyle name="Normal 105 3 3 2" xfId="11541" xr:uid="{00000000-0005-0000-0000-0000152D0000}"/>
    <cellStyle name="Normal 105 3 3 2 2" xfId="11542" xr:uid="{00000000-0005-0000-0000-0000162D0000}"/>
    <cellStyle name="Normal 105 3 3 3" xfId="11543" xr:uid="{00000000-0005-0000-0000-0000172D0000}"/>
    <cellStyle name="Normal 105 3 4" xfId="11544" xr:uid="{00000000-0005-0000-0000-0000182D0000}"/>
    <cellStyle name="Normal 105 4" xfId="11545" xr:uid="{00000000-0005-0000-0000-0000192D0000}"/>
    <cellStyle name="Normal 105 4 2" xfId="11546" xr:uid="{00000000-0005-0000-0000-00001A2D0000}"/>
    <cellStyle name="Normal 105 4 2 2" xfId="11547" xr:uid="{00000000-0005-0000-0000-00001B2D0000}"/>
    <cellStyle name="Normal 105 4 3" xfId="11548" xr:uid="{00000000-0005-0000-0000-00001C2D0000}"/>
    <cellStyle name="Normal 105 5" xfId="11549" xr:uid="{00000000-0005-0000-0000-00001D2D0000}"/>
    <cellStyle name="Normal 106" xfId="11550" xr:uid="{00000000-0005-0000-0000-00001E2D0000}"/>
    <cellStyle name="Normal 106 2" xfId="11551" xr:uid="{00000000-0005-0000-0000-00001F2D0000}"/>
    <cellStyle name="Normal 106 2 2" xfId="11552" xr:uid="{00000000-0005-0000-0000-0000202D0000}"/>
    <cellStyle name="Normal 106 2 2 2" xfId="11553" xr:uid="{00000000-0005-0000-0000-0000212D0000}"/>
    <cellStyle name="Normal 106 2 3" xfId="11554" xr:uid="{00000000-0005-0000-0000-0000222D0000}"/>
    <cellStyle name="Normal 106 3" xfId="11555" xr:uid="{00000000-0005-0000-0000-0000232D0000}"/>
    <cellStyle name="Normal 106 3 2" xfId="11556" xr:uid="{00000000-0005-0000-0000-0000242D0000}"/>
    <cellStyle name="Normal 106 3 2 2" xfId="11557" xr:uid="{00000000-0005-0000-0000-0000252D0000}"/>
    <cellStyle name="Normal 106 3 3" xfId="11558" xr:uid="{00000000-0005-0000-0000-0000262D0000}"/>
    <cellStyle name="Normal 106 3 3 2" xfId="11559" xr:uid="{00000000-0005-0000-0000-0000272D0000}"/>
    <cellStyle name="Normal 106 3 3 2 2" xfId="11560" xr:uid="{00000000-0005-0000-0000-0000282D0000}"/>
    <cellStyle name="Normal 106 3 3 3" xfId="11561" xr:uid="{00000000-0005-0000-0000-0000292D0000}"/>
    <cellStyle name="Normal 106 3 4" xfId="11562" xr:uid="{00000000-0005-0000-0000-00002A2D0000}"/>
    <cellStyle name="Normal 106 4" xfId="11563" xr:uid="{00000000-0005-0000-0000-00002B2D0000}"/>
    <cellStyle name="Normal 106 4 2" xfId="11564" xr:uid="{00000000-0005-0000-0000-00002C2D0000}"/>
    <cellStyle name="Normal 106 4 2 2" xfId="11565" xr:uid="{00000000-0005-0000-0000-00002D2D0000}"/>
    <cellStyle name="Normal 106 4 3" xfId="11566" xr:uid="{00000000-0005-0000-0000-00002E2D0000}"/>
    <cellStyle name="Normal 106 5" xfId="11567" xr:uid="{00000000-0005-0000-0000-00002F2D0000}"/>
    <cellStyle name="Normal 107" xfId="11568" xr:uid="{00000000-0005-0000-0000-0000302D0000}"/>
    <cellStyle name="Normal 107 2" xfId="11569" xr:uid="{00000000-0005-0000-0000-0000312D0000}"/>
    <cellStyle name="Normal 107 2 2" xfId="11570" xr:uid="{00000000-0005-0000-0000-0000322D0000}"/>
    <cellStyle name="Normal 107 2 2 2" xfId="11571" xr:uid="{00000000-0005-0000-0000-0000332D0000}"/>
    <cellStyle name="Normal 107 2 3" xfId="11572" xr:uid="{00000000-0005-0000-0000-0000342D0000}"/>
    <cellStyle name="Normal 107 3" xfId="11573" xr:uid="{00000000-0005-0000-0000-0000352D0000}"/>
    <cellStyle name="Normal 107 3 2" xfId="11574" xr:uid="{00000000-0005-0000-0000-0000362D0000}"/>
    <cellStyle name="Normal 107 3 2 2" xfId="11575" xr:uid="{00000000-0005-0000-0000-0000372D0000}"/>
    <cellStyle name="Normal 107 3 3" xfId="11576" xr:uid="{00000000-0005-0000-0000-0000382D0000}"/>
    <cellStyle name="Normal 107 3 3 2" xfId="11577" xr:uid="{00000000-0005-0000-0000-0000392D0000}"/>
    <cellStyle name="Normal 107 3 3 2 2" xfId="11578" xr:uid="{00000000-0005-0000-0000-00003A2D0000}"/>
    <cellStyle name="Normal 107 3 3 3" xfId="11579" xr:uid="{00000000-0005-0000-0000-00003B2D0000}"/>
    <cellStyle name="Normal 107 3 4" xfId="11580" xr:uid="{00000000-0005-0000-0000-00003C2D0000}"/>
    <cellStyle name="Normal 107 4" xfId="11581" xr:uid="{00000000-0005-0000-0000-00003D2D0000}"/>
    <cellStyle name="Normal 107 4 2" xfId="11582" xr:uid="{00000000-0005-0000-0000-00003E2D0000}"/>
    <cellStyle name="Normal 107 4 2 2" xfId="11583" xr:uid="{00000000-0005-0000-0000-00003F2D0000}"/>
    <cellStyle name="Normal 107 4 3" xfId="11584" xr:uid="{00000000-0005-0000-0000-0000402D0000}"/>
    <cellStyle name="Normal 107 5" xfId="11585" xr:uid="{00000000-0005-0000-0000-0000412D0000}"/>
    <cellStyle name="Normal 108" xfId="11586" xr:uid="{00000000-0005-0000-0000-0000422D0000}"/>
    <cellStyle name="Normal 108 2" xfId="11587" xr:uid="{00000000-0005-0000-0000-0000432D0000}"/>
    <cellStyle name="Normal 108 2 2" xfId="11588" xr:uid="{00000000-0005-0000-0000-0000442D0000}"/>
    <cellStyle name="Normal 108 2 2 2" xfId="11589" xr:uid="{00000000-0005-0000-0000-0000452D0000}"/>
    <cellStyle name="Normal 108 2 3" xfId="11590" xr:uid="{00000000-0005-0000-0000-0000462D0000}"/>
    <cellStyle name="Normal 108 3" xfId="11591" xr:uid="{00000000-0005-0000-0000-0000472D0000}"/>
    <cellStyle name="Normal 108 3 2" xfId="11592" xr:uid="{00000000-0005-0000-0000-0000482D0000}"/>
    <cellStyle name="Normal 108 3 2 2" xfId="11593" xr:uid="{00000000-0005-0000-0000-0000492D0000}"/>
    <cellStyle name="Normal 108 3 3" xfId="11594" xr:uid="{00000000-0005-0000-0000-00004A2D0000}"/>
    <cellStyle name="Normal 108 3 3 2" xfId="11595" xr:uid="{00000000-0005-0000-0000-00004B2D0000}"/>
    <cellStyle name="Normal 108 3 3 2 2" xfId="11596" xr:uid="{00000000-0005-0000-0000-00004C2D0000}"/>
    <cellStyle name="Normal 108 3 3 3" xfId="11597" xr:uid="{00000000-0005-0000-0000-00004D2D0000}"/>
    <cellStyle name="Normal 108 3 4" xfId="11598" xr:uid="{00000000-0005-0000-0000-00004E2D0000}"/>
    <cellStyle name="Normal 108 4" xfId="11599" xr:uid="{00000000-0005-0000-0000-00004F2D0000}"/>
    <cellStyle name="Normal 108 4 2" xfId="11600" xr:uid="{00000000-0005-0000-0000-0000502D0000}"/>
    <cellStyle name="Normal 108 4 2 2" xfId="11601" xr:uid="{00000000-0005-0000-0000-0000512D0000}"/>
    <cellStyle name="Normal 108 4 3" xfId="11602" xr:uid="{00000000-0005-0000-0000-0000522D0000}"/>
    <cellStyle name="Normal 108 5" xfId="11603" xr:uid="{00000000-0005-0000-0000-0000532D0000}"/>
    <cellStyle name="Normal 109" xfId="11604" xr:uid="{00000000-0005-0000-0000-0000542D0000}"/>
    <cellStyle name="Normal 109 2" xfId="11605" xr:uid="{00000000-0005-0000-0000-0000552D0000}"/>
    <cellStyle name="Normal 109 2 2" xfId="11606" xr:uid="{00000000-0005-0000-0000-0000562D0000}"/>
    <cellStyle name="Normal 109 2 2 2" xfId="11607" xr:uid="{00000000-0005-0000-0000-0000572D0000}"/>
    <cellStyle name="Normal 109 2 3" xfId="11608" xr:uid="{00000000-0005-0000-0000-0000582D0000}"/>
    <cellStyle name="Normal 109 3" xfId="11609" xr:uid="{00000000-0005-0000-0000-0000592D0000}"/>
    <cellStyle name="Normal 109 3 2" xfId="11610" xr:uid="{00000000-0005-0000-0000-00005A2D0000}"/>
    <cellStyle name="Normal 109 3 2 2" xfId="11611" xr:uid="{00000000-0005-0000-0000-00005B2D0000}"/>
    <cellStyle name="Normal 109 3 3" xfId="11612" xr:uid="{00000000-0005-0000-0000-00005C2D0000}"/>
    <cellStyle name="Normal 109 3 3 2" xfId="11613" xr:uid="{00000000-0005-0000-0000-00005D2D0000}"/>
    <cellStyle name="Normal 109 3 3 2 2" xfId="11614" xr:uid="{00000000-0005-0000-0000-00005E2D0000}"/>
    <cellStyle name="Normal 109 3 3 3" xfId="11615" xr:uid="{00000000-0005-0000-0000-00005F2D0000}"/>
    <cellStyle name="Normal 109 3 4" xfId="11616" xr:uid="{00000000-0005-0000-0000-0000602D0000}"/>
    <cellStyle name="Normal 109 4" xfId="11617" xr:uid="{00000000-0005-0000-0000-0000612D0000}"/>
    <cellStyle name="Normal 109 4 2" xfId="11618" xr:uid="{00000000-0005-0000-0000-0000622D0000}"/>
    <cellStyle name="Normal 109 4 2 2" xfId="11619" xr:uid="{00000000-0005-0000-0000-0000632D0000}"/>
    <cellStyle name="Normal 109 4 3" xfId="11620" xr:uid="{00000000-0005-0000-0000-0000642D0000}"/>
    <cellStyle name="Normal 109 5" xfId="11621" xr:uid="{00000000-0005-0000-0000-0000652D0000}"/>
    <cellStyle name="Normal 11" xfId="59" xr:uid="{00000000-0005-0000-0000-00003B000000}"/>
    <cellStyle name="Normal 11 2" xfId="11622" xr:uid="{00000000-0005-0000-0000-0000662D0000}"/>
    <cellStyle name="Normal 11 2 2" xfId="11623" xr:uid="{00000000-0005-0000-0000-0000672D0000}"/>
    <cellStyle name="Normal 11 2 2 2" xfId="11624" xr:uid="{00000000-0005-0000-0000-0000682D0000}"/>
    <cellStyle name="Normal 11 2 3" xfId="11625" xr:uid="{00000000-0005-0000-0000-0000692D0000}"/>
    <cellStyle name="Normal 11 2 3 2" xfId="11626" xr:uid="{00000000-0005-0000-0000-00006A2D0000}"/>
    <cellStyle name="Normal 11 2 3 2 2" xfId="11627" xr:uid="{00000000-0005-0000-0000-00006B2D0000}"/>
    <cellStyle name="Normal 11 2 3 3" xfId="11628" xr:uid="{00000000-0005-0000-0000-00006C2D0000}"/>
    <cellStyle name="Normal 11 2 4" xfId="11629" xr:uid="{00000000-0005-0000-0000-00006D2D0000}"/>
    <cellStyle name="Normal 11 2 5" xfId="11630" xr:uid="{00000000-0005-0000-0000-00006E2D0000}"/>
    <cellStyle name="Normal 11 3" xfId="11631" xr:uid="{00000000-0005-0000-0000-00006F2D0000}"/>
    <cellStyle name="Normal 11 3 2" xfId="11632" xr:uid="{00000000-0005-0000-0000-0000702D0000}"/>
    <cellStyle name="Normal 11 3 2 2" xfId="11633" xr:uid="{00000000-0005-0000-0000-0000712D0000}"/>
    <cellStyle name="Normal 11 3 2 2 2" xfId="11634" xr:uid="{00000000-0005-0000-0000-0000722D0000}"/>
    <cellStyle name="Normal 11 3 2 3" xfId="11635" xr:uid="{00000000-0005-0000-0000-0000732D0000}"/>
    <cellStyle name="Normal 11 3 3" xfId="11636" xr:uid="{00000000-0005-0000-0000-0000742D0000}"/>
    <cellStyle name="Normal 11 3 3 2" xfId="11637" xr:uid="{00000000-0005-0000-0000-0000752D0000}"/>
    <cellStyle name="Normal 11 3 3 2 2" xfId="11638" xr:uid="{00000000-0005-0000-0000-0000762D0000}"/>
    <cellStyle name="Normal 11 3 3 3" xfId="11639" xr:uid="{00000000-0005-0000-0000-0000772D0000}"/>
    <cellStyle name="Normal 11 3 4" xfId="11640" xr:uid="{00000000-0005-0000-0000-0000782D0000}"/>
    <cellStyle name="Normal 11 4" xfId="11641" xr:uid="{00000000-0005-0000-0000-0000792D0000}"/>
    <cellStyle name="Normal 11 4 2" xfId="11642" xr:uid="{00000000-0005-0000-0000-00007A2D0000}"/>
    <cellStyle name="Normal 11 5" xfId="11643" xr:uid="{00000000-0005-0000-0000-00007B2D0000}"/>
    <cellStyle name="Normal 11 5 2" xfId="11644" xr:uid="{00000000-0005-0000-0000-00007C2D0000}"/>
    <cellStyle name="Normal 11 5 2 2" xfId="11645" xr:uid="{00000000-0005-0000-0000-00007D2D0000}"/>
    <cellStyle name="Normal 11 5 3" xfId="11646" xr:uid="{00000000-0005-0000-0000-00007E2D0000}"/>
    <cellStyle name="Normal 11 6" xfId="11647" xr:uid="{00000000-0005-0000-0000-00007F2D0000}"/>
    <cellStyle name="Normal 11 6 2" xfId="11648" xr:uid="{00000000-0005-0000-0000-0000802D0000}"/>
    <cellStyle name="Normal 11 6 2 2" xfId="11649" xr:uid="{00000000-0005-0000-0000-0000812D0000}"/>
    <cellStyle name="Normal 11 6 3" xfId="11650" xr:uid="{00000000-0005-0000-0000-0000822D0000}"/>
    <cellStyle name="Normal 11 7" xfId="11651" xr:uid="{00000000-0005-0000-0000-0000832D0000}"/>
    <cellStyle name="Normal 11 7 2" xfId="11652" xr:uid="{00000000-0005-0000-0000-0000842D0000}"/>
    <cellStyle name="Normal 11 8" xfId="11653" xr:uid="{00000000-0005-0000-0000-0000852D0000}"/>
    <cellStyle name="Normal 11 9" xfId="11654" xr:uid="{00000000-0005-0000-0000-0000862D0000}"/>
    <cellStyle name="Normal 110" xfId="11655" xr:uid="{00000000-0005-0000-0000-0000872D0000}"/>
    <cellStyle name="Normal 110 2" xfId="11656" xr:uid="{00000000-0005-0000-0000-0000882D0000}"/>
    <cellStyle name="Normal 110 2 2" xfId="11657" xr:uid="{00000000-0005-0000-0000-0000892D0000}"/>
    <cellStyle name="Normal 110 2 2 2" xfId="11658" xr:uid="{00000000-0005-0000-0000-00008A2D0000}"/>
    <cellStyle name="Normal 110 2 3" xfId="11659" xr:uid="{00000000-0005-0000-0000-00008B2D0000}"/>
    <cellStyle name="Normal 110 3" xfId="11660" xr:uid="{00000000-0005-0000-0000-00008C2D0000}"/>
    <cellStyle name="Normal 110 3 2" xfId="11661" xr:uid="{00000000-0005-0000-0000-00008D2D0000}"/>
    <cellStyle name="Normal 110 3 2 2" xfId="11662" xr:uid="{00000000-0005-0000-0000-00008E2D0000}"/>
    <cellStyle name="Normal 110 3 3" xfId="11663" xr:uid="{00000000-0005-0000-0000-00008F2D0000}"/>
    <cellStyle name="Normal 110 3 3 2" xfId="11664" xr:uid="{00000000-0005-0000-0000-0000902D0000}"/>
    <cellStyle name="Normal 110 3 3 2 2" xfId="11665" xr:uid="{00000000-0005-0000-0000-0000912D0000}"/>
    <cellStyle name="Normal 110 3 3 3" xfId="11666" xr:uid="{00000000-0005-0000-0000-0000922D0000}"/>
    <cellStyle name="Normal 110 3 4" xfId="11667" xr:uid="{00000000-0005-0000-0000-0000932D0000}"/>
    <cellStyle name="Normal 110 4" xfId="11668" xr:uid="{00000000-0005-0000-0000-0000942D0000}"/>
    <cellStyle name="Normal 110 4 2" xfId="11669" xr:uid="{00000000-0005-0000-0000-0000952D0000}"/>
    <cellStyle name="Normal 110 4 2 2" xfId="11670" xr:uid="{00000000-0005-0000-0000-0000962D0000}"/>
    <cellStyle name="Normal 110 4 3" xfId="11671" xr:uid="{00000000-0005-0000-0000-0000972D0000}"/>
    <cellStyle name="Normal 110 5" xfId="11672" xr:uid="{00000000-0005-0000-0000-0000982D0000}"/>
    <cellStyle name="Normal 111" xfId="11673" xr:uid="{00000000-0005-0000-0000-0000992D0000}"/>
    <cellStyle name="Normal 111 2" xfId="11674" xr:uid="{00000000-0005-0000-0000-00009A2D0000}"/>
    <cellStyle name="Normal 111 2 2" xfId="11675" xr:uid="{00000000-0005-0000-0000-00009B2D0000}"/>
    <cellStyle name="Normal 111 2 2 2" xfId="11676" xr:uid="{00000000-0005-0000-0000-00009C2D0000}"/>
    <cellStyle name="Normal 111 2 3" xfId="11677" xr:uid="{00000000-0005-0000-0000-00009D2D0000}"/>
    <cellStyle name="Normal 111 3" xfId="11678" xr:uid="{00000000-0005-0000-0000-00009E2D0000}"/>
    <cellStyle name="Normal 111 3 2" xfId="11679" xr:uid="{00000000-0005-0000-0000-00009F2D0000}"/>
    <cellStyle name="Normal 111 3 2 2" xfId="11680" xr:uid="{00000000-0005-0000-0000-0000A02D0000}"/>
    <cellStyle name="Normal 111 3 3" xfId="11681" xr:uid="{00000000-0005-0000-0000-0000A12D0000}"/>
    <cellStyle name="Normal 111 3 3 2" xfId="11682" xr:uid="{00000000-0005-0000-0000-0000A22D0000}"/>
    <cellStyle name="Normal 111 3 3 2 2" xfId="11683" xr:uid="{00000000-0005-0000-0000-0000A32D0000}"/>
    <cellStyle name="Normal 111 3 3 3" xfId="11684" xr:uid="{00000000-0005-0000-0000-0000A42D0000}"/>
    <cellStyle name="Normal 111 3 4" xfId="11685" xr:uid="{00000000-0005-0000-0000-0000A52D0000}"/>
    <cellStyle name="Normal 111 4" xfId="11686" xr:uid="{00000000-0005-0000-0000-0000A62D0000}"/>
    <cellStyle name="Normal 111 4 2" xfId="11687" xr:uid="{00000000-0005-0000-0000-0000A72D0000}"/>
    <cellStyle name="Normal 111 4 2 2" xfId="11688" xr:uid="{00000000-0005-0000-0000-0000A82D0000}"/>
    <cellStyle name="Normal 111 4 3" xfId="11689" xr:uid="{00000000-0005-0000-0000-0000A92D0000}"/>
    <cellStyle name="Normal 111 5" xfId="11690" xr:uid="{00000000-0005-0000-0000-0000AA2D0000}"/>
    <cellStyle name="Normal 112" xfId="11691" xr:uid="{00000000-0005-0000-0000-0000AB2D0000}"/>
    <cellStyle name="Normal 112 2" xfId="11692" xr:uid="{00000000-0005-0000-0000-0000AC2D0000}"/>
    <cellStyle name="Normal 112 2 2" xfId="11693" xr:uid="{00000000-0005-0000-0000-0000AD2D0000}"/>
    <cellStyle name="Normal 112 2 2 2" xfId="11694" xr:uid="{00000000-0005-0000-0000-0000AE2D0000}"/>
    <cellStyle name="Normal 112 2 3" xfId="11695" xr:uid="{00000000-0005-0000-0000-0000AF2D0000}"/>
    <cellStyle name="Normal 112 3" xfId="11696" xr:uid="{00000000-0005-0000-0000-0000B02D0000}"/>
    <cellStyle name="Normal 112 3 2" xfId="11697" xr:uid="{00000000-0005-0000-0000-0000B12D0000}"/>
    <cellStyle name="Normal 112 3 2 2" xfId="11698" xr:uid="{00000000-0005-0000-0000-0000B22D0000}"/>
    <cellStyle name="Normal 112 3 3" xfId="11699" xr:uid="{00000000-0005-0000-0000-0000B32D0000}"/>
    <cellStyle name="Normal 112 3 3 2" xfId="11700" xr:uid="{00000000-0005-0000-0000-0000B42D0000}"/>
    <cellStyle name="Normal 112 3 3 2 2" xfId="11701" xr:uid="{00000000-0005-0000-0000-0000B52D0000}"/>
    <cellStyle name="Normal 112 3 3 3" xfId="11702" xr:uid="{00000000-0005-0000-0000-0000B62D0000}"/>
    <cellStyle name="Normal 112 3 4" xfId="11703" xr:uid="{00000000-0005-0000-0000-0000B72D0000}"/>
    <cellStyle name="Normal 112 4" xfId="11704" xr:uid="{00000000-0005-0000-0000-0000B82D0000}"/>
    <cellStyle name="Normal 112 4 2" xfId="11705" xr:uid="{00000000-0005-0000-0000-0000B92D0000}"/>
    <cellStyle name="Normal 112 4 2 2" xfId="11706" xr:uid="{00000000-0005-0000-0000-0000BA2D0000}"/>
    <cellStyle name="Normal 112 4 3" xfId="11707" xr:uid="{00000000-0005-0000-0000-0000BB2D0000}"/>
    <cellStyle name="Normal 112 5" xfId="11708" xr:uid="{00000000-0005-0000-0000-0000BC2D0000}"/>
    <cellStyle name="Normal 113" xfId="11709" xr:uid="{00000000-0005-0000-0000-0000BD2D0000}"/>
    <cellStyle name="Normal 113 2" xfId="11710" xr:uid="{00000000-0005-0000-0000-0000BE2D0000}"/>
    <cellStyle name="Normal 113 2 2" xfId="11711" xr:uid="{00000000-0005-0000-0000-0000BF2D0000}"/>
    <cellStyle name="Normal 113 2 2 2" xfId="11712" xr:uid="{00000000-0005-0000-0000-0000C02D0000}"/>
    <cellStyle name="Normal 113 2 3" xfId="11713" xr:uid="{00000000-0005-0000-0000-0000C12D0000}"/>
    <cellStyle name="Normal 113 3" xfId="11714" xr:uid="{00000000-0005-0000-0000-0000C22D0000}"/>
    <cellStyle name="Normal 113 3 2" xfId="11715" xr:uid="{00000000-0005-0000-0000-0000C32D0000}"/>
    <cellStyle name="Normal 113 3 2 2" xfId="11716" xr:uid="{00000000-0005-0000-0000-0000C42D0000}"/>
    <cellStyle name="Normal 113 3 3" xfId="11717" xr:uid="{00000000-0005-0000-0000-0000C52D0000}"/>
    <cellStyle name="Normal 113 3 3 2" xfId="11718" xr:uid="{00000000-0005-0000-0000-0000C62D0000}"/>
    <cellStyle name="Normal 113 3 3 2 2" xfId="11719" xr:uid="{00000000-0005-0000-0000-0000C72D0000}"/>
    <cellStyle name="Normal 113 3 3 3" xfId="11720" xr:uid="{00000000-0005-0000-0000-0000C82D0000}"/>
    <cellStyle name="Normal 113 3 4" xfId="11721" xr:uid="{00000000-0005-0000-0000-0000C92D0000}"/>
    <cellStyle name="Normal 113 4" xfId="11722" xr:uid="{00000000-0005-0000-0000-0000CA2D0000}"/>
    <cellStyle name="Normal 113 4 2" xfId="11723" xr:uid="{00000000-0005-0000-0000-0000CB2D0000}"/>
    <cellStyle name="Normal 113 4 2 2" xfId="11724" xr:uid="{00000000-0005-0000-0000-0000CC2D0000}"/>
    <cellStyle name="Normal 113 4 3" xfId="11725" xr:uid="{00000000-0005-0000-0000-0000CD2D0000}"/>
    <cellStyle name="Normal 113 5" xfId="11726" xr:uid="{00000000-0005-0000-0000-0000CE2D0000}"/>
    <cellStyle name="Normal 114" xfId="11727" xr:uid="{00000000-0005-0000-0000-0000CF2D0000}"/>
    <cellStyle name="Normal 114 2" xfId="11728" xr:uid="{00000000-0005-0000-0000-0000D02D0000}"/>
    <cellStyle name="Normal 114 2 2" xfId="11729" xr:uid="{00000000-0005-0000-0000-0000D12D0000}"/>
    <cellStyle name="Normal 114 2 2 2" xfId="11730" xr:uid="{00000000-0005-0000-0000-0000D22D0000}"/>
    <cellStyle name="Normal 114 2 3" xfId="11731" xr:uid="{00000000-0005-0000-0000-0000D32D0000}"/>
    <cellStyle name="Normal 114 3" xfId="11732" xr:uid="{00000000-0005-0000-0000-0000D42D0000}"/>
    <cellStyle name="Normal 114 3 2" xfId="11733" xr:uid="{00000000-0005-0000-0000-0000D52D0000}"/>
    <cellStyle name="Normal 114 3 2 2" xfId="11734" xr:uid="{00000000-0005-0000-0000-0000D62D0000}"/>
    <cellStyle name="Normal 114 3 3" xfId="11735" xr:uid="{00000000-0005-0000-0000-0000D72D0000}"/>
    <cellStyle name="Normal 114 3 3 2" xfId="11736" xr:uid="{00000000-0005-0000-0000-0000D82D0000}"/>
    <cellStyle name="Normal 114 3 3 2 2" xfId="11737" xr:uid="{00000000-0005-0000-0000-0000D92D0000}"/>
    <cellStyle name="Normal 114 3 3 3" xfId="11738" xr:uid="{00000000-0005-0000-0000-0000DA2D0000}"/>
    <cellStyle name="Normal 114 3 4" xfId="11739" xr:uid="{00000000-0005-0000-0000-0000DB2D0000}"/>
    <cellStyle name="Normal 114 4" xfId="11740" xr:uid="{00000000-0005-0000-0000-0000DC2D0000}"/>
    <cellStyle name="Normal 114 4 2" xfId="11741" xr:uid="{00000000-0005-0000-0000-0000DD2D0000}"/>
    <cellStyle name="Normal 114 4 2 2" xfId="11742" xr:uid="{00000000-0005-0000-0000-0000DE2D0000}"/>
    <cellStyle name="Normal 114 4 3" xfId="11743" xr:uid="{00000000-0005-0000-0000-0000DF2D0000}"/>
    <cellStyle name="Normal 114 5" xfId="11744" xr:uid="{00000000-0005-0000-0000-0000E02D0000}"/>
    <cellStyle name="Normal 115" xfId="11745" xr:uid="{00000000-0005-0000-0000-0000E12D0000}"/>
    <cellStyle name="Normal 115 2" xfId="11746" xr:uid="{00000000-0005-0000-0000-0000E22D0000}"/>
    <cellStyle name="Normal 115 2 2" xfId="11747" xr:uid="{00000000-0005-0000-0000-0000E32D0000}"/>
    <cellStyle name="Normal 115 2 2 2" xfId="11748" xr:uid="{00000000-0005-0000-0000-0000E42D0000}"/>
    <cellStyle name="Normal 115 2 3" xfId="11749" xr:uid="{00000000-0005-0000-0000-0000E52D0000}"/>
    <cellStyle name="Normal 115 3" xfId="11750" xr:uid="{00000000-0005-0000-0000-0000E62D0000}"/>
    <cellStyle name="Normal 115 3 2" xfId="11751" xr:uid="{00000000-0005-0000-0000-0000E72D0000}"/>
    <cellStyle name="Normal 115 3 2 2" xfId="11752" xr:uid="{00000000-0005-0000-0000-0000E82D0000}"/>
    <cellStyle name="Normal 115 3 3" xfId="11753" xr:uid="{00000000-0005-0000-0000-0000E92D0000}"/>
    <cellStyle name="Normal 115 3 3 2" xfId="11754" xr:uid="{00000000-0005-0000-0000-0000EA2D0000}"/>
    <cellStyle name="Normal 115 3 3 2 2" xfId="11755" xr:uid="{00000000-0005-0000-0000-0000EB2D0000}"/>
    <cellStyle name="Normal 115 3 3 3" xfId="11756" xr:uid="{00000000-0005-0000-0000-0000EC2D0000}"/>
    <cellStyle name="Normal 115 3 4" xfId="11757" xr:uid="{00000000-0005-0000-0000-0000ED2D0000}"/>
    <cellStyle name="Normal 115 4" xfId="11758" xr:uid="{00000000-0005-0000-0000-0000EE2D0000}"/>
    <cellStyle name="Normal 115 4 2" xfId="11759" xr:uid="{00000000-0005-0000-0000-0000EF2D0000}"/>
    <cellStyle name="Normal 115 4 2 2" xfId="11760" xr:uid="{00000000-0005-0000-0000-0000F02D0000}"/>
    <cellStyle name="Normal 115 4 3" xfId="11761" xr:uid="{00000000-0005-0000-0000-0000F12D0000}"/>
    <cellStyle name="Normal 115 5" xfId="11762" xr:uid="{00000000-0005-0000-0000-0000F22D0000}"/>
    <cellStyle name="Normal 116" xfId="11763" xr:uid="{00000000-0005-0000-0000-0000F32D0000}"/>
    <cellStyle name="Normal 116 2" xfId="11764" xr:uid="{00000000-0005-0000-0000-0000F42D0000}"/>
    <cellStyle name="Normal 116 2 2" xfId="11765" xr:uid="{00000000-0005-0000-0000-0000F52D0000}"/>
    <cellStyle name="Normal 116 2 2 2" xfId="11766" xr:uid="{00000000-0005-0000-0000-0000F62D0000}"/>
    <cellStyle name="Normal 116 2 3" xfId="11767" xr:uid="{00000000-0005-0000-0000-0000F72D0000}"/>
    <cellStyle name="Normal 116 3" xfId="11768" xr:uid="{00000000-0005-0000-0000-0000F82D0000}"/>
    <cellStyle name="Normal 116 3 2" xfId="11769" xr:uid="{00000000-0005-0000-0000-0000F92D0000}"/>
    <cellStyle name="Normal 116 3 2 2" xfId="11770" xr:uid="{00000000-0005-0000-0000-0000FA2D0000}"/>
    <cellStyle name="Normal 116 3 3" xfId="11771" xr:uid="{00000000-0005-0000-0000-0000FB2D0000}"/>
    <cellStyle name="Normal 116 3 3 2" xfId="11772" xr:uid="{00000000-0005-0000-0000-0000FC2D0000}"/>
    <cellStyle name="Normal 116 3 3 2 2" xfId="11773" xr:uid="{00000000-0005-0000-0000-0000FD2D0000}"/>
    <cellStyle name="Normal 116 3 3 3" xfId="11774" xr:uid="{00000000-0005-0000-0000-0000FE2D0000}"/>
    <cellStyle name="Normal 116 3 4" xfId="11775" xr:uid="{00000000-0005-0000-0000-0000FF2D0000}"/>
    <cellStyle name="Normal 116 4" xfId="11776" xr:uid="{00000000-0005-0000-0000-0000002E0000}"/>
    <cellStyle name="Normal 116 4 2" xfId="11777" xr:uid="{00000000-0005-0000-0000-0000012E0000}"/>
    <cellStyle name="Normal 116 4 2 2" xfId="11778" xr:uid="{00000000-0005-0000-0000-0000022E0000}"/>
    <cellStyle name="Normal 116 4 3" xfId="11779" xr:uid="{00000000-0005-0000-0000-0000032E0000}"/>
    <cellStyle name="Normal 116 5" xfId="11780" xr:uid="{00000000-0005-0000-0000-0000042E0000}"/>
    <cellStyle name="Normal 117" xfId="11781" xr:uid="{00000000-0005-0000-0000-0000052E0000}"/>
    <cellStyle name="Normal 117 2" xfId="11782" xr:uid="{00000000-0005-0000-0000-0000062E0000}"/>
    <cellStyle name="Normal 117 2 2" xfId="11783" xr:uid="{00000000-0005-0000-0000-0000072E0000}"/>
    <cellStyle name="Normal 117 2 2 2" xfId="11784" xr:uid="{00000000-0005-0000-0000-0000082E0000}"/>
    <cellStyle name="Normal 117 2 3" xfId="11785" xr:uid="{00000000-0005-0000-0000-0000092E0000}"/>
    <cellStyle name="Normal 117 3" xfId="11786" xr:uid="{00000000-0005-0000-0000-00000A2E0000}"/>
    <cellStyle name="Normal 117 3 2" xfId="11787" xr:uid="{00000000-0005-0000-0000-00000B2E0000}"/>
    <cellStyle name="Normal 117 3 2 2" xfId="11788" xr:uid="{00000000-0005-0000-0000-00000C2E0000}"/>
    <cellStyle name="Normal 117 3 3" xfId="11789" xr:uid="{00000000-0005-0000-0000-00000D2E0000}"/>
    <cellStyle name="Normal 117 3 3 2" xfId="11790" xr:uid="{00000000-0005-0000-0000-00000E2E0000}"/>
    <cellStyle name="Normal 117 3 3 2 2" xfId="11791" xr:uid="{00000000-0005-0000-0000-00000F2E0000}"/>
    <cellStyle name="Normal 117 3 3 3" xfId="11792" xr:uid="{00000000-0005-0000-0000-0000102E0000}"/>
    <cellStyle name="Normal 117 3 4" xfId="11793" xr:uid="{00000000-0005-0000-0000-0000112E0000}"/>
    <cellStyle name="Normal 117 4" xfId="11794" xr:uid="{00000000-0005-0000-0000-0000122E0000}"/>
    <cellStyle name="Normal 117 4 2" xfId="11795" xr:uid="{00000000-0005-0000-0000-0000132E0000}"/>
    <cellStyle name="Normal 117 4 2 2" xfId="11796" xr:uid="{00000000-0005-0000-0000-0000142E0000}"/>
    <cellStyle name="Normal 117 4 3" xfId="11797" xr:uid="{00000000-0005-0000-0000-0000152E0000}"/>
    <cellStyle name="Normal 117 5" xfId="11798" xr:uid="{00000000-0005-0000-0000-0000162E0000}"/>
    <cellStyle name="Normal 118" xfId="11799" xr:uid="{00000000-0005-0000-0000-0000172E0000}"/>
    <cellStyle name="Normal 118 2" xfId="11800" xr:uid="{00000000-0005-0000-0000-0000182E0000}"/>
    <cellStyle name="Normal 118 2 2" xfId="11801" xr:uid="{00000000-0005-0000-0000-0000192E0000}"/>
    <cellStyle name="Normal 118 2 2 2" xfId="11802" xr:uid="{00000000-0005-0000-0000-00001A2E0000}"/>
    <cellStyle name="Normal 118 2 3" xfId="11803" xr:uid="{00000000-0005-0000-0000-00001B2E0000}"/>
    <cellStyle name="Normal 118 3" xfId="11804" xr:uid="{00000000-0005-0000-0000-00001C2E0000}"/>
    <cellStyle name="Normal 118 3 2" xfId="11805" xr:uid="{00000000-0005-0000-0000-00001D2E0000}"/>
    <cellStyle name="Normal 118 3 2 2" xfId="11806" xr:uid="{00000000-0005-0000-0000-00001E2E0000}"/>
    <cellStyle name="Normal 118 3 3" xfId="11807" xr:uid="{00000000-0005-0000-0000-00001F2E0000}"/>
    <cellStyle name="Normal 118 3 3 2" xfId="11808" xr:uid="{00000000-0005-0000-0000-0000202E0000}"/>
    <cellStyle name="Normal 118 3 3 2 2" xfId="11809" xr:uid="{00000000-0005-0000-0000-0000212E0000}"/>
    <cellStyle name="Normal 118 3 3 3" xfId="11810" xr:uid="{00000000-0005-0000-0000-0000222E0000}"/>
    <cellStyle name="Normal 118 3 4" xfId="11811" xr:uid="{00000000-0005-0000-0000-0000232E0000}"/>
    <cellStyle name="Normal 118 4" xfId="11812" xr:uid="{00000000-0005-0000-0000-0000242E0000}"/>
    <cellStyle name="Normal 118 4 2" xfId="11813" xr:uid="{00000000-0005-0000-0000-0000252E0000}"/>
    <cellStyle name="Normal 118 4 2 2" xfId="11814" xr:uid="{00000000-0005-0000-0000-0000262E0000}"/>
    <cellStyle name="Normal 118 4 3" xfId="11815" xr:uid="{00000000-0005-0000-0000-0000272E0000}"/>
    <cellStyle name="Normal 118 5" xfId="11816" xr:uid="{00000000-0005-0000-0000-0000282E0000}"/>
    <cellStyle name="Normal 119" xfId="11817" xr:uid="{00000000-0005-0000-0000-0000292E0000}"/>
    <cellStyle name="Normal 119 2" xfId="11818" xr:uid="{00000000-0005-0000-0000-00002A2E0000}"/>
    <cellStyle name="Normal 119 2 2" xfId="11819" xr:uid="{00000000-0005-0000-0000-00002B2E0000}"/>
    <cellStyle name="Normal 119 2 2 2" xfId="11820" xr:uid="{00000000-0005-0000-0000-00002C2E0000}"/>
    <cellStyle name="Normal 119 2 2 2 2" xfId="11821" xr:uid="{00000000-0005-0000-0000-00002D2E0000}"/>
    <cellStyle name="Normal 119 2 2 3" xfId="11822" xr:uid="{00000000-0005-0000-0000-00002E2E0000}"/>
    <cellStyle name="Normal 119 2 3" xfId="11823" xr:uid="{00000000-0005-0000-0000-00002F2E0000}"/>
    <cellStyle name="Normal 119 2 3 2" xfId="11824" xr:uid="{00000000-0005-0000-0000-0000302E0000}"/>
    <cellStyle name="Normal 119 2 3 2 2" xfId="11825" xr:uid="{00000000-0005-0000-0000-0000312E0000}"/>
    <cellStyle name="Normal 119 2 3 3" xfId="11826" xr:uid="{00000000-0005-0000-0000-0000322E0000}"/>
    <cellStyle name="Normal 119 2 3 3 2" xfId="11827" xr:uid="{00000000-0005-0000-0000-0000332E0000}"/>
    <cellStyle name="Normal 119 2 3 3 2 2" xfId="11828" xr:uid="{00000000-0005-0000-0000-0000342E0000}"/>
    <cellStyle name="Normal 119 2 3 3 3" xfId="11829" xr:uid="{00000000-0005-0000-0000-0000352E0000}"/>
    <cellStyle name="Normal 119 2 3 4" xfId="11830" xr:uid="{00000000-0005-0000-0000-0000362E0000}"/>
    <cellStyle name="Normal 119 2 4" xfId="11831" xr:uid="{00000000-0005-0000-0000-0000372E0000}"/>
    <cellStyle name="Normal 119 2 4 2" xfId="11832" xr:uid="{00000000-0005-0000-0000-0000382E0000}"/>
    <cellStyle name="Normal 119 2 4 2 2" xfId="11833" xr:uid="{00000000-0005-0000-0000-0000392E0000}"/>
    <cellStyle name="Normal 119 2 4 3" xfId="11834" xr:uid="{00000000-0005-0000-0000-00003A2E0000}"/>
    <cellStyle name="Normal 119 2 5" xfId="11835" xr:uid="{00000000-0005-0000-0000-00003B2E0000}"/>
    <cellStyle name="Normal 119 3" xfId="11836" xr:uid="{00000000-0005-0000-0000-00003C2E0000}"/>
    <cellStyle name="Normal 119 3 2" xfId="11837" xr:uid="{00000000-0005-0000-0000-00003D2E0000}"/>
    <cellStyle name="Normal 119 3 2 2" xfId="11838" xr:uid="{00000000-0005-0000-0000-00003E2E0000}"/>
    <cellStyle name="Normal 119 3 3" xfId="11839" xr:uid="{00000000-0005-0000-0000-00003F2E0000}"/>
    <cellStyle name="Normal 119 4" xfId="11840" xr:uid="{00000000-0005-0000-0000-0000402E0000}"/>
    <cellStyle name="Normal 119 4 2" xfId="11841" xr:uid="{00000000-0005-0000-0000-0000412E0000}"/>
    <cellStyle name="Normal 119 4 2 2" xfId="11842" xr:uid="{00000000-0005-0000-0000-0000422E0000}"/>
    <cellStyle name="Normal 119 4 3" xfId="11843" xr:uid="{00000000-0005-0000-0000-0000432E0000}"/>
    <cellStyle name="Normal 119 4 3 2" xfId="11844" xr:uid="{00000000-0005-0000-0000-0000442E0000}"/>
    <cellStyle name="Normal 119 4 3 2 2" xfId="11845" xr:uid="{00000000-0005-0000-0000-0000452E0000}"/>
    <cellStyle name="Normal 119 4 3 3" xfId="11846" xr:uid="{00000000-0005-0000-0000-0000462E0000}"/>
    <cellStyle name="Normal 119 4 4" xfId="11847" xr:uid="{00000000-0005-0000-0000-0000472E0000}"/>
    <cellStyle name="Normal 119 5" xfId="11848" xr:uid="{00000000-0005-0000-0000-0000482E0000}"/>
    <cellStyle name="Normal 119 5 2" xfId="11849" xr:uid="{00000000-0005-0000-0000-0000492E0000}"/>
    <cellStyle name="Normal 119 5 2 2" xfId="11850" xr:uid="{00000000-0005-0000-0000-00004A2E0000}"/>
    <cellStyle name="Normal 119 5 3" xfId="11851" xr:uid="{00000000-0005-0000-0000-00004B2E0000}"/>
    <cellStyle name="Normal 119 6" xfId="11852" xr:uid="{00000000-0005-0000-0000-00004C2E0000}"/>
    <cellStyle name="Normal 12" xfId="60" xr:uid="{00000000-0005-0000-0000-00003C000000}"/>
    <cellStyle name="Normal 12 2" xfId="11853" xr:uid="{00000000-0005-0000-0000-00004D2E0000}"/>
    <cellStyle name="Normal 12 2 2" xfId="11854" xr:uid="{00000000-0005-0000-0000-00004E2E0000}"/>
    <cellStyle name="Normal 12 2 2 2" xfId="11855" xr:uid="{00000000-0005-0000-0000-00004F2E0000}"/>
    <cellStyle name="Normal 12 2 3" xfId="11856" xr:uid="{00000000-0005-0000-0000-0000502E0000}"/>
    <cellStyle name="Normal 12 2 3 2" xfId="11857" xr:uid="{00000000-0005-0000-0000-0000512E0000}"/>
    <cellStyle name="Normal 12 2 3 2 2" xfId="11858" xr:uid="{00000000-0005-0000-0000-0000522E0000}"/>
    <cellStyle name="Normal 12 2 3 3" xfId="11859" xr:uid="{00000000-0005-0000-0000-0000532E0000}"/>
    <cellStyle name="Normal 12 2 4" xfId="11860" xr:uid="{00000000-0005-0000-0000-0000542E0000}"/>
    <cellStyle name="Normal 12 3" xfId="11861" xr:uid="{00000000-0005-0000-0000-0000552E0000}"/>
    <cellStyle name="Normal 12 3 2" xfId="11862" xr:uid="{00000000-0005-0000-0000-0000562E0000}"/>
    <cellStyle name="Normal 12 3 2 2" xfId="11863" xr:uid="{00000000-0005-0000-0000-0000572E0000}"/>
    <cellStyle name="Normal 12 3 2 2 2" xfId="11864" xr:uid="{00000000-0005-0000-0000-0000582E0000}"/>
    <cellStyle name="Normal 12 3 2 3" xfId="11865" xr:uid="{00000000-0005-0000-0000-0000592E0000}"/>
    <cellStyle name="Normal 12 3 3" xfId="11866" xr:uid="{00000000-0005-0000-0000-00005A2E0000}"/>
    <cellStyle name="Normal 12 3 3 2" xfId="11867" xr:uid="{00000000-0005-0000-0000-00005B2E0000}"/>
    <cellStyle name="Normal 12 3 3 2 2" xfId="11868" xr:uid="{00000000-0005-0000-0000-00005C2E0000}"/>
    <cellStyle name="Normal 12 3 3 3" xfId="11869" xr:uid="{00000000-0005-0000-0000-00005D2E0000}"/>
    <cellStyle name="Normal 12 3 4" xfId="11870" xr:uid="{00000000-0005-0000-0000-00005E2E0000}"/>
    <cellStyle name="Normal 12 4" xfId="11871" xr:uid="{00000000-0005-0000-0000-00005F2E0000}"/>
    <cellStyle name="Normal 12 4 2" xfId="11872" xr:uid="{00000000-0005-0000-0000-0000602E0000}"/>
    <cellStyle name="Normal 12 5" xfId="11873" xr:uid="{00000000-0005-0000-0000-0000612E0000}"/>
    <cellStyle name="Normal 12 5 2" xfId="11874" xr:uid="{00000000-0005-0000-0000-0000622E0000}"/>
    <cellStyle name="Normal 12 5 2 2" xfId="11875" xr:uid="{00000000-0005-0000-0000-0000632E0000}"/>
    <cellStyle name="Normal 12 5 3" xfId="11876" xr:uid="{00000000-0005-0000-0000-0000642E0000}"/>
    <cellStyle name="Normal 12 6" xfId="11877" xr:uid="{00000000-0005-0000-0000-0000652E0000}"/>
    <cellStyle name="Normal 12 6 2" xfId="11878" xr:uid="{00000000-0005-0000-0000-0000662E0000}"/>
    <cellStyle name="Normal 12 6 2 2" xfId="11879" xr:uid="{00000000-0005-0000-0000-0000672E0000}"/>
    <cellStyle name="Normal 12 6 3" xfId="11880" xr:uid="{00000000-0005-0000-0000-0000682E0000}"/>
    <cellStyle name="Normal 12 7" xfId="11881" xr:uid="{00000000-0005-0000-0000-0000692E0000}"/>
    <cellStyle name="Normal 12 7 2" xfId="11882" xr:uid="{00000000-0005-0000-0000-00006A2E0000}"/>
    <cellStyle name="Normal 12 8" xfId="11883" xr:uid="{00000000-0005-0000-0000-00006B2E0000}"/>
    <cellStyle name="Normal 12 9" xfId="11884" xr:uid="{00000000-0005-0000-0000-00006C2E0000}"/>
    <cellStyle name="Normal 120" xfId="11885" xr:uid="{00000000-0005-0000-0000-00006D2E0000}"/>
    <cellStyle name="Normal 120 2" xfId="11886" xr:uid="{00000000-0005-0000-0000-00006E2E0000}"/>
    <cellStyle name="Normal 120 2 2" xfId="11887" xr:uid="{00000000-0005-0000-0000-00006F2E0000}"/>
    <cellStyle name="Normal 120 2 2 2" xfId="11888" xr:uid="{00000000-0005-0000-0000-0000702E0000}"/>
    <cellStyle name="Normal 120 2 2 2 2" xfId="11889" xr:uid="{00000000-0005-0000-0000-0000712E0000}"/>
    <cellStyle name="Normal 120 2 2 3" xfId="11890" xr:uid="{00000000-0005-0000-0000-0000722E0000}"/>
    <cellStyle name="Normal 120 2 3" xfId="11891" xr:uid="{00000000-0005-0000-0000-0000732E0000}"/>
    <cellStyle name="Normal 120 2 3 2" xfId="11892" xr:uid="{00000000-0005-0000-0000-0000742E0000}"/>
    <cellStyle name="Normal 120 2 3 2 2" xfId="11893" xr:uid="{00000000-0005-0000-0000-0000752E0000}"/>
    <cellStyle name="Normal 120 2 3 3" xfId="11894" xr:uid="{00000000-0005-0000-0000-0000762E0000}"/>
    <cellStyle name="Normal 120 2 3 3 2" xfId="11895" xr:uid="{00000000-0005-0000-0000-0000772E0000}"/>
    <cellStyle name="Normal 120 2 3 3 2 2" xfId="11896" xr:uid="{00000000-0005-0000-0000-0000782E0000}"/>
    <cellStyle name="Normal 120 2 3 3 3" xfId="11897" xr:uid="{00000000-0005-0000-0000-0000792E0000}"/>
    <cellStyle name="Normal 120 2 3 4" xfId="11898" xr:uid="{00000000-0005-0000-0000-00007A2E0000}"/>
    <cellStyle name="Normal 120 2 4" xfId="11899" xr:uid="{00000000-0005-0000-0000-00007B2E0000}"/>
    <cellStyle name="Normal 120 2 4 2" xfId="11900" xr:uid="{00000000-0005-0000-0000-00007C2E0000}"/>
    <cellStyle name="Normal 120 2 4 2 2" xfId="11901" xr:uid="{00000000-0005-0000-0000-00007D2E0000}"/>
    <cellStyle name="Normal 120 2 4 3" xfId="11902" xr:uid="{00000000-0005-0000-0000-00007E2E0000}"/>
    <cellStyle name="Normal 120 2 5" xfId="11903" xr:uid="{00000000-0005-0000-0000-00007F2E0000}"/>
    <cellStyle name="Normal 120 3" xfId="11904" xr:uid="{00000000-0005-0000-0000-0000802E0000}"/>
    <cellStyle name="Normal 120 3 2" xfId="11905" xr:uid="{00000000-0005-0000-0000-0000812E0000}"/>
    <cellStyle name="Normal 120 3 2 2" xfId="11906" xr:uid="{00000000-0005-0000-0000-0000822E0000}"/>
    <cellStyle name="Normal 120 3 3" xfId="11907" xr:uid="{00000000-0005-0000-0000-0000832E0000}"/>
    <cellStyle name="Normal 120 4" xfId="11908" xr:uid="{00000000-0005-0000-0000-0000842E0000}"/>
    <cellStyle name="Normal 120 4 2" xfId="11909" xr:uid="{00000000-0005-0000-0000-0000852E0000}"/>
    <cellStyle name="Normal 120 4 2 2" xfId="11910" xr:uid="{00000000-0005-0000-0000-0000862E0000}"/>
    <cellStyle name="Normal 120 4 3" xfId="11911" xr:uid="{00000000-0005-0000-0000-0000872E0000}"/>
    <cellStyle name="Normal 120 4 3 2" xfId="11912" xr:uid="{00000000-0005-0000-0000-0000882E0000}"/>
    <cellStyle name="Normal 120 4 3 2 2" xfId="11913" xr:uid="{00000000-0005-0000-0000-0000892E0000}"/>
    <cellStyle name="Normal 120 4 3 3" xfId="11914" xr:uid="{00000000-0005-0000-0000-00008A2E0000}"/>
    <cellStyle name="Normal 120 4 4" xfId="11915" xr:uid="{00000000-0005-0000-0000-00008B2E0000}"/>
    <cellStyle name="Normal 120 5" xfId="11916" xr:uid="{00000000-0005-0000-0000-00008C2E0000}"/>
    <cellStyle name="Normal 120 5 2" xfId="11917" xr:uid="{00000000-0005-0000-0000-00008D2E0000}"/>
    <cellStyle name="Normal 120 5 2 2" xfId="11918" xr:uid="{00000000-0005-0000-0000-00008E2E0000}"/>
    <cellStyle name="Normal 120 5 3" xfId="11919" xr:uid="{00000000-0005-0000-0000-00008F2E0000}"/>
    <cellStyle name="Normal 120 6" xfId="11920" xr:uid="{00000000-0005-0000-0000-0000902E0000}"/>
    <cellStyle name="Normal 121" xfId="11921" xr:uid="{00000000-0005-0000-0000-0000912E0000}"/>
    <cellStyle name="Normal 121 2" xfId="11922" xr:uid="{00000000-0005-0000-0000-0000922E0000}"/>
    <cellStyle name="Normal 121 2 2" xfId="11923" xr:uid="{00000000-0005-0000-0000-0000932E0000}"/>
    <cellStyle name="Normal 121 2 2 2" xfId="11924" xr:uid="{00000000-0005-0000-0000-0000942E0000}"/>
    <cellStyle name="Normal 121 2 2 2 2" xfId="11925" xr:uid="{00000000-0005-0000-0000-0000952E0000}"/>
    <cellStyle name="Normal 121 2 2 3" xfId="11926" xr:uid="{00000000-0005-0000-0000-0000962E0000}"/>
    <cellStyle name="Normal 121 2 3" xfId="11927" xr:uid="{00000000-0005-0000-0000-0000972E0000}"/>
    <cellStyle name="Normal 121 2 3 2" xfId="11928" xr:uid="{00000000-0005-0000-0000-0000982E0000}"/>
    <cellStyle name="Normal 121 2 3 2 2" xfId="11929" xr:uid="{00000000-0005-0000-0000-0000992E0000}"/>
    <cellStyle name="Normal 121 2 3 3" xfId="11930" xr:uid="{00000000-0005-0000-0000-00009A2E0000}"/>
    <cellStyle name="Normal 121 2 3 3 2" xfId="11931" xr:uid="{00000000-0005-0000-0000-00009B2E0000}"/>
    <cellStyle name="Normal 121 2 3 3 2 2" xfId="11932" xr:uid="{00000000-0005-0000-0000-00009C2E0000}"/>
    <cellStyle name="Normal 121 2 3 3 3" xfId="11933" xr:uid="{00000000-0005-0000-0000-00009D2E0000}"/>
    <cellStyle name="Normal 121 2 3 4" xfId="11934" xr:uid="{00000000-0005-0000-0000-00009E2E0000}"/>
    <cellStyle name="Normal 121 2 4" xfId="11935" xr:uid="{00000000-0005-0000-0000-00009F2E0000}"/>
    <cellStyle name="Normal 121 2 4 2" xfId="11936" xr:uid="{00000000-0005-0000-0000-0000A02E0000}"/>
    <cellStyle name="Normal 121 2 4 2 2" xfId="11937" xr:uid="{00000000-0005-0000-0000-0000A12E0000}"/>
    <cellStyle name="Normal 121 2 4 3" xfId="11938" xr:uid="{00000000-0005-0000-0000-0000A22E0000}"/>
    <cellStyle name="Normal 121 2 5" xfId="11939" xr:uid="{00000000-0005-0000-0000-0000A32E0000}"/>
    <cellStyle name="Normal 121 3" xfId="11940" xr:uid="{00000000-0005-0000-0000-0000A42E0000}"/>
    <cellStyle name="Normal 121 3 2" xfId="11941" xr:uid="{00000000-0005-0000-0000-0000A52E0000}"/>
    <cellStyle name="Normal 121 3 2 2" xfId="11942" xr:uid="{00000000-0005-0000-0000-0000A62E0000}"/>
    <cellStyle name="Normal 121 3 3" xfId="11943" xr:uid="{00000000-0005-0000-0000-0000A72E0000}"/>
    <cellStyle name="Normal 121 4" xfId="11944" xr:uid="{00000000-0005-0000-0000-0000A82E0000}"/>
    <cellStyle name="Normal 121 4 2" xfId="11945" xr:uid="{00000000-0005-0000-0000-0000A92E0000}"/>
    <cellStyle name="Normal 121 4 2 2" xfId="11946" xr:uid="{00000000-0005-0000-0000-0000AA2E0000}"/>
    <cellStyle name="Normal 121 4 3" xfId="11947" xr:uid="{00000000-0005-0000-0000-0000AB2E0000}"/>
    <cellStyle name="Normal 121 4 3 2" xfId="11948" xr:uid="{00000000-0005-0000-0000-0000AC2E0000}"/>
    <cellStyle name="Normal 121 4 3 2 2" xfId="11949" xr:uid="{00000000-0005-0000-0000-0000AD2E0000}"/>
    <cellStyle name="Normal 121 4 3 3" xfId="11950" xr:uid="{00000000-0005-0000-0000-0000AE2E0000}"/>
    <cellStyle name="Normal 121 4 4" xfId="11951" xr:uid="{00000000-0005-0000-0000-0000AF2E0000}"/>
    <cellStyle name="Normal 121 5" xfId="11952" xr:uid="{00000000-0005-0000-0000-0000B02E0000}"/>
    <cellStyle name="Normal 121 5 2" xfId="11953" xr:uid="{00000000-0005-0000-0000-0000B12E0000}"/>
    <cellStyle name="Normal 121 5 2 2" xfId="11954" xr:uid="{00000000-0005-0000-0000-0000B22E0000}"/>
    <cellStyle name="Normal 121 5 3" xfId="11955" xr:uid="{00000000-0005-0000-0000-0000B32E0000}"/>
    <cellStyle name="Normal 121 6" xfId="11956" xr:uid="{00000000-0005-0000-0000-0000B42E0000}"/>
    <cellStyle name="Normal 122" xfId="11957" xr:uid="{00000000-0005-0000-0000-0000B52E0000}"/>
    <cellStyle name="Normal 122 2" xfId="11958" xr:uid="{00000000-0005-0000-0000-0000B62E0000}"/>
    <cellStyle name="Normal 122 2 2" xfId="11959" xr:uid="{00000000-0005-0000-0000-0000B72E0000}"/>
    <cellStyle name="Normal 122 2 2 2" xfId="11960" xr:uid="{00000000-0005-0000-0000-0000B82E0000}"/>
    <cellStyle name="Normal 122 2 3" xfId="11961" xr:uid="{00000000-0005-0000-0000-0000B92E0000}"/>
    <cellStyle name="Normal 122 3" xfId="11962" xr:uid="{00000000-0005-0000-0000-0000BA2E0000}"/>
    <cellStyle name="Normal 122 3 2" xfId="11963" xr:uid="{00000000-0005-0000-0000-0000BB2E0000}"/>
    <cellStyle name="Normal 122 3 2 2" xfId="11964" xr:uid="{00000000-0005-0000-0000-0000BC2E0000}"/>
    <cellStyle name="Normal 122 3 3" xfId="11965" xr:uid="{00000000-0005-0000-0000-0000BD2E0000}"/>
    <cellStyle name="Normal 122 3 3 2" xfId="11966" xr:uid="{00000000-0005-0000-0000-0000BE2E0000}"/>
    <cellStyle name="Normal 122 3 3 2 2" xfId="11967" xr:uid="{00000000-0005-0000-0000-0000BF2E0000}"/>
    <cellStyle name="Normal 122 3 3 3" xfId="11968" xr:uid="{00000000-0005-0000-0000-0000C02E0000}"/>
    <cellStyle name="Normal 122 3 4" xfId="11969" xr:uid="{00000000-0005-0000-0000-0000C12E0000}"/>
    <cellStyle name="Normal 122 4" xfId="11970" xr:uid="{00000000-0005-0000-0000-0000C22E0000}"/>
    <cellStyle name="Normal 122 4 2" xfId="11971" xr:uid="{00000000-0005-0000-0000-0000C32E0000}"/>
    <cellStyle name="Normal 122 4 2 2" xfId="11972" xr:uid="{00000000-0005-0000-0000-0000C42E0000}"/>
    <cellStyle name="Normal 122 4 3" xfId="11973" xr:uid="{00000000-0005-0000-0000-0000C52E0000}"/>
    <cellStyle name="Normal 122 5" xfId="11974" xr:uid="{00000000-0005-0000-0000-0000C62E0000}"/>
    <cellStyle name="Normal 123" xfId="11975" xr:uid="{00000000-0005-0000-0000-0000C72E0000}"/>
    <cellStyle name="Normal 123 2" xfId="11976" xr:uid="{00000000-0005-0000-0000-0000C82E0000}"/>
    <cellStyle name="Normal 123 2 2" xfId="11977" xr:uid="{00000000-0005-0000-0000-0000C92E0000}"/>
    <cellStyle name="Normal 123 2 2 2" xfId="11978" xr:uid="{00000000-0005-0000-0000-0000CA2E0000}"/>
    <cellStyle name="Normal 123 2 3" xfId="11979" xr:uid="{00000000-0005-0000-0000-0000CB2E0000}"/>
    <cellStyle name="Normal 123 3" xfId="11980" xr:uid="{00000000-0005-0000-0000-0000CC2E0000}"/>
    <cellStyle name="Normal 123 3 2" xfId="11981" xr:uid="{00000000-0005-0000-0000-0000CD2E0000}"/>
    <cellStyle name="Normal 123 3 2 2" xfId="11982" xr:uid="{00000000-0005-0000-0000-0000CE2E0000}"/>
    <cellStyle name="Normal 123 3 3" xfId="11983" xr:uid="{00000000-0005-0000-0000-0000CF2E0000}"/>
    <cellStyle name="Normal 123 3 3 2" xfId="11984" xr:uid="{00000000-0005-0000-0000-0000D02E0000}"/>
    <cellStyle name="Normal 123 3 3 2 2" xfId="11985" xr:uid="{00000000-0005-0000-0000-0000D12E0000}"/>
    <cellStyle name="Normal 123 3 3 3" xfId="11986" xr:uid="{00000000-0005-0000-0000-0000D22E0000}"/>
    <cellStyle name="Normal 123 3 4" xfId="11987" xr:uid="{00000000-0005-0000-0000-0000D32E0000}"/>
    <cellStyle name="Normal 123 4" xfId="11988" xr:uid="{00000000-0005-0000-0000-0000D42E0000}"/>
    <cellStyle name="Normal 123 4 2" xfId="11989" xr:uid="{00000000-0005-0000-0000-0000D52E0000}"/>
    <cellStyle name="Normal 123 4 2 2" xfId="11990" xr:uid="{00000000-0005-0000-0000-0000D62E0000}"/>
    <cellStyle name="Normal 123 4 3" xfId="11991" xr:uid="{00000000-0005-0000-0000-0000D72E0000}"/>
    <cellStyle name="Normal 123 5" xfId="11992" xr:uid="{00000000-0005-0000-0000-0000D82E0000}"/>
    <cellStyle name="Normal 124" xfId="11993" xr:uid="{00000000-0005-0000-0000-0000D92E0000}"/>
    <cellStyle name="Normal 124 2" xfId="11994" xr:uid="{00000000-0005-0000-0000-0000DA2E0000}"/>
    <cellStyle name="Normal 124 2 2" xfId="11995" xr:uid="{00000000-0005-0000-0000-0000DB2E0000}"/>
    <cellStyle name="Normal 124 2 2 2" xfId="11996" xr:uid="{00000000-0005-0000-0000-0000DC2E0000}"/>
    <cellStyle name="Normal 124 2 3" xfId="11997" xr:uid="{00000000-0005-0000-0000-0000DD2E0000}"/>
    <cellStyle name="Normal 124 3" xfId="11998" xr:uid="{00000000-0005-0000-0000-0000DE2E0000}"/>
    <cellStyle name="Normal 124 3 2" xfId="11999" xr:uid="{00000000-0005-0000-0000-0000DF2E0000}"/>
    <cellStyle name="Normal 124 3 2 2" xfId="12000" xr:uid="{00000000-0005-0000-0000-0000E02E0000}"/>
    <cellStyle name="Normal 124 3 3" xfId="12001" xr:uid="{00000000-0005-0000-0000-0000E12E0000}"/>
    <cellStyle name="Normal 124 3 3 2" xfId="12002" xr:uid="{00000000-0005-0000-0000-0000E22E0000}"/>
    <cellStyle name="Normal 124 3 3 2 2" xfId="12003" xr:uid="{00000000-0005-0000-0000-0000E32E0000}"/>
    <cellStyle name="Normal 124 3 3 3" xfId="12004" xr:uid="{00000000-0005-0000-0000-0000E42E0000}"/>
    <cellStyle name="Normal 124 3 4" xfId="12005" xr:uid="{00000000-0005-0000-0000-0000E52E0000}"/>
    <cellStyle name="Normal 124 4" xfId="12006" xr:uid="{00000000-0005-0000-0000-0000E62E0000}"/>
    <cellStyle name="Normal 124 4 2" xfId="12007" xr:uid="{00000000-0005-0000-0000-0000E72E0000}"/>
    <cellStyle name="Normal 124 4 2 2" xfId="12008" xr:uid="{00000000-0005-0000-0000-0000E82E0000}"/>
    <cellStyle name="Normal 124 4 3" xfId="12009" xr:uid="{00000000-0005-0000-0000-0000E92E0000}"/>
    <cellStyle name="Normal 124 5" xfId="12010" xr:uid="{00000000-0005-0000-0000-0000EA2E0000}"/>
    <cellStyle name="Normal 125" xfId="12011" xr:uid="{00000000-0005-0000-0000-0000EB2E0000}"/>
    <cellStyle name="Normal 125 2" xfId="12012" xr:uid="{00000000-0005-0000-0000-0000EC2E0000}"/>
    <cellStyle name="Normal 125 2 2" xfId="12013" xr:uid="{00000000-0005-0000-0000-0000ED2E0000}"/>
    <cellStyle name="Normal 125 2 2 2" xfId="12014" xr:uid="{00000000-0005-0000-0000-0000EE2E0000}"/>
    <cellStyle name="Normal 125 2 3" xfId="12015" xr:uid="{00000000-0005-0000-0000-0000EF2E0000}"/>
    <cellStyle name="Normal 125 3" xfId="12016" xr:uid="{00000000-0005-0000-0000-0000F02E0000}"/>
    <cellStyle name="Normal 125 3 2" xfId="12017" xr:uid="{00000000-0005-0000-0000-0000F12E0000}"/>
    <cellStyle name="Normal 125 3 2 2" xfId="12018" xr:uid="{00000000-0005-0000-0000-0000F22E0000}"/>
    <cellStyle name="Normal 125 3 3" xfId="12019" xr:uid="{00000000-0005-0000-0000-0000F32E0000}"/>
    <cellStyle name="Normal 125 3 3 2" xfId="12020" xr:uid="{00000000-0005-0000-0000-0000F42E0000}"/>
    <cellStyle name="Normal 125 3 3 2 2" xfId="12021" xr:uid="{00000000-0005-0000-0000-0000F52E0000}"/>
    <cellStyle name="Normal 125 3 3 3" xfId="12022" xr:uid="{00000000-0005-0000-0000-0000F62E0000}"/>
    <cellStyle name="Normal 125 3 4" xfId="12023" xr:uid="{00000000-0005-0000-0000-0000F72E0000}"/>
    <cellStyle name="Normal 125 4" xfId="12024" xr:uid="{00000000-0005-0000-0000-0000F82E0000}"/>
    <cellStyle name="Normal 125 4 2" xfId="12025" xr:uid="{00000000-0005-0000-0000-0000F92E0000}"/>
    <cellStyle name="Normal 125 4 2 2" xfId="12026" xr:uid="{00000000-0005-0000-0000-0000FA2E0000}"/>
    <cellStyle name="Normal 125 4 3" xfId="12027" xr:uid="{00000000-0005-0000-0000-0000FB2E0000}"/>
    <cellStyle name="Normal 125 5" xfId="12028" xr:uid="{00000000-0005-0000-0000-0000FC2E0000}"/>
    <cellStyle name="Normal 126" xfId="12029" xr:uid="{00000000-0005-0000-0000-0000FD2E0000}"/>
    <cellStyle name="Normal 126 2" xfId="12030" xr:uid="{00000000-0005-0000-0000-0000FE2E0000}"/>
    <cellStyle name="Normal 126 2 2" xfId="12031" xr:uid="{00000000-0005-0000-0000-0000FF2E0000}"/>
    <cellStyle name="Normal 126 2 2 2" xfId="12032" xr:uid="{00000000-0005-0000-0000-0000002F0000}"/>
    <cellStyle name="Normal 126 2 3" xfId="12033" xr:uid="{00000000-0005-0000-0000-0000012F0000}"/>
    <cellStyle name="Normal 126 3" xfId="12034" xr:uid="{00000000-0005-0000-0000-0000022F0000}"/>
    <cellStyle name="Normal 126 3 2" xfId="12035" xr:uid="{00000000-0005-0000-0000-0000032F0000}"/>
    <cellStyle name="Normal 126 3 2 2" xfId="12036" xr:uid="{00000000-0005-0000-0000-0000042F0000}"/>
    <cellStyle name="Normal 126 3 3" xfId="12037" xr:uid="{00000000-0005-0000-0000-0000052F0000}"/>
    <cellStyle name="Normal 126 3 3 2" xfId="12038" xr:uid="{00000000-0005-0000-0000-0000062F0000}"/>
    <cellStyle name="Normal 126 3 3 2 2" xfId="12039" xr:uid="{00000000-0005-0000-0000-0000072F0000}"/>
    <cellStyle name="Normal 126 3 3 3" xfId="12040" xr:uid="{00000000-0005-0000-0000-0000082F0000}"/>
    <cellStyle name="Normal 126 3 4" xfId="12041" xr:uid="{00000000-0005-0000-0000-0000092F0000}"/>
    <cellStyle name="Normal 126 4" xfId="12042" xr:uid="{00000000-0005-0000-0000-00000A2F0000}"/>
    <cellStyle name="Normal 126 4 2" xfId="12043" xr:uid="{00000000-0005-0000-0000-00000B2F0000}"/>
    <cellStyle name="Normal 126 4 2 2" xfId="12044" xr:uid="{00000000-0005-0000-0000-00000C2F0000}"/>
    <cellStyle name="Normal 126 4 3" xfId="12045" xr:uid="{00000000-0005-0000-0000-00000D2F0000}"/>
    <cellStyle name="Normal 126 5" xfId="12046" xr:uid="{00000000-0005-0000-0000-00000E2F0000}"/>
    <cellStyle name="Normal 127" xfId="12047" xr:uid="{00000000-0005-0000-0000-00000F2F0000}"/>
    <cellStyle name="Normal 127 2" xfId="12048" xr:uid="{00000000-0005-0000-0000-0000102F0000}"/>
    <cellStyle name="Normal 127 2 2" xfId="12049" xr:uid="{00000000-0005-0000-0000-0000112F0000}"/>
    <cellStyle name="Normal 127 2 2 2" xfId="12050" xr:uid="{00000000-0005-0000-0000-0000122F0000}"/>
    <cellStyle name="Normal 127 2 3" xfId="12051" xr:uid="{00000000-0005-0000-0000-0000132F0000}"/>
    <cellStyle name="Normal 127 3" xfId="12052" xr:uid="{00000000-0005-0000-0000-0000142F0000}"/>
    <cellStyle name="Normal 127 3 2" xfId="12053" xr:uid="{00000000-0005-0000-0000-0000152F0000}"/>
    <cellStyle name="Normal 127 3 2 2" xfId="12054" xr:uid="{00000000-0005-0000-0000-0000162F0000}"/>
    <cellStyle name="Normal 127 3 3" xfId="12055" xr:uid="{00000000-0005-0000-0000-0000172F0000}"/>
    <cellStyle name="Normal 127 3 3 2" xfId="12056" xr:uid="{00000000-0005-0000-0000-0000182F0000}"/>
    <cellStyle name="Normal 127 3 3 2 2" xfId="12057" xr:uid="{00000000-0005-0000-0000-0000192F0000}"/>
    <cellStyle name="Normal 127 3 3 3" xfId="12058" xr:uid="{00000000-0005-0000-0000-00001A2F0000}"/>
    <cellStyle name="Normal 127 3 4" xfId="12059" xr:uid="{00000000-0005-0000-0000-00001B2F0000}"/>
    <cellStyle name="Normal 127 4" xfId="12060" xr:uid="{00000000-0005-0000-0000-00001C2F0000}"/>
    <cellStyle name="Normal 127 4 2" xfId="12061" xr:uid="{00000000-0005-0000-0000-00001D2F0000}"/>
    <cellStyle name="Normal 127 4 2 2" xfId="12062" xr:uid="{00000000-0005-0000-0000-00001E2F0000}"/>
    <cellStyle name="Normal 127 4 3" xfId="12063" xr:uid="{00000000-0005-0000-0000-00001F2F0000}"/>
    <cellStyle name="Normal 127 5" xfId="12064" xr:uid="{00000000-0005-0000-0000-0000202F0000}"/>
    <cellStyle name="Normal 128" xfId="12065" xr:uid="{00000000-0005-0000-0000-0000212F0000}"/>
    <cellStyle name="Normal 128 2" xfId="12066" xr:uid="{00000000-0005-0000-0000-0000222F0000}"/>
    <cellStyle name="Normal 128 2 2" xfId="12067" xr:uid="{00000000-0005-0000-0000-0000232F0000}"/>
    <cellStyle name="Normal 128 2 2 2" xfId="12068" xr:uid="{00000000-0005-0000-0000-0000242F0000}"/>
    <cellStyle name="Normal 128 2 3" xfId="12069" xr:uid="{00000000-0005-0000-0000-0000252F0000}"/>
    <cellStyle name="Normal 128 3" xfId="12070" xr:uid="{00000000-0005-0000-0000-0000262F0000}"/>
    <cellStyle name="Normal 128 3 2" xfId="12071" xr:uid="{00000000-0005-0000-0000-0000272F0000}"/>
    <cellStyle name="Normal 128 3 2 2" xfId="12072" xr:uid="{00000000-0005-0000-0000-0000282F0000}"/>
    <cellStyle name="Normal 128 3 3" xfId="12073" xr:uid="{00000000-0005-0000-0000-0000292F0000}"/>
    <cellStyle name="Normal 128 3 3 2" xfId="12074" xr:uid="{00000000-0005-0000-0000-00002A2F0000}"/>
    <cellStyle name="Normal 128 3 3 2 2" xfId="12075" xr:uid="{00000000-0005-0000-0000-00002B2F0000}"/>
    <cellStyle name="Normal 128 3 3 3" xfId="12076" xr:uid="{00000000-0005-0000-0000-00002C2F0000}"/>
    <cellStyle name="Normal 128 3 4" xfId="12077" xr:uid="{00000000-0005-0000-0000-00002D2F0000}"/>
    <cellStyle name="Normal 128 4" xfId="12078" xr:uid="{00000000-0005-0000-0000-00002E2F0000}"/>
    <cellStyle name="Normal 128 4 2" xfId="12079" xr:uid="{00000000-0005-0000-0000-00002F2F0000}"/>
    <cellStyle name="Normal 128 4 2 2" xfId="12080" xr:uid="{00000000-0005-0000-0000-0000302F0000}"/>
    <cellStyle name="Normal 128 4 3" xfId="12081" xr:uid="{00000000-0005-0000-0000-0000312F0000}"/>
    <cellStyle name="Normal 128 5" xfId="12082" xr:uid="{00000000-0005-0000-0000-0000322F0000}"/>
    <cellStyle name="Normal 129" xfId="12083" xr:uid="{00000000-0005-0000-0000-0000332F0000}"/>
    <cellStyle name="Normal 129 2" xfId="12084" xr:uid="{00000000-0005-0000-0000-0000342F0000}"/>
    <cellStyle name="Normal 129 2 2" xfId="12085" xr:uid="{00000000-0005-0000-0000-0000352F0000}"/>
    <cellStyle name="Normal 129 2 2 2" xfId="12086" xr:uid="{00000000-0005-0000-0000-0000362F0000}"/>
    <cellStyle name="Normal 129 2 3" xfId="12087" xr:uid="{00000000-0005-0000-0000-0000372F0000}"/>
    <cellStyle name="Normal 129 3" xfId="12088" xr:uid="{00000000-0005-0000-0000-0000382F0000}"/>
    <cellStyle name="Normal 129 3 2" xfId="12089" xr:uid="{00000000-0005-0000-0000-0000392F0000}"/>
    <cellStyle name="Normal 129 3 2 2" xfId="12090" xr:uid="{00000000-0005-0000-0000-00003A2F0000}"/>
    <cellStyle name="Normal 129 3 3" xfId="12091" xr:uid="{00000000-0005-0000-0000-00003B2F0000}"/>
    <cellStyle name="Normal 129 3 3 2" xfId="12092" xr:uid="{00000000-0005-0000-0000-00003C2F0000}"/>
    <cellStyle name="Normal 129 3 3 2 2" xfId="12093" xr:uid="{00000000-0005-0000-0000-00003D2F0000}"/>
    <cellStyle name="Normal 129 3 3 3" xfId="12094" xr:uid="{00000000-0005-0000-0000-00003E2F0000}"/>
    <cellStyle name="Normal 129 3 4" xfId="12095" xr:uid="{00000000-0005-0000-0000-00003F2F0000}"/>
    <cellStyle name="Normal 129 4" xfId="12096" xr:uid="{00000000-0005-0000-0000-0000402F0000}"/>
    <cellStyle name="Normal 129 4 2" xfId="12097" xr:uid="{00000000-0005-0000-0000-0000412F0000}"/>
    <cellStyle name="Normal 129 4 2 2" xfId="12098" xr:uid="{00000000-0005-0000-0000-0000422F0000}"/>
    <cellStyle name="Normal 129 4 3" xfId="12099" xr:uid="{00000000-0005-0000-0000-0000432F0000}"/>
    <cellStyle name="Normal 129 5" xfId="12100" xr:uid="{00000000-0005-0000-0000-0000442F0000}"/>
    <cellStyle name="Normal 13" xfId="61" xr:uid="{00000000-0005-0000-0000-00003D000000}"/>
    <cellStyle name="Normal 13 2" xfId="12101" xr:uid="{00000000-0005-0000-0000-0000452F0000}"/>
    <cellStyle name="Normal 13 2 2" xfId="12102" xr:uid="{00000000-0005-0000-0000-0000462F0000}"/>
    <cellStyle name="Normal 13 2 2 2" xfId="12103" xr:uid="{00000000-0005-0000-0000-0000472F0000}"/>
    <cellStyle name="Normal 13 2 3" xfId="12104" xr:uid="{00000000-0005-0000-0000-0000482F0000}"/>
    <cellStyle name="Normal 13 2 3 2" xfId="12105" xr:uid="{00000000-0005-0000-0000-0000492F0000}"/>
    <cellStyle name="Normal 13 2 3 2 2" xfId="12106" xr:uid="{00000000-0005-0000-0000-00004A2F0000}"/>
    <cellStyle name="Normal 13 2 3 3" xfId="12107" xr:uid="{00000000-0005-0000-0000-00004B2F0000}"/>
    <cellStyle name="Normal 13 2 4" xfId="12108" xr:uid="{00000000-0005-0000-0000-00004C2F0000}"/>
    <cellStyle name="Normal 13 3" xfId="12109" xr:uid="{00000000-0005-0000-0000-00004D2F0000}"/>
    <cellStyle name="Normal 13 3 2" xfId="12110" xr:uid="{00000000-0005-0000-0000-00004E2F0000}"/>
    <cellStyle name="Normal 13 3 2 2" xfId="12111" xr:uid="{00000000-0005-0000-0000-00004F2F0000}"/>
    <cellStyle name="Normal 13 3 2 2 2" xfId="12112" xr:uid="{00000000-0005-0000-0000-0000502F0000}"/>
    <cellStyle name="Normal 13 3 2 3" xfId="12113" xr:uid="{00000000-0005-0000-0000-0000512F0000}"/>
    <cellStyle name="Normal 13 3 3" xfId="12114" xr:uid="{00000000-0005-0000-0000-0000522F0000}"/>
    <cellStyle name="Normal 13 3 3 2" xfId="12115" xr:uid="{00000000-0005-0000-0000-0000532F0000}"/>
    <cellStyle name="Normal 13 3 3 2 2" xfId="12116" xr:uid="{00000000-0005-0000-0000-0000542F0000}"/>
    <cellStyle name="Normal 13 3 3 3" xfId="12117" xr:uid="{00000000-0005-0000-0000-0000552F0000}"/>
    <cellStyle name="Normal 13 3 4" xfId="12118" xr:uid="{00000000-0005-0000-0000-0000562F0000}"/>
    <cellStyle name="Normal 13 4" xfId="12119" xr:uid="{00000000-0005-0000-0000-0000572F0000}"/>
    <cellStyle name="Normal 13 4 2" xfId="12120" xr:uid="{00000000-0005-0000-0000-0000582F0000}"/>
    <cellStyle name="Normal 13 5" xfId="12121" xr:uid="{00000000-0005-0000-0000-0000592F0000}"/>
    <cellStyle name="Normal 13 5 2" xfId="12122" xr:uid="{00000000-0005-0000-0000-00005A2F0000}"/>
    <cellStyle name="Normal 13 5 2 2" xfId="12123" xr:uid="{00000000-0005-0000-0000-00005B2F0000}"/>
    <cellStyle name="Normal 13 5 3" xfId="12124" xr:uid="{00000000-0005-0000-0000-00005C2F0000}"/>
    <cellStyle name="Normal 13 6" xfId="12125" xr:uid="{00000000-0005-0000-0000-00005D2F0000}"/>
    <cellStyle name="Normal 13 6 2" xfId="12126" xr:uid="{00000000-0005-0000-0000-00005E2F0000}"/>
    <cellStyle name="Normal 13 6 2 2" xfId="12127" xr:uid="{00000000-0005-0000-0000-00005F2F0000}"/>
    <cellStyle name="Normal 13 6 3" xfId="12128" xr:uid="{00000000-0005-0000-0000-0000602F0000}"/>
    <cellStyle name="Normal 13 7" xfId="12129" xr:uid="{00000000-0005-0000-0000-0000612F0000}"/>
    <cellStyle name="Normal 13 7 2" xfId="12130" xr:uid="{00000000-0005-0000-0000-0000622F0000}"/>
    <cellStyle name="Normal 13 8" xfId="12131" xr:uid="{00000000-0005-0000-0000-0000632F0000}"/>
    <cellStyle name="Normal 13 9" xfId="12132" xr:uid="{00000000-0005-0000-0000-0000642F0000}"/>
    <cellStyle name="Normal 130" xfId="12133" xr:uid="{00000000-0005-0000-0000-0000652F0000}"/>
    <cellStyle name="Normal 130 2" xfId="12134" xr:uid="{00000000-0005-0000-0000-0000662F0000}"/>
    <cellStyle name="Normal 130 2 2" xfId="12135" xr:uid="{00000000-0005-0000-0000-0000672F0000}"/>
    <cellStyle name="Normal 130 2 2 2" xfId="12136" xr:uid="{00000000-0005-0000-0000-0000682F0000}"/>
    <cellStyle name="Normal 130 2 3" xfId="12137" xr:uid="{00000000-0005-0000-0000-0000692F0000}"/>
    <cellStyle name="Normal 130 3" xfId="12138" xr:uid="{00000000-0005-0000-0000-00006A2F0000}"/>
    <cellStyle name="Normal 130 3 2" xfId="12139" xr:uid="{00000000-0005-0000-0000-00006B2F0000}"/>
    <cellStyle name="Normal 130 3 2 2" xfId="12140" xr:uid="{00000000-0005-0000-0000-00006C2F0000}"/>
    <cellStyle name="Normal 130 3 3" xfId="12141" xr:uid="{00000000-0005-0000-0000-00006D2F0000}"/>
    <cellStyle name="Normal 130 3 3 2" xfId="12142" xr:uid="{00000000-0005-0000-0000-00006E2F0000}"/>
    <cellStyle name="Normal 130 3 3 2 2" xfId="12143" xr:uid="{00000000-0005-0000-0000-00006F2F0000}"/>
    <cellStyle name="Normal 130 3 3 3" xfId="12144" xr:uid="{00000000-0005-0000-0000-0000702F0000}"/>
    <cellStyle name="Normal 130 3 4" xfId="12145" xr:uid="{00000000-0005-0000-0000-0000712F0000}"/>
    <cellStyle name="Normal 130 4" xfId="12146" xr:uid="{00000000-0005-0000-0000-0000722F0000}"/>
    <cellStyle name="Normal 130 4 2" xfId="12147" xr:uid="{00000000-0005-0000-0000-0000732F0000}"/>
    <cellStyle name="Normal 130 4 2 2" xfId="12148" xr:uid="{00000000-0005-0000-0000-0000742F0000}"/>
    <cellStyle name="Normal 130 4 3" xfId="12149" xr:uid="{00000000-0005-0000-0000-0000752F0000}"/>
    <cellStyle name="Normal 130 5" xfId="12150" xr:uid="{00000000-0005-0000-0000-0000762F0000}"/>
    <cellStyle name="Normal 131" xfId="12151" xr:uid="{00000000-0005-0000-0000-0000772F0000}"/>
    <cellStyle name="Normal 131 2" xfId="12152" xr:uid="{00000000-0005-0000-0000-0000782F0000}"/>
    <cellStyle name="Normal 131 2 2" xfId="12153" xr:uid="{00000000-0005-0000-0000-0000792F0000}"/>
    <cellStyle name="Normal 131 2 2 2" xfId="12154" xr:uid="{00000000-0005-0000-0000-00007A2F0000}"/>
    <cellStyle name="Normal 131 2 3" xfId="12155" xr:uid="{00000000-0005-0000-0000-00007B2F0000}"/>
    <cellStyle name="Normal 131 3" xfId="12156" xr:uid="{00000000-0005-0000-0000-00007C2F0000}"/>
    <cellStyle name="Normal 131 3 2" xfId="12157" xr:uid="{00000000-0005-0000-0000-00007D2F0000}"/>
    <cellStyle name="Normal 131 3 2 2" xfId="12158" xr:uid="{00000000-0005-0000-0000-00007E2F0000}"/>
    <cellStyle name="Normal 131 3 3" xfId="12159" xr:uid="{00000000-0005-0000-0000-00007F2F0000}"/>
    <cellStyle name="Normal 131 3 3 2" xfId="12160" xr:uid="{00000000-0005-0000-0000-0000802F0000}"/>
    <cellStyle name="Normal 131 3 3 2 2" xfId="12161" xr:uid="{00000000-0005-0000-0000-0000812F0000}"/>
    <cellStyle name="Normal 131 3 3 3" xfId="12162" xr:uid="{00000000-0005-0000-0000-0000822F0000}"/>
    <cellStyle name="Normal 131 3 4" xfId="12163" xr:uid="{00000000-0005-0000-0000-0000832F0000}"/>
    <cellStyle name="Normal 131 4" xfId="12164" xr:uid="{00000000-0005-0000-0000-0000842F0000}"/>
    <cellStyle name="Normal 131 4 2" xfId="12165" xr:uid="{00000000-0005-0000-0000-0000852F0000}"/>
    <cellStyle name="Normal 131 4 2 2" xfId="12166" xr:uid="{00000000-0005-0000-0000-0000862F0000}"/>
    <cellStyle name="Normal 131 4 3" xfId="12167" xr:uid="{00000000-0005-0000-0000-0000872F0000}"/>
    <cellStyle name="Normal 131 5" xfId="12168" xr:uid="{00000000-0005-0000-0000-0000882F0000}"/>
    <cellStyle name="Normal 132" xfId="12169" xr:uid="{00000000-0005-0000-0000-0000892F0000}"/>
    <cellStyle name="Normal 132 2" xfId="12170" xr:uid="{00000000-0005-0000-0000-00008A2F0000}"/>
    <cellStyle name="Normal 132 2 2" xfId="12171" xr:uid="{00000000-0005-0000-0000-00008B2F0000}"/>
    <cellStyle name="Normal 132 2 2 2" xfId="12172" xr:uid="{00000000-0005-0000-0000-00008C2F0000}"/>
    <cellStyle name="Normal 132 2 3" xfId="12173" xr:uid="{00000000-0005-0000-0000-00008D2F0000}"/>
    <cellStyle name="Normal 132 3" xfId="12174" xr:uid="{00000000-0005-0000-0000-00008E2F0000}"/>
    <cellStyle name="Normal 132 3 2" xfId="12175" xr:uid="{00000000-0005-0000-0000-00008F2F0000}"/>
    <cellStyle name="Normal 132 3 2 2" xfId="12176" xr:uid="{00000000-0005-0000-0000-0000902F0000}"/>
    <cellStyle name="Normal 132 3 3" xfId="12177" xr:uid="{00000000-0005-0000-0000-0000912F0000}"/>
    <cellStyle name="Normal 132 3 3 2" xfId="12178" xr:uid="{00000000-0005-0000-0000-0000922F0000}"/>
    <cellStyle name="Normal 132 3 3 2 2" xfId="12179" xr:uid="{00000000-0005-0000-0000-0000932F0000}"/>
    <cellStyle name="Normal 132 3 3 3" xfId="12180" xr:uid="{00000000-0005-0000-0000-0000942F0000}"/>
    <cellStyle name="Normal 132 3 4" xfId="12181" xr:uid="{00000000-0005-0000-0000-0000952F0000}"/>
    <cellStyle name="Normal 132 4" xfId="12182" xr:uid="{00000000-0005-0000-0000-0000962F0000}"/>
    <cellStyle name="Normal 132 4 2" xfId="12183" xr:uid="{00000000-0005-0000-0000-0000972F0000}"/>
    <cellStyle name="Normal 132 4 2 2" xfId="12184" xr:uid="{00000000-0005-0000-0000-0000982F0000}"/>
    <cellStyle name="Normal 132 4 3" xfId="12185" xr:uid="{00000000-0005-0000-0000-0000992F0000}"/>
    <cellStyle name="Normal 132 5" xfId="12186" xr:uid="{00000000-0005-0000-0000-00009A2F0000}"/>
    <cellStyle name="Normal 133" xfId="12187" xr:uid="{00000000-0005-0000-0000-00009B2F0000}"/>
    <cellStyle name="Normal 133 2" xfId="12188" xr:uid="{00000000-0005-0000-0000-00009C2F0000}"/>
    <cellStyle name="Normal 133 2 2" xfId="12189" xr:uid="{00000000-0005-0000-0000-00009D2F0000}"/>
    <cellStyle name="Normal 133 2 2 2" xfId="12190" xr:uid="{00000000-0005-0000-0000-00009E2F0000}"/>
    <cellStyle name="Normal 133 2 3" xfId="12191" xr:uid="{00000000-0005-0000-0000-00009F2F0000}"/>
    <cellStyle name="Normal 133 3" xfId="12192" xr:uid="{00000000-0005-0000-0000-0000A02F0000}"/>
    <cellStyle name="Normal 133 3 2" xfId="12193" xr:uid="{00000000-0005-0000-0000-0000A12F0000}"/>
    <cellStyle name="Normal 133 3 2 2" xfId="12194" xr:uid="{00000000-0005-0000-0000-0000A22F0000}"/>
    <cellStyle name="Normal 133 3 3" xfId="12195" xr:uid="{00000000-0005-0000-0000-0000A32F0000}"/>
    <cellStyle name="Normal 133 3 3 2" xfId="12196" xr:uid="{00000000-0005-0000-0000-0000A42F0000}"/>
    <cellStyle name="Normal 133 3 3 2 2" xfId="12197" xr:uid="{00000000-0005-0000-0000-0000A52F0000}"/>
    <cellStyle name="Normal 133 3 3 3" xfId="12198" xr:uid="{00000000-0005-0000-0000-0000A62F0000}"/>
    <cellStyle name="Normal 133 3 4" xfId="12199" xr:uid="{00000000-0005-0000-0000-0000A72F0000}"/>
    <cellStyle name="Normal 133 4" xfId="12200" xr:uid="{00000000-0005-0000-0000-0000A82F0000}"/>
    <cellStyle name="Normal 133 4 2" xfId="12201" xr:uid="{00000000-0005-0000-0000-0000A92F0000}"/>
    <cellStyle name="Normal 133 4 2 2" xfId="12202" xr:uid="{00000000-0005-0000-0000-0000AA2F0000}"/>
    <cellStyle name="Normal 133 4 3" xfId="12203" xr:uid="{00000000-0005-0000-0000-0000AB2F0000}"/>
    <cellStyle name="Normal 133 5" xfId="12204" xr:uid="{00000000-0005-0000-0000-0000AC2F0000}"/>
    <cellStyle name="Normal 134" xfId="12205" xr:uid="{00000000-0005-0000-0000-0000AD2F0000}"/>
    <cellStyle name="Normal 134 2" xfId="12206" xr:uid="{00000000-0005-0000-0000-0000AE2F0000}"/>
    <cellStyle name="Normal 134 2 2" xfId="12207" xr:uid="{00000000-0005-0000-0000-0000AF2F0000}"/>
    <cellStyle name="Normal 134 2 2 2" xfId="12208" xr:uid="{00000000-0005-0000-0000-0000B02F0000}"/>
    <cellStyle name="Normal 134 2 3" xfId="12209" xr:uid="{00000000-0005-0000-0000-0000B12F0000}"/>
    <cellStyle name="Normal 134 3" xfId="12210" xr:uid="{00000000-0005-0000-0000-0000B22F0000}"/>
    <cellStyle name="Normal 134 3 2" xfId="12211" xr:uid="{00000000-0005-0000-0000-0000B32F0000}"/>
    <cellStyle name="Normal 134 3 2 2" xfId="12212" xr:uid="{00000000-0005-0000-0000-0000B42F0000}"/>
    <cellStyle name="Normal 134 3 3" xfId="12213" xr:uid="{00000000-0005-0000-0000-0000B52F0000}"/>
    <cellStyle name="Normal 134 3 3 2" xfId="12214" xr:uid="{00000000-0005-0000-0000-0000B62F0000}"/>
    <cellStyle name="Normal 134 3 3 2 2" xfId="12215" xr:uid="{00000000-0005-0000-0000-0000B72F0000}"/>
    <cellStyle name="Normal 134 3 3 3" xfId="12216" xr:uid="{00000000-0005-0000-0000-0000B82F0000}"/>
    <cellStyle name="Normal 134 3 4" xfId="12217" xr:uid="{00000000-0005-0000-0000-0000B92F0000}"/>
    <cellStyle name="Normal 134 4" xfId="12218" xr:uid="{00000000-0005-0000-0000-0000BA2F0000}"/>
    <cellStyle name="Normal 134 4 2" xfId="12219" xr:uid="{00000000-0005-0000-0000-0000BB2F0000}"/>
    <cellStyle name="Normal 134 4 2 2" xfId="12220" xr:uid="{00000000-0005-0000-0000-0000BC2F0000}"/>
    <cellStyle name="Normal 134 4 3" xfId="12221" xr:uid="{00000000-0005-0000-0000-0000BD2F0000}"/>
    <cellStyle name="Normal 134 5" xfId="12222" xr:uid="{00000000-0005-0000-0000-0000BE2F0000}"/>
    <cellStyle name="Normal 135" xfId="12223" xr:uid="{00000000-0005-0000-0000-0000BF2F0000}"/>
    <cellStyle name="Normal 135 2" xfId="12224" xr:uid="{00000000-0005-0000-0000-0000C02F0000}"/>
    <cellStyle name="Normal 135 2 2" xfId="12225" xr:uid="{00000000-0005-0000-0000-0000C12F0000}"/>
    <cellStyle name="Normal 135 2 2 2" xfId="12226" xr:uid="{00000000-0005-0000-0000-0000C22F0000}"/>
    <cellStyle name="Normal 135 2 3" xfId="12227" xr:uid="{00000000-0005-0000-0000-0000C32F0000}"/>
    <cellStyle name="Normal 135 3" xfId="12228" xr:uid="{00000000-0005-0000-0000-0000C42F0000}"/>
    <cellStyle name="Normal 135 3 2" xfId="12229" xr:uid="{00000000-0005-0000-0000-0000C52F0000}"/>
    <cellStyle name="Normal 135 3 2 2" xfId="12230" xr:uid="{00000000-0005-0000-0000-0000C62F0000}"/>
    <cellStyle name="Normal 135 3 3" xfId="12231" xr:uid="{00000000-0005-0000-0000-0000C72F0000}"/>
    <cellStyle name="Normal 135 3 3 2" xfId="12232" xr:uid="{00000000-0005-0000-0000-0000C82F0000}"/>
    <cellStyle name="Normal 135 3 3 2 2" xfId="12233" xr:uid="{00000000-0005-0000-0000-0000C92F0000}"/>
    <cellStyle name="Normal 135 3 3 3" xfId="12234" xr:uid="{00000000-0005-0000-0000-0000CA2F0000}"/>
    <cellStyle name="Normal 135 3 4" xfId="12235" xr:uid="{00000000-0005-0000-0000-0000CB2F0000}"/>
    <cellStyle name="Normal 135 4" xfId="12236" xr:uid="{00000000-0005-0000-0000-0000CC2F0000}"/>
    <cellStyle name="Normal 135 4 2" xfId="12237" xr:uid="{00000000-0005-0000-0000-0000CD2F0000}"/>
    <cellStyle name="Normal 135 4 2 2" xfId="12238" xr:uid="{00000000-0005-0000-0000-0000CE2F0000}"/>
    <cellStyle name="Normal 135 4 3" xfId="12239" xr:uid="{00000000-0005-0000-0000-0000CF2F0000}"/>
    <cellStyle name="Normal 135 5" xfId="12240" xr:uid="{00000000-0005-0000-0000-0000D02F0000}"/>
    <cellStyle name="Normal 136" xfId="12241" xr:uid="{00000000-0005-0000-0000-0000D12F0000}"/>
    <cellStyle name="Normal 136 2" xfId="12242" xr:uid="{00000000-0005-0000-0000-0000D22F0000}"/>
    <cellStyle name="Normal 136 2 2" xfId="12243" xr:uid="{00000000-0005-0000-0000-0000D32F0000}"/>
    <cellStyle name="Normal 136 2 2 2" xfId="12244" xr:uid="{00000000-0005-0000-0000-0000D42F0000}"/>
    <cellStyle name="Normal 136 2 3" xfId="12245" xr:uid="{00000000-0005-0000-0000-0000D52F0000}"/>
    <cellStyle name="Normal 136 2 3 2" xfId="12246" xr:uid="{00000000-0005-0000-0000-0000D62F0000}"/>
    <cellStyle name="Normal 136 2 3 2 2" xfId="12247" xr:uid="{00000000-0005-0000-0000-0000D72F0000}"/>
    <cellStyle name="Normal 136 2 3 3" xfId="12248" xr:uid="{00000000-0005-0000-0000-0000D82F0000}"/>
    <cellStyle name="Normal 136 2 4" xfId="12249" xr:uid="{00000000-0005-0000-0000-0000D92F0000}"/>
    <cellStyle name="Normal 136 2 4 2" xfId="12250" xr:uid="{00000000-0005-0000-0000-0000DA2F0000}"/>
    <cellStyle name="Normal 136 2 4 2 2" xfId="12251" xr:uid="{00000000-0005-0000-0000-0000DB2F0000}"/>
    <cellStyle name="Normal 136 2 4 3" xfId="12252" xr:uid="{00000000-0005-0000-0000-0000DC2F0000}"/>
    <cellStyle name="Normal 136 2 5" xfId="12253" xr:uid="{00000000-0005-0000-0000-0000DD2F0000}"/>
    <cellStyle name="Normal 136 3" xfId="12254" xr:uid="{00000000-0005-0000-0000-0000DE2F0000}"/>
    <cellStyle name="Normal 136 3 2" xfId="12255" xr:uid="{00000000-0005-0000-0000-0000DF2F0000}"/>
    <cellStyle name="Normal 136 3 2 2" xfId="12256" xr:uid="{00000000-0005-0000-0000-0000E02F0000}"/>
    <cellStyle name="Normal 136 3 2 2 2" xfId="12257" xr:uid="{00000000-0005-0000-0000-0000E12F0000}"/>
    <cellStyle name="Normal 136 3 2 3" xfId="12258" xr:uid="{00000000-0005-0000-0000-0000E22F0000}"/>
    <cellStyle name="Normal 136 3 2 3 2" xfId="12259" xr:uid="{00000000-0005-0000-0000-0000E32F0000}"/>
    <cellStyle name="Normal 136 3 2 3 2 2" xfId="12260" xr:uid="{00000000-0005-0000-0000-0000E42F0000}"/>
    <cellStyle name="Normal 136 3 2 3 3" xfId="12261" xr:uid="{00000000-0005-0000-0000-0000E52F0000}"/>
    <cellStyle name="Normal 136 3 2 4" xfId="12262" xr:uid="{00000000-0005-0000-0000-0000E62F0000}"/>
    <cellStyle name="Normal 136 3 3" xfId="12263" xr:uid="{00000000-0005-0000-0000-0000E72F0000}"/>
    <cellStyle name="Normal 136 3 3 2" xfId="12264" xr:uid="{00000000-0005-0000-0000-0000E82F0000}"/>
    <cellStyle name="Normal 136 3 3 2 2" xfId="12265" xr:uid="{00000000-0005-0000-0000-0000E92F0000}"/>
    <cellStyle name="Normal 136 3 3 3" xfId="12266" xr:uid="{00000000-0005-0000-0000-0000EA2F0000}"/>
    <cellStyle name="Normal 136 3 4" xfId="12267" xr:uid="{00000000-0005-0000-0000-0000EB2F0000}"/>
    <cellStyle name="Normal 136 3 4 2" xfId="12268" xr:uid="{00000000-0005-0000-0000-0000EC2F0000}"/>
    <cellStyle name="Normal 136 3 4 2 2" xfId="12269" xr:uid="{00000000-0005-0000-0000-0000ED2F0000}"/>
    <cellStyle name="Normal 136 3 4 3" xfId="12270" xr:uid="{00000000-0005-0000-0000-0000EE2F0000}"/>
    <cellStyle name="Normal 136 3 5" xfId="12271" xr:uid="{00000000-0005-0000-0000-0000EF2F0000}"/>
    <cellStyle name="Normal 136 3 5 2" xfId="12272" xr:uid="{00000000-0005-0000-0000-0000F02F0000}"/>
    <cellStyle name="Normal 136 3 5 2 2" xfId="12273" xr:uid="{00000000-0005-0000-0000-0000F12F0000}"/>
    <cellStyle name="Normal 136 3 5 3" xfId="12274" xr:uid="{00000000-0005-0000-0000-0000F22F0000}"/>
    <cellStyle name="Normal 136 3 6" xfId="12275" xr:uid="{00000000-0005-0000-0000-0000F32F0000}"/>
    <cellStyle name="Normal 136 4" xfId="12276" xr:uid="{00000000-0005-0000-0000-0000F42F0000}"/>
    <cellStyle name="Normal 136 4 2" xfId="12277" xr:uid="{00000000-0005-0000-0000-0000F52F0000}"/>
    <cellStyle name="Normal 136 4 2 2" xfId="12278" xr:uid="{00000000-0005-0000-0000-0000F62F0000}"/>
    <cellStyle name="Normal 136 4 3" xfId="12279" xr:uid="{00000000-0005-0000-0000-0000F72F0000}"/>
    <cellStyle name="Normal 136 5" xfId="12280" xr:uid="{00000000-0005-0000-0000-0000F82F0000}"/>
    <cellStyle name="Normal 136 5 2" xfId="12281" xr:uid="{00000000-0005-0000-0000-0000F92F0000}"/>
    <cellStyle name="Normal 136 5 2 2" xfId="12282" xr:uid="{00000000-0005-0000-0000-0000FA2F0000}"/>
    <cellStyle name="Normal 136 5 3" xfId="12283" xr:uid="{00000000-0005-0000-0000-0000FB2F0000}"/>
    <cellStyle name="Normal 136 6" xfId="12284" xr:uid="{00000000-0005-0000-0000-0000FC2F0000}"/>
    <cellStyle name="Normal 136 6 2" xfId="12285" xr:uid="{00000000-0005-0000-0000-0000FD2F0000}"/>
    <cellStyle name="Normal 136 6 2 2" xfId="12286" xr:uid="{00000000-0005-0000-0000-0000FE2F0000}"/>
    <cellStyle name="Normal 136 6 3" xfId="12287" xr:uid="{00000000-0005-0000-0000-0000FF2F0000}"/>
    <cellStyle name="Normal 136 7" xfId="12288" xr:uid="{00000000-0005-0000-0000-000000300000}"/>
    <cellStyle name="Normal 137" xfId="12289" xr:uid="{00000000-0005-0000-0000-000001300000}"/>
    <cellStyle name="Normal 137 2" xfId="12290" xr:uid="{00000000-0005-0000-0000-000002300000}"/>
    <cellStyle name="Normal 137 2 2" xfId="12291" xr:uid="{00000000-0005-0000-0000-000003300000}"/>
    <cellStyle name="Normal 137 2 2 2" xfId="12292" xr:uid="{00000000-0005-0000-0000-000004300000}"/>
    <cellStyle name="Normal 137 2 3" xfId="12293" xr:uid="{00000000-0005-0000-0000-000005300000}"/>
    <cellStyle name="Normal 137 2 3 2" xfId="12294" xr:uid="{00000000-0005-0000-0000-000006300000}"/>
    <cellStyle name="Normal 137 2 3 2 2" xfId="12295" xr:uid="{00000000-0005-0000-0000-000007300000}"/>
    <cellStyle name="Normal 137 2 3 3" xfId="12296" xr:uid="{00000000-0005-0000-0000-000008300000}"/>
    <cellStyle name="Normal 137 2 4" xfId="12297" xr:uid="{00000000-0005-0000-0000-000009300000}"/>
    <cellStyle name="Normal 137 2 4 2" xfId="12298" xr:uid="{00000000-0005-0000-0000-00000A300000}"/>
    <cellStyle name="Normal 137 2 4 2 2" xfId="12299" xr:uid="{00000000-0005-0000-0000-00000B300000}"/>
    <cellStyle name="Normal 137 2 4 3" xfId="12300" xr:uid="{00000000-0005-0000-0000-00000C300000}"/>
    <cellStyle name="Normal 137 2 5" xfId="12301" xr:uid="{00000000-0005-0000-0000-00000D300000}"/>
    <cellStyle name="Normal 137 3" xfId="12302" xr:uid="{00000000-0005-0000-0000-00000E300000}"/>
    <cellStyle name="Normal 137 3 2" xfId="12303" xr:uid="{00000000-0005-0000-0000-00000F300000}"/>
    <cellStyle name="Normal 137 3 2 2" xfId="12304" xr:uid="{00000000-0005-0000-0000-000010300000}"/>
    <cellStyle name="Normal 137 3 2 2 2" xfId="12305" xr:uid="{00000000-0005-0000-0000-000011300000}"/>
    <cellStyle name="Normal 137 3 2 3" xfId="12306" xr:uid="{00000000-0005-0000-0000-000012300000}"/>
    <cellStyle name="Normal 137 3 2 3 2" xfId="12307" xr:uid="{00000000-0005-0000-0000-000013300000}"/>
    <cellStyle name="Normal 137 3 2 3 2 2" xfId="12308" xr:uid="{00000000-0005-0000-0000-000014300000}"/>
    <cellStyle name="Normal 137 3 2 3 3" xfId="12309" xr:uid="{00000000-0005-0000-0000-000015300000}"/>
    <cellStyle name="Normal 137 3 2 4" xfId="12310" xr:uid="{00000000-0005-0000-0000-000016300000}"/>
    <cellStyle name="Normal 137 3 3" xfId="12311" xr:uid="{00000000-0005-0000-0000-000017300000}"/>
    <cellStyle name="Normal 137 3 3 2" xfId="12312" xr:uid="{00000000-0005-0000-0000-000018300000}"/>
    <cellStyle name="Normal 137 3 3 2 2" xfId="12313" xr:uid="{00000000-0005-0000-0000-000019300000}"/>
    <cellStyle name="Normal 137 3 3 3" xfId="12314" xr:uid="{00000000-0005-0000-0000-00001A300000}"/>
    <cellStyle name="Normal 137 3 4" xfId="12315" xr:uid="{00000000-0005-0000-0000-00001B300000}"/>
    <cellStyle name="Normal 137 3 4 2" xfId="12316" xr:uid="{00000000-0005-0000-0000-00001C300000}"/>
    <cellStyle name="Normal 137 3 4 2 2" xfId="12317" xr:uid="{00000000-0005-0000-0000-00001D300000}"/>
    <cellStyle name="Normal 137 3 4 3" xfId="12318" xr:uid="{00000000-0005-0000-0000-00001E300000}"/>
    <cellStyle name="Normal 137 3 5" xfId="12319" xr:uid="{00000000-0005-0000-0000-00001F300000}"/>
    <cellStyle name="Normal 137 3 5 2" xfId="12320" xr:uid="{00000000-0005-0000-0000-000020300000}"/>
    <cellStyle name="Normal 137 3 5 2 2" xfId="12321" xr:uid="{00000000-0005-0000-0000-000021300000}"/>
    <cellStyle name="Normal 137 3 5 3" xfId="12322" xr:uid="{00000000-0005-0000-0000-000022300000}"/>
    <cellStyle name="Normal 137 3 6" xfId="12323" xr:uid="{00000000-0005-0000-0000-000023300000}"/>
    <cellStyle name="Normal 137 4" xfId="12324" xr:uid="{00000000-0005-0000-0000-000024300000}"/>
    <cellStyle name="Normal 137 4 2" xfId="12325" xr:uid="{00000000-0005-0000-0000-000025300000}"/>
    <cellStyle name="Normal 137 4 2 2" xfId="12326" xr:uid="{00000000-0005-0000-0000-000026300000}"/>
    <cellStyle name="Normal 137 4 3" xfId="12327" xr:uid="{00000000-0005-0000-0000-000027300000}"/>
    <cellStyle name="Normal 137 5" xfId="12328" xr:uid="{00000000-0005-0000-0000-000028300000}"/>
    <cellStyle name="Normal 137 5 2" xfId="12329" xr:uid="{00000000-0005-0000-0000-000029300000}"/>
    <cellStyle name="Normal 137 5 2 2" xfId="12330" xr:uid="{00000000-0005-0000-0000-00002A300000}"/>
    <cellStyle name="Normal 137 5 3" xfId="12331" xr:uid="{00000000-0005-0000-0000-00002B300000}"/>
    <cellStyle name="Normal 137 6" xfId="12332" xr:uid="{00000000-0005-0000-0000-00002C300000}"/>
    <cellStyle name="Normal 137 6 2" xfId="12333" xr:uid="{00000000-0005-0000-0000-00002D300000}"/>
    <cellStyle name="Normal 137 6 2 2" xfId="12334" xr:uid="{00000000-0005-0000-0000-00002E300000}"/>
    <cellStyle name="Normal 137 6 3" xfId="12335" xr:uid="{00000000-0005-0000-0000-00002F300000}"/>
    <cellStyle name="Normal 137 7" xfId="12336" xr:uid="{00000000-0005-0000-0000-000030300000}"/>
    <cellStyle name="Normal 138" xfId="12337" xr:uid="{00000000-0005-0000-0000-000031300000}"/>
    <cellStyle name="Normal 138 2" xfId="12338" xr:uid="{00000000-0005-0000-0000-000032300000}"/>
    <cellStyle name="Normal 138 2 2" xfId="12339" xr:uid="{00000000-0005-0000-0000-000033300000}"/>
    <cellStyle name="Normal 138 2 2 2" xfId="12340" xr:uid="{00000000-0005-0000-0000-000034300000}"/>
    <cellStyle name="Normal 138 2 3" xfId="12341" xr:uid="{00000000-0005-0000-0000-000035300000}"/>
    <cellStyle name="Normal 138 2 3 2" xfId="12342" xr:uid="{00000000-0005-0000-0000-000036300000}"/>
    <cellStyle name="Normal 138 2 3 2 2" xfId="12343" xr:uid="{00000000-0005-0000-0000-000037300000}"/>
    <cellStyle name="Normal 138 2 3 3" xfId="12344" xr:uid="{00000000-0005-0000-0000-000038300000}"/>
    <cellStyle name="Normal 138 2 4" xfId="12345" xr:uid="{00000000-0005-0000-0000-000039300000}"/>
    <cellStyle name="Normal 138 2 4 2" xfId="12346" xr:uid="{00000000-0005-0000-0000-00003A300000}"/>
    <cellStyle name="Normal 138 2 4 2 2" xfId="12347" xr:uid="{00000000-0005-0000-0000-00003B300000}"/>
    <cellStyle name="Normal 138 2 4 3" xfId="12348" xr:uid="{00000000-0005-0000-0000-00003C300000}"/>
    <cellStyle name="Normal 138 2 5" xfId="12349" xr:uid="{00000000-0005-0000-0000-00003D300000}"/>
    <cellStyle name="Normal 138 3" xfId="12350" xr:uid="{00000000-0005-0000-0000-00003E300000}"/>
    <cellStyle name="Normal 138 3 2" xfId="12351" xr:uid="{00000000-0005-0000-0000-00003F300000}"/>
    <cellStyle name="Normal 138 3 2 2" xfId="12352" xr:uid="{00000000-0005-0000-0000-000040300000}"/>
    <cellStyle name="Normal 138 3 2 2 2" xfId="12353" xr:uid="{00000000-0005-0000-0000-000041300000}"/>
    <cellStyle name="Normal 138 3 2 3" xfId="12354" xr:uid="{00000000-0005-0000-0000-000042300000}"/>
    <cellStyle name="Normal 138 3 2 3 2" xfId="12355" xr:uid="{00000000-0005-0000-0000-000043300000}"/>
    <cellStyle name="Normal 138 3 2 3 2 2" xfId="12356" xr:uid="{00000000-0005-0000-0000-000044300000}"/>
    <cellStyle name="Normal 138 3 2 3 3" xfId="12357" xr:uid="{00000000-0005-0000-0000-000045300000}"/>
    <cellStyle name="Normal 138 3 2 4" xfId="12358" xr:uid="{00000000-0005-0000-0000-000046300000}"/>
    <cellStyle name="Normal 138 3 3" xfId="12359" xr:uid="{00000000-0005-0000-0000-000047300000}"/>
    <cellStyle name="Normal 138 3 3 2" xfId="12360" xr:uid="{00000000-0005-0000-0000-000048300000}"/>
    <cellStyle name="Normal 138 3 3 2 2" xfId="12361" xr:uid="{00000000-0005-0000-0000-000049300000}"/>
    <cellStyle name="Normal 138 3 3 3" xfId="12362" xr:uid="{00000000-0005-0000-0000-00004A300000}"/>
    <cellStyle name="Normal 138 3 4" xfId="12363" xr:uid="{00000000-0005-0000-0000-00004B300000}"/>
    <cellStyle name="Normal 138 3 4 2" xfId="12364" xr:uid="{00000000-0005-0000-0000-00004C300000}"/>
    <cellStyle name="Normal 138 3 4 2 2" xfId="12365" xr:uid="{00000000-0005-0000-0000-00004D300000}"/>
    <cellStyle name="Normal 138 3 4 3" xfId="12366" xr:uid="{00000000-0005-0000-0000-00004E300000}"/>
    <cellStyle name="Normal 138 3 5" xfId="12367" xr:uid="{00000000-0005-0000-0000-00004F300000}"/>
    <cellStyle name="Normal 138 3 5 2" xfId="12368" xr:uid="{00000000-0005-0000-0000-000050300000}"/>
    <cellStyle name="Normal 138 3 5 2 2" xfId="12369" xr:uid="{00000000-0005-0000-0000-000051300000}"/>
    <cellStyle name="Normal 138 3 5 3" xfId="12370" xr:uid="{00000000-0005-0000-0000-000052300000}"/>
    <cellStyle name="Normal 138 3 6" xfId="12371" xr:uid="{00000000-0005-0000-0000-000053300000}"/>
    <cellStyle name="Normal 138 4" xfId="12372" xr:uid="{00000000-0005-0000-0000-000054300000}"/>
    <cellStyle name="Normal 138 4 2" xfId="12373" xr:uid="{00000000-0005-0000-0000-000055300000}"/>
    <cellStyle name="Normal 138 4 2 2" xfId="12374" xr:uid="{00000000-0005-0000-0000-000056300000}"/>
    <cellStyle name="Normal 138 4 3" xfId="12375" xr:uid="{00000000-0005-0000-0000-000057300000}"/>
    <cellStyle name="Normal 138 5" xfId="12376" xr:uid="{00000000-0005-0000-0000-000058300000}"/>
    <cellStyle name="Normal 138 5 2" xfId="12377" xr:uid="{00000000-0005-0000-0000-000059300000}"/>
    <cellStyle name="Normal 138 5 2 2" xfId="12378" xr:uid="{00000000-0005-0000-0000-00005A300000}"/>
    <cellStyle name="Normal 138 5 3" xfId="12379" xr:uid="{00000000-0005-0000-0000-00005B300000}"/>
    <cellStyle name="Normal 138 6" xfId="12380" xr:uid="{00000000-0005-0000-0000-00005C300000}"/>
    <cellStyle name="Normal 138 6 2" xfId="12381" xr:uid="{00000000-0005-0000-0000-00005D300000}"/>
    <cellStyle name="Normal 138 6 2 2" xfId="12382" xr:uid="{00000000-0005-0000-0000-00005E300000}"/>
    <cellStyle name="Normal 138 6 3" xfId="12383" xr:uid="{00000000-0005-0000-0000-00005F300000}"/>
    <cellStyle name="Normal 138 7" xfId="12384" xr:uid="{00000000-0005-0000-0000-000060300000}"/>
    <cellStyle name="Normal 139" xfId="12385" xr:uid="{00000000-0005-0000-0000-000061300000}"/>
    <cellStyle name="Normal 139 2" xfId="12386" xr:uid="{00000000-0005-0000-0000-000062300000}"/>
    <cellStyle name="Normal 139 2 2" xfId="12387" xr:uid="{00000000-0005-0000-0000-000063300000}"/>
    <cellStyle name="Normal 139 2 2 2" xfId="12388" xr:uid="{00000000-0005-0000-0000-000064300000}"/>
    <cellStyle name="Normal 139 2 3" xfId="12389" xr:uid="{00000000-0005-0000-0000-000065300000}"/>
    <cellStyle name="Normal 139 2 3 2" xfId="12390" xr:uid="{00000000-0005-0000-0000-000066300000}"/>
    <cellStyle name="Normal 139 2 3 2 2" xfId="12391" xr:uid="{00000000-0005-0000-0000-000067300000}"/>
    <cellStyle name="Normal 139 2 3 3" xfId="12392" xr:uid="{00000000-0005-0000-0000-000068300000}"/>
    <cellStyle name="Normal 139 2 4" xfId="12393" xr:uid="{00000000-0005-0000-0000-000069300000}"/>
    <cellStyle name="Normal 139 2 4 2" xfId="12394" xr:uid="{00000000-0005-0000-0000-00006A300000}"/>
    <cellStyle name="Normal 139 2 4 2 2" xfId="12395" xr:uid="{00000000-0005-0000-0000-00006B300000}"/>
    <cellStyle name="Normal 139 2 4 3" xfId="12396" xr:uid="{00000000-0005-0000-0000-00006C300000}"/>
    <cellStyle name="Normal 139 2 5" xfId="12397" xr:uid="{00000000-0005-0000-0000-00006D300000}"/>
    <cellStyle name="Normal 139 3" xfId="12398" xr:uid="{00000000-0005-0000-0000-00006E300000}"/>
    <cellStyle name="Normal 139 3 2" xfId="12399" xr:uid="{00000000-0005-0000-0000-00006F300000}"/>
    <cellStyle name="Normal 139 3 2 2" xfId="12400" xr:uid="{00000000-0005-0000-0000-000070300000}"/>
    <cellStyle name="Normal 139 3 2 2 2" xfId="12401" xr:uid="{00000000-0005-0000-0000-000071300000}"/>
    <cellStyle name="Normal 139 3 2 3" xfId="12402" xr:uid="{00000000-0005-0000-0000-000072300000}"/>
    <cellStyle name="Normal 139 3 2 3 2" xfId="12403" xr:uid="{00000000-0005-0000-0000-000073300000}"/>
    <cellStyle name="Normal 139 3 2 3 2 2" xfId="12404" xr:uid="{00000000-0005-0000-0000-000074300000}"/>
    <cellStyle name="Normal 139 3 2 3 3" xfId="12405" xr:uid="{00000000-0005-0000-0000-000075300000}"/>
    <cellStyle name="Normal 139 3 2 4" xfId="12406" xr:uid="{00000000-0005-0000-0000-000076300000}"/>
    <cellStyle name="Normal 139 3 3" xfId="12407" xr:uid="{00000000-0005-0000-0000-000077300000}"/>
    <cellStyle name="Normal 139 3 3 2" xfId="12408" xr:uid="{00000000-0005-0000-0000-000078300000}"/>
    <cellStyle name="Normal 139 3 3 2 2" xfId="12409" xr:uid="{00000000-0005-0000-0000-000079300000}"/>
    <cellStyle name="Normal 139 3 3 3" xfId="12410" xr:uid="{00000000-0005-0000-0000-00007A300000}"/>
    <cellStyle name="Normal 139 3 4" xfId="12411" xr:uid="{00000000-0005-0000-0000-00007B300000}"/>
    <cellStyle name="Normal 139 3 4 2" xfId="12412" xr:uid="{00000000-0005-0000-0000-00007C300000}"/>
    <cellStyle name="Normal 139 3 4 2 2" xfId="12413" xr:uid="{00000000-0005-0000-0000-00007D300000}"/>
    <cellStyle name="Normal 139 3 4 3" xfId="12414" xr:uid="{00000000-0005-0000-0000-00007E300000}"/>
    <cellStyle name="Normal 139 3 5" xfId="12415" xr:uid="{00000000-0005-0000-0000-00007F300000}"/>
    <cellStyle name="Normal 139 3 5 2" xfId="12416" xr:uid="{00000000-0005-0000-0000-000080300000}"/>
    <cellStyle name="Normal 139 3 5 2 2" xfId="12417" xr:uid="{00000000-0005-0000-0000-000081300000}"/>
    <cellStyle name="Normal 139 3 5 3" xfId="12418" xr:uid="{00000000-0005-0000-0000-000082300000}"/>
    <cellStyle name="Normal 139 3 6" xfId="12419" xr:uid="{00000000-0005-0000-0000-000083300000}"/>
    <cellStyle name="Normal 139 4" xfId="12420" xr:uid="{00000000-0005-0000-0000-000084300000}"/>
    <cellStyle name="Normal 139 4 2" xfId="12421" xr:uid="{00000000-0005-0000-0000-000085300000}"/>
    <cellStyle name="Normal 139 4 2 2" xfId="12422" xr:uid="{00000000-0005-0000-0000-000086300000}"/>
    <cellStyle name="Normal 139 4 3" xfId="12423" xr:uid="{00000000-0005-0000-0000-000087300000}"/>
    <cellStyle name="Normal 139 5" xfId="12424" xr:uid="{00000000-0005-0000-0000-000088300000}"/>
    <cellStyle name="Normal 139 5 2" xfId="12425" xr:uid="{00000000-0005-0000-0000-000089300000}"/>
    <cellStyle name="Normal 139 5 2 2" xfId="12426" xr:uid="{00000000-0005-0000-0000-00008A300000}"/>
    <cellStyle name="Normal 139 5 3" xfId="12427" xr:uid="{00000000-0005-0000-0000-00008B300000}"/>
    <cellStyle name="Normal 139 6" xfId="12428" xr:uid="{00000000-0005-0000-0000-00008C300000}"/>
    <cellStyle name="Normal 139 6 2" xfId="12429" xr:uid="{00000000-0005-0000-0000-00008D300000}"/>
    <cellStyle name="Normal 139 6 2 2" xfId="12430" xr:uid="{00000000-0005-0000-0000-00008E300000}"/>
    <cellStyle name="Normal 139 6 3" xfId="12431" xr:uid="{00000000-0005-0000-0000-00008F300000}"/>
    <cellStyle name="Normal 139 7" xfId="12432" xr:uid="{00000000-0005-0000-0000-000090300000}"/>
    <cellStyle name="Normal 14" xfId="62" xr:uid="{00000000-0005-0000-0000-00003E000000}"/>
    <cellStyle name="Normal 14 2" xfId="12433" xr:uid="{00000000-0005-0000-0000-000091300000}"/>
    <cellStyle name="Normal 14 2 2" xfId="12434" xr:uid="{00000000-0005-0000-0000-000092300000}"/>
    <cellStyle name="Normal 14 2 2 2" xfId="12435" xr:uid="{00000000-0005-0000-0000-000093300000}"/>
    <cellStyle name="Normal 14 2 2 2 2" xfId="12436" xr:uid="{00000000-0005-0000-0000-000094300000}"/>
    <cellStyle name="Normal 14 2 2 3" xfId="12437" xr:uid="{00000000-0005-0000-0000-000095300000}"/>
    <cellStyle name="Normal 14 2 2 3 2" xfId="12438" xr:uid="{00000000-0005-0000-0000-000096300000}"/>
    <cellStyle name="Normal 14 2 2 3 2 2" xfId="12439" xr:uid="{00000000-0005-0000-0000-000097300000}"/>
    <cellStyle name="Normal 14 2 2 3 3" xfId="12440" xr:uid="{00000000-0005-0000-0000-000098300000}"/>
    <cellStyle name="Normal 14 2 2 4" xfId="12441" xr:uid="{00000000-0005-0000-0000-000099300000}"/>
    <cellStyle name="Normal 14 2 2 4 2" xfId="12442" xr:uid="{00000000-0005-0000-0000-00009A300000}"/>
    <cellStyle name="Normal 14 2 2 4 2 2" xfId="12443" xr:uid="{00000000-0005-0000-0000-00009B300000}"/>
    <cellStyle name="Normal 14 2 2 4 3" xfId="12444" xr:uid="{00000000-0005-0000-0000-00009C300000}"/>
    <cellStyle name="Normal 14 2 2 5" xfId="12445" xr:uid="{00000000-0005-0000-0000-00009D300000}"/>
    <cellStyle name="Normal 14 2 3" xfId="12446" xr:uid="{00000000-0005-0000-0000-00009E300000}"/>
    <cellStyle name="Normal 14 2 3 2" xfId="12447" xr:uid="{00000000-0005-0000-0000-00009F300000}"/>
    <cellStyle name="Normal 14 2 3 2 2" xfId="12448" xr:uid="{00000000-0005-0000-0000-0000A0300000}"/>
    <cellStyle name="Normal 14 2 3 2 2 2" xfId="12449" xr:uid="{00000000-0005-0000-0000-0000A1300000}"/>
    <cellStyle name="Normal 14 2 3 2 3" xfId="12450" xr:uid="{00000000-0005-0000-0000-0000A2300000}"/>
    <cellStyle name="Normal 14 2 3 2 3 2" xfId="12451" xr:uid="{00000000-0005-0000-0000-0000A3300000}"/>
    <cellStyle name="Normal 14 2 3 2 3 2 2" xfId="12452" xr:uid="{00000000-0005-0000-0000-0000A4300000}"/>
    <cellStyle name="Normal 14 2 3 2 3 3" xfId="12453" xr:uid="{00000000-0005-0000-0000-0000A5300000}"/>
    <cellStyle name="Normal 14 2 3 2 4" xfId="12454" xr:uid="{00000000-0005-0000-0000-0000A6300000}"/>
    <cellStyle name="Normal 14 2 3 3" xfId="12455" xr:uid="{00000000-0005-0000-0000-0000A7300000}"/>
    <cellStyle name="Normal 14 2 3 3 2" xfId="12456" xr:uid="{00000000-0005-0000-0000-0000A8300000}"/>
    <cellStyle name="Normal 14 2 3 3 2 2" xfId="12457" xr:uid="{00000000-0005-0000-0000-0000A9300000}"/>
    <cellStyle name="Normal 14 2 3 3 3" xfId="12458" xr:uid="{00000000-0005-0000-0000-0000AA300000}"/>
    <cellStyle name="Normal 14 2 3 4" xfId="12459" xr:uid="{00000000-0005-0000-0000-0000AB300000}"/>
    <cellStyle name="Normal 14 2 3 4 2" xfId="12460" xr:uid="{00000000-0005-0000-0000-0000AC300000}"/>
    <cellStyle name="Normal 14 2 3 4 2 2" xfId="12461" xr:uid="{00000000-0005-0000-0000-0000AD300000}"/>
    <cellStyle name="Normal 14 2 3 4 3" xfId="12462" xr:uid="{00000000-0005-0000-0000-0000AE300000}"/>
    <cellStyle name="Normal 14 2 3 5" xfId="12463" xr:uid="{00000000-0005-0000-0000-0000AF300000}"/>
    <cellStyle name="Normal 14 2 3 5 2" xfId="12464" xr:uid="{00000000-0005-0000-0000-0000B0300000}"/>
    <cellStyle name="Normal 14 2 3 5 2 2" xfId="12465" xr:uid="{00000000-0005-0000-0000-0000B1300000}"/>
    <cellStyle name="Normal 14 2 3 5 3" xfId="12466" xr:uid="{00000000-0005-0000-0000-0000B2300000}"/>
    <cellStyle name="Normal 14 2 3 6" xfId="12467" xr:uid="{00000000-0005-0000-0000-0000B3300000}"/>
    <cellStyle name="Normal 14 2 4" xfId="12468" xr:uid="{00000000-0005-0000-0000-0000B4300000}"/>
    <cellStyle name="Normal 14 3" xfId="12469" xr:uid="{00000000-0005-0000-0000-0000B5300000}"/>
    <cellStyle name="Normal 14 3 2" xfId="12470" xr:uid="{00000000-0005-0000-0000-0000B6300000}"/>
    <cellStyle name="Normal 14 3 2 2" xfId="12471" xr:uid="{00000000-0005-0000-0000-0000B7300000}"/>
    <cellStyle name="Normal 14 3 2 2 2" xfId="12472" xr:uid="{00000000-0005-0000-0000-0000B8300000}"/>
    <cellStyle name="Normal 14 3 2 3" xfId="12473" xr:uid="{00000000-0005-0000-0000-0000B9300000}"/>
    <cellStyle name="Normal 14 3 2 3 2" xfId="12474" xr:uid="{00000000-0005-0000-0000-0000BA300000}"/>
    <cellStyle name="Normal 14 3 2 3 2 2" xfId="12475" xr:uid="{00000000-0005-0000-0000-0000BB300000}"/>
    <cellStyle name="Normal 14 3 2 3 3" xfId="12476" xr:uid="{00000000-0005-0000-0000-0000BC300000}"/>
    <cellStyle name="Normal 14 3 2 4" xfId="12477" xr:uid="{00000000-0005-0000-0000-0000BD300000}"/>
    <cellStyle name="Normal 14 3 2 4 2" xfId="12478" xr:uid="{00000000-0005-0000-0000-0000BE300000}"/>
    <cellStyle name="Normal 14 3 2 4 2 2" xfId="12479" xr:uid="{00000000-0005-0000-0000-0000BF300000}"/>
    <cellStyle name="Normal 14 3 2 4 3" xfId="12480" xr:uid="{00000000-0005-0000-0000-0000C0300000}"/>
    <cellStyle name="Normal 14 3 2 5" xfId="12481" xr:uid="{00000000-0005-0000-0000-0000C1300000}"/>
    <cellStyle name="Normal 14 3 3" xfId="12482" xr:uid="{00000000-0005-0000-0000-0000C2300000}"/>
    <cellStyle name="Normal 14 3 3 2" xfId="12483" xr:uid="{00000000-0005-0000-0000-0000C3300000}"/>
    <cellStyle name="Normal 14 3 3 2 2" xfId="12484" xr:uid="{00000000-0005-0000-0000-0000C4300000}"/>
    <cellStyle name="Normal 14 3 3 3" xfId="12485" xr:uid="{00000000-0005-0000-0000-0000C5300000}"/>
    <cellStyle name="Normal 14 3 4" xfId="12486" xr:uid="{00000000-0005-0000-0000-0000C6300000}"/>
    <cellStyle name="Normal 14 3 4 2" xfId="12487" xr:uid="{00000000-0005-0000-0000-0000C7300000}"/>
    <cellStyle name="Normal 14 3 4 2 2" xfId="12488" xr:uid="{00000000-0005-0000-0000-0000C8300000}"/>
    <cellStyle name="Normal 14 3 4 3" xfId="12489" xr:uid="{00000000-0005-0000-0000-0000C9300000}"/>
    <cellStyle name="Normal 14 3 5" xfId="12490" xr:uid="{00000000-0005-0000-0000-0000CA300000}"/>
    <cellStyle name="Normal 14 3 5 2" xfId="12491" xr:uid="{00000000-0005-0000-0000-0000CB300000}"/>
    <cellStyle name="Normal 14 3 5 2 2" xfId="12492" xr:uid="{00000000-0005-0000-0000-0000CC300000}"/>
    <cellStyle name="Normal 14 3 5 3" xfId="12493" xr:uid="{00000000-0005-0000-0000-0000CD300000}"/>
    <cellStyle name="Normal 14 3 6" xfId="12494" xr:uid="{00000000-0005-0000-0000-0000CE300000}"/>
    <cellStyle name="Normal 14 4" xfId="12495" xr:uid="{00000000-0005-0000-0000-0000CF300000}"/>
    <cellStyle name="Normal 14 4 2" xfId="12496" xr:uid="{00000000-0005-0000-0000-0000D0300000}"/>
    <cellStyle name="Normal 14 4 2 2" xfId="12497" xr:uid="{00000000-0005-0000-0000-0000D1300000}"/>
    <cellStyle name="Normal 14 4 3" xfId="12498" xr:uid="{00000000-0005-0000-0000-0000D2300000}"/>
    <cellStyle name="Normal 14 4 3 2" xfId="12499" xr:uid="{00000000-0005-0000-0000-0000D3300000}"/>
    <cellStyle name="Normal 14 4 3 2 2" xfId="12500" xr:uid="{00000000-0005-0000-0000-0000D4300000}"/>
    <cellStyle name="Normal 14 4 3 3" xfId="12501" xr:uid="{00000000-0005-0000-0000-0000D5300000}"/>
    <cellStyle name="Normal 14 4 4" xfId="12502" xr:uid="{00000000-0005-0000-0000-0000D6300000}"/>
    <cellStyle name="Normal 14 4 4 2" xfId="12503" xr:uid="{00000000-0005-0000-0000-0000D7300000}"/>
    <cellStyle name="Normal 14 4 4 2 2" xfId="12504" xr:uid="{00000000-0005-0000-0000-0000D8300000}"/>
    <cellStyle name="Normal 14 4 4 3" xfId="12505" xr:uid="{00000000-0005-0000-0000-0000D9300000}"/>
    <cellStyle name="Normal 14 4 5" xfId="12506" xr:uid="{00000000-0005-0000-0000-0000DA300000}"/>
    <cellStyle name="Normal 14 5" xfId="12507" xr:uid="{00000000-0005-0000-0000-0000DB300000}"/>
    <cellStyle name="Normal 14 5 2" xfId="12508" xr:uid="{00000000-0005-0000-0000-0000DC300000}"/>
    <cellStyle name="Normal 14 5 2 2" xfId="12509" xr:uid="{00000000-0005-0000-0000-0000DD300000}"/>
    <cellStyle name="Normal 14 5 2 2 2" xfId="12510" xr:uid="{00000000-0005-0000-0000-0000DE300000}"/>
    <cellStyle name="Normal 14 5 2 3" xfId="12511" xr:uid="{00000000-0005-0000-0000-0000DF300000}"/>
    <cellStyle name="Normal 14 5 2 3 2" xfId="12512" xr:uid="{00000000-0005-0000-0000-0000E0300000}"/>
    <cellStyle name="Normal 14 5 2 3 2 2" xfId="12513" xr:uid="{00000000-0005-0000-0000-0000E1300000}"/>
    <cellStyle name="Normal 14 5 2 3 3" xfId="12514" xr:uid="{00000000-0005-0000-0000-0000E2300000}"/>
    <cellStyle name="Normal 14 5 2 4" xfId="12515" xr:uid="{00000000-0005-0000-0000-0000E3300000}"/>
    <cellStyle name="Normal 14 5 3" xfId="12516" xr:uid="{00000000-0005-0000-0000-0000E4300000}"/>
    <cellStyle name="Normal 14 5 3 2" xfId="12517" xr:uid="{00000000-0005-0000-0000-0000E5300000}"/>
    <cellStyle name="Normal 14 5 3 2 2" xfId="12518" xr:uid="{00000000-0005-0000-0000-0000E6300000}"/>
    <cellStyle name="Normal 14 5 3 3" xfId="12519" xr:uid="{00000000-0005-0000-0000-0000E7300000}"/>
    <cellStyle name="Normal 14 5 4" xfId="12520" xr:uid="{00000000-0005-0000-0000-0000E8300000}"/>
    <cellStyle name="Normal 14 5 4 2" xfId="12521" xr:uid="{00000000-0005-0000-0000-0000E9300000}"/>
    <cellStyle name="Normal 14 5 4 2 2" xfId="12522" xr:uid="{00000000-0005-0000-0000-0000EA300000}"/>
    <cellStyle name="Normal 14 5 4 3" xfId="12523" xr:uid="{00000000-0005-0000-0000-0000EB300000}"/>
    <cellStyle name="Normal 14 5 5" xfId="12524" xr:uid="{00000000-0005-0000-0000-0000EC300000}"/>
    <cellStyle name="Normal 14 5 5 2" xfId="12525" xr:uid="{00000000-0005-0000-0000-0000ED300000}"/>
    <cellStyle name="Normal 14 5 5 2 2" xfId="12526" xr:uid="{00000000-0005-0000-0000-0000EE300000}"/>
    <cellStyle name="Normal 14 5 5 3" xfId="12527" xr:uid="{00000000-0005-0000-0000-0000EF300000}"/>
    <cellStyle name="Normal 14 5 6" xfId="12528" xr:uid="{00000000-0005-0000-0000-0000F0300000}"/>
    <cellStyle name="Normal 14 6" xfId="12529" xr:uid="{00000000-0005-0000-0000-0000F1300000}"/>
    <cellStyle name="Normal 14 6 2" xfId="12530" xr:uid="{00000000-0005-0000-0000-0000F2300000}"/>
    <cellStyle name="Normal 14 6 2 2" xfId="12531" xr:uid="{00000000-0005-0000-0000-0000F3300000}"/>
    <cellStyle name="Normal 14 6 2 2 2" xfId="12532" xr:uid="{00000000-0005-0000-0000-0000F4300000}"/>
    <cellStyle name="Normal 14 6 2 3" xfId="12533" xr:uid="{00000000-0005-0000-0000-0000F5300000}"/>
    <cellStyle name="Normal 14 6 2 3 2" xfId="12534" xr:uid="{00000000-0005-0000-0000-0000F6300000}"/>
    <cellStyle name="Normal 14 6 2 3 2 2" xfId="12535" xr:uid="{00000000-0005-0000-0000-0000F7300000}"/>
    <cellStyle name="Normal 14 6 2 3 3" xfId="12536" xr:uid="{00000000-0005-0000-0000-0000F8300000}"/>
    <cellStyle name="Normal 14 6 2 4" xfId="12537" xr:uid="{00000000-0005-0000-0000-0000F9300000}"/>
    <cellStyle name="Normal 14 6 3" xfId="12538" xr:uid="{00000000-0005-0000-0000-0000FA300000}"/>
    <cellStyle name="Normal 14 6 3 2" xfId="12539" xr:uid="{00000000-0005-0000-0000-0000FB300000}"/>
    <cellStyle name="Normal 14 6 3 2 2" xfId="12540" xr:uid="{00000000-0005-0000-0000-0000FC300000}"/>
    <cellStyle name="Normal 14 6 3 3" xfId="12541" xr:uid="{00000000-0005-0000-0000-0000FD300000}"/>
    <cellStyle name="Normal 14 6 4" xfId="12542" xr:uid="{00000000-0005-0000-0000-0000FE300000}"/>
    <cellStyle name="Normal 14 6 4 2" xfId="12543" xr:uid="{00000000-0005-0000-0000-0000FF300000}"/>
    <cellStyle name="Normal 14 6 4 2 2" xfId="12544" xr:uid="{00000000-0005-0000-0000-000000310000}"/>
    <cellStyle name="Normal 14 6 4 3" xfId="12545" xr:uid="{00000000-0005-0000-0000-000001310000}"/>
    <cellStyle name="Normal 14 6 5" xfId="12546" xr:uid="{00000000-0005-0000-0000-000002310000}"/>
    <cellStyle name="Normal 14 7" xfId="12547" xr:uid="{00000000-0005-0000-0000-000003310000}"/>
    <cellStyle name="Normal 14 7 2" xfId="12548" xr:uid="{00000000-0005-0000-0000-000004310000}"/>
    <cellStyle name="Normal 14 8" xfId="12549" xr:uid="{00000000-0005-0000-0000-000005310000}"/>
    <cellStyle name="Normal 14 9" xfId="12550" xr:uid="{00000000-0005-0000-0000-000006310000}"/>
    <cellStyle name="Normal 140" xfId="12551" xr:uid="{00000000-0005-0000-0000-000007310000}"/>
    <cellStyle name="Normal 140 2" xfId="12552" xr:uid="{00000000-0005-0000-0000-000008310000}"/>
    <cellStyle name="Normal 140 2 2" xfId="12553" xr:uid="{00000000-0005-0000-0000-000009310000}"/>
    <cellStyle name="Normal 140 2 2 2" xfId="12554" xr:uid="{00000000-0005-0000-0000-00000A310000}"/>
    <cellStyle name="Normal 140 2 3" xfId="12555" xr:uid="{00000000-0005-0000-0000-00000B310000}"/>
    <cellStyle name="Normal 140 2 3 2" xfId="12556" xr:uid="{00000000-0005-0000-0000-00000C310000}"/>
    <cellStyle name="Normal 140 2 3 2 2" xfId="12557" xr:uid="{00000000-0005-0000-0000-00000D310000}"/>
    <cellStyle name="Normal 140 2 3 3" xfId="12558" xr:uid="{00000000-0005-0000-0000-00000E310000}"/>
    <cellStyle name="Normal 140 2 4" xfId="12559" xr:uid="{00000000-0005-0000-0000-00000F310000}"/>
    <cellStyle name="Normal 140 2 4 2" xfId="12560" xr:uid="{00000000-0005-0000-0000-000010310000}"/>
    <cellStyle name="Normal 140 2 4 2 2" xfId="12561" xr:uid="{00000000-0005-0000-0000-000011310000}"/>
    <cellStyle name="Normal 140 2 4 3" xfId="12562" xr:uid="{00000000-0005-0000-0000-000012310000}"/>
    <cellStyle name="Normal 140 2 5" xfId="12563" xr:uid="{00000000-0005-0000-0000-000013310000}"/>
    <cellStyle name="Normal 140 3" xfId="12564" xr:uid="{00000000-0005-0000-0000-000014310000}"/>
    <cellStyle name="Normal 140 3 2" xfId="12565" xr:uid="{00000000-0005-0000-0000-000015310000}"/>
    <cellStyle name="Normal 140 3 2 2" xfId="12566" xr:uid="{00000000-0005-0000-0000-000016310000}"/>
    <cellStyle name="Normal 140 3 2 2 2" xfId="12567" xr:uid="{00000000-0005-0000-0000-000017310000}"/>
    <cellStyle name="Normal 140 3 2 3" xfId="12568" xr:uid="{00000000-0005-0000-0000-000018310000}"/>
    <cellStyle name="Normal 140 3 2 3 2" xfId="12569" xr:uid="{00000000-0005-0000-0000-000019310000}"/>
    <cellStyle name="Normal 140 3 2 3 2 2" xfId="12570" xr:uid="{00000000-0005-0000-0000-00001A310000}"/>
    <cellStyle name="Normal 140 3 2 3 3" xfId="12571" xr:uid="{00000000-0005-0000-0000-00001B310000}"/>
    <cellStyle name="Normal 140 3 2 4" xfId="12572" xr:uid="{00000000-0005-0000-0000-00001C310000}"/>
    <cellStyle name="Normal 140 3 3" xfId="12573" xr:uid="{00000000-0005-0000-0000-00001D310000}"/>
    <cellStyle name="Normal 140 3 3 2" xfId="12574" xr:uid="{00000000-0005-0000-0000-00001E310000}"/>
    <cellStyle name="Normal 140 3 3 2 2" xfId="12575" xr:uid="{00000000-0005-0000-0000-00001F310000}"/>
    <cellStyle name="Normal 140 3 3 3" xfId="12576" xr:uid="{00000000-0005-0000-0000-000020310000}"/>
    <cellStyle name="Normal 140 3 4" xfId="12577" xr:uid="{00000000-0005-0000-0000-000021310000}"/>
    <cellStyle name="Normal 140 3 4 2" xfId="12578" xr:uid="{00000000-0005-0000-0000-000022310000}"/>
    <cellStyle name="Normal 140 3 4 2 2" xfId="12579" xr:uid="{00000000-0005-0000-0000-000023310000}"/>
    <cellStyle name="Normal 140 3 4 3" xfId="12580" xr:uid="{00000000-0005-0000-0000-000024310000}"/>
    <cellStyle name="Normal 140 3 5" xfId="12581" xr:uid="{00000000-0005-0000-0000-000025310000}"/>
    <cellStyle name="Normal 140 3 5 2" xfId="12582" xr:uid="{00000000-0005-0000-0000-000026310000}"/>
    <cellStyle name="Normal 140 3 5 2 2" xfId="12583" xr:uid="{00000000-0005-0000-0000-000027310000}"/>
    <cellStyle name="Normal 140 3 5 3" xfId="12584" xr:uid="{00000000-0005-0000-0000-000028310000}"/>
    <cellStyle name="Normal 140 3 6" xfId="12585" xr:uid="{00000000-0005-0000-0000-000029310000}"/>
    <cellStyle name="Normal 140 4" xfId="12586" xr:uid="{00000000-0005-0000-0000-00002A310000}"/>
    <cellStyle name="Normal 140 4 2" xfId="12587" xr:uid="{00000000-0005-0000-0000-00002B310000}"/>
    <cellStyle name="Normal 140 4 2 2" xfId="12588" xr:uid="{00000000-0005-0000-0000-00002C310000}"/>
    <cellStyle name="Normal 140 4 3" xfId="12589" xr:uid="{00000000-0005-0000-0000-00002D310000}"/>
    <cellStyle name="Normal 140 5" xfId="12590" xr:uid="{00000000-0005-0000-0000-00002E310000}"/>
    <cellStyle name="Normal 140 5 2" xfId="12591" xr:uid="{00000000-0005-0000-0000-00002F310000}"/>
    <cellStyle name="Normal 140 5 2 2" xfId="12592" xr:uid="{00000000-0005-0000-0000-000030310000}"/>
    <cellStyle name="Normal 140 5 3" xfId="12593" xr:uid="{00000000-0005-0000-0000-000031310000}"/>
    <cellStyle name="Normal 140 6" xfId="12594" xr:uid="{00000000-0005-0000-0000-000032310000}"/>
    <cellStyle name="Normal 140 6 2" xfId="12595" xr:uid="{00000000-0005-0000-0000-000033310000}"/>
    <cellStyle name="Normal 140 6 2 2" xfId="12596" xr:uid="{00000000-0005-0000-0000-000034310000}"/>
    <cellStyle name="Normal 140 6 3" xfId="12597" xr:uid="{00000000-0005-0000-0000-000035310000}"/>
    <cellStyle name="Normal 140 7" xfId="12598" xr:uid="{00000000-0005-0000-0000-000036310000}"/>
    <cellStyle name="Normal 141" xfId="12599" xr:uid="{00000000-0005-0000-0000-000037310000}"/>
    <cellStyle name="Normal 141 2" xfId="12600" xr:uid="{00000000-0005-0000-0000-000038310000}"/>
    <cellStyle name="Normal 141 2 2" xfId="12601" xr:uid="{00000000-0005-0000-0000-000039310000}"/>
    <cellStyle name="Normal 141 2 2 2" xfId="12602" xr:uid="{00000000-0005-0000-0000-00003A310000}"/>
    <cellStyle name="Normal 141 2 3" xfId="12603" xr:uid="{00000000-0005-0000-0000-00003B310000}"/>
    <cellStyle name="Normal 141 2 3 2" xfId="12604" xr:uid="{00000000-0005-0000-0000-00003C310000}"/>
    <cellStyle name="Normal 141 2 3 2 2" xfId="12605" xr:uid="{00000000-0005-0000-0000-00003D310000}"/>
    <cellStyle name="Normal 141 2 3 3" xfId="12606" xr:uid="{00000000-0005-0000-0000-00003E310000}"/>
    <cellStyle name="Normal 141 2 4" xfId="12607" xr:uid="{00000000-0005-0000-0000-00003F310000}"/>
    <cellStyle name="Normal 141 2 4 2" xfId="12608" xr:uid="{00000000-0005-0000-0000-000040310000}"/>
    <cellStyle name="Normal 141 2 4 2 2" xfId="12609" xr:uid="{00000000-0005-0000-0000-000041310000}"/>
    <cellStyle name="Normal 141 2 4 3" xfId="12610" xr:uid="{00000000-0005-0000-0000-000042310000}"/>
    <cellStyle name="Normal 141 2 5" xfId="12611" xr:uid="{00000000-0005-0000-0000-000043310000}"/>
    <cellStyle name="Normal 141 3" xfId="12612" xr:uid="{00000000-0005-0000-0000-000044310000}"/>
    <cellStyle name="Normal 141 3 2" xfId="12613" xr:uid="{00000000-0005-0000-0000-000045310000}"/>
    <cellStyle name="Normal 141 3 2 2" xfId="12614" xr:uid="{00000000-0005-0000-0000-000046310000}"/>
    <cellStyle name="Normal 141 3 2 2 2" xfId="12615" xr:uid="{00000000-0005-0000-0000-000047310000}"/>
    <cellStyle name="Normal 141 3 2 3" xfId="12616" xr:uid="{00000000-0005-0000-0000-000048310000}"/>
    <cellStyle name="Normal 141 3 2 3 2" xfId="12617" xr:uid="{00000000-0005-0000-0000-000049310000}"/>
    <cellStyle name="Normal 141 3 2 3 2 2" xfId="12618" xr:uid="{00000000-0005-0000-0000-00004A310000}"/>
    <cellStyle name="Normal 141 3 2 3 3" xfId="12619" xr:uid="{00000000-0005-0000-0000-00004B310000}"/>
    <cellStyle name="Normal 141 3 2 4" xfId="12620" xr:uid="{00000000-0005-0000-0000-00004C310000}"/>
    <cellStyle name="Normal 141 3 3" xfId="12621" xr:uid="{00000000-0005-0000-0000-00004D310000}"/>
    <cellStyle name="Normal 141 3 3 2" xfId="12622" xr:uid="{00000000-0005-0000-0000-00004E310000}"/>
    <cellStyle name="Normal 141 3 3 2 2" xfId="12623" xr:uid="{00000000-0005-0000-0000-00004F310000}"/>
    <cellStyle name="Normal 141 3 3 3" xfId="12624" xr:uid="{00000000-0005-0000-0000-000050310000}"/>
    <cellStyle name="Normal 141 3 4" xfId="12625" xr:uid="{00000000-0005-0000-0000-000051310000}"/>
    <cellStyle name="Normal 141 3 4 2" xfId="12626" xr:uid="{00000000-0005-0000-0000-000052310000}"/>
    <cellStyle name="Normal 141 3 4 2 2" xfId="12627" xr:uid="{00000000-0005-0000-0000-000053310000}"/>
    <cellStyle name="Normal 141 3 4 3" xfId="12628" xr:uid="{00000000-0005-0000-0000-000054310000}"/>
    <cellStyle name="Normal 141 3 5" xfId="12629" xr:uid="{00000000-0005-0000-0000-000055310000}"/>
    <cellStyle name="Normal 141 3 5 2" xfId="12630" xr:uid="{00000000-0005-0000-0000-000056310000}"/>
    <cellStyle name="Normal 141 3 5 2 2" xfId="12631" xr:uid="{00000000-0005-0000-0000-000057310000}"/>
    <cellStyle name="Normal 141 3 5 3" xfId="12632" xr:uid="{00000000-0005-0000-0000-000058310000}"/>
    <cellStyle name="Normal 141 3 6" xfId="12633" xr:uid="{00000000-0005-0000-0000-000059310000}"/>
    <cellStyle name="Normal 141 4" xfId="12634" xr:uid="{00000000-0005-0000-0000-00005A310000}"/>
    <cellStyle name="Normal 141 4 2" xfId="12635" xr:uid="{00000000-0005-0000-0000-00005B310000}"/>
    <cellStyle name="Normal 141 4 2 2" xfId="12636" xr:uid="{00000000-0005-0000-0000-00005C310000}"/>
    <cellStyle name="Normal 141 4 3" xfId="12637" xr:uid="{00000000-0005-0000-0000-00005D310000}"/>
    <cellStyle name="Normal 141 5" xfId="12638" xr:uid="{00000000-0005-0000-0000-00005E310000}"/>
    <cellStyle name="Normal 141 5 2" xfId="12639" xr:uid="{00000000-0005-0000-0000-00005F310000}"/>
    <cellStyle name="Normal 141 5 2 2" xfId="12640" xr:uid="{00000000-0005-0000-0000-000060310000}"/>
    <cellStyle name="Normal 141 5 3" xfId="12641" xr:uid="{00000000-0005-0000-0000-000061310000}"/>
    <cellStyle name="Normal 141 6" xfId="12642" xr:uid="{00000000-0005-0000-0000-000062310000}"/>
    <cellStyle name="Normal 141 6 2" xfId="12643" xr:uid="{00000000-0005-0000-0000-000063310000}"/>
    <cellStyle name="Normal 141 6 2 2" xfId="12644" xr:uid="{00000000-0005-0000-0000-000064310000}"/>
    <cellStyle name="Normal 141 6 3" xfId="12645" xr:uid="{00000000-0005-0000-0000-000065310000}"/>
    <cellStyle name="Normal 141 7" xfId="12646" xr:uid="{00000000-0005-0000-0000-000066310000}"/>
    <cellStyle name="Normal 142" xfId="12647" xr:uid="{00000000-0005-0000-0000-000067310000}"/>
    <cellStyle name="Normal 142 2" xfId="12648" xr:uid="{00000000-0005-0000-0000-000068310000}"/>
    <cellStyle name="Normal 142 2 2" xfId="12649" xr:uid="{00000000-0005-0000-0000-000069310000}"/>
    <cellStyle name="Normal 142 2 2 2" xfId="12650" xr:uid="{00000000-0005-0000-0000-00006A310000}"/>
    <cellStyle name="Normal 142 2 3" xfId="12651" xr:uid="{00000000-0005-0000-0000-00006B310000}"/>
    <cellStyle name="Normal 142 2 3 2" xfId="12652" xr:uid="{00000000-0005-0000-0000-00006C310000}"/>
    <cellStyle name="Normal 142 2 3 2 2" xfId="12653" xr:uid="{00000000-0005-0000-0000-00006D310000}"/>
    <cellStyle name="Normal 142 2 3 3" xfId="12654" xr:uid="{00000000-0005-0000-0000-00006E310000}"/>
    <cellStyle name="Normal 142 2 4" xfId="12655" xr:uid="{00000000-0005-0000-0000-00006F310000}"/>
    <cellStyle name="Normal 142 2 4 2" xfId="12656" xr:uid="{00000000-0005-0000-0000-000070310000}"/>
    <cellStyle name="Normal 142 2 4 2 2" xfId="12657" xr:uid="{00000000-0005-0000-0000-000071310000}"/>
    <cellStyle name="Normal 142 2 4 3" xfId="12658" xr:uid="{00000000-0005-0000-0000-000072310000}"/>
    <cellStyle name="Normal 142 2 5" xfId="12659" xr:uid="{00000000-0005-0000-0000-000073310000}"/>
    <cellStyle name="Normal 142 3" xfId="12660" xr:uid="{00000000-0005-0000-0000-000074310000}"/>
    <cellStyle name="Normal 142 3 2" xfId="12661" xr:uid="{00000000-0005-0000-0000-000075310000}"/>
    <cellStyle name="Normal 142 3 2 2" xfId="12662" xr:uid="{00000000-0005-0000-0000-000076310000}"/>
    <cellStyle name="Normal 142 3 2 2 2" xfId="12663" xr:uid="{00000000-0005-0000-0000-000077310000}"/>
    <cellStyle name="Normal 142 3 2 3" xfId="12664" xr:uid="{00000000-0005-0000-0000-000078310000}"/>
    <cellStyle name="Normal 142 3 2 3 2" xfId="12665" xr:uid="{00000000-0005-0000-0000-000079310000}"/>
    <cellStyle name="Normal 142 3 2 3 2 2" xfId="12666" xr:uid="{00000000-0005-0000-0000-00007A310000}"/>
    <cellStyle name="Normal 142 3 2 3 3" xfId="12667" xr:uid="{00000000-0005-0000-0000-00007B310000}"/>
    <cellStyle name="Normal 142 3 2 4" xfId="12668" xr:uid="{00000000-0005-0000-0000-00007C310000}"/>
    <cellStyle name="Normal 142 3 3" xfId="12669" xr:uid="{00000000-0005-0000-0000-00007D310000}"/>
    <cellStyle name="Normal 142 3 3 2" xfId="12670" xr:uid="{00000000-0005-0000-0000-00007E310000}"/>
    <cellStyle name="Normal 142 3 3 2 2" xfId="12671" xr:uid="{00000000-0005-0000-0000-00007F310000}"/>
    <cellStyle name="Normal 142 3 3 3" xfId="12672" xr:uid="{00000000-0005-0000-0000-000080310000}"/>
    <cellStyle name="Normal 142 3 4" xfId="12673" xr:uid="{00000000-0005-0000-0000-000081310000}"/>
    <cellStyle name="Normal 142 3 4 2" xfId="12674" xr:uid="{00000000-0005-0000-0000-000082310000}"/>
    <cellStyle name="Normal 142 3 4 2 2" xfId="12675" xr:uid="{00000000-0005-0000-0000-000083310000}"/>
    <cellStyle name="Normal 142 3 4 3" xfId="12676" xr:uid="{00000000-0005-0000-0000-000084310000}"/>
    <cellStyle name="Normal 142 3 5" xfId="12677" xr:uid="{00000000-0005-0000-0000-000085310000}"/>
    <cellStyle name="Normal 142 3 5 2" xfId="12678" xr:uid="{00000000-0005-0000-0000-000086310000}"/>
    <cellStyle name="Normal 142 3 5 2 2" xfId="12679" xr:uid="{00000000-0005-0000-0000-000087310000}"/>
    <cellStyle name="Normal 142 3 5 3" xfId="12680" xr:uid="{00000000-0005-0000-0000-000088310000}"/>
    <cellStyle name="Normal 142 3 6" xfId="12681" xr:uid="{00000000-0005-0000-0000-000089310000}"/>
    <cellStyle name="Normal 142 4" xfId="12682" xr:uid="{00000000-0005-0000-0000-00008A310000}"/>
    <cellStyle name="Normal 142 4 2" xfId="12683" xr:uid="{00000000-0005-0000-0000-00008B310000}"/>
    <cellStyle name="Normal 142 4 2 2" xfId="12684" xr:uid="{00000000-0005-0000-0000-00008C310000}"/>
    <cellStyle name="Normal 142 4 3" xfId="12685" xr:uid="{00000000-0005-0000-0000-00008D310000}"/>
    <cellStyle name="Normal 142 5" xfId="12686" xr:uid="{00000000-0005-0000-0000-00008E310000}"/>
    <cellStyle name="Normal 142 5 2" xfId="12687" xr:uid="{00000000-0005-0000-0000-00008F310000}"/>
    <cellStyle name="Normal 142 5 2 2" xfId="12688" xr:uid="{00000000-0005-0000-0000-000090310000}"/>
    <cellStyle name="Normal 142 5 3" xfId="12689" xr:uid="{00000000-0005-0000-0000-000091310000}"/>
    <cellStyle name="Normal 142 6" xfId="12690" xr:uid="{00000000-0005-0000-0000-000092310000}"/>
    <cellStyle name="Normal 142 6 2" xfId="12691" xr:uid="{00000000-0005-0000-0000-000093310000}"/>
    <cellStyle name="Normal 142 6 2 2" xfId="12692" xr:uid="{00000000-0005-0000-0000-000094310000}"/>
    <cellStyle name="Normal 142 6 3" xfId="12693" xr:uid="{00000000-0005-0000-0000-000095310000}"/>
    <cellStyle name="Normal 142 7" xfId="12694" xr:uid="{00000000-0005-0000-0000-000096310000}"/>
    <cellStyle name="Normal 143" xfId="12695" xr:uid="{00000000-0005-0000-0000-000097310000}"/>
    <cellStyle name="Normal 143 2" xfId="12696" xr:uid="{00000000-0005-0000-0000-000098310000}"/>
    <cellStyle name="Normal 143 2 2" xfId="12697" xr:uid="{00000000-0005-0000-0000-000099310000}"/>
    <cellStyle name="Normal 143 2 2 2" xfId="12698" xr:uid="{00000000-0005-0000-0000-00009A310000}"/>
    <cellStyle name="Normal 143 2 3" xfId="12699" xr:uid="{00000000-0005-0000-0000-00009B310000}"/>
    <cellStyle name="Normal 143 2 3 2" xfId="12700" xr:uid="{00000000-0005-0000-0000-00009C310000}"/>
    <cellStyle name="Normal 143 2 3 2 2" xfId="12701" xr:uid="{00000000-0005-0000-0000-00009D310000}"/>
    <cellStyle name="Normal 143 2 3 3" xfId="12702" xr:uid="{00000000-0005-0000-0000-00009E310000}"/>
    <cellStyle name="Normal 143 2 4" xfId="12703" xr:uid="{00000000-0005-0000-0000-00009F310000}"/>
    <cellStyle name="Normal 143 2 4 2" xfId="12704" xr:uid="{00000000-0005-0000-0000-0000A0310000}"/>
    <cellStyle name="Normal 143 2 4 2 2" xfId="12705" xr:uid="{00000000-0005-0000-0000-0000A1310000}"/>
    <cellStyle name="Normal 143 2 4 3" xfId="12706" xr:uid="{00000000-0005-0000-0000-0000A2310000}"/>
    <cellStyle name="Normal 143 2 5" xfId="12707" xr:uid="{00000000-0005-0000-0000-0000A3310000}"/>
    <cellStyle name="Normal 143 3" xfId="12708" xr:uid="{00000000-0005-0000-0000-0000A4310000}"/>
    <cellStyle name="Normal 143 3 2" xfId="12709" xr:uid="{00000000-0005-0000-0000-0000A5310000}"/>
    <cellStyle name="Normal 143 3 2 2" xfId="12710" xr:uid="{00000000-0005-0000-0000-0000A6310000}"/>
    <cellStyle name="Normal 143 3 2 2 2" xfId="12711" xr:uid="{00000000-0005-0000-0000-0000A7310000}"/>
    <cellStyle name="Normal 143 3 2 3" xfId="12712" xr:uid="{00000000-0005-0000-0000-0000A8310000}"/>
    <cellStyle name="Normal 143 3 2 3 2" xfId="12713" xr:uid="{00000000-0005-0000-0000-0000A9310000}"/>
    <cellStyle name="Normal 143 3 2 3 2 2" xfId="12714" xr:uid="{00000000-0005-0000-0000-0000AA310000}"/>
    <cellStyle name="Normal 143 3 2 3 3" xfId="12715" xr:uid="{00000000-0005-0000-0000-0000AB310000}"/>
    <cellStyle name="Normal 143 3 2 4" xfId="12716" xr:uid="{00000000-0005-0000-0000-0000AC310000}"/>
    <cellStyle name="Normal 143 3 3" xfId="12717" xr:uid="{00000000-0005-0000-0000-0000AD310000}"/>
    <cellStyle name="Normal 143 3 3 2" xfId="12718" xr:uid="{00000000-0005-0000-0000-0000AE310000}"/>
    <cellStyle name="Normal 143 3 3 2 2" xfId="12719" xr:uid="{00000000-0005-0000-0000-0000AF310000}"/>
    <cellStyle name="Normal 143 3 3 3" xfId="12720" xr:uid="{00000000-0005-0000-0000-0000B0310000}"/>
    <cellStyle name="Normal 143 3 4" xfId="12721" xr:uid="{00000000-0005-0000-0000-0000B1310000}"/>
    <cellStyle name="Normal 143 3 4 2" xfId="12722" xr:uid="{00000000-0005-0000-0000-0000B2310000}"/>
    <cellStyle name="Normal 143 3 4 2 2" xfId="12723" xr:uid="{00000000-0005-0000-0000-0000B3310000}"/>
    <cellStyle name="Normal 143 3 4 3" xfId="12724" xr:uid="{00000000-0005-0000-0000-0000B4310000}"/>
    <cellStyle name="Normal 143 3 5" xfId="12725" xr:uid="{00000000-0005-0000-0000-0000B5310000}"/>
    <cellStyle name="Normal 143 3 5 2" xfId="12726" xr:uid="{00000000-0005-0000-0000-0000B6310000}"/>
    <cellStyle name="Normal 143 3 5 2 2" xfId="12727" xr:uid="{00000000-0005-0000-0000-0000B7310000}"/>
    <cellStyle name="Normal 143 3 5 3" xfId="12728" xr:uid="{00000000-0005-0000-0000-0000B8310000}"/>
    <cellStyle name="Normal 143 3 6" xfId="12729" xr:uid="{00000000-0005-0000-0000-0000B9310000}"/>
    <cellStyle name="Normal 143 4" xfId="12730" xr:uid="{00000000-0005-0000-0000-0000BA310000}"/>
    <cellStyle name="Normal 143 4 2" xfId="12731" xr:uid="{00000000-0005-0000-0000-0000BB310000}"/>
    <cellStyle name="Normal 143 4 2 2" xfId="12732" xr:uid="{00000000-0005-0000-0000-0000BC310000}"/>
    <cellStyle name="Normal 143 4 3" xfId="12733" xr:uid="{00000000-0005-0000-0000-0000BD310000}"/>
    <cellStyle name="Normal 143 5" xfId="12734" xr:uid="{00000000-0005-0000-0000-0000BE310000}"/>
    <cellStyle name="Normal 143 5 2" xfId="12735" xr:uid="{00000000-0005-0000-0000-0000BF310000}"/>
    <cellStyle name="Normal 143 5 2 2" xfId="12736" xr:uid="{00000000-0005-0000-0000-0000C0310000}"/>
    <cellStyle name="Normal 143 5 3" xfId="12737" xr:uid="{00000000-0005-0000-0000-0000C1310000}"/>
    <cellStyle name="Normal 143 6" xfId="12738" xr:uid="{00000000-0005-0000-0000-0000C2310000}"/>
    <cellStyle name="Normal 143 6 2" xfId="12739" xr:uid="{00000000-0005-0000-0000-0000C3310000}"/>
    <cellStyle name="Normal 143 6 2 2" xfId="12740" xr:uid="{00000000-0005-0000-0000-0000C4310000}"/>
    <cellStyle name="Normal 143 6 3" xfId="12741" xr:uid="{00000000-0005-0000-0000-0000C5310000}"/>
    <cellStyle name="Normal 143 7" xfId="12742" xr:uid="{00000000-0005-0000-0000-0000C6310000}"/>
    <cellStyle name="Normal 144" xfId="12743" xr:uid="{00000000-0005-0000-0000-0000C7310000}"/>
    <cellStyle name="Normal 144 2" xfId="12744" xr:uid="{00000000-0005-0000-0000-0000C8310000}"/>
    <cellStyle name="Normal 144 2 2" xfId="12745" xr:uid="{00000000-0005-0000-0000-0000C9310000}"/>
    <cellStyle name="Normal 144 2 2 2" xfId="12746" xr:uid="{00000000-0005-0000-0000-0000CA310000}"/>
    <cellStyle name="Normal 144 2 3" xfId="12747" xr:uid="{00000000-0005-0000-0000-0000CB310000}"/>
    <cellStyle name="Normal 144 2 3 2" xfId="12748" xr:uid="{00000000-0005-0000-0000-0000CC310000}"/>
    <cellStyle name="Normal 144 2 3 2 2" xfId="12749" xr:uid="{00000000-0005-0000-0000-0000CD310000}"/>
    <cellStyle name="Normal 144 2 3 3" xfId="12750" xr:uid="{00000000-0005-0000-0000-0000CE310000}"/>
    <cellStyle name="Normal 144 2 4" xfId="12751" xr:uid="{00000000-0005-0000-0000-0000CF310000}"/>
    <cellStyle name="Normal 144 2 4 2" xfId="12752" xr:uid="{00000000-0005-0000-0000-0000D0310000}"/>
    <cellStyle name="Normal 144 2 4 2 2" xfId="12753" xr:uid="{00000000-0005-0000-0000-0000D1310000}"/>
    <cellStyle name="Normal 144 2 4 3" xfId="12754" xr:uid="{00000000-0005-0000-0000-0000D2310000}"/>
    <cellStyle name="Normal 144 2 5" xfId="12755" xr:uid="{00000000-0005-0000-0000-0000D3310000}"/>
    <cellStyle name="Normal 144 3" xfId="12756" xr:uid="{00000000-0005-0000-0000-0000D4310000}"/>
    <cellStyle name="Normal 144 3 2" xfId="12757" xr:uid="{00000000-0005-0000-0000-0000D5310000}"/>
    <cellStyle name="Normal 144 3 2 2" xfId="12758" xr:uid="{00000000-0005-0000-0000-0000D6310000}"/>
    <cellStyle name="Normal 144 3 2 2 2" xfId="12759" xr:uid="{00000000-0005-0000-0000-0000D7310000}"/>
    <cellStyle name="Normal 144 3 2 3" xfId="12760" xr:uid="{00000000-0005-0000-0000-0000D8310000}"/>
    <cellStyle name="Normal 144 3 2 3 2" xfId="12761" xr:uid="{00000000-0005-0000-0000-0000D9310000}"/>
    <cellStyle name="Normal 144 3 2 3 2 2" xfId="12762" xr:uid="{00000000-0005-0000-0000-0000DA310000}"/>
    <cellStyle name="Normal 144 3 2 3 3" xfId="12763" xr:uid="{00000000-0005-0000-0000-0000DB310000}"/>
    <cellStyle name="Normal 144 3 2 4" xfId="12764" xr:uid="{00000000-0005-0000-0000-0000DC310000}"/>
    <cellStyle name="Normal 144 3 3" xfId="12765" xr:uid="{00000000-0005-0000-0000-0000DD310000}"/>
    <cellStyle name="Normal 144 3 3 2" xfId="12766" xr:uid="{00000000-0005-0000-0000-0000DE310000}"/>
    <cellStyle name="Normal 144 3 3 2 2" xfId="12767" xr:uid="{00000000-0005-0000-0000-0000DF310000}"/>
    <cellStyle name="Normal 144 3 3 3" xfId="12768" xr:uid="{00000000-0005-0000-0000-0000E0310000}"/>
    <cellStyle name="Normal 144 3 4" xfId="12769" xr:uid="{00000000-0005-0000-0000-0000E1310000}"/>
    <cellStyle name="Normal 144 3 4 2" xfId="12770" xr:uid="{00000000-0005-0000-0000-0000E2310000}"/>
    <cellStyle name="Normal 144 3 4 2 2" xfId="12771" xr:uid="{00000000-0005-0000-0000-0000E3310000}"/>
    <cellStyle name="Normal 144 3 4 3" xfId="12772" xr:uid="{00000000-0005-0000-0000-0000E4310000}"/>
    <cellStyle name="Normal 144 3 5" xfId="12773" xr:uid="{00000000-0005-0000-0000-0000E5310000}"/>
    <cellStyle name="Normal 144 3 5 2" xfId="12774" xr:uid="{00000000-0005-0000-0000-0000E6310000}"/>
    <cellStyle name="Normal 144 3 5 2 2" xfId="12775" xr:uid="{00000000-0005-0000-0000-0000E7310000}"/>
    <cellStyle name="Normal 144 3 5 3" xfId="12776" xr:uid="{00000000-0005-0000-0000-0000E8310000}"/>
    <cellStyle name="Normal 144 3 6" xfId="12777" xr:uid="{00000000-0005-0000-0000-0000E9310000}"/>
    <cellStyle name="Normal 144 4" xfId="12778" xr:uid="{00000000-0005-0000-0000-0000EA310000}"/>
    <cellStyle name="Normal 144 4 2" xfId="12779" xr:uid="{00000000-0005-0000-0000-0000EB310000}"/>
    <cellStyle name="Normal 144 4 2 2" xfId="12780" xr:uid="{00000000-0005-0000-0000-0000EC310000}"/>
    <cellStyle name="Normal 144 4 3" xfId="12781" xr:uid="{00000000-0005-0000-0000-0000ED310000}"/>
    <cellStyle name="Normal 144 5" xfId="12782" xr:uid="{00000000-0005-0000-0000-0000EE310000}"/>
    <cellStyle name="Normal 144 5 2" xfId="12783" xr:uid="{00000000-0005-0000-0000-0000EF310000}"/>
    <cellStyle name="Normal 144 5 2 2" xfId="12784" xr:uid="{00000000-0005-0000-0000-0000F0310000}"/>
    <cellStyle name="Normal 144 5 3" xfId="12785" xr:uid="{00000000-0005-0000-0000-0000F1310000}"/>
    <cellStyle name="Normal 144 6" xfId="12786" xr:uid="{00000000-0005-0000-0000-0000F2310000}"/>
    <cellStyle name="Normal 144 6 2" xfId="12787" xr:uid="{00000000-0005-0000-0000-0000F3310000}"/>
    <cellStyle name="Normal 144 6 2 2" xfId="12788" xr:uid="{00000000-0005-0000-0000-0000F4310000}"/>
    <cellStyle name="Normal 144 6 3" xfId="12789" xr:uid="{00000000-0005-0000-0000-0000F5310000}"/>
    <cellStyle name="Normal 144 7" xfId="12790" xr:uid="{00000000-0005-0000-0000-0000F6310000}"/>
    <cellStyle name="Normal 145" xfId="12791" xr:uid="{00000000-0005-0000-0000-0000F7310000}"/>
    <cellStyle name="Normal 145 2" xfId="12792" xr:uid="{00000000-0005-0000-0000-0000F8310000}"/>
    <cellStyle name="Normal 145 2 2" xfId="12793" xr:uid="{00000000-0005-0000-0000-0000F9310000}"/>
    <cellStyle name="Normal 145 2 2 2" xfId="12794" xr:uid="{00000000-0005-0000-0000-0000FA310000}"/>
    <cellStyle name="Normal 145 2 3" xfId="12795" xr:uid="{00000000-0005-0000-0000-0000FB310000}"/>
    <cellStyle name="Normal 145 2 3 2" xfId="12796" xr:uid="{00000000-0005-0000-0000-0000FC310000}"/>
    <cellStyle name="Normal 145 2 3 2 2" xfId="12797" xr:uid="{00000000-0005-0000-0000-0000FD310000}"/>
    <cellStyle name="Normal 145 2 3 3" xfId="12798" xr:uid="{00000000-0005-0000-0000-0000FE310000}"/>
    <cellStyle name="Normal 145 2 4" xfId="12799" xr:uid="{00000000-0005-0000-0000-0000FF310000}"/>
    <cellStyle name="Normal 145 2 4 2" xfId="12800" xr:uid="{00000000-0005-0000-0000-000000320000}"/>
    <cellStyle name="Normal 145 2 4 2 2" xfId="12801" xr:uid="{00000000-0005-0000-0000-000001320000}"/>
    <cellStyle name="Normal 145 2 4 3" xfId="12802" xr:uid="{00000000-0005-0000-0000-000002320000}"/>
    <cellStyle name="Normal 145 2 5" xfId="12803" xr:uid="{00000000-0005-0000-0000-000003320000}"/>
    <cellStyle name="Normal 145 3" xfId="12804" xr:uid="{00000000-0005-0000-0000-000004320000}"/>
    <cellStyle name="Normal 145 3 2" xfId="12805" xr:uid="{00000000-0005-0000-0000-000005320000}"/>
    <cellStyle name="Normal 145 3 2 2" xfId="12806" xr:uid="{00000000-0005-0000-0000-000006320000}"/>
    <cellStyle name="Normal 145 3 2 2 2" xfId="12807" xr:uid="{00000000-0005-0000-0000-000007320000}"/>
    <cellStyle name="Normal 145 3 2 3" xfId="12808" xr:uid="{00000000-0005-0000-0000-000008320000}"/>
    <cellStyle name="Normal 145 3 2 3 2" xfId="12809" xr:uid="{00000000-0005-0000-0000-000009320000}"/>
    <cellStyle name="Normal 145 3 2 3 2 2" xfId="12810" xr:uid="{00000000-0005-0000-0000-00000A320000}"/>
    <cellStyle name="Normal 145 3 2 3 3" xfId="12811" xr:uid="{00000000-0005-0000-0000-00000B320000}"/>
    <cellStyle name="Normal 145 3 2 4" xfId="12812" xr:uid="{00000000-0005-0000-0000-00000C320000}"/>
    <cellStyle name="Normal 145 3 3" xfId="12813" xr:uid="{00000000-0005-0000-0000-00000D320000}"/>
    <cellStyle name="Normal 145 3 3 2" xfId="12814" xr:uid="{00000000-0005-0000-0000-00000E320000}"/>
    <cellStyle name="Normal 145 3 3 2 2" xfId="12815" xr:uid="{00000000-0005-0000-0000-00000F320000}"/>
    <cellStyle name="Normal 145 3 3 3" xfId="12816" xr:uid="{00000000-0005-0000-0000-000010320000}"/>
    <cellStyle name="Normal 145 3 4" xfId="12817" xr:uid="{00000000-0005-0000-0000-000011320000}"/>
    <cellStyle name="Normal 145 3 4 2" xfId="12818" xr:uid="{00000000-0005-0000-0000-000012320000}"/>
    <cellStyle name="Normal 145 3 4 2 2" xfId="12819" xr:uid="{00000000-0005-0000-0000-000013320000}"/>
    <cellStyle name="Normal 145 3 4 3" xfId="12820" xr:uid="{00000000-0005-0000-0000-000014320000}"/>
    <cellStyle name="Normal 145 3 5" xfId="12821" xr:uid="{00000000-0005-0000-0000-000015320000}"/>
    <cellStyle name="Normal 145 3 5 2" xfId="12822" xr:uid="{00000000-0005-0000-0000-000016320000}"/>
    <cellStyle name="Normal 145 3 5 2 2" xfId="12823" xr:uid="{00000000-0005-0000-0000-000017320000}"/>
    <cellStyle name="Normal 145 3 5 3" xfId="12824" xr:uid="{00000000-0005-0000-0000-000018320000}"/>
    <cellStyle name="Normal 145 3 6" xfId="12825" xr:uid="{00000000-0005-0000-0000-000019320000}"/>
    <cellStyle name="Normal 145 4" xfId="12826" xr:uid="{00000000-0005-0000-0000-00001A320000}"/>
    <cellStyle name="Normal 145 4 2" xfId="12827" xr:uid="{00000000-0005-0000-0000-00001B320000}"/>
    <cellStyle name="Normal 145 4 2 2" xfId="12828" xr:uid="{00000000-0005-0000-0000-00001C320000}"/>
    <cellStyle name="Normal 145 4 3" xfId="12829" xr:uid="{00000000-0005-0000-0000-00001D320000}"/>
    <cellStyle name="Normal 145 5" xfId="12830" xr:uid="{00000000-0005-0000-0000-00001E320000}"/>
    <cellStyle name="Normal 145 5 2" xfId="12831" xr:uid="{00000000-0005-0000-0000-00001F320000}"/>
    <cellStyle name="Normal 145 5 2 2" xfId="12832" xr:uid="{00000000-0005-0000-0000-000020320000}"/>
    <cellStyle name="Normal 145 5 3" xfId="12833" xr:uid="{00000000-0005-0000-0000-000021320000}"/>
    <cellStyle name="Normal 145 6" xfId="12834" xr:uid="{00000000-0005-0000-0000-000022320000}"/>
    <cellStyle name="Normal 145 6 2" xfId="12835" xr:uid="{00000000-0005-0000-0000-000023320000}"/>
    <cellStyle name="Normal 145 6 2 2" xfId="12836" xr:uid="{00000000-0005-0000-0000-000024320000}"/>
    <cellStyle name="Normal 145 6 3" xfId="12837" xr:uid="{00000000-0005-0000-0000-000025320000}"/>
    <cellStyle name="Normal 145 7" xfId="12838" xr:uid="{00000000-0005-0000-0000-000026320000}"/>
    <cellStyle name="Normal 146" xfId="12839" xr:uid="{00000000-0005-0000-0000-000027320000}"/>
    <cellStyle name="Normal 146 2" xfId="12840" xr:uid="{00000000-0005-0000-0000-000028320000}"/>
    <cellStyle name="Normal 146 2 2" xfId="12841" xr:uid="{00000000-0005-0000-0000-000029320000}"/>
    <cellStyle name="Normal 146 2 2 2" xfId="12842" xr:uid="{00000000-0005-0000-0000-00002A320000}"/>
    <cellStyle name="Normal 146 2 3" xfId="12843" xr:uid="{00000000-0005-0000-0000-00002B320000}"/>
    <cellStyle name="Normal 146 2 3 2" xfId="12844" xr:uid="{00000000-0005-0000-0000-00002C320000}"/>
    <cellStyle name="Normal 146 2 3 2 2" xfId="12845" xr:uid="{00000000-0005-0000-0000-00002D320000}"/>
    <cellStyle name="Normal 146 2 3 3" xfId="12846" xr:uid="{00000000-0005-0000-0000-00002E320000}"/>
    <cellStyle name="Normal 146 2 4" xfId="12847" xr:uid="{00000000-0005-0000-0000-00002F320000}"/>
    <cellStyle name="Normal 146 2 4 2" xfId="12848" xr:uid="{00000000-0005-0000-0000-000030320000}"/>
    <cellStyle name="Normal 146 2 4 2 2" xfId="12849" xr:uid="{00000000-0005-0000-0000-000031320000}"/>
    <cellStyle name="Normal 146 2 4 3" xfId="12850" xr:uid="{00000000-0005-0000-0000-000032320000}"/>
    <cellStyle name="Normal 146 2 5" xfId="12851" xr:uid="{00000000-0005-0000-0000-000033320000}"/>
    <cellStyle name="Normal 146 3" xfId="12852" xr:uid="{00000000-0005-0000-0000-000034320000}"/>
    <cellStyle name="Normal 146 3 2" xfId="12853" xr:uid="{00000000-0005-0000-0000-000035320000}"/>
    <cellStyle name="Normal 146 3 2 2" xfId="12854" xr:uid="{00000000-0005-0000-0000-000036320000}"/>
    <cellStyle name="Normal 146 3 2 2 2" xfId="12855" xr:uid="{00000000-0005-0000-0000-000037320000}"/>
    <cellStyle name="Normal 146 3 2 3" xfId="12856" xr:uid="{00000000-0005-0000-0000-000038320000}"/>
    <cellStyle name="Normal 146 3 2 3 2" xfId="12857" xr:uid="{00000000-0005-0000-0000-000039320000}"/>
    <cellStyle name="Normal 146 3 2 3 2 2" xfId="12858" xr:uid="{00000000-0005-0000-0000-00003A320000}"/>
    <cellStyle name="Normal 146 3 2 3 3" xfId="12859" xr:uid="{00000000-0005-0000-0000-00003B320000}"/>
    <cellStyle name="Normal 146 3 2 4" xfId="12860" xr:uid="{00000000-0005-0000-0000-00003C320000}"/>
    <cellStyle name="Normal 146 3 3" xfId="12861" xr:uid="{00000000-0005-0000-0000-00003D320000}"/>
    <cellStyle name="Normal 146 3 3 2" xfId="12862" xr:uid="{00000000-0005-0000-0000-00003E320000}"/>
    <cellStyle name="Normal 146 3 3 2 2" xfId="12863" xr:uid="{00000000-0005-0000-0000-00003F320000}"/>
    <cellStyle name="Normal 146 3 3 3" xfId="12864" xr:uid="{00000000-0005-0000-0000-000040320000}"/>
    <cellStyle name="Normal 146 3 4" xfId="12865" xr:uid="{00000000-0005-0000-0000-000041320000}"/>
    <cellStyle name="Normal 146 3 4 2" xfId="12866" xr:uid="{00000000-0005-0000-0000-000042320000}"/>
    <cellStyle name="Normal 146 3 4 2 2" xfId="12867" xr:uid="{00000000-0005-0000-0000-000043320000}"/>
    <cellStyle name="Normal 146 3 4 3" xfId="12868" xr:uid="{00000000-0005-0000-0000-000044320000}"/>
    <cellStyle name="Normal 146 3 5" xfId="12869" xr:uid="{00000000-0005-0000-0000-000045320000}"/>
    <cellStyle name="Normal 146 3 5 2" xfId="12870" xr:uid="{00000000-0005-0000-0000-000046320000}"/>
    <cellStyle name="Normal 146 3 5 2 2" xfId="12871" xr:uid="{00000000-0005-0000-0000-000047320000}"/>
    <cellStyle name="Normal 146 3 5 3" xfId="12872" xr:uid="{00000000-0005-0000-0000-000048320000}"/>
    <cellStyle name="Normal 146 3 6" xfId="12873" xr:uid="{00000000-0005-0000-0000-000049320000}"/>
    <cellStyle name="Normal 146 4" xfId="12874" xr:uid="{00000000-0005-0000-0000-00004A320000}"/>
    <cellStyle name="Normal 146 4 2" xfId="12875" xr:uid="{00000000-0005-0000-0000-00004B320000}"/>
    <cellStyle name="Normal 146 4 2 2" xfId="12876" xr:uid="{00000000-0005-0000-0000-00004C320000}"/>
    <cellStyle name="Normal 146 4 3" xfId="12877" xr:uid="{00000000-0005-0000-0000-00004D320000}"/>
    <cellStyle name="Normal 146 5" xfId="12878" xr:uid="{00000000-0005-0000-0000-00004E320000}"/>
    <cellStyle name="Normal 146 5 2" xfId="12879" xr:uid="{00000000-0005-0000-0000-00004F320000}"/>
    <cellStyle name="Normal 146 5 2 2" xfId="12880" xr:uid="{00000000-0005-0000-0000-000050320000}"/>
    <cellStyle name="Normal 146 5 3" xfId="12881" xr:uid="{00000000-0005-0000-0000-000051320000}"/>
    <cellStyle name="Normal 146 6" xfId="12882" xr:uid="{00000000-0005-0000-0000-000052320000}"/>
    <cellStyle name="Normal 146 6 2" xfId="12883" xr:uid="{00000000-0005-0000-0000-000053320000}"/>
    <cellStyle name="Normal 146 6 2 2" xfId="12884" xr:uid="{00000000-0005-0000-0000-000054320000}"/>
    <cellStyle name="Normal 146 6 3" xfId="12885" xr:uid="{00000000-0005-0000-0000-000055320000}"/>
    <cellStyle name="Normal 146 7" xfId="12886" xr:uid="{00000000-0005-0000-0000-000056320000}"/>
    <cellStyle name="Normal 147" xfId="12887" xr:uid="{00000000-0005-0000-0000-000057320000}"/>
    <cellStyle name="Normal 147 2" xfId="12888" xr:uid="{00000000-0005-0000-0000-000058320000}"/>
    <cellStyle name="Normal 147 2 2" xfId="12889" xr:uid="{00000000-0005-0000-0000-000059320000}"/>
    <cellStyle name="Normal 147 2 2 2" xfId="12890" xr:uid="{00000000-0005-0000-0000-00005A320000}"/>
    <cellStyle name="Normal 147 2 3" xfId="12891" xr:uid="{00000000-0005-0000-0000-00005B320000}"/>
    <cellStyle name="Normal 147 2 3 2" xfId="12892" xr:uid="{00000000-0005-0000-0000-00005C320000}"/>
    <cellStyle name="Normal 147 2 3 2 2" xfId="12893" xr:uid="{00000000-0005-0000-0000-00005D320000}"/>
    <cellStyle name="Normal 147 2 3 3" xfId="12894" xr:uid="{00000000-0005-0000-0000-00005E320000}"/>
    <cellStyle name="Normal 147 2 4" xfId="12895" xr:uid="{00000000-0005-0000-0000-00005F320000}"/>
    <cellStyle name="Normal 147 2 4 2" xfId="12896" xr:uid="{00000000-0005-0000-0000-000060320000}"/>
    <cellStyle name="Normal 147 2 4 2 2" xfId="12897" xr:uid="{00000000-0005-0000-0000-000061320000}"/>
    <cellStyle name="Normal 147 2 4 3" xfId="12898" xr:uid="{00000000-0005-0000-0000-000062320000}"/>
    <cellStyle name="Normal 147 2 5" xfId="12899" xr:uid="{00000000-0005-0000-0000-000063320000}"/>
    <cellStyle name="Normal 147 3" xfId="12900" xr:uid="{00000000-0005-0000-0000-000064320000}"/>
    <cellStyle name="Normal 147 3 2" xfId="12901" xr:uid="{00000000-0005-0000-0000-000065320000}"/>
    <cellStyle name="Normal 147 3 2 2" xfId="12902" xr:uid="{00000000-0005-0000-0000-000066320000}"/>
    <cellStyle name="Normal 147 3 2 2 2" xfId="12903" xr:uid="{00000000-0005-0000-0000-000067320000}"/>
    <cellStyle name="Normal 147 3 2 3" xfId="12904" xr:uid="{00000000-0005-0000-0000-000068320000}"/>
    <cellStyle name="Normal 147 3 2 3 2" xfId="12905" xr:uid="{00000000-0005-0000-0000-000069320000}"/>
    <cellStyle name="Normal 147 3 2 3 2 2" xfId="12906" xr:uid="{00000000-0005-0000-0000-00006A320000}"/>
    <cellStyle name="Normal 147 3 2 3 3" xfId="12907" xr:uid="{00000000-0005-0000-0000-00006B320000}"/>
    <cellStyle name="Normal 147 3 2 4" xfId="12908" xr:uid="{00000000-0005-0000-0000-00006C320000}"/>
    <cellStyle name="Normal 147 3 3" xfId="12909" xr:uid="{00000000-0005-0000-0000-00006D320000}"/>
    <cellStyle name="Normal 147 3 3 2" xfId="12910" xr:uid="{00000000-0005-0000-0000-00006E320000}"/>
    <cellStyle name="Normal 147 3 3 2 2" xfId="12911" xr:uid="{00000000-0005-0000-0000-00006F320000}"/>
    <cellStyle name="Normal 147 3 3 3" xfId="12912" xr:uid="{00000000-0005-0000-0000-000070320000}"/>
    <cellStyle name="Normal 147 3 4" xfId="12913" xr:uid="{00000000-0005-0000-0000-000071320000}"/>
    <cellStyle name="Normal 147 3 4 2" xfId="12914" xr:uid="{00000000-0005-0000-0000-000072320000}"/>
    <cellStyle name="Normal 147 3 4 2 2" xfId="12915" xr:uid="{00000000-0005-0000-0000-000073320000}"/>
    <cellStyle name="Normal 147 3 4 3" xfId="12916" xr:uid="{00000000-0005-0000-0000-000074320000}"/>
    <cellStyle name="Normal 147 3 5" xfId="12917" xr:uid="{00000000-0005-0000-0000-000075320000}"/>
    <cellStyle name="Normal 147 3 5 2" xfId="12918" xr:uid="{00000000-0005-0000-0000-000076320000}"/>
    <cellStyle name="Normal 147 3 5 2 2" xfId="12919" xr:uid="{00000000-0005-0000-0000-000077320000}"/>
    <cellStyle name="Normal 147 3 5 3" xfId="12920" xr:uid="{00000000-0005-0000-0000-000078320000}"/>
    <cellStyle name="Normal 147 3 6" xfId="12921" xr:uid="{00000000-0005-0000-0000-000079320000}"/>
    <cellStyle name="Normal 147 4" xfId="12922" xr:uid="{00000000-0005-0000-0000-00007A320000}"/>
    <cellStyle name="Normal 147 4 2" xfId="12923" xr:uid="{00000000-0005-0000-0000-00007B320000}"/>
    <cellStyle name="Normal 147 4 2 2" xfId="12924" xr:uid="{00000000-0005-0000-0000-00007C320000}"/>
    <cellStyle name="Normal 147 4 3" xfId="12925" xr:uid="{00000000-0005-0000-0000-00007D320000}"/>
    <cellStyle name="Normal 147 5" xfId="12926" xr:uid="{00000000-0005-0000-0000-00007E320000}"/>
    <cellStyle name="Normal 147 5 2" xfId="12927" xr:uid="{00000000-0005-0000-0000-00007F320000}"/>
    <cellStyle name="Normal 147 5 2 2" xfId="12928" xr:uid="{00000000-0005-0000-0000-000080320000}"/>
    <cellStyle name="Normal 147 5 3" xfId="12929" xr:uid="{00000000-0005-0000-0000-000081320000}"/>
    <cellStyle name="Normal 147 6" xfId="12930" xr:uid="{00000000-0005-0000-0000-000082320000}"/>
    <cellStyle name="Normal 147 6 2" xfId="12931" xr:uid="{00000000-0005-0000-0000-000083320000}"/>
    <cellStyle name="Normal 147 6 2 2" xfId="12932" xr:uid="{00000000-0005-0000-0000-000084320000}"/>
    <cellStyle name="Normal 147 6 3" xfId="12933" xr:uid="{00000000-0005-0000-0000-000085320000}"/>
    <cellStyle name="Normal 147 7" xfId="12934" xr:uid="{00000000-0005-0000-0000-000086320000}"/>
    <cellStyle name="Normal 148" xfId="12935" xr:uid="{00000000-0005-0000-0000-000087320000}"/>
    <cellStyle name="Normal 148 2" xfId="12936" xr:uid="{00000000-0005-0000-0000-000088320000}"/>
    <cellStyle name="Normal 148 2 2" xfId="12937" xr:uid="{00000000-0005-0000-0000-000089320000}"/>
    <cellStyle name="Normal 148 2 2 2" xfId="12938" xr:uid="{00000000-0005-0000-0000-00008A320000}"/>
    <cellStyle name="Normal 148 2 3" xfId="12939" xr:uid="{00000000-0005-0000-0000-00008B320000}"/>
    <cellStyle name="Normal 148 2 3 2" xfId="12940" xr:uid="{00000000-0005-0000-0000-00008C320000}"/>
    <cellStyle name="Normal 148 2 3 2 2" xfId="12941" xr:uid="{00000000-0005-0000-0000-00008D320000}"/>
    <cellStyle name="Normal 148 2 3 3" xfId="12942" xr:uid="{00000000-0005-0000-0000-00008E320000}"/>
    <cellStyle name="Normal 148 2 4" xfId="12943" xr:uid="{00000000-0005-0000-0000-00008F320000}"/>
    <cellStyle name="Normal 148 2 4 2" xfId="12944" xr:uid="{00000000-0005-0000-0000-000090320000}"/>
    <cellStyle name="Normal 148 2 4 2 2" xfId="12945" xr:uid="{00000000-0005-0000-0000-000091320000}"/>
    <cellStyle name="Normal 148 2 4 3" xfId="12946" xr:uid="{00000000-0005-0000-0000-000092320000}"/>
    <cellStyle name="Normal 148 2 5" xfId="12947" xr:uid="{00000000-0005-0000-0000-000093320000}"/>
    <cellStyle name="Normal 148 3" xfId="12948" xr:uid="{00000000-0005-0000-0000-000094320000}"/>
    <cellStyle name="Normal 148 3 2" xfId="12949" xr:uid="{00000000-0005-0000-0000-000095320000}"/>
    <cellStyle name="Normal 148 3 2 2" xfId="12950" xr:uid="{00000000-0005-0000-0000-000096320000}"/>
    <cellStyle name="Normal 148 3 2 2 2" xfId="12951" xr:uid="{00000000-0005-0000-0000-000097320000}"/>
    <cellStyle name="Normal 148 3 2 3" xfId="12952" xr:uid="{00000000-0005-0000-0000-000098320000}"/>
    <cellStyle name="Normal 148 3 2 3 2" xfId="12953" xr:uid="{00000000-0005-0000-0000-000099320000}"/>
    <cellStyle name="Normal 148 3 2 3 2 2" xfId="12954" xr:uid="{00000000-0005-0000-0000-00009A320000}"/>
    <cellStyle name="Normal 148 3 2 3 3" xfId="12955" xr:uid="{00000000-0005-0000-0000-00009B320000}"/>
    <cellStyle name="Normal 148 3 2 4" xfId="12956" xr:uid="{00000000-0005-0000-0000-00009C320000}"/>
    <cellStyle name="Normal 148 3 3" xfId="12957" xr:uid="{00000000-0005-0000-0000-00009D320000}"/>
    <cellStyle name="Normal 148 3 3 2" xfId="12958" xr:uid="{00000000-0005-0000-0000-00009E320000}"/>
    <cellStyle name="Normal 148 3 3 2 2" xfId="12959" xr:uid="{00000000-0005-0000-0000-00009F320000}"/>
    <cellStyle name="Normal 148 3 3 3" xfId="12960" xr:uid="{00000000-0005-0000-0000-0000A0320000}"/>
    <cellStyle name="Normal 148 3 4" xfId="12961" xr:uid="{00000000-0005-0000-0000-0000A1320000}"/>
    <cellStyle name="Normal 148 3 4 2" xfId="12962" xr:uid="{00000000-0005-0000-0000-0000A2320000}"/>
    <cellStyle name="Normal 148 3 4 2 2" xfId="12963" xr:uid="{00000000-0005-0000-0000-0000A3320000}"/>
    <cellStyle name="Normal 148 3 4 3" xfId="12964" xr:uid="{00000000-0005-0000-0000-0000A4320000}"/>
    <cellStyle name="Normal 148 3 5" xfId="12965" xr:uid="{00000000-0005-0000-0000-0000A5320000}"/>
    <cellStyle name="Normal 148 3 5 2" xfId="12966" xr:uid="{00000000-0005-0000-0000-0000A6320000}"/>
    <cellStyle name="Normal 148 3 5 2 2" xfId="12967" xr:uid="{00000000-0005-0000-0000-0000A7320000}"/>
    <cellStyle name="Normal 148 3 5 3" xfId="12968" xr:uid="{00000000-0005-0000-0000-0000A8320000}"/>
    <cellStyle name="Normal 148 3 6" xfId="12969" xr:uid="{00000000-0005-0000-0000-0000A9320000}"/>
    <cellStyle name="Normal 148 4" xfId="12970" xr:uid="{00000000-0005-0000-0000-0000AA320000}"/>
    <cellStyle name="Normal 148 4 2" xfId="12971" xr:uid="{00000000-0005-0000-0000-0000AB320000}"/>
    <cellStyle name="Normal 148 4 2 2" xfId="12972" xr:uid="{00000000-0005-0000-0000-0000AC320000}"/>
    <cellStyle name="Normal 148 4 3" xfId="12973" xr:uid="{00000000-0005-0000-0000-0000AD320000}"/>
    <cellStyle name="Normal 148 5" xfId="12974" xr:uid="{00000000-0005-0000-0000-0000AE320000}"/>
    <cellStyle name="Normal 148 5 2" xfId="12975" xr:uid="{00000000-0005-0000-0000-0000AF320000}"/>
    <cellStyle name="Normal 148 5 2 2" xfId="12976" xr:uid="{00000000-0005-0000-0000-0000B0320000}"/>
    <cellStyle name="Normal 148 5 3" xfId="12977" xr:uid="{00000000-0005-0000-0000-0000B1320000}"/>
    <cellStyle name="Normal 148 6" xfId="12978" xr:uid="{00000000-0005-0000-0000-0000B2320000}"/>
    <cellStyle name="Normal 148 6 2" xfId="12979" xr:uid="{00000000-0005-0000-0000-0000B3320000}"/>
    <cellStyle name="Normal 148 6 2 2" xfId="12980" xr:uid="{00000000-0005-0000-0000-0000B4320000}"/>
    <cellStyle name="Normal 148 6 3" xfId="12981" xr:uid="{00000000-0005-0000-0000-0000B5320000}"/>
    <cellStyle name="Normal 148 7" xfId="12982" xr:uid="{00000000-0005-0000-0000-0000B6320000}"/>
    <cellStyle name="Normal 149" xfId="12983" xr:uid="{00000000-0005-0000-0000-0000B7320000}"/>
    <cellStyle name="Normal 149 2" xfId="12984" xr:uid="{00000000-0005-0000-0000-0000B8320000}"/>
    <cellStyle name="Normal 149 2 2" xfId="12985" xr:uid="{00000000-0005-0000-0000-0000B9320000}"/>
    <cellStyle name="Normal 149 2 2 2" xfId="12986" xr:uid="{00000000-0005-0000-0000-0000BA320000}"/>
    <cellStyle name="Normal 149 2 3" xfId="12987" xr:uid="{00000000-0005-0000-0000-0000BB320000}"/>
    <cellStyle name="Normal 149 2 3 2" xfId="12988" xr:uid="{00000000-0005-0000-0000-0000BC320000}"/>
    <cellStyle name="Normal 149 2 3 2 2" xfId="12989" xr:uid="{00000000-0005-0000-0000-0000BD320000}"/>
    <cellStyle name="Normal 149 2 3 3" xfId="12990" xr:uid="{00000000-0005-0000-0000-0000BE320000}"/>
    <cellStyle name="Normal 149 2 4" xfId="12991" xr:uid="{00000000-0005-0000-0000-0000BF320000}"/>
    <cellStyle name="Normal 149 2 4 2" xfId="12992" xr:uid="{00000000-0005-0000-0000-0000C0320000}"/>
    <cellStyle name="Normal 149 2 4 2 2" xfId="12993" xr:uid="{00000000-0005-0000-0000-0000C1320000}"/>
    <cellStyle name="Normal 149 2 4 3" xfId="12994" xr:uid="{00000000-0005-0000-0000-0000C2320000}"/>
    <cellStyle name="Normal 149 2 5" xfId="12995" xr:uid="{00000000-0005-0000-0000-0000C3320000}"/>
    <cellStyle name="Normal 149 3" xfId="12996" xr:uid="{00000000-0005-0000-0000-0000C4320000}"/>
    <cellStyle name="Normal 149 3 2" xfId="12997" xr:uid="{00000000-0005-0000-0000-0000C5320000}"/>
    <cellStyle name="Normal 149 3 2 2" xfId="12998" xr:uid="{00000000-0005-0000-0000-0000C6320000}"/>
    <cellStyle name="Normal 149 3 2 2 2" xfId="12999" xr:uid="{00000000-0005-0000-0000-0000C7320000}"/>
    <cellStyle name="Normal 149 3 2 3" xfId="13000" xr:uid="{00000000-0005-0000-0000-0000C8320000}"/>
    <cellStyle name="Normal 149 3 2 3 2" xfId="13001" xr:uid="{00000000-0005-0000-0000-0000C9320000}"/>
    <cellStyle name="Normal 149 3 2 3 2 2" xfId="13002" xr:uid="{00000000-0005-0000-0000-0000CA320000}"/>
    <cellStyle name="Normal 149 3 2 3 3" xfId="13003" xr:uid="{00000000-0005-0000-0000-0000CB320000}"/>
    <cellStyle name="Normal 149 3 2 4" xfId="13004" xr:uid="{00000000-0005-0000-0000-0000CC320000}"/>
    <cellStyle name="Normal 149 3 3" xfId="13005" xr:uid="{00000000-0005-0000-0000-0000CD320000}"/>
    <cellStyle name="Normal 149 3 3 2" xfId="13006" xr:uid="{00000000-0005-0000-0000-0000CE320000}"/>
    <cellStyle name="Normal 149 3 3 2 2" xfId="13007" xr:uid="{00000000-0005-0000-0000-0000CF320000}"/>
    <cellStyle name="Normal 149 3 3 3" xfId="13008" xr:uid="{00000000-0005-0000-0000-0000D0320000}"/>
    <cellStyle name="Normal 149 3 4" xfId="13009" xr:uid="{00000000-0005-0000-0000-0000D1320000}"/>
    <cellStyle name="Normal 149 3 4 2" xfId="13010" xr:uid="{00000000-0005-0000-0000-0000D2320000}"/>
    <cellStyle name="Normal 149 3 4 2 2" xfId="13011" xr:uid="{00000000-0005-0000-0000-0000D3320000}"/>
    <cellStyle name="Normal 149 3 4 3" xfId="13012" xr:uid="{00000000-0005-0000-0000-0000D4320000}"/>
    <cellStyle name="Normal 149 3 5" xfId="13013" xr:uid="{00000000-0005-0000-0000-0000D5320000}"/>
    <cellStyle name="Normal 149 3 5 2" xfId="13014" xr:uid="{00000000-0005-0000-0000-0000D6320000}"/>
    <cellStyle name="Normal 149 3 5 2 2" xfId="13015" xr:uid="{00000000-0005-0000-0000-0000D7320000}"/>
    <cellStyle name="Normal 149 3 5 3" xfId="13016" xr:uid="{00000000-0005-0000-0000-0000D8320000}"/>
    <cellStyle name="Normal 149 3 6" xfId="13017" xr:uid="{00000000-0005-0000-0000-0000D9320000}"/>
    <cellStyle name="Normal 149 4" xfId="13018" xr:uid="{00000000-0005-0000-0000-0000DA320000}"/>
    <cellStyle name="Normal 149 4 2" xfId="13019" xr:uid="{00000000-0005-0000-0000-0000DB320000}"/>
    <cellStyle name="Normal 149 4 2 2" xfId="13020" xr:uid="{00000000-0005-0000-0000-0000DC320000}"/>
    <cellStyle name="Normal 149 4 3" xfId="13021" xr:uid="{00000000-0005-0000-0000-0000DD320000}"/>
    <cellStyle name="Normal 149 5" xfId="13022" xr:uid="{00000000-0005-0000-0000-0000DE320000}"/>
    <cellStyle name="Normal 149 5 2" xfId="13023" xr:uid="{00000000-0005-0000-0000-0000DF320000}"/>
    <cellStyle name="Normal 149 5 2 2" xfId="13024" xr:uid="{00000000-0005-0000-0000-0000E0320000}"/>
    <cellStyle name="Normal 149 5 3" xfId="13025" xr:uid="{00000000-0005-0000-0000-0000E1320000}"/>
    <cellStyle name="Normal 149 6" xfId="13026" xr:uid="{00000000-0005-0000-0000-0000E2320000}"/>
    <cellStyle name="Normal 149 6 2" xfId="13027" xr:uid="{00000000-0005-0000-0000-0000E3320000}"/>
    <cellStyle name="Normal 149 6 2 2" xfId="13028" xr:uid="{00000000-0005-0000-0000-0000E4320000}"/>
    <cellStyle name="Normal 149 6 3" xfId="13029" xr:uid="{00000000-0005-0000-0000-0000E5320000}"/>
    <cellStyle name="Normal 149 7" xfId="13030" xr:uid="{00000000-0005-0000-0000-0000E6320000}"/>
    <cellStyle name="Normal 15" xfId="13031" xr:uid="{00000000-0005-0000-0000-0000E7320000}"/>
    <cellStyle name="Normal 15 2" xfId="13032" xr:uid="{00000000-0005-0000-0000-0000E8320000}"/>
    <cellStyle name="Normal 15 2 2" xfId="13033" xr:uid="{00000000-0005-0000-0000-0000E9320000}"/>
    <cellStyle name="Normal 15 2 2 2" xfId="13034" xr:uid="{00000000-0005-0000-0000-0000EA320000}"/>
    <cellStyle name="Normal 15 2 2 2 2" xfId="13035" xr:uid="{00000000-0005-0000-0000-0000EB320000}"/>
    <cellStyle name="Normal 15 2 2 3" xfId="13036" xr:uid="{00000000-0005-0000-0000-0000EC320000}"/>
    <cellStyle name="Normal 15 2 2 3 2" xfId="13037" xr:uid="{00000000-0005-0000-0000-0000ED320000}"/>
    <cellStyle name="Normal 15 2 2 3 2 2" xfId="13038" xr:uid="{00000000-0005-0000-0000-0000EE320000}"/>
    <cellStyle name="Normal 15 2 2 3 3" xfId="13039" xr:uid="{00000000-0005-0000-0000-0000EF320000}"/>
    <cellStyle name="Normal 15 2 2 4" xfId="13040" xr:uid="{00000000-0005-0000-0000-0000F0320000}"/>
    <cellStyle name="Normal 15 2 2 4 2" xfId="13041" xr:uid="{00000000-0005-0000-0000-0000F1320000}"/>
    <cellStyle name="Normal 15 2 2 4 2 2" xfId="13042" xr:uid="{00000000-0005-0000-0000-0000F2320000}"/>
    <cellStyle name="Normal 15 2 2 4 3" xfId="13043" xr:uid="{00000000-0005-0000-0000-0000F3320000}"/>
    <cellStyle name="Normal 15 2 2 5" xfId="13044" xr:uid="{00000000-0005-0000-0000-0000F4320000}"/>
    <cellStyle name="Normal 15 2 3" xfId="13045" xr:uid="{00000000-0005-0000-0000-0000F5320000}"/>
    <cellStyle name="Normal 15 2 3 2" xfId="13046" xr:uid="{00000000-0005-0000-0000-0000F6320000}"/>
    <cellStyle name="Normal 15 2 3 2 2" xfId="13047" xr:uid="{00000000-0005-0000-0000-0000F7320000}"/>
    <cellStyle name="Normal 15 2 3 2 2 2" xfId="13048" xr:uid="{00000000-0005-0000-0000-0000F8320000}"/>
    <cellStyle name="Normal 15 2 3 2 3" xfId="13049" xr:uid="{00000000-0005-0000-0000-0000F9320000}"/>
    <cellStyle name="Normal 15 2 3 2 3 2" xfId="13050" xr:uid="{00000000-0005-0000-0000-0000FA320000}"/>
    <cellStyle name="Normal 15 2 3 2 3 2 2" xfId="13051" xr:uid="{00000000-0005-0000-0000-0000FB320000}"/>
    <cellStyle name="Normal 15 2 3 2 3 3" xfId="13052" xr:uid="{00000000-0005-0000-0000-0000FC320000}"/>
    <cellStyle name="Normal 15 2 3 2 4" xfId="13053" xr:uid="{00000000-0005-0000-0000-0000FD320000}"/>
    <cellStyle name="Normal 15 2 3 3" xfId="13054" xr:uid="{00000000-0005-0000-0000-0000FE320000}"/>
    <cellStyle name="Normal 15 2 3 3 2" xfId="13055" xr:uid="{00000000-0005-0000-0000-0000FF320000}"/>
    <cellStyle name="Normal 15 2 3 3 2 2" xfId="13056" xr:uid="{00000000-0005-0000-0000-000000330000}"/>
    <cellStyle name="Normal 15 2 3 3 3" xfId="13057" xr:uid="{00000000-0005-0000-0000-000001330000}"/>
    <cellStyle name="Normal 15 2 3 4" xfId="13058" xr:uid="{00000000-0005-0000-0000-000002330000}"/>
    <cellStyle name="Normal 15 2 3 4 2" xfId="13059" xr:uid="{00000000-0005-0000-0000-000003330000}"/>
    <cellStyle name="Normal 15 2 3 4 2 2" xfId="13060" xr:uid="{00000000-0005-0000-0000-000004330000}"/>
    <cellStyle name="Normal 15 2 3 4 3" xfId="13061" xr:uid="{00000000-0005-0000-0000-000005330000}"/>
    <cellStyle name="Normal 15 2 3 5" xfId="13062" xr:uid="{00000000-0005-0000-0000-000006330000}"/>
    <cellStyle name="Normal 15 2 3 5 2" xfId="13063" xr:uid="{00000000-0005-0000-0000-000007330000}"/>
    <cellStyle name="Normal 15 2 3 5 2 2" xfId="13064" xr:uid="{00000000-0005-0000-0000-000008330000}"/>
    <cellStyle name="Normal 15 2 3 5 3" xfId="13065" xr:uid="{00000000-0005-0000-0000-000009330000}"/>
    <cellStyle name="Normal 15 2 3 6" xfId="13066" xr:uid="{00000000-0005-0000-0000-00000A330000}"/>
    <cellStyle name="Normal 15 2 4" xfId="13067" xr:uid="{00000000-0005-0000-0000-00000B330000}"/>
    <cellStyle name="Normal 15 3" xfId="13068" xr:uid="{00000000-0005-0000-0000-00000C330000}"/>
    <cellStyle name="Normal 15 3 2" xfId="13069" xr:uid="{00000000-0005-0000-0000-00000D330000}"/>
    <cellStyle name="Normal 15 3 2 2" xfId="13070" xr:uid="{00000000-0005-0000-0000-00000E330000}"/>
    <cellStyle name="Normal 15 3 2 2 2" xfId="13071" xr:uid="{00000000-0005-0000-0000-00000F330000}"/>
    <cellStyle name="Normal 15 3 2 3" xfId="13072" xr:uid="{00000000-0005-0000-0000-000010330000}"/>
    <cellStyle name="Normal 15 3 2 3 2" xfId="13073" xr:uid="{00000000-0005-0000-0000-000011330000}"/>
    <cellStyle name="Normal 15 3 2 3 2 2" xfId="13074" xr:uid="{00000000-0005-0000-0000-000012330000}"/>
    <cellStyle name="Normal 15 3 2 3 3" xfId="13075" xr:uid="{00000000-0005-0000-0000-000013330000}"/>
    <cellStyle name="Normal 15 3 2 4" xfId="13076" xr:uid="{00000000-0005-0000-0000-000014330000}"/>
    <cellStyle name="Normal 15 3 2 4 2" xfId="13077" xr:uid="{00000000-0005-0000-0000-000015330000}"/>
    <cellStyle name="Normal 15 3 2 4 2 2" xfId="13078" xr:uid="{00000000-0005-0000-0000-000016330000}"/>
    <cellStyle name="Normal 15 3 2 4 3" xfId="13079" xr:uid="{00000000-0005-0000-0000-000017330000}"/>
    <cellStyle name="Normal 15 3 2 5" xfId="13080" xr:uid="{00000000-0005-0000-0000-000018330000}"/>
    <cellStyle name="Normal 15 3 3" xfId="13081" xr:uid="{00000000-0005-0000-0000-000019330000}"/>
    <cellStyle name="Normal 15 3 3 2" xfId="13082" xr:uid="{00000000-0005-0000-0000-00001A330000}"/>
    <cellStyle name="Normal 15 3 3 2 2" xfId="13083" xr:uid="{00000000-0005-0000-0000-00001B330000}"/>
    <cellStyle name="Normal 15 3 3 3" xfId="13084" xr:uid="{00000000-0005-0000-0000-00001C330000}"/>
    <cellStyle name="Normal 15 3 4" xfId="13085" xr:uid="{00000000-0005-0000-0000-00001D330000}"/>
    <cellStyle name="Normal 15 3 4 2" xfId="13086" xr:uid="{00000000-0005-0000-0000-00001E330000}"/>
    <cellStyle name="Normal 15 3 4 2 2" xfId="13087" xr:uid="{00000000-0005-0000-0000-00001F330000}"/>
    <cellStyle name="Normal 15 3 4 3" xfId="13088" xr:uid="{00000000-0005-0000-0000-000020330000}"/>
    <cellStyle name="Normal 15 3 5" xfId="13089" xr:uid="{00000000-0005-0000-0000-000021330000}"/>
    <cellStyle name="Normal 15 3 5 2" xfId="13090" xr:uid="{00000000-0005-0000-0000-000022330000}"/>
    <cellStyle name="Normal 15 3 5 2 2" xfId="13091" xr:uid="{00000000-0005-0000-0000-000023330000}"/>
    <cellStyle name="Normal 15 3 5 3" xfId="13092" xr:uid="{00000000-0005-0000-0000-000024330000}"/>
    <cellStyle name="Normal 15 3 6" xfId="13093" xr:uid="{00000000-0005-0000-0000-000025330000}"/>
    <cellStyle name="Normal 15 4" xfId="13094" xr:uid="{00000000-0005-0000-0000-000026330000}"/>
    <cellStyle name="Normal 15 4 2" xfId="13095" xr:uid="{00000000-0005-0000-0000-000027330000}"/>
    <cellStyle name="Normal 15 4 2 2" xfId="13096" xr:uid="{00000000-0005-0000-0000-000028330000}"/>
    <cellStyle name="Normal 15 4 3" xfId="13097" xr:uid="{00000000-0005-0000-0000-000029330000}"/>
    <cellStyle name="Normal 15 4 3 2" xfId="13098" xr:uid="{00000000-0005-0000-0000-00002A330000}"/>
    <cellStyle name="Normal 15 4 3 2 2" xfId="13099" xr:uid="{00000000-0005-0000-0000-00002B330000}"/>
    <cellStyle name="Normal 15 4 3 3" xfId="13100" xr:uid="{00000000-0005-0000-0000-00002C330000}"/>
    <cellStyle name="Normal 15 4 4" xfId="13101" xr:uid="{00000000-0005-0000-0000-00002D330000}"/>
    <cellStyle name="Normal 15 4 4 2" xfId="13102" xr:uid="{00000000-0005-0000-0000-00002E330000}"/>
    <cellStyle name="Normal 15 4 4 2 2" xfId="13103" xr:uid="{00000000-0005-0000-0000-00002F330000}"/>
    <cellStyle name="Normal 15 4 4 3" xfId="13104" xr:uid="{00000000-0005-0000-0000-000030330000}"/>
    <cellStyle name="Normal 15 4 5" xfId="13105" xr:uid="{00000000-0005-0000-0000-000031330000}"/>
    <cellStyle name="Normal 15 5" xfId="13106" xr:uid="{00000000-0005-0000-0000-000032330000}"/>
    <cellStyle name="Normal 15 5 2" xfId="13107" xr:uid="{00000000-0005-0000-0000-000033330000}"/>
    <cellStyle name="Normal 15 5 2 2" xfId="13108" xr:uid="{00000000-0005-0000-0000-000034330000}"/>
    <cellStyle name="Normal 15 5 2 2 2" xfId="13109" xr:uid="{00000000-0005-0000-0000-000035330000}"/>
    <cellStyle name="Normal 15 5 2 3" xfId="13110" xr:uid="{00000000-0005-0000-0000-000036330000}"/>
    <cellStyle name="Normal 15 5 2 3 2" xfId="13111" xr:uid="{00000000-0005-0000-0000-000037330000}"/>
    <cellStyle name="Normal 15 5 2 3 2 2" xfId="13112" xr:uid="{00000000-0005-0000-0000-000038330000}"/>
    <cellStyle name="Normal 15 5 2 3 3" xfId="13113" xr:uid="{00000000-0005-0000-0000-000039330000}"/>
    <cellStyle name="Normal 15 5 2 4" xfId="13114" xr:uid="{00000000-0005-0000-0000-00003A330000}"/>
    <cellStyle name="Normal 15 5 3" xfId="13115" xr:uid="{00000000-0005-0000-0000-00003B330000}"/>
    <cellStyle name="Normal 15 5 3 2" xfId="13116" xr:uid="{00000000-0005-0000-0000-00003C330000}"/>
    <cellStyle name="Normal 15 5 3 2 2" xfId="13117" xr:uid="{00000000-0005-0000-0000-00003D330000}"/>
    <cellStyle name="Normal 15 5 3 3" xfId="13118" xr:uid="{00000000-0005-0000-0000-00003E330000}"/>
    <cellStyle name="Normal 15 5 4" xfId="13119" xr:uid="{00000000-0005-0000-0000-00003F330000}"/>
    <cellStyle name="Normal 15 5 4 2" xfId="13120" xr:uid="{00000000-0005-0000-0000-000040330000}"/>
    <cellStyle name="Normal 15 5 4 2 2" xfId="13121" xr:uid="{00000000-0005-0000-0000-000041330000}"/>
    <cellStyle name="Normal 15 5 4 3" xfId="13122" xr:uid="{00000000-0005-0000-0000-000042330000}"/>
    <cellStyle name="Normal 15 5 5" xfId="13123" xr:uid="{00000000-0005-0000-0000-000043330000}"/>
    <cellStyle name="Normal 15 5 5 2" xfId="13124" xr:uid="{00000000-0005-0000-0000-000044330000}"/>
    <cellStyle name="Normal 15 5 5 2 2" xfId="13125" xr:uid="{00000000-0005-0000-0000-000045330000}"/>
    <cellStyle name="Normal 15 5 5 3" xfId="13126" xr:uid="{00000000-0005-0000-0000-000046330000}"/>
    <cellStyle name="Normal 15 5 6" xfId="13127" xr:uid="{00000000-0005-0000-0000-000047330000}"/>
    <cellStyle name="Normal 15 6" xfId="13128" xr:uid="{00000000-0005-0000-0000-000048330000}"/>
    <cellStyle name="Normal 15 6 2" xfId="13129" xr:uid="{00000000-0005-0000-0000-000049330000}"/>
    <cellStyle name="Normal 15 6 2 2" xfId="13130" xr:uid="{00000000-0005-0000-0000-00004A330000}"/>
    <cellStyle name="Normal 15 6 2 2 2" xfId="13131" xr:uid="{00000000-0005-0000-0000-00004B330000}"/>
    <cellStyle name="Normal 15 6 2 3" xfId="13132" xr:uid="{00000000-0005-0000-0000-00004C330000}"/>
    <cellStyle name="Normal 15 6 2 3 2" xfId="13133" xr:uid="{00000000-0005-0000-0000-00004D330000}"/>
    <cellStyle name="Normal 15 6 2 3 2 2" xfId="13134" xr:uid="{00000000-0005-0000-0000-00004E330000}"/>
    <cellStyle name="Normal 15 6 2 3 3" xfId="13135" xr:uid="{00000000-0005-0000-0000-00004F330000}"/>
    <cellStyle name="Normal 15 6 2 4" xfId="13136" xr:uid="{00000000-0005-0000-0000-000050330000}"/>
    <cellStyle name="Normal 15 6 3" xfId="13137" xr:uid="{00000000-0005-0000-0000-000051330000}"/>
    <cellStyle name="Normal 15 6 3 2" xfId="13138" xr:uid="{00000000-0005-0000-0000-000052330000}"/>
    <cellStyle name="Normal 15 6 3 2 2" xfId="13139" xr:uid="{00000000-0005-0000-0000-000053330000}"/>
    <cellStyle name="Normal 15 6 3 3" xfId="13140" xr:uid="{00000000-0005-0000-0000-000054330000}"/>
    <cellStyle name="Normal 15 6 4" xfId="13141" xr:uid="{00000000-0005-0000-0000-000055330000}"/>
    <cellStyle name="Normal 15 6 4 2" xfId="13142" xr:uid="{00000000-0005-0000-0000-000056330000}"/>
    <cellStyle name="Normal 15 6 4 2 2" xfId="13143" xr:uid="{00000000-0005-0000-0000-000057330000}"/>
    <cellStyle name="Normal 15 6 4 3" xfId="13144" xr:uid="{00000000-0005-0000-0000-000058330000}"/>
    <cellStyle name="Normal 15 6 5" xfId="13145" xr:uid="{00000000-0005-0000-0000-000059330000}"/>
    <cellStyle name="Normal 15 7" xfId="13146" xr:uid="{00000000-0005-0000-0000-00005A330000}"/>
    <cellStyle name="Normal 15 8" xfId="13147" xr:uid="{00000000-0005-0000-0000-00005B330000}"/>
    <cellStyle name="Normal 150" xfId="13148" xr:uid="{00000000-0005-0000-0000-00005C330000}"/>
    <cellStyle name="Normal 150 2" xfId="13149" xr:uid="{00000000-0005-0000-0000-00005D330000}"/>
    <cellStyle name="Normal 150 2 2" xfId="13150" xr:uid="{00000000-0005-0000-0000-00005E330000}"/>
    <cellStyle name="Normal 150 2 2 2" xfId="13151" xr:uid="{00000000-0005-0000-0000-00005F330000}"/>
    <cellStyle name="Normal 150 2 3" xfId="13152" xr:uid="{00000000-0005-0000-0000-000060330000}"/>
    <cellStyle name="Normal 150 2 3 2" xfId="13153" xr:uid="{00000000-0005-0000-0000-000061330000}"/>
    <cellStyle name="Normal 150 2 3 2 2" xfId="13154" xr:uid="{00000000-0005-0000-0000-000062330000}"/>
    <cellStyle name="Normal 150 2 3 3" xfId="13155" xr:uid="{00000000-0005-0000-0000-000063330000}"/>
    <cellStyle name="Normal 150 2 4" xfId="13156" xr:uid="{00000000-0005-0000-0000-000064330000}"/>
    <cellStyle name="Normal 150 2 4 2" xfId="13157" xr:uid="{00000000-0005-0000-0000-000065330000}"/>
    <cellStyle name="Normal 150 2 4 2 2" xfId="13158" xr:uid="{00000000-0005-0000-0000-000066330000}"/>
    <cellStyle name="Normal 150 2 4 3" xfId="13159" xr:uid="{00000000-0005-0000-0000-000067330000}"/>
    <cellStyle name="Normal 150 2 5" xfId="13160" xr:uid="{00000000-0005-0000-0000-000068330000}"/>
    <cellStyle name="Normal 150 3" xfId="13161" xr:uid="{00000000-0005-0000-0000-000069330000}"/>
    <cellStyle name="Normal 150 3 2" xfId="13162" xr:uid="{00000000-0005-0000-0000-00006A330000}"/>
    <cellStyle name="Normal 150 3 2 2" xfId="13163" xr:uid="{00000000-0005-0000-0000-00006B330000}"/>
    <cellStyle name="Normal 150 3 2 2 2" xfId="13164" xr:uid="{00000000-0005-0000-0000-00006C330000}"/>
    <cellStyle name="Normal 150 3 2 3" xfId="13165" xr:uid="{00000000-0005-0000-0000-00006D330000}"/>
    <cellStyle name="Normal 150 3 2 3 2" xfId="13166" xr:uid="{00000000-0005-0000-0000-00006E330000}"/>
    <cellStyle name="Normal 150 3 2 3 2 2" xfId="13167" xr:uid="{00000000-0005-0000-0000-00006F330000}"/>
    <cellStyle name="Normal 150 3 2 3 3" xfId="13168" xr:uid="{00000000-0005-0000-0000-000070330000}"/>
    <cellStyle name="Normal 150 3 2 4" xfId="13169" xr:uid="{00000000-0005-0000-0000-000071330000}"/>
    <cellStyle name="Normal 150 3 3" xfId="13170" xr:uid="{00000000-0005-0000-0000-000072330000}"/>
    <cellStyle name="Normal 150 3 3 2" xfId="13171" xr:uid="{00000000-0005-0000-0000-000073330000}"/>
    <cellStyle name="Normal 150 3 3 2 2" xfId="13172" xr:uid="{00000000-0005-0000-0000-000074330000}"/>
    <cellStyle name="Normal 150 3 3 3" xfId="13173" xr:uid="{00000000-0005-0000-0000-000075330000}"/>
    <cellStyle name="Normal 150 3 4" xfId="13174" xr:uid="{00000000-0005-0000-0000-000076330000}"/>
    <cellStyle name="Normal 150 3 4 2" xfId="13175" xr:uid="{00000000-0005-0000-0000-000077330000}"/>
    <cellStyle name="Normal 150 3 4 2 2" xfId="13176" xr:uid="{00000000-0005-0000-0000-000078330000}"/>
    <cellStyle name="Normal 150 3 4 3" xfId="13177" xr:uid="{00000000-0005-0000-0000-000079330000}"/>
    <cellStyle name="Normal 150 3 5" xfId="13178" xr:uid="{00000000-0005-0000-0000-00007A330000}"/>
    <cellStyle name="Normal 150 3 5 2" xfId="13179" xr:uid="{00000000-0005-0000-0000-00007B330000}"/>
    <cellStyle name="Normal 150 3 5 2 2" xfId="13180" xr:uid="{00000000-0005-0000-0000-00007C330000}"/>
    <cellStyle name="Normal 150 3 5 3" xfId="13181" xr:uid="{00000000-0005-0000-0000-00007D330000}"/>
    <cellStyle name="Normal 150 3 6" xfId="13182" xr:uid="{00000000-0005-0000-0000-00007E330000}"/>
    <cellStyle name="Normal 150 4" xfId="13183" xr:uid="{00000000-0005-0000-0000-00007F330000}"/>
    <cellStyle name="Normal 150 4 2" xfId="13184" xr:uid="{00000000-0005-0000-0000-000080330000}"/>
    <cellStyle name="Normal 150 4 2 2" xfId="13185" xr:uid="{00000000-0005-0000-0000-000081330000}"/>
    <cellStyle name="Normal 150 4 3" xfId="13186" xr:uid="{00000000-0005-0000-0000-000082330000}"/>
    <cellStyle name="Normal 150 5" xfId="13187" xr:uid="{00000000-0005-0000-0000-000083330000}"/>
    <cellStyle name="Normal 150 5 2" xfId="13188" xr:uid="{00000000-0005-0000-0000-000084330000}"/>
    <cellStyle name="Normal 150 5 2 2" xfId="13189" xr:uid="{00000000-0005-0000-0000-000085330000}"/>
    <cellStyle name="Normal 150 5 3" xfId="13190" xr:uid="{00000000-0005-0000-0000-000086330000}"/>
    <cellStyle name="Normal 150 6" xfId="13191" xr:uid="{00000000-0005-0000-0000-000087330000}"/>
    <cellStyle name="Normal 150 6 2" xfId="13192" xr:uid="{00000000-0005-0000-0000-000088330000}"/>
    <cellStyle name="Normal 150 6 2 2" xfId="13193" xr:uid="{00000000-0005-0000-0000-000089330000}"/>
    <cellStyle name="Normal 150 6 3" xfId="13194" xr:uid="{00000000-0005-0000-0000-00008A330000}"/>
    <cellStyle name="Normal 150 7" xfId="13195" xr:uid="{00000000-0005-0000-0000-00008B330000}"/>
    <cellStyle name="Normal 151" xfId="13196" xr:uid="{00000000-0005-0000-0000-00008C330000}"/>
    <cellStyle name="Normal 151 2" xfId="13197" xr:uid="{00000000-0005-0000-0000-00008D330000}"/>
    <cellStyle name="Normal 151 2 2" xfId="13198" xr:uid="{00000000-0005-0000-0000-00008E330000}"/>
    <cellStyle name="Normal 151 2 2 2" xfId="13199" xr:uid="{00000000-0005-0000-0000-00008F330000}"/>
    <cellStyle name="Normal 151 2 3" xfId="13200" xr:uid="{00000000-0005-0000-0000-000090330000}"/>
    <cellStyle name="Normal 151 2 3 2" xfId="13201" xr:uid="{00000000-0005-0000-0000-000091330000}"/>
    <cellStyle name="Normal 151 2 3 2 2" xfId="13202" xr:uid="{00000000-0005-0000-0000-000092330000}"/>
    <cellStyle name="Normal 151 2 3 3" xfId="13203" xr:uid="{00000000-0005-0000-0000-000093330000}"/>
    <cellStyle name="Normal 151 2 4" xfId="13204" xr:uid="{00000000-0005-0000-0000-000094330000}"/>
    <cellStyle name="Normal 151 2 4 2" xfId="13205" xr:uid="{00000000-0005-0000-0000-000095330000}"/>
    <cellStyle name="Normal 151 2 4 2 2" xfId="13206" xr:uid="{00000000-0005-0000-0000-000096330000}"/>
    <cellStyle name="Normal 151 2 4 3" xfId="13207" xr:uid="{00000000-0005-0000-0000-000097330000}"/>
    <cellStyle name="Normal 151 2 5" xfId="13208" xr:uid="{00000000-0005-0000-0000-000098330000}"/>
    <cellStyle name="Normal 151 3" xfId="13209" xr:uid="{00000000-0005-0000-0000-000099330000}"/>
    <cellStyle name="Normal 151 3 2" xfId="13210" xr:uid="{00000000-0005-0000-0000-00009A330000}"/>
    <cellStyle name="Normal 151 3 2 2" xfId="13211" xr:uid="{00000000-0005-0000-0000-00009B330000}"/>
    <cellStyle name="Normal 151 3 2 2 2" xfId="13212" xr:uid="{00000000-0005-0000-0000-00009C330000}"/>
    <cellStyle name="Normal 151 3 2 3" xfId="13213" xr:uid="{00000000-0005-0000-0000-00009D330000}"/>
    <cellStyle name="Normal 151 3 2 3 2" xfId="13214" xr:uid="{00000000-0005-0000-0000-00009E330000}"/>
    <cellStyle name="Normal 151 3 2 3 2 2" xfId="13215" xr:uid="{00000000-0005-0000-0000-00009F330000}"/>
    <cellStyle name="Normal 151 3 2 3 3" xfId="13216" xr:uid="{00000000-0005-0000-0000-0000A0330000}"/>
    <cellStyle name="Normal 151 3 2 4" xfId="13217" xr:uid="{00000000-0005-0000-0000-0000A1330000}"/>
    <cellStyle name="Normal 151 3 3" xfId="13218" xr:uid="{00000000-0005-0000-0000-0000A2330000}"/>
    <cellStyle name="Normal 151 3 3 2" xfId="13219" xr:uid="{00000000-0005-0000-0000-0000A3330000}"/>
    <cellStyle name="Normal 151 3 3 2 2" xfId="13220" xr:uid="{00000000-0005-0000-0000-0000A4330000}"/>
    <cellStyle name="Normal 151 3 3 3" xfId="13221" xr:uid="{00000000-0005-0000-0000-0000A5330000}"/>
    <cellStyle name="Normal 151 3 4" xfId="13222" xr:uid="{00000000-0005-0000-0000-0000A6330000}"/>
    <cellStyle name="Normal 151 3 4 2" xfId="13223" xr:uid="{00000000-0005-0000-0000-0000A7330000}"/>
    <cellStyle name="Normal 151 3 4 2 2" xfId="13224" xr:uid="{00000000-0005-0000-0000-0000A8330000}"/>
    <cellStyle name="Normal 151 3 4 3" xfId="13225" xr:uid="{00000000-0005-0000-0000-0000A9330000}"/>
    <cellStyle name="Normal 151 3 5" xfId="13226" xr:uid="{00000000-0005-0000-0000-0000AA330000}"/>
    <cellStyle name="Normal 151 3 5 2" xfId="13227" xr:uid="{00000000-0005-0000-0000-0000AB330000}"/>
    <cellStyle name="Normal 151 3 5 2 2" xfId="13228" xr:uid="{00000000-0005-0000-0000-0000AC330000}"/>
    <cellStyle name="Normal 151 3 5 3" xfId="13229" xr:uid="{00000000-0005-0000-0000-0000AD330000}"/>
    <cellStyle name="Normal 151 3 6" xfId="13230" xr:uid="{00000000-0005-0000-0000-0000AE330000}"/>
    <cellStyle name="Normal 151 4" xfId="13231" xr:uid="{00000000-0005-0000-0000-0000AF330000}"/>
    <cellStyle name="Normal 151 4 2" xfId="13232" xr:uid="{00000000-0005-0000-0000-0000B0330000}"/>
    <cellStyle name="Normal 151 4 2 2" xfId="13233" xr:uid="{00000000-0005-0000-0000-0000B1330000}"/>
    <cellStyle name="Normal 151 4 3" xfId="13234" xr:uid="{00000000-0005-0000-0000-0000B2330000}"/>
    <cellStyle name="Normal 151 5" xfId="13235" xr:uid="{00000000-0005-0000-0000-0000B3330000}"/>
    <cellStyle name="Normal 151 5 2" xfId="13236" xr:uid="{00000000-0005-0000-0000-0000B4330000}"/>
    <cellStyle name="Normal 151 5 2 2" xfId="13237" xr:uid="{00000000-0005-0000-0000-0000B5330000}"/>
    <cellStyle name="Normal 151 5 3" xfId="13238" xr:uid="{00000000-0005-0000-0000-0000B6330000}"/>
    <cellStyle name="Normal 151 6" xfId="13239" xr:uid="{00000000-0005-0000-0000-0000B7330000}"/>
    <cellStyle name="Normal 151 6 2" xfId="13240" xr:uid="{00000000-0005-0000-0000-0000B8330000}"/>
    <cellStyle name="Normal 151 6 2 2" xfId="13241" xr:uid="{00000000-0005-0000-0000-0000B9330000}"/>
    <cellStyle name="Normal 151 6 3" xfId="13242" xr:uid="{00000000-0005-0000-0000-0000BA330000}"/>
    <cellStyle name="Normal 151 7" xfId="13243" xr:uid="{00000000-0005-0000-0000-0000BB330000}"/>
    <cellStyle name="Normal 152" xfId="13244" xr:uid="{00000000-0005-0000-0000-0000BC330000}"/>
    <cellStyle name="Normal 152 2" xfId="13245" xr:uid="{00000000-0005-0000-0000-0000BD330000}"/>
    <cellStyle name="Normal 152 2 2" xfId="13246" xr:uid="{00000000-0005-0000-0000-0000BE330000}"/>
    <cellStyle name="Normal 152 2 2 2" xfId="13247" xr:uid="{00000000-0005-0000-0000-0000BF330000}"/>
    <cellStyle name="Normal 152 2 3" xfId="13248" xr:uid="{00000000-0005-0000-0000-0000C0330000}"/>
    <cellStyle name="Normal 152 2 3 2" xfId="13249" xr:uid="{00000000-0005-0000-0000-0000C1330000}"/>
    <cellStyle name="Normal 152 2 3 2 2" xfId="13250" xr:uid="{00000000-0005-0000-0000-0000C2330000}"/>
    <cellStyle name="Normal 152 2 3 3" xfId="13251" xr:uid="{00000000-0005-0000-0000-0000C3330000}"/>
    <cellStyle name="Normal 152 2 4" xfId="13252" xr:uid="{00000000-0005-0000-0000-0000C4330000}"/>
    <cellStyle name="Normal 152 2 4 2" xfId="13253" xr:uid="{00000000-0005-0000-0000-0000C5330000}"/>
    <cellStyle name="Normal 152 2 4 2 2" xfId="13254" xr:uid="{00000000-0005-0000-0000-0000C6330000}"/>
    <cellStyle name="Normal 152 2 4 3" xfId="13255" xr:uid="{00000000-0005-0000-0000-0000C7330000}"/>
    <cellStyle name="Normal 152 2 5" xfId="13256" xr:uid="{00000000-0005-0000-0000-0000C8330000}"/>
    <cellStyle name="Normal 152 3" xfId="13257" xr:uid="{00000000-0005-0000-0000-0000C9330000}"/>
    <cellStyle name="Normal 152 3 2" xfId="13258" xr:uid="{00000000-0005-0000-0000-0000CA330000}"/>
    <cellStyle name="Normal 152 3 2 2" xfId="13259" xr:uid="{00000000-0005-0000-0000-0000CB330000}"/>
    <cellStyle name="Normal 152 3 2 2 2" xfId="13260" xr:uid="{00000000-0005-0000-0000-0000CC330000}"/>
    <cellStyle name="Normal 152 3 2 3" xfId="13261" xr:uid="{00000000-0005-0000-0000-0000CD330000}"/>
    <cellStyle name="Normal 152 3 2 3 2" xfId="13262" xr:uid="{00000000-0005-0000-0000-0000CE330000}"/>
    <cellStyle name="Normal 152 3 2 3 2 2" xfId="13263" xr:uid="{00000000-0005-0000-0000-0000CF330000}"/>
    <cellStyle name="Normal 152 3 2 3 3" xfId="13264" xr:uid="{00000000-0005-0000-0000-0000D0330000}"/>
    <cellStyle name="Normal 152 3 2 4" xfId="13265" xr:uid="{00000000-0005-0000-0000-0000D1330000}"/>
    <cellStyle name="Normal 152 3 3" xfId="13266" xr:uid="{00000000-0005-0000-0000-0000D2330000}"/>
    <cellStyle name="Normal 152 3 3 2" xfId="13267" xr:uid="{00000000-0005-0000-0000-0000D3330000}"/>
    <cellStyle name="Normal 152 3 3 2 2" xfId="13268" xr:uid="{00000000-0005-0000-0000-0000D4330000}"/>
    <cellStyle name="Normal 152 3 3 3" xfId="13269" xr:uid="{00000000-0005-0000-0000-0000D5330000}"/>
    <cellStyle name="Normal 152 3 4" xfId="13270" xr:uid="{00000000-0005-0000-0000-0000D6330000}"/>
    <cellStyle name="Normal 152 3 4 2" xfId="13271" xr:uid="{00000000-0005-0000-0000-0000D7330000}"/>
    <cellStyle name="Normal 152 3 4 2 2" xfId="13272" xr:uid="{00000000-0005-0000-0000-0000D8330000}"/>
    <cellStyle name="Normal 152 3 4 3" xfId="13273" xr:uid="{00000000-0005-0000-0000-0000D9330000}"/>
    <cellStyle name="Normal 152 3 5" xfId="13274" xr:uid="{00000000-0005-0000-0000-0000DA330000}"/>
    <cellStyle name="Normal 152 3 5 2" xfId="13275" xr:uid="{00000000-0005-0000-0000-0000DB330000}"/>
    <cellStyle name="Normal 152 3 5 2 2" xfId="13276" xr:uid="{00000000-0005-0000-0000-0000DC330000}"/>
    <cellStyle name="Normal 152 3 5 3" xfId="13277" xr:uid="{00000000-0005-0000-0000-0000DD330000}"/>
    <cellStyle name="Normal 152 3 6" xfId="13278" xr:uid="{00000000-0005-0000-0000-0000DE330000}"/>
    <cellStyle name="Normal 152 4" xfId="13279" xr:uid="{00000000-0005-0000-0000-0000DF330000}"/>
    <cellStyle name="Normal 152 4 2" xfId="13280" xr:uid="{00000000-0005-0000-0000-0000E0330000}"/>
    <cellStyle name="Normal 152 4 2 2" xfId="13281" xr:uid="{00000000-0005-0000-0000-0000E1330000}"/>
    <cellStyle name="Normal 152 4 3" xfId="13282" xr:uid="{00000000-0005-0000-0000-0000E2330000}"/>
    <cellStyle name="Normal 152 5" xfId="13283" xr:uid="{00000000-0005-0000-0000-0000E3330000}"/>
    <cellStyle name="Normal 152 5 2" xfId="13284" xr:uid="{00000000-0005-0000-0000-0000E4330000}"/>
    <cellStyle name="Normal 152 5 2 2" xfId="13285" xr:uid="{00000000-0005-0000-0000-0000E5330000}"/>
    <cellStyle name="Normal 152 5 3" xfId="13286" xr:uid="{00000000-0005-0000-0000-0000E6330000}"/>
    <cellStyle name="Normal 152 6" xfId="13287" xr:uid="{00000000-0005-0000-0000-0000E7330000}"/>
    <cellStyle name="Normal 152 6 2" xfId="13288" xr:uid="{00000000-0005-0000-0000-0000E8330000}"/>
    <cellStyle name="Normal 152 6 2 2" xfId="13289" xr:uid="{00000000-0005-0000-0000-0000E9330000}"/>
    <cellStyle name="Normal 152 6 3" xfId="13290" xr:uid="{00000000-0005-0000-0000-0000EA330000}"/>
    <cellStyle name="Normal 152 7" xfId="13291" xr:uid="{00000000-0005-0000-0000-0000EB330000}"/>
    <cellStyle name="Normal 153" xfId="13292" xr:uid="{00000000-0005-0000-0000-0000EC330000}"/>
    <cellStyle name="Normal 153 2" xfId="13293" xr:uid="{00000000-0005-0000-0000-0000ED330000}"/>
    <cellStyle name="Normal 153 2 2" xfId="13294" xr:uid="{00000000-0005-0000-0000-0000EE330000}"/>
    <cellStyle name="Normal 153 2 2 2" xfId="13295" xr:uid="{00000000-0005-0000-0000-0000EF330000}"/>
    <cellStyle name="Normal 153 2 3" xfId="13296" xr:uid="{00000000-0005-0000-0000-0000F0330000}"/>
    <cellStyle name="Normal 153 2 3 2" xfId="13297" xr:uid="{00000000-0005-0000-0000-0000F1330000}"/>
    <cellStyle name="Normal 153 2 3 2 2" xfId="13298" xr:uid="{00000000-0005-0000-0000-0000F2330000}"/>
    <cellStyle name="Normal 153 2 3 3" xfId="13299" xr:uid="{00000000-0005-0000-0000-0000F3330000}"/>
    <cellStyle name="Normal 153 2 4" xfId="13300" xr:uid="{00000000-0005-0000-0000-0000F4330000}"/>
    <cellStyle name="Normal 153 2 4 2" xfId="13301" xr:uid="{00000000-0005-0000-0000-0000F5330000}"/>
    <cellStyle name="Normal 153 2 4 2 2" xfId="13302" xr:uid="{00000000-0005-0000-0000-0000F6330000}"/>
    <cellStyle name="Normal 153 2 4 3" xfId="13303" xr:uid="{00000000-0005-0000-0000-0000F7330000}"/>
    <cellStyle name="Normal 153 2 5" xfId="13304" xr:uid="{00000000-0005-0000-0000-0000F8330000}"/>
    <cellStyle name="Normal 153 3" xfId="13305" xr:uid="{00000000-0005-0000-0000-0000F9330000}"/>
    <cellStyle name="Normal 153 3 2" xfId="13306" xr:uid="{00000000-0005-0000-0000-0000FA330000}"/>
    <cellStyle name="Normal 153 3 2 2" xfId="13307" xr:uid="{00000000-0005-0000-0000-0000FB330000}"/>
    <cellStyle name="Normal 153 3 2 2 2" xfId="13308" xr:uid="{00000000-0005-0000-0000-0000FC330000}"/>
    <cellStyle name="Normal 153 3 2 3" xfId="13309" xr:uid="{00000000-0005-0000-0000-0000FD330000}"/>
    <cellStyle name="Normal 153 3 2 3 2" xfId="13310" xr:uid="{00000000-0005-0000-0000-0000FE330000}"/>
    <cellStyle name="Normal 153 3 2 3 2 2" xfId="13311" xr:uid="{00000000-0005-0000-0000-0000FF330000}"/>
    <cellStyle name="Normal 153 3 2 3 3" xfId="13312" xr:uid="{00000000-0005-0000-0000-000000340000}"/>
    <cellStyle name="Normal 153 3 2 4" xfId="13313" xr:uid="{00000000-0005-0000-0000-000001340000}"/>
    <cellStyle name="Normal 153 3 3" xfId="13314" xr:uid="{00000000-0005-0000-0000-000002340000}"/>
    <cellStyle name="Normal 153 3 3 2" xfId="13315" xr:uid="{00000000-0005-0000-0000-000003340000}"/>
    <cellStyle name="Normal 153 3 3 2 2" xfId="13316" xr:uid="{00000000-0005-0000-0000-000004340000}"/>
    <cellStyle name="Normal 153 3 3 3" xfId="13317" xr:uid="{00000000-0005-0000-0000-000005340000}"/>
    <cellStyle name="Normal 153 3 4" xfId="13318" xr:uid="{00000000-0005-0000-0000-000006340000}"/>
    <cellStyle name="Normal 153 3 4 2" xfId="13319" xr:uid="{00000000-0005-0000-0000-000007340000}"/>
    <cellStyle name="Normal 153 3 4 2 2" xfId="13320" xr:uid="{00000000-0005-0000-0000-000008340000}"/>
    <cellStyle name="Normal 153 3 4 3" xfId="13321" xr:uid="{00000000-0005-0000-0000-000009340000}"/>
    <cellStyle name="Normal 153 3 5" xfId="13322" xr:uid="{00000000-0005-0000-0000-00000A340000}"/>
    <cellStyle name="Normal 153 3 5 2" xfId="13323" xr:uid="{00000000-0005-0000-0000-00000B340000}"/>
    <cellStyle name="Normal 153 3 5 2 2" xfId="13324" xr:uid="{00000000-0005-0000-0000-00000C340000}"/>
    <cellStyle name="Normal 153 3 5 3" xfId="13325" xr:uid="{00000000-0005-0000-0000-00000D340000}"/>
    <cellStyle name="Normal 153 3 6" xfId="13326" xr:uid="{00000000-0005-0000-0000-00000E340000}"/>
    <cellStyle name="Normal 153 4" xfId="13327" xr:uid="{00000000-0005-0000-0000-00000F340000}"/>
    <cellStyle name="Normal 153 4 2" xfId="13328" xr:uid="{00000000-0005-0000-0000-000010340000}"/>
    <cellStyle name="Normal 153 4 2 2" xfId="13329" xr:uid="{00000000-0005-0000-0000-000011340000}"/>
    <cellStyle name="Normal 153 4 3" xfId="13330" xr:uid="{00000000-0005-0000-0000-000012340000}"/>
    <cellStyle name="Normal 153 5" xfId="13331" xr:uid="{00000000-0005-0000-0000-000013340000}"/>
    <cellStyle name="Normal 153 5 2" xfId="13332" xr:uid="{00000000-0005-0000-0000-000014340000}"/>
    <cellStyle name="Normal 153 5 2 2" xfId="13333" xr:uid="{00000000-0005-0000-0000-000015340000}"/>
    <cellStyle name="Normal 153 5 3" xfId="13334" xr:uid="{00000000-0005-0000-0000-000016340000}"/>
    <cellStyle name="Normal 153 6" xfId="13335" xr:uid="{00000000-0005-0000-0000-000017340000}"/>
    <cellStyle name="Normal 153 6 2" xfId="13336" xr:uid="{00000000-0005-0000-0000-000018340000}"/>
    <cellStyle name="Normal 153 6 2 2" xfId="13337" xr:uid="{00000000-0005-0000-0000-000019340000}"/>
    <cellStyle name="Normal 153 6 3" xfId="13338" xr:uid="{00000000-0005-0000-0000-00001A340000}"/>
    <cellStyle name="Normal 153 7" xfId="13339" xr:uid="{00000000-0005-0000-0000-00001B340000}"/>
    <cellStyle name="Normal 154" xfId="13340" xr:uid="{00000000-0005-0000-0000-00001C340000}"/>
    <cellStyle name="Normal 154 2" xfId="13341" xr:uid="{00000000-0005-0000-0000-00001D340000}"/>
    <cellStyle name="Normal 154 2 2" xfId="13342" xr:uid="{00000000-0005-0000-0000-00001E340000}"/>
    <cellStyle name="Normal 154 2 2 2" xfId="13343" xr:uid="{00000000-0005-0000-0000-00001F340000}"/>
    <cellStyle name="Normal 154 2 3" xfId="13344" xr:uid="{00000000-0005-0000-0000-000020340000}"/>
    <cellStyle name="Normal 154 2 3 2" xfId="13345" xr:uid="{00000000-0005-0000-0000-000021340000}"/>
    <cellStyle name="Normal 154 2 3 2 2" xfId="13346" xr:uid="{00000000-0005-0000-0000-000022340000}"/>
    <cellStyle name="Normal 154 2 3 3" xfId="13347" xr:uid="{00000000-0005-0000-0000-000023340000}"/>
    <cellStyle name="Normal 154 2 4" xfId="13348" xr:uid="{00000000-0005-0000-0000-000024340000}"/>
    <cellStyle name="Normal 154 2 4 2" xfId="13349" xr:uid="{00000000-0005-0000-0000-000025340000}"/>
    <cellStyle name="Normal 154 2 4 2 2" xfId="13350" xr:uid="{00000000-0005-0000-0000-000026340000}"/>
    <cellStyle name="Normal 154 2 4 3" xfId="13351" xr:uid="{00000000-0005-0000-0000-000027340000}"/>
    <cellStyle name="Normal 154 2 5" xfId="13352" xr:uid="{00000000-0005-0000-0000-000028340000}"/>
    <cellStyle name="Normal 154 3" xfId="13353" xr:uid="{00000000-0005-0000-0000-000029340000}"/>
    <cellStyle name="Normal 154 3 2" xfId="13354" xr:uid="{00000000-0005-0000-0000-00002A340000}"/>
    <cellStyle name="Normal 154 3 2 2" xfId="13355" xr:uid="{00000000-0005-0000-0000-00002B340000}"/>
    <cellStyle name="Normal 154 3 2 2 2" xfId="13356" xr:uid="{00000000-0005-0000-0000-00002C340000}"/>
    <cellStyle name="Normal 154 3 2 3" xfId="13357" xr:uid="{00000000-0005-0000-0000-00002D340000}"/>
    <cellStyle name="Normal 154 3 2 3 2" xfId="13358" xr:uid="{00000000-0005-0000-0000-00002E340000}"/>
    <cellStyle name="Normal 154 3 2 3 2 2" xfId="13359" xr:uid="{00000000-0005-0000-0000-00002F340000}"/>
    <cellStyle name="Normal 154 3 2 3 3" xfId="13360" xr:uid="{00000000-0005-0000-0000-000030340000}"/>
    <cellStyle name="Normal 154 3 2 4" xfId="13361" xr:uid="{00000000-0005-0000-0000-000031340000}"/>
    <cellStyle name="Normal 154 3 3" xfId="13362" xr:uid="{00000000-0005-0000-0000-000032340000}"/>
    <cellStyle name="Normal 154 3 3 2" xfId="13363" xr:uid="{00000000-0005-0000-0000-000033340000}"/>
    <cellStyle name="Normal 154 3 3 2 2" xfId="13364" xr:uid="{00000000-0005-0000-0000-000034340000}"/>
    <cellStyle name="Normal 154 3 3 3" xfId="13365" xr:uid="{00000000-0005-0000-0000-000035340000}"/>
    <cellStyle name="Normal 154 3 4" xfId="13366" xr:uid="{00000000-0005-0000-0000-000036340000}"/>
    <cellStyle name="Normal 154 3 4 2" xfId="13367" xr:uid="{00000000-0005-0000-0000-000037340000}"/>
    <cellStyle name="Normal 154 3 4 2 2" xfId="13368" xr:uid="{00000000-0005-0000-0000-000038340000}"/>
    <cellStyle name="Normal 154 3 4 3" xfId="13369" xr:uid="{00000000-0005-0000-0000-000039340000}"/>
    <cellStyle name="Normal 154 3 5" xfId="13370" xr:uid="{00000000-0005-0000-0000-00003A340000}"/>
    <cellStyle name="Normal 154 3 5 2" xfId="13371" xr:uid="{00000000-0005-0000-0000-00003B340000}"/>
    <cellStyle name="Normal 154 3 5 2 2" xfId="13372" xr:uid="{00000000-0005-0000-0000-00003C340000}"/>
    <cellStyle name="Normal 154 3 5 3" xfId="13373" xr:uid="{00000000-0005-0000-0000-00003D340000}"/>
    <cellStyle name="Normal 154 3 6" xfId="13374" xr:uid="{00000000-0005-0000-0000-00003E340000}"/>
    <cellStyle name="Normal 154 4" xfId="13375" xr:uid="{00000000-0005-0000-0000-00003F340000}"/>
    <cellStyle name="Normal 154 4 2" xfId="13376" xr:uid="{00000000-0005-0000-0000-000040340000}"/>
    <cellStyle name="Normal 154 4 2 2" xfId="13377" xr:uid="{00000000-0005-0000-0000-000041340000}"/>
    <cellStyle name="Normal 154 4 3" xfId="13378" xr:uid="{00000000-0005-0000-0000-000042340000}"/>
    <cellStyle name="Normal 154 5" xfId="13379" xr:uid="{00000000-0005-0000-0000-000043340000}"/>
    <cellStyle name="Normal 154 5 2" xfId="13380" xr:uid="{00000000-0005-0000-0000-000044340000}"/>
    <cellStyle name="Normal 154 5 2 2" xfId="13381" xr:uid="{00000000-0005-0000-0000-000045340000}"/>
    <cellStyle name="Normal 154 5 3" xfId="13382" xr:uid="{00000000-0005-0000-0000-000046340000}"/>
    <cellStyle name="Normal 154 6" xfId="13383" xr:uid="{00000000-0005-0000-0000-000047340000}"/>
    <cellStyle name="Normal 154 6 2" xfId="13384" xr:uid="{00000000-0005-0000-0000-000048340000}"/>
    <cellStyle name="Normal 154 6 2 2" xfId="13385" xr:uid="{00000000-0005-0000-0000-000049340000}"/>
    <cellStyle name="Normal 154 6 3" xfId="13386" xr:uid="{00000000-0005-0000-0000-00004A340000}"/>
    <cellStyle name="Normal 154 7" xfId="13387" xr:uid="{00000000-0005-0000-0000-00004B340000}"/>
    <cellStyle name="Normal 155" xfId="13388" xr:uid="{00000000-0005-0000-0000-00004C340000}"/>
    <cellStyle name="Normal 155 2" xfId="13389" xr:uid="{00000000-0005-0000-0000-00004D340000}"/>
    <cellStyle name="Normal 155 2 2" xfId="13390" xr:uid="{00000000-0005-0000-0000-00004E340000}"/>
    <cellStyle name="Normal 155 2 2 2" xfId="13391" xr:uid="{00000000-0005-0000-0000-00004F340000}"/>
    <cellStyle name="Normal 155 2 3" xfId="13392" xr:uid="{00000000-0005-0000-0000-000050340000}"/>
    <cellStyle name="Normal 155 2 3 2" xfId="13393" xr:uid="{00000000-0005-0000-0000-000051340000}"/>
    <cellStyle name="Normal 155 2 3 2 2" xfId="13394" xr:uid="{00000000-0005-0000-0000-000052340000}"/>
    <cellStyle name="Normal 155 2 3 3" xfId="13395" xr:uid="{00000000-0005-0000-0000-000053340000}"/>
    <cellStyle name="Normal 155 2 4" xfId="13396" xr:uid="{00000000-0005-0000-0000-000054340000}"/>
    <cellStyle name="Normal 155 2 4 2" xfId="13397" xr:uid="{00000000-0005-0000-0000-000055340000}"/>
    <cellStyle name="Normal 155 2 4 2 2" xfId="13398" xr:uid="{00000000-0005-0000-0000-000056340000}"/>
    <cellStyle name="Normal 155 2 4 3" xfId="13399" xr:uid="{00000000-0005-0000-0000-000057340000}"/>
    <cellStyle name="Normal 155 2 5" xfId="13400" xr:uid="{00000000-0005-0000-0000-000058340000}"/>
    <cellStyle name="Normal 155 3" xfId="13401" xr:uid="{00000000-0005-0000-0000-000059340000}"/>
    <cellStyle name="Normal 155 3 2" xfId="13402" xr:uid="{00000000-0005-0000-0000-00005A340000}"/>
    <cellStyle name="Normal 155 3 2 2" xfId="13403" xr:uid="{00000000-0005-0000-0000-00005B340000}"/>
    <cellStyle name="Normal 155 3 2 2 2" xfId="13404" xr:uid="{00000000-0005-0000-0000-00005C340000}"/>
    <cellStyle name="Normal 155 3 2 3" xfId="13405" xr:uid="{00000000-0005-0000-0000-00005D340000}"/>
    <cellStyle name="Normal 155 3 2 3 2" xfId="13406" xr:uid="{00000000-0005-0000-0000-00005E340000}"/>
    <cellStyle name="Normal 155 3 2 3 2 2" xfId="13407" xr:uid="{00000000-0005-0000-0000-00005F340000}"/>
    <cellStyle name="Normal 155 3 2 3 3" xfId="13408" xr:uid="{00000000-0005-0000-0000-000060340000}"/>
    <cellStyle name="Normal 155 3 2 4" xfId="13409" xr:uid="{00000000-0005-0000-0000-000061340000}"/>
    <cellStyle name="Normal 155 3 3" xfId="13410" xr:uid="{00000000-0005-0000-0000-000062340000}"/>
    <cellStyle name="Normal 155 3 3 2" xfId="13411" xr:uid="{00000000-0005-0000-0000-000063340000}"/>
    <cellStyle name="Normal 155 3 3 2 2" xfId="13412" xr:uid="{00000000-0005-0000-0000-000064340000}"/>
    <cellStyle name="Normal 155 3 3 3" xfId="13413" xr:uid="{00000000-0005-0000-0000-000065340000}"/>
    <cellStyle name="Normal 155 3 4" xfId="13414" xr:uid="{00000000-0005-0000-0000-000066340000}"/>
    <cellStyle name="Normal 155 3 4 2" xfId="13415" xr:uid="{00000000-0005-0000-0000-000067340000}"/>
    <cellStyle name="Normal 155 3 4 2 2" xfId="13416" xr:uid="{00000000-0005-0000-0000-000068340000}"/>
    <cellStyle name="Normal 155 3 4 3" xfId="13417" xr:uid="{00000000-0005-0000-0000-000069340000}"/>
    <cellStyle name="Normal 155 3 5" xfId="13418" xr:uid="{00000000-0005-0000-0000-00006A340000}"/>
    <cellStyle name="Normal 155 3 5 2" xfId="13419" xr:uid="{00000000-0005-0000-0000-00006B340000}"/>
    <cellStyle name="Normal 155 3 5 2 2" xfId="13420" xr:uid="{00000000-0005-0000-0000-00006C340000}"/>
    <cellStyle name="Normal 155 3 5 3" xfId="13421" xr:uid="{00000000-0005-0000-0000-00006D340000}"/>
    <cellStyle name="Normal 155 3 6" xfId="13422" xr:uid="{00000000-0005-0000-0000-00006E340000}"/>
    <cellStyle name="Normal 155 4" xfId="13423" xr:uid="{00000000-0005-0000-0000-00006F340000}"/>
    <cellStyle name="Normal 155 4 2" xfId="13424" xr:uid="{00000000-0005-0000-0000-000070340000}"/>
    <cellStyle name="Normal 155 4 2 2" xfId="13425" xr:uid="{00000000-0005-0000-0000-000071340000}"/>
    <cellStyle name="Normal 155 4 3" xfId="13426" xr:uid="{00000000-0005-0000-0000-000072340000}"/>
    <cellStyle name="Normal 155 5" xfId="13427" xr:uid="{00000000-0005-0000-0000-000073340000}"/>
    <cellStyle name="Normal 155 5 2" xfId="13428" xr:uid="{00000000-0005-0000-0000-000074340000}"/>
    <cellStyle name="Normal 155 5 2 2" xfId="13429" xr:uid="{00000000-0005-0000-0000-000075340000}"/>
    <cellStyle name="Normal 155 5 3" xfId="13430" xr:uid="{00000000-0005-0000-0000-000076340000}"/>
    <cellStyle name="Normal 155 6" xfId="13431" xr:uid="{00000000-0005-0000-0000-000077340000}"/>
    <cellStyle name="Normal 155 6 2" xfId="13432" xr:uid="{00000000-0005-0000-0000-000078340000}"/>
    <cellStyle name="Normal 155 6 2 2" xfId="13433" xr:uid="{00000000-0005-0000-0000-000079340000}"/>
    <cellStyle name="Normal 155 6 3" xfId="13434" xr:uid="{00000000-0005-0000-0000-00007A340000}"/>
    <cellStyle name="Normal 155 7" xfId="13435" xr:uid="{00000000-0005-0000-0000-00007B340000}"/>
    <cellStyle name="Normal 156" xfId="13436" xr:uid="{00000000-0005-0000-0000-00007C340000}"/>
    <cellStyle name="Normal 156 2" xfId="13437" xr:uid="{00000000-0005-0000-0000-00007D340000}"/>
    <cellStyle name="Normal 156 2 2" xfId="13438" xr:uid="{00000000-0005-0000-0000-00007E340000}"/>
    <cellStyle name="Normal 156 2 2 2" xfId="13439" xr:uid="{00000000-0005-0000-0000-00007F340000}"/>
    <cellStyle name="Normal 156 2 3" xfId="13440" xr:uid="{00000000-0005-0000-0000-000080340000}"/>
    <cellStyle name="Normal 156 2 3 2" xfId="13441" xr:uid="{00000000-0005-0000-0000-000081340000}"/>
    <cellStyle name="Normal 156 2 3 2 2" xfId="13442" xr:uid="{00000000-0005-0000-0000-000082340000}"/>
    <cellStyle name="Normal 156 2 3 3" xfId="13443" xr:uid="{00000000-0005-0000-0000-000083340000}"/>
    <cellStyle name="Normal 156 2 4" xfId="13444" xr:uid="{00000000-0005-0000-0000-000084340000}"/>
    <cellStyle name="Normal 156 2 4 2" xfId="13445" xr:uid="{00000000-0005-0000-0000-000085340000}"/>
    <cellStyle name="Normal 156 2 4 2 2" xfId="13446" xr:uid="{00000000-0005-0000-0000-000086340000}"/>
    <cellStyle name="Normal 156 2 4 3" xfId="13447" xr:uid="{00000000-0005-0000-0000-000087340000}"/>
    <cellStyle name="Normal 156 2 5" xfId="13448" xr:uid="{00000000-0005-0000-0000-000088340000}"/>
    <cellStyle name="Normal 156 3" xfId="13449" xr:uid="{00000000-0005-0000-0000-000089340000}"/>
    <cellStyle name="Normal 156 3 2" xfId="13450" xr:uid="{00000000-0005-0000-0000-00008A340000}"/>
    <cellStyle name="Normal 156 3 2 2" xfId="13451" xr:uid="{00000000-0005-0000-0000-00008B340000}"/>
    <cellStyle name="Normal 156 3 2 2 2" xfId="13452" xr:uid="{00000000-0005-0000-0000-00008C340000}"/>
    <cellStyle name="Normal 156 3 2 3" xfId="13453" xr:uid="{00000000-0005-0000-0000-00008D340000}"/>
    <cellStyle name="Normal 156 3 2 3 2" xfId="13454" xr:uid="{00000000-0005-0000-0000-00008E340000}"/>
    <cellStyle name="Normal 156 3 2 3 2 2" xfId="13455" xr:uid="{00000000-0005-0000-0000-00008F340000}"/>
    <cellStyle name="Normal 156 3 2 3 3" xfId="13456" xr:uid="{00000000-0005-0000-0000-000090340000}"/>
    <cellStyle name="Normal 156 3 2 4" xfId="13457" xr:uid="{00000000-0005-0000-0000-000091340000}"/>
    <cellStyle name="Normal 156 3 3" xfId="13458" xr:uid="{00000000-0005-0000-0000-000092340000}"/>
    <cellStyle name="Normal 156 3 3 2" xfId="13459" xr:uid="{00000000-0005-0000-0000-000093340000}"/>
    <cellStyle name="Normal 156 3 3 2 2" xfId="13460" xr:uid="{00000000-0005-0000-0000-000094340000}"/>
    <cellStyle name="Normal 156 3 3 3" xfId="13461" xr:uid="{00000000-0005-0000-0000-000095340000}"/>
    <cellStyle name="Normal 156 3 4" xfId="13462" xr:uid="{00000000-0005-0000-0000-000096340000}"/>
    <cellStyle name="Normal 156 3 4 2" xfId="13463" xr:uid="{00000000-0005-0000-0000-000097340000}"/>
    <cellStyle name="Normal 156 3 4 2 2" xfId="13464" xr:uid="{00000000-0005-0000-0000-000098340000}"/>
    <cellStyle name="Normal 156 3 4 3" xfId="13465" xr:uid="{00000000-0005-0000-0000-000099340000}"/>
    <cellStyle name="Normal 156 3 5" xfId="13466" xr:uid="{00000000-0005-0000-0000-00009A340000}"/>
    <cellStyle name="Normal 156 3 5 2" xfId="13467" xr:uid="{00000000-0005-0000-0000-00009B340000}"/>
    <cellStyle name="Normal 156 3 5 2 2" xfId="13468" xr:uid="{00000000-0005-0000-0000-00009C340000}"/>
    <cellStyle name="Normal 156 3 5 3" xfId="13469" xr:uid="{00000000-0005-0000-0000-00009D340000}"/>
    <cellStyle name="Normal 156 3 6" xfId="13470" xr:uid="{00000000-0005-0000-0000-00009E340000}"/>
    <cellStyle name="Normal 156 4" xfId="13471" xr:uid="{00000000-0005-0000-0000-00009F340000}"/>
    <cellStyle name="Normal 156 4 2" xfId="13472" xr:uid="{00000000-0005-0000-0000-0000A0340000}"/>
    <cellStyle name="Normal 156 4 2 2" xfId="13473" xr:uid="{00000000-0005-0000-0000-0000A1340000}"/>
    <cellStyle name="Normal 156 4 3" xfId="13474" xr:uid="{00000000-0005-0000-0000-0000A2340000}"/>
    <cellStyle name="Normal 156 5" xfId="13475" xr:uid="{00000000-0005-0000-0000-0000A3340000}"/>
    <cellStyle name="Normal 156 5 2" xfId="13476" xr:uid="{00000000-0005-0000-0000-0000A4340000}"/>
    <cellStyle name="Normal 156 5 2 2" xfId="13477" xr:uid="{00000000-0005-0000-0000-0000A5340000}"/>
    <cellStyle name="Normal 156 5 3" xfId="13478" xr:uid="{00000000-0005-0000-0000-0000A6340000}"/>
    <cellStyle name="Normal 156 6" xfId="13479" xr:uid="{00000000-0005-0000-0000-0000A7340000}"/>
    <cellStyle name="Normal 156 6 2" xfId="13480" xr:uid="{00000000-0005-0000-0000-0000A8340000}"/>
    <cellStyle name="Normal 156 6 2 2" xfId="13481" xr:uid="{00000000-0005-0000-0000-0000A9340000}"/>
    <cellStyle name="Normal 156 6 3" xfId="13482" xr:uid="{00000000-0005-0000-0000-0000AA340000}"/>
    <cellStyle name="Normal 156 7" xfId="13483" xr:uid="{00000000-0005-0000-0000-0000AB340000}"/>
    <cellStyle name="Normal 157" xfId="13484" xr:uid="{00000000-0005-0000-0000-0000AC340000}"/>
    <cellStyle name="Normal 157 2" xfId="13485" xr:uid="{00000000-0005-0000-0000-0000AD340000}"/>
    <cellStyle name="Normal 157 2 2" xfId="13486" xr:uid="{00000000-0005-0000-0000-0000AE340000}"/>
    <cellStyle name="Normal 157 2 2 2" xfId="13487" xr:uid="{00000000-0005-0000-0000-0000AF340000}"/>
    <cellStyle name="Normal 157 2 3" xfId="13488" xr:uid="{00000000-0005-0000-0000-0000B0340000}"/>
    <cellStyle name="Normal 157 2 3 2" xfId="13489" xr:uid="{00000000-0005-0000-0000-0000B1340000}"/>
    <cellStyle name="Normal 157 2 3 2 2" xfId="13490" xr:uid="{00000000-0005-0000-0000-0000B2340000}"/>
    <cellStyle name="Normal 157 2 3 3" xfId="13491" xr:uid="{00000000-0005-0000-0000-0000B3340000}"/>
    <cellStyle name="Normal 157 2 4" xfId="13492" xr:uid="{00000000-0005-0000-0000-0000B4340000}"/>
    <cellStyle name="Normal 157 2 4 2" xfId="13493" xr:uid="{00000000-0005-0000-0000-0000B5340000}"/>
    <cellStyle name="Normal 157 2 4 2 2" xfId="13494" xr:uid="{00000000-0005-0000-0000-0000B6340000}"/>
    <cellStyle name="Normal 157 2 4 3" xfId="13495" xr:uid="{00000000-0005-0000-0000-0000B7340000}"/>
    <cellStyle name="Normal 157 2 5" xfId="13496" xr:uid="{00000000-0005-0000-0000-0000B8340000}"/>
    <cellStyle name="Normal 157 3" xfId="13497" xr:uid="{00000000-0005-0000-0000-0000B9340000}"/>
    <cellStyle name="Normal 157 3 2" xfId="13498" xr:uid="{00000000-0005-0000-0000-0000BA340000}"/>
    <cellStyle name="Normal 157 3 2 2" xfId="13499" xr:uid="{00000000-0005-0000-0000-0000BB340000}"/>
    <cellStyle name="Normal 157 3 2 2 2" xfId="13500" xr:uid="{00000000-0005-0000-0000-0000BC340000}"/>
    <cellStyle name="Normal 157 3 2 3" xfId="13501" xr:uid="{00000000-0005-0000-0000-0000BD340000}"/>
    <cellStyle name="Normal 157 3 2 3 2" xfId="13502" xr:uid="{00000000-0005-0000-0000-0000BE340000}"/>
    <cellStyle name="Normal 157 3 2 3 2 2" xfId="13503" xr:uid="{00000000-0005-0000-0000-0000BF340000}"/>
    <cellStyle name="Normal 157 3 2 3 3" xfId="13504" xr:uid="{00000000-0005-0000-0000-0000C0340000}"/>
    <cellStyle name="Normal 157 3 2 4" xfId="13505" xr:uid="{00000000-0005-0000-0000-0000C1340000}"/>
    <cellStyle name="Normal 157 3 3" xfId="13506" xr:uid="{00000000-0005-0000-0000-0000C2340000}"/>
    <cellStyle name="Normal 157 3 3 2" xfId="13507" xr:uid="{00000000-0005-0000-0000-0000C3340000}"/>
    <cellStyle name="Normal 157 3 3 2 2" xfId="13508" xr:uid="{00000000-0005-0000-0000-0000C4340000}"/>
    <cellStyle name="Normal 157 3 3 3" xfId="13509" xr:uid="{00000000-0005-0000-0000-0000C5340000}"/>
    <cellStyle name="Normal 157 3 4" xfId="13510" xr:uid="{00000000-0005-0000-0000-0000C6340000}"/>
    <cellStyle name="Normal 157 3 4 2" xfId="13511" xr:uid="{00000000-0005-0000-0000-0000C7340000}"/>
    <cellStyle name="Normal 157 3 4 2 2" xfId="13512" xr:uid="{00000000-0005-0000-0000-0000C8340000}"/>
    <cellStyle name="Normal 157 3 4 3" xfId="13513" xr:uid="{00000000-0005-0000-0000-0000C9340000}"/>
    <cellStyle name="Normal 157 3 5" xfId="13514" xr:uid="{00000000-0005-0000-0000-0000CA340000}"/>
    <cellStyle name="Normal 157 3 5 2" xfId="13515" xr:uid="{00000000-0005-0000-0000-0000CB340000}"/>
    <cellStyle name="Normal 157 3 5 2 2" xfId="13516" xr:uid="{00000000-0005-0000-0000-0000CC340000}"/>
    <cellStyle name="Normal 157 3 5 3" xfId="13517" xr:uid="{00000000-0005-0000-0000-0000CD340000}"/>
    <cellStyle name="Normal 157 3 6" xfId="13518" xr:uid="{00000000-0005-0000-0000-0000CE340000}"/>
    <cellStyle name="Normal 157 4" xfId="13519" xr:uid="{00000000-0005-0000-0000-0000CF340000}"/>
    <cellStyle name="Normal 157 4 2" xfId="13520" xr:uid="{00000000-0005-0000-0000-0000D0340000}"/>
    <cellStyle name="Normal 157 4 2 2" xfId="13521" xr:uid="{00000000-0005-0000-0000-0000D1340000}"/>
    <cellStyle name="Normal 157 4 3" xfId="13522" xr:uid="{00000000-0005-0000-0000-0000D2340000}"/>
    <cellStyle name="Normal 157 5" xfId="13523" xr:uid="{00000000-0005-0000-0000-0000D3340000}"/>
    <cellStyle name="Normal 157 5 2" xfId="13524" xr:uid="{00000000-0005-0000-0000-0000D4340000}"/>
    <cellStyle name="Normal 157 5 2 2" xfId="13525" xr:uid="{00000000-0005-0000-0000-0000D5340000}"/>
    <cellStyle name="Normal 157 5 3" xfId="13526" xr:uid="{00000000-0005-0000-0000-0000D6340000}"/>
    <cellStyle name="Normal 157 6" xfId="13527" xr:uid="{00000000-0005-0000-0000-0000D7340000}"/>
    <cellStyle name="Normal 157 6 2" xfId="13528" xr:uid="{00000000-0005-0000-0000-0000D8340000}"/>
    <cellStyle name="Normal 157 6 2 2" xfId="13529" xr:uid="{00000000-0005-0000-0000-0000D9340000}"/>
    <cellStyle name="Normal 157 6 3" xfId="13530" xr:uid="{00000000-0005-0000-0000-0000DA340000}"/>
    <cellStyle name="Normal 157 7" xfId="13531" xr:uid="{00000000-0005-0000-0000-0000DB340000}"/>
    <cellStyle name="Normal 158" xfId="13532" xr:uid="{00000000-0005-0000-0000-0000DC340000}"/>
    <cellStyle name="Normal 158 2" xfId="13533" xr:uid="{00000000-0005-0000-0000-0000DD340000}"/>
    <cellStyle name="Normal 158 2 2" xfId="13534" xr:uid="{00000000-0005-0000-0000-0000DE340000}"/>
    <cellStyle name="Normal 158 2 2 2" xfId="13535" xr:uid="{00000000-0005-0000-0000-0000DF340000}"/>
    <cellStyle name="Normal 158 2 3" xfId="13536" xr:uid="{00000000-0005-0000-0000-0000E0340000}"/>
    <cellStyle name="Normal 158 2 3 2" xfId="13537" xr:uid="{00000000-0005-0000-0000-0000E1340000}"/>
    <cellStyle name="Normal 158 2 3 2 2" xfId="13538" xr:uid="{00000000-0005-0000-0000-0000E2340000}"/>
    <cellStyle name="Normal 158 2 3 3" xfId="13539" xr:uid="{00000000-0005-0000-0000-0000E3340000}"/>
    <cellStyle name="Normal 158 2 4" xfId="13540" xr:uid="{00000000-0005-0000-0000-0000E4340000}"/>
    <cellStyle name="Normal 158 2 4 2" xfId="13541" xr:uid="{00000000-0005-0000-0000-0000E5340000}"/>
    <cellStyle name="Normal 158 2 4 2 2" xfId="13542" xr:uid="{00000000-0005-0000-0000-0000E6340000}"/>
    <cellStyle name="Normal 158 2 4 3" xfId="13543" xr:uid="{00000000-0005-0000-0000-0000E7340000}"/>
    <cellStyle name="Normal 158 2 5" xfId="13544" xr:uid="{00000000-0005-0000-0000-0000E8340000}"/>
    <cellStyle name="Normal 158 3" xfId="13545" xr:uid="{00000000-0005-0000-0000-0000E9340000}"/>
    <cellStyle name="Normal 158 3 2" xfId="13546" xr:uid="{00000000-0005-0000-0000-0000EA340000}"/>
    <cellStyle name="Normal 158 3 2 2" xfId="13547" xr:uid="{00000000-0005-0000-0000-0000EB340000}"/>
    <cellStyle name="Normal 158 3 2 2 2" xfId="13548" xr:uid="{00000000-0005-0000-0000-0000EC340000}"/>
    <cellStyle name="Normal 158 3 2 3" xfId="13549" xr:uid="{00000000-0005-0000-0000-0000ED340000}"/>
    <cellStyle name="Normal 158 3 2 3 2" xfId="13550" xr:uid="{00000000-0005-0000-0000-0000EE340000}"/>
    <cellStyle name="Normal 158 3 2 3 2 2" xfId="13551" xr:uid="{00000000-0005-0000-0000-0000EF340000}"/>
    <cellStyle name="Normal 158 3 2 3 3" xfId="13552" xr:uid="{00000000-0005-0000-0000-0000F0340000}"/>
    <cellStyle name="Normal 158 3 2 4" xfId="13553" xr:uid="{00000000-0005-0000-0000-0000F1340000}"/>
    <cellStyle name="Normal 158 3 3" xfId="13554" xr:uid="{00000000-0005-0000-0000-0000F2340000}"/>
    <cellStyle name="Normal 158 3 3 2" xfId="13555" xr:uid="{00000000-0005-0000-0000-0000F3340000}"/>
    <cellStyle name="Normal 158 3 3 2 2" xfId="13556" xr:uid="{00000000-0005-0000-0000-0000F4340000}"/>
    <cellStyle name="Normal 158 3 3 3" xfId="13557" xr:uid="{00000000-0005-0000-0000-0000F5340000}"/>
    <cellStyle name="Normal 158 3 4" xfId="13558" xr:uid="{00000000-0005-0000-0000-0000F6340000}"/>
    <cellStyle name="Normal 158 3 4 2" xfId="13559" xr:uid="{00000000-0005-0000-0000-0000F7340000}"/>
    <cellStyle name="Normal 158 3 4 2 2" xfId="13560" xr:uid="{00000000-0005-0000-0000-0000F8340000}"/>
    <cellStyle name="Normal 158 3 4 3" xfId="13561" xr:uid="{00000000-0005-0000-0000-0000F9340000}"/>
    <cellStyle name="Normal 158 3 5" xfId="13562" xr:uid="{00000000-0005-0000-0000-0000FA340000}"/>
    <cellStyle name="Normal 158 3 5 2" xfId="13563" xr:uid="{00000000-0005-0000-0000-0000FB340000}"/>
    <cellStyle name="Normal 158 3 5 2 2" xfId="13564" xr:uid="{00000000-0005-0000-0000-0000FC340000}"/>
    <cellStyle name="Normal 158 3 5 3" xfId="13565" xr:uid="{00000000-0005-0000-0000-0000FD340000}"/>
    <cellStyle name="Normal 158 3 6" xfId="13566" xr:uid="{00000000-0005-0000-0000-0000FE340000}"/>
    <cellStyle name="Normal 158 4" xfId="13567" xr:uid="{00000000-0005-0000-0000-0000FF340000}"/>
    <cellStyle name="Normal 158 4 2" xfId="13568" xr:uid="{00000000-0005-0000-0000-000000350000}"/>
    <cellStyle name="Normal 158 4 2 2" xfId="13569" xr:uid="{00000000-0005-0000-0000-000001350000}"/>
    <cellStyle name="Normal 158 4 3" xfId="13570" xr:uid="{00000000-0005-0000-0000-000002350000}"/>
    <cellStyle name="Normal 158 5" xfId="13571" xr:uid="{00000000-0005-0000-0000-000003350000}"/>
    <cellStyle name="Normal 158 5 2" xfId="13572" xr:uid="{00000000-0005-0000-0000-000004350000}"/>
    <cellStyle name="Normal 158 5 2 2" xfId="13573" xr:uid="{00000000-0005-0000-0000-000005350000}"/>
    <cellStyle name="Normal 158 5 3" xfId="13574" xr:uid="{00000000-0005-0000-0000-000006350000}"/>
    <cellStyle name="Normal 158 6" xfId="13575" xr:uid="{00000000-0005-0000-0000-000007350000}"/>
    <cellStyle name="Normal 158 6 2" xfId="13576" xr:uid="{00000000-0005-0000-0000-000008350000}"/>
    <cellStyle name="Normal 158 6 2 2" xfId="13577" xr:uid="{00000000-0005-0000-0000-000009350000}"/>
    <cellStyle name="Normal 158 6 3" xfId="13578" xr:uid="{00000000-0005-0000-0000-00000A350000}"/>
    <cellStyle name="Normal 158 7" xfId="13579" xr:uid="{00000000-0005-0000-0000-00000B350000}"/>
    <cellStyle name="Normal 159" xfId="13580" xr:uid="{00000000-0005-0000-0000-00000C350000}"/>
    <cellStyle name="Normal 159 2" xfId="13581" xr:uid="{00000000-0005-0000-0000-00000D350000}"/>
    <cellStyle name="Normal 159 2 2" xfId="13582" xr:uid="{00000000-0005-0000-0000-00000E350000}"/>
    <cellStyle name="Normal 159 2 2 2" xfId="13583" xr:uid="{00000000-0005-0000-0000-00000F350000}"/>
    <cellStyle name="Normal 159 2 3" xfId="13584" xr:uid="{00000000-0005-0000-0000-000010350000}"/>
    <cellStyle name="Normal 159 2 3 2" xfId="13585" xr:uid="{00000000-0005-0000-0000-000011350000}"/>
    <cellStyle name="Normal 159 2 3 2 2" xfId="13586" xr:uid="{00000000-0005-0000-0000-000012350000}"/>
    <cellStyle name="Normal 159 2 3 3" xfId="13587" xr:uid="{00000000-0005-0000-0000-000013350000}"/>
    <cellStyle name="Normal 159 2 4" xfId="13588" xr:uid="{00000000-0005-0000-0000-000014350000}"/>
    <cellStyle name="Normal 159 2 4 2" xfId="13589" xr:uid="{00000000-0005-0000-0000-000015350000}"/>
    <cellStyle name="Normal 159 2 4 2 2" xfId="13590" xr:uid="{00000000-0005-0000-0000-000016350000}"/>
    <cellStyle name="Normal 159 2 4 3" xfId="13591" xr:uid="{00000000-0005-0000-0000-000017350000}"/>
    <cellStyle name="Normal 159 2 5" xfId="13592" xr:uid="{00000000-0005-0000-0000-000018350000}"/>
    <cellStyle name="Normal 159 3" xfId="13593" xr:uid="{00000000-0005-0000-0000-000019350000}"/>
    <cellStyle name="Normal 159 3 2" xfId="13594" xr:uid="{00000000-0005-0000-0000-00001A350000}"/>
    <cellStyle name="Normal 159 3 2 2" xfId="13595" xr:uid="{00000000-0005-0000-0000-00001B350000}"/>
    <cellStyle name="Normal 159 3 2 2 2" xfId="13596" xr:uid="{00000000-0005-0000-0000-00001C350000}"/>
    <cellStyle name="Normal 159 3 2 3" xfId="13597" xr:uid="{00000000-0005-0000-0000-00001D350000}"/>
    <cellStyle name="Normal 159 3 2 3 2" xfId="13598" xr:uid="{00000000-0005-0000-0000-00001E350000}"/>
    <cellStyle name="Normal 159 3 2 3 2 2" xfId="13599" xr:uid="{00000000-0005-0000-0000-00001F350000}"/>
    <cellStyle name="Normal 159 3 2 3 3" xfId="13600" xr:uid="{00000000-0005-0000-0000-000020350000}"/>
    <cellStyle name="Normal 159 3 2 4" xfId="13601" xr:uid="{00000000-0005-0000-0000-000021350000}"/>
    <cellStyle name="Normal 159 3 3" xfId="13602" xr:uid="{00000000-0005-0000-0000-000022350000}"/>
    <cellStyle name="Normal 159 3 3 2" xfId="13603" xr:uid="{00000000-0005-0000-0000-000023350000}"/>
    <cellStyle name="Normal 159 3 3 2 2" xfId="13604" xr:uid="{00000000-0005-0000-0000-000024350000}"/>
    <cellStyle name="Normal 159 3 3 3" xfId="13605" xr:uid="{00000000-0005-0000-0000-000025350000}"/>
    <cellStyle name="Normal 159 3 4" xfId="13606" xr:uid="{00000000-0005-0000-0000-000026350000}"/>
    <cellStyle name="Normal 159 3 4 2" xfId="13607" xr:uid="{00000000-0005-0000-0000-000027350000}"/>
    <cellStyle name="Normal 159 3 4 2 2" xfId="13608" xr:uid="{00000000-0005-0000-0000-000028350000}"/>
    <cellStyle name="Normal 159 3 4 3" xfId="13609" xr:uid="{00000000-0005-0000-0000-000029350000}"/>
    <cellStyle name="Normal 159 3 5" xfId="13610" xr:uid="{00000000-0005-0000-0000-00002A350000}"/>
    <cellStyle name="Normal 159 3 5 2" xfId="13611" xr:uid="{00000000-0005-0000-0000-00002B350000}"/>
    <cellStyle name="Normal 159 3 5 2 2" xfId="13612" xr:uid="{00000000-0005-0000-0000-00002C350000}"/>
    <cellStyle name="Normal 159 3 5 3" xfId="13613" xr:uid="{00000000-0005-0000-0000-00002D350000}"/>
    <cellStyle name="Normal 159 3 6" xfId="13614" xr:uid="{00000000-0005-0000-0000-00002E350000}"/>
    <cellStyle name="Normal 159 4" xfId="13615" xr:uid="{00000000-0005-0000-0000-00002F350000}"/>
    <cellStyle name="Normal 159 4 2" xfId="13616" xr:uid="{00000000-0005-0000-0000-000030350000}"/>
    <cellStyle name="Normal 159 4 2 2" xfId="13617" xr:uid="{00000000-0005-0000-0000-000031350000}"/>
    <cellStyle name="Normal 159 4 3" xfId="13618" xr:uid="{00000000-0005-0000-0000-000032350000}"/>
    <cellStyle name="Normal 159 5" xfId="13619" xr:uid="{00000000-0005-0000-0000-000033350000}"/>
    <cellStyle name="Normal 159 5 2" xfId="13620" xr:uid="{00000000-0005-0000-0000-000034350000}"/>
    <cellStyle name="Normal 159 5 2 2" xfId="13621" xr:uid="{00000000-0005-0000-0000-000035350000}"/>
    <cellStyle name="Normal 159 5 3" xfId="13622" xr:uid="{00000000-0005-0000-0000-000036350000}"/>
    <cellStyle name="Normal 159 6" xfId="13623" xr:uid="{00000000-0005-0000-0000-000037350000}"/>
    <cellStyle name="Normal 159 6 2" xfId="13624" xr:uid="{00000000-0005-0000-0000-000038350000}"/>
    <cellStyle name="Normal 159 6 2 2" xfId="13625" xr:uid="{00000000-0005-0000-0000-000039350000}"/>
    <cellStyle name="Normal 159 6 3" xfId="13626" xr:uid="{00000000-0005-0000-0000-00003A350000}"/>
    <cellStyle name="Normal 159 7" xfId="13627" xr:uid="{00000000-0005-0000-0000-00003B350000}"/>
    <cellStyle name="Normal 16" xfId="63" xr:uid="{00000000-0005-0000-0000-00003F000000}"/>
    <cellStyle name="Normal 16 2" xfId="13628" xr:uid="{00000000-0005-0000-0000-00003C350000}"/>
    <cellStyle name="Normal 16 2 2" xfId="13629" xr:uid="{00000000-0005-0000-0000-00003D350000}"/>
    <cellStyle name="Normal 16 2 2 2" xfId="13630" xr:uid="{00000000-0005-0000-0000-00003E350000}"/>
    <cellStyle name="Normal 16 2 2 2 2" xfId="13631" xr:uid="{00000000-0005-0000-0000-00003F350000}"/>
    <cellStyle name="Normal 16 2 2 3" xfId="13632" xr:uid="{00000000-0005-0000-0000-000040350000}"/>
    <cellStyle name="Normal 16 2 2 3 2" xfId="13633" xr:uid="{00000000-0005-0000-0000-000041350000}"/>
    <cellStyle name="Normal 16 2 2 3 2 2" xfId="13634" xr:uid="{00000000-0005-0000-0000-000042350000}"/>
    <cellStyle name="Normal 16 2 2 3 3" xfId="13635" xr:uid="{00000000-0005-0000-0000-000043350000}"/>
    <cellStyle name="Normal 16 2 2 4" xfId="13636" xr:uid="{00000000-0005-0000-0000-000044350000}"/>
    <cellStyle name="Normal 16 2 2 4 2" xfId="13637" xr:uid="{00000000-0005-0000-0000-000045350000}"/>
    <cellStyle name="Normal 16 2 2 4 2 2" xfId="13638" xr:uid="{00000000-0005-0000-0000-000046350000}"/>
    <cellStyle name="Normal 16 2 2 4 3" xfId="13639" xr:uid="{00000000-0005-0000-0000-000047350000}"/>
    <cellStyle name="Normal 16 2 2 5" xfId="13640" xr:uid="{00000000-0005-0000-0000-000048350000}"/>
    <cellStyle name="Normal 16 2 3" xfId="13641" xr:uid="{00000000-0005-0000-0000-000049350000}"/>
    <cellStyle name="Normal 16 2 3 2" xfId="13642" xr:uid="{00000000-0005-0000-0000-00004A350000}"/>
    <cellStyle name="Normal 16 2 3 2 2" xfId="13643" xr:uid="{00000000-0005-0000-0000-00004B350000}"/>
    <cellStyle name="Normal 16 2 3 2 2 2" xfId="13644" xr:uid="{00000000-0005-0000-0000-00004C350000}"/>
    <cellStyle name="Normal 16 2 3 2 3" xfId="13645" xr:uid="{00000000-0005-0000-0000-00004D350000}"/>
    <cellStyle name="Normal 16 2 3 2 3 2" xfId="13646" xr:uid="{00000000-0005-0000-0000-00004E350000}"/>
    <cellStyle name="Normal 16 2 3 2 3 2 2" xfId="13647" xr:uid="{00000000-0005-0000-0000-00004F350000}"/>
    <cellStyle name="Normal 16 2 3 2 3 3" xfId="13648" xr:uid="{00000000-0005-0000-0000-000050350000}"/>
    <cellStyle name="Normal 16 2 3 2 4" xfId="13649" xr:uid="{00000000-0005-0000-0000-000051350000}"/>
    <cellStyle name="Normal 16 2 3 3" xfId="13650" xr:uid="{00000000-0005-0000-0000-000052350000}"/>
    <cellStyle name="Normal 16 2 3 3 2" xfId="13651" xr:uid="{00000000-0005-0000-0000-000053350000}"/>
    <cellStyle name="Normal 16 2 3 3 2 2" xfId="13652" xr:uid="{00000000-0005-0000-0000-000054350000}"/>
    <cellStyle name="Normal 16 2 3 3 3" xfId="13653" xr:uid="{00000000-0005-0000-0000-000055350000}"/>
    <cellStyle name="Normal 16 2 3 4" xfId="13654" xr:uid="{00000000-0005-0000-0000-000056350000}"/>
    <cellStyle name="Normal 16 2 3 4 2" xfId="13655" xr:uid="{00000000-0005-0000-0000-000057350000}"/>
    <cellStyle name="Normal 16 2 3 4 2 2" xfId="13656" xr:uid="{00000000-0005-0000-0000-000058350000}"/>
    <cellStyle name="Normal 16 2 3 4 3" xfId="13657" xr:uid="{00000000-0005-0000-0000-000059350000}"/>
    <cellStyle name="Normal 16 2 3 5" xfId="13658" xr:uid="{00000000-0005-0000-0000-00005A350000}"/>
    <cellStyle name="Normal 16 2 3 5 2" xfId="13659" xr:uid="{00000000-0005-0000-0000-00005B350000}"/>
    <cellStyle name="Normal 16 2 3 5 2 2" xfId="13660" xr:uid="{00000000-0005-0000-0000-00005C350000}"/>
    <cellStyle name="Normal 16 2 3 5 3" xfId="13661" xr:uid="{00000000-0005-0000-0000-00005D350000}"/>
    <cellStyle name="Normal 16 2 3 6" xfId="13662" xr:uid="{00000000-0005-0000-0000-00005E350000}"/>
    <cellStyle name="Normal 16 2 4" xfId="13663" xr:uid="{00000000-0005-0000-0000-00005F350000}"/>
    <cellStyle name="Normal 16 3" xfId="13664" xr:uid="{00000000-0005-0000-0000-000060350000}"/>
    <cellStyle name="Normal 16 3 2" xfId="13665" xr:uid="{00000000-0005-0000-0000-000061350000}"/>
    <cellStyle name="Normal 16 3 2 2" xfId="13666" xr:uid="{00000000-0005-0000-0000-000062350000}"/>
    <cellStyle name="Normal 16 3 2 2 2" xfId="13667" xr:uid="{00000000-0005-0000-0000-000063350000}"/>
    <cellStyle name="Normal 16 3 2 3" xfId="13668" xr:uid="{00000000-0005-0000-0000-000064350000}"/>
    <cellStyle name="Normal 16 3 2 3 2" xfId="13669" xr:uid="{00000000-0005-0000-0000-000065350000}"/>
    <cellStyle name="Normal 16 3 2 3 2 2" xfId="13670" xr:uid="{00000000-0005-0000-0000-000066350000}"/>
    <cellStyle name="Normal 16 3 2 3 3" xfId="13671" xr:uid="{00000000-0005-0000-0000-000067350000}"/>
    <cellStyle name="Normal 16 3 2 4" xfId="13672" xr:uid="{00000000-0005-0000-0000-000068350000}"/>
    <cellStyle name="Normal 16 3 2 4 2" xfId="13673" xr:uid="{00000000-0005-0000-0000-000069350000}"/>
    <cellStyle name="Normal 16 3 2 4 2 2" xfId="13674" xr:uid="{00000000-0005-0000-0000-00006A350000}"/>
    <cellStyle name="Normal 16 3 2 4 3" xfId="13675" xr:uid="{00000000-0005-0000-0000-00006B350000}"/>
    <cellStyle name="Normal 16 3 2 5" xfId="13676" xr:uid="{00000000-0005-0000-0000-00006C350000}"/>
    <cellStyle name="Normal 16 3 3" xfId="13677" xr:uid="{00000000-0005-0000-0000-00006D350000}"/>
    <cellStyle name="Normal 16 3 3 2" xfId="13678" xr:uid="{00000000-0005-0000-0000-00006E350000}"/>
    <cellStyle name="Normal 16 3 3 2 2" xfId="13679" xr:uid="{00000000-0005-0000-0000-00006F350000}"/>
    <cellStyle name="Normal 16 3 3 3" xfId="13680" xr:uid="{00000000-0005-0000-0000-000070350000}"/>
    <cellStyle name="Normal 16 3 4" xfId="13681" xr:uid="{00000000-0005-0000-0000-000071350000}"/>
    <cellStyle name="Normal 16 3 4 2" xfId="13682" xr:uid="{00000000-0005-0000-0000-000072350000}"/>
    <cellStyle name="Normal 16 3 4 2 2" xfId="13683" xr:uid="{00000000-0005-0000-0000-000073350000}"/>
    <cellStyle name="Normal 16 3 4 3" xfId="13684" xr:uid="{00000000-0005-0000-0000-000074350000}"/>
    <cellStyle name="Normal 16 3 5" xfId="13685" xr:uid="{00000000-0005-0000-0000-000075350000}"/>
    <cellStyle name="Normal 16 3 5 2" xfId="13686" xr:uid="{00000000-0005-0000-0000-000076350000}"/>
    <cellStyle name="Normal 16 3 5 2 2" xfId="13687" xr:uid="{00000000-0005-0000-0000-000077350000}"/>
    <cellStyle name="Normal 16 3 5 3" xfId="13688" xr:uid="{00000000-0005-0000-0000-000078350000}"/>
    <cellStyle name="Normal 16 3 6" xfId="13689" xr:uid="{00000000-0005-0000-0000-000079350000}"/>
    <cellStyle name="Normal 16 4" xfId="13690" xr:uid="{00000000-0005-0000-0000-00007A350000}"/>
    <cellStyle name="Normal 16 4 2" xfId="13691" xr:uid="{00000000-0005-0000-0000-00007B350000}"/>
    <cellStyle name="Normal 16 4 2 2" xfId="13692" xr:uid="{00000000-0005-0000-0000-00007C350000}"/>
    <cellStyle name="Normal 16 4 3" xfId="13693" xr:uid="{00000000-0005-0000-0000-00007D350000}"/>
    <cellStyle name="Normal 16 4 3 2" xfId="13694" xr:uid="{00000000-0005-0000-0000-00007E350000}"/>
    <cellStyle name="Normal 16 4 3 2 2" xfId="13695" xr:uid="{00000000-0005-0000-0000-00007F350000}"/>
    <cellStyle name="Normal 16 4 3 3" xfId="13696" xr:uid="{00000000-0005-0000-0000-000080350000}"/>
    <cellStyle name="Normal 16 4 4" xfId="13697" xr:uid="{00000000-0005-0000-0000-000081350000}"/>
    <cellStyle name="Normal 16 4 4 2" xfId="13698" xr:uid="{00000000-0005-0000-0000-000082350000}"/>
    <cellStyle name="Normal 16 4 4 2 2" xfId="13699" xr:uid="{00000000-0005-0000-0000-000083350000}"/>
    <cellStyle name="Normal 16 4 4 3" xfId="13700" xr:uid="{00000000-0005-0000-0000-000084350000}"/>
    <cellStyle name="Normal 16 4 5" xfId="13701" xr:uid="{00000000-0005-0000-0000-000085350000}"/>
    <cellStyle name="Normal 16 5" xfId="13702" xr:uid="{00000000-0005-0000-0000-000086350000}"/>
    <cellStyle name="Normal 16 5 2" xfId="13703" xr:uid="{00000000-0005-0000-0000-000087350000}"/>
    <cellStyle name="Normal 16 5 2 2" xfId="13704" xr:uid="{00000000-0005-0000-0000-000088350000}"/>
    <cellStyle name="Normal 16 5 2 2 2" xfId="13705" xr:uid="{00000000-0005-0000-0000-000089350000}"/>
    <cellStyle name="Normal 16 5 2 3" xfId="13706" xr:uid="{00000000-0005-0000-0000-00008A350000}"/>
    <cellStyle name="Normal 16 5 2 3 2" xfId="13707" xr:uid="{00000000-0005-0000-0000-00008B350000}"/>
    <cellStyle name="Normal 16 5 2 3 2 2" xfId="13708" xr:uid="{00000000-0005-0000-0000-00008C350000}"/>
    <cellStyle name="Normal 16 5 2 3 3" xfId="13709" xr:uid="{00000000-0005-0000-0000-00008D350000}"/>
    <cellStyle name="Normal 16 5 2 4" xfId="13710" xr:uid="{00000000-0005-0000-0000-00008E350000}"/>
    <cellStyle name="Normal 16 5 3" xfId="13711" xr:uid="{00000000-0005-0000-0000-00008F350000}"/>
    <cellStyle name="Normal 16 5 3 2" xfId="13712" xr:uid="{00000000-0005-0000-0000-000090350000}"/>
    <cellStyle name="Normal 16 5 3 2 2" xfId="13713" xr:uid="{00000000-0005-0000-0000-000091350000}"/>
    <cellStyle name="Normal 16 5 3 3" xfId="13714" xr:uid="{00000000-0005-0000-0000-000092350000}"/>
    <cellStyle name="Normal 16 5 4" xfId="13715" xr:uid="{00000000-0005-0000-0000-000093350000}"/>
    <cellStyle name="Normal 16 5 4 2" xfId="13716" xr:uid="{00000000-0005-0000-0000-000094350000}"/>
    <cellStyle name="Normal 16 5 4 2 2" xfId="13717" xr:uid="{00000000-0005-0000-0000-000095350000}"/>
    <cellStyle name="Normal 16 5 4 3" xfId="13718" xr:uid="{00000000-0005-0000-0000-000096350000}"/>
    <cellStyle name="Normal 16 5 5" xfId="13719" xr:uid="{00000000-0005-0000-0000-000097350000}"/>
    <cellStyle name="Normal 16 5 5 2" xfId="13720" xr:uid="{00000000-0005-0000-0000-000098350000}"/>
    <cellStyle name="Normal 16 5 5 2 2" xfId="13721" xr:uid="{00000000-0005-0000-0000-000099350000}"/>
    <cellStyle name="Normal 16 5 5 3" xfId="13722" xr:uid="{00000000-0005-0000-0000-00009A350000}"/>
    <cellStyle name="Normal 16 5 6" xfId="13723" xr:uid="{00000000-0005-0000-0000-00009B350000}"/>
    <cellStyle name="Normal 16 6" xfId="13724" xr:uid="{00000000-0005-0000-0000-00009C350000}"/>
    <cellStyle name="Normal 16 7" xfId="13725" xr:uid="{00000000-0005-0000-0000-00009D350000}"/>
    <cellStyle name="Normal 160" xfId="13726" xr:uid="{00000000-0005-0000-0000-00009E350000}"/>
    <cellStyle name="Normal 160 2" xfId="13727" xr:uid="{00000000-0005-0000-0000-00009F350000}"/>
    <cellStyle name="Normal 160 2 2" xfId="13728" xr:uid="{00000000-0005-0000-0000-0000A0350000}"/>
    <cellStyle name="Normal 160 2 2 2" xfId="13729" xr:uid="{00000000-0005-0000-0000-0000A1350000}"/>
    <cellStyle name="Normal 160 2 3" xfId="13730" xr:uid="{00000000-0005-0000-0000-0000A2350000}"/>
    <cellStyle name="Normal 160 2 3 2" xfId="13731" xr:uid="{00000000-0005-0000-0000-0000A3350000}"/>
    <cellStyle name="Normal 160 2 3 2 2" xfId="13732" xr:uid="{00000000-0005-0000-0000-0000A4350000}"/>
    <cellStyle name="Normal 160 2 3 3" xfId="13733" xr:uid="{00000000-0005-0000-0000-0000A5350000}"/>
    <cellStyle name="Normal 160 2 4" xfId="13734" xr:uid="{00000000-0005-0000-0000-0000A6350000}"/>
    <cellStyle name="Normal 160 2 4 2" xfId="13735" xr:uid="{00000000-0005-0000-0000-0000A7350000}"/>
    <cellStyle name="Normal 160 2 4 2 2" xfId="13736" xr:uid="{00000000-0005-0000-0000-0000A8350000}"/>
    <cellStyle name="Normal 160 2 4 3" xfId="13737" xr:uid="{00000000-0005-0000-0000-0000A9350000}"/>
    <cellStyle name="Normal 160 2 5" xfId="13738" xr:uid="{00000000-0005-0000-0000-0000AA350000}"/>
    <cellStyle name="Normal 160 3" xfId="13739" xr:uid="{00000000-0005-0000-0000-0000AB350000}"/>
    <cellStyle name="Normal 160 3 2" xfId="13740" xr:uid="{00000000-0005-0000-0000-0000AC350000}"/>
    <cellStyle name="Normal 160 3 2 2" xfId="13741" xr:uid="{00000000-0005-0000-0000-0000AD350000}"/>
    <cellStyle name="Normal 160 3 2 2 2" xfId="13742" xr:uid="{00000000-0005-0000-0000-0000AE350000}"/>
    <cellStyle name="Normal 160 3 2 3" xfId="13743" xr:uid="{00000000-0005-0000-0000-0000AF350000}"/>
    <cellStyle name="Normal 160 3 2 3 2" xfId="13744" xr:uid="{00000000-0005-0000-0000-0000B0350000}"/>
    <cellStyle name="Normal 160 3 2 3 2 2" xfId="13745" xr:uid="{00000000-0005-0000-0000-0000B1350000}"/>
    <cellStyle name="Normal 160 3 2 3 3" xfId="13746" xr:uid="{00000000-0005-0000-0000-0000B2350000}"/>
    <cellStyle name="Normal 160 3 2 4" xfId="13747" xr:uid="{00000000-0005-0000-0000-0000B3350000}"/>
    <cellStyle name="Normal 160 3 3" xfId="13748" xr:uid="{00000000-0005-0000-0000-0000B4350000}"/>
    <cellStyle name="Normal 160 3 3 2" xfId="13749" xr:uid="{00000000-0005-0000-0000-0000B5350000}"/>
    <cellStyle name="Normal 160 3 3 2 2" xfId="13750" xr:uid="{00000000-0005-0000-0000-0000B6350000}"/>
    <cellStyle name="Normal 160 3 3 3" xfId="13751" xr:uid="{00000000-0005-0000-0000-0000B7350000}"/>
    <cellStyle name="Normal 160 3 4" xfId="13752" xr:uid="{00000000-0005-0000-0000-0000B8350000}"/>
    <cellStyle name="Normal 160 3 4 2" xfId="13753" xr:uid="{00000000-0005-0000-0000-0000B9350000}"/>
    <cellStyle name="Normal 160 3 4 2 2" xfId="13754" xr:uid="{00000000-0005-0000-0000-0000BA350000}"/>
    <cellStyle name="Normal 160 3 4 3" xfId="13755" xr:uid="{00000000-0005-0000-0000-0000BB350000}"/>
    <cellStyle name="Normal 160 3 5" xfId="13756" xr:uid="{00000000-0005-0000-0000-0000BC350000}"/>
    <cellStyle name="Normal 160 3 5 2" xfId="13757" xr:uid="{00000000-0005-0000-0000-0000BD350000}"/>
    <cellStyle name="Normal 160 3 5 2 2" xfId="13758" xr:uid="{00000000-0005-0000-0000-0000BE350000}"/>
    <cellStyle name="Normal 160 3 5 3" xfId="13759" xr:uid="{00000000-0005-0000-0000-0000BF350000}"/>
    <cellStyle name="Normal 160 3 6" xfId="13760" xr:uid="{00000000-0005-0000-0000-0000C0350000}"/>
    <cellStyle name="Normal 160 4" xfId="13761" xr:uid="{00000000-0005-0000-0000-0000C1350000}"/>
    <cellStyle name="Normal 160 4 2" xfId="13762" xr:uid="{00000000-0005-0000-0000-0000C2350000}"/>
    <cellStyle name="Normal 160 4 2 2" xfId="13763" xr:uid="{00000000-0005-0000-0000-0000C3350000}"/>
    <cellStyle name="Normal 160 4 3" xfId="13764" xr:uid="{00000000-0005-0000-0000-0000C4350000}"/>
    <cellStyle name="Normal 160 5" xfId="13765" xr:uid="{00000000-0005-0000-0000-0000C5350000}"/>
    <cellStyle name="Normal 160 5 2" xfId="13766" xr:uid="{00000000-0005-0000-0000-0000C6350000}"/>
    <cellStyle name="Normal 160 5 2 2" xfId="13767" xr:uid="{00000000-0005-0000-0000-0000C7350000}"/>
    <cellStyle name="Normal 160 5 3" xfId="13768" xr:uid="{00000000-0005-0000-0000-0000C8350000}"/>
    <cellStyle name="Normal 160 6" xfId="13769" xr:uid="{00000000-0005-0000-0000-0000C9350000}"/>
    <cellStyle name="Normal 160 6 2" xfId="13770" xr:uid="{00000000-0005-0000-0000-0000CA350000}"/>
    <cellStyle name="Normal 160 6 2 2" xfId="13771" xr:uid="{00000000-0005-0000-0000-0000CB350000}"/>
    <cellStyle name="Normal 160 6 3" xfId="13772" xr:uid="{00000000-0005-0000-0000-0000CC350000}"/>
    <cellStyle name="Normal 160 7" xfId="13773" xr:uid="{00000000-0005-0000-0000-0000CD350000}"/>
    <cellStyle name="Normal 161" xfId="13774" xr:uid="{00000000-0005-0000-0000-0000CE350000}"/>
    <cellStyle name="Normal 161 2" xfId="13775" xr:uid="{00000000-0005-0000-0000-0000CF350000}"/>
    <cellStyle name="Normal 161 2 2" xfId="13776" xr:uid="{00000000-0005-0000-0000-0000D0350000}"/>
    <cellStyle name="Normal 161 2 2 2" xfId="13777" xr:uid="{00000000-0005-0000-0000-0000D1350000}"/>
    <cellStyle name="Normal 161 2 3" xfId="13778" xr:uid="{00000000-0005-0000-0000-0000D2350000}"/>
    <cellStyle name="Normal 161 2 3 2" xfId="13779" xr:uid="{00000000-0005-0000-0000-0000D3350000}"/>
    <cellStyle name="Normal 161 2 3 2 2" xfId="13780" xr:uid="{00000000-0005-0000-0000-0000D4350000}"/>
    <cellStyle name="Normal 161 2 3 3" xfId="13781" xr:uid="{00000000-0005-0000-0000-0000D5350000}"/>
    <cellStyle name="Normal 161 2 4" xfId="13782" xr:uid="{00000000-0005-0000-0000-0000D6350000}"/>
    <cellStyle name="Normal 161 2 4 2" xfId="13783" xr:uid="{00000000-0005-0000-0000-0000D7350000}"/>
    <cellStyle name="Normal 161 2 4 2 2" xfId="13784" xr:uid="{00000000-0005-0000-0000-0000D8350000}"/>
    <cellStyle name="Normal 161 2 4 3" xfId="13785" xr:uid="{00000000-0005-0000-0000-0000D9350000}"/>
    <cellStyle name="Normal 161 2 5" xfId="13786" xr:uid="{00000000-0005-0000-0000-0000DA350000}"/>
    <cellStyle name="Normal 161 3" xfId="13787" xr:uid="{00000000-0005-0000-0000-0000DB350000}"/>
    <cellStyle name="Normal 161 3 2" xfId="13788" xr:uid="{00000000-0005-0000-0000-0000DC350000}"/>
    <cellStyle name="Normal 161 3 2 2" xfId="13789" xr:uid="{00000000-0005-0000-0000-0000DD350000}"/>
    <cellStyle name="Normal 161 3 2 2 2" xfId="13790" xr:uid="{00000000-0005-0000-0000-0000DE350000}"/>
    <cellStyle name="Normal 161 3 2 3" xfId="13791" xr:uid="{00000000-0005-0000-0000-0000DF350000}"/>
    <cellStyle name="Normal 161 3 2 3 2" xfId="13792" xr:uid="{00000000-0005-0000-0000-0000E0350000}"/>
    <cellStyle name="Normal 161 3 2 3 2 2" xfId="13793" xr:uid="{00000000-0005-0000-0000-0000E1350000}"/>
    <cellStyle name="Normal 161 3 2 3 3" xfId="13794" xr:uid="{00000000-0005-0000-0000-0000E2350000}"/>
    <cellStyle name="Normal 161 3 2 4" xfId="13795" xr:uid="{00000000-0005-0000-0000-0000E3350000}"/>
    <cellStyle name="Normal 161 3 3" xfId="13796" xr:uid="{00000000-0005-0000-0000-0000E4350000}"/>
    <cellStyle name="Normal 161 3 3 2" xfId="13797" xr:uid="{00000000-0005-0000-0000-0000E5350000}"/>
    <cellStyle name="Normal 161 3 3 2 2" xfId="13798" xr:uid="{00000000-0005-0000-0000-0000E6350000}"/>
    <cellStyle name="Normal 161 3 3 3" xfId="13799" xr:uid="{00000000-0005-0000-0000-0000E7350000}"/>
    <cellStyle name="Normal 161 3 4" xfId="13800" xr:uid="{00000000-0005-0000-0000-0000E8350000}"/>
    <cellStyle name="Normal 161 3 4 2" xfId="13801" xr:uid="{00000000-0005-0000-0000-0000E9350000}"/>
    <cellStyle name="Normal 161 3 4 2 2" xfId="13802" xr:uid="{00000000-0005-0000-0000-0000EA350000}"/>
    <cellStyle name="Normal 161 3 4 3" xfId="13803" xr:uid="{00000000-0005-0000-0000-0000EB350000}"/>
    <cellStyle name="Normal 161 3 5" xfId="13804" xr:uid="{00000000-0005-0000-0000-0000EC350000}"/>
    <cellStyle name="Normal 161 3 5 2" xfId="13805" xr:uid="{00000000-0005-0000-0000-0000ED350000}"/>
    <cellStyle name="Normal 161 3 5 2 2" xfId="13806" xr:uid="{00000000-0005-0000-0000-0000EE350000}"/>
    <cellStyle name="Normal 161 3 5 3" xfId="13807" xr:uid="{00000000-0005-0000-0000-0000EF350000}"/>
    <cellStyle name="Normal 161 3 6" xfId="13808" xr:uid="{00000000-0005-0000-0000-0000F0350000}"/>
    <cellStyle name="Normal 161 4" xfId="13809" xr:uid="{00000000-0005-0000-0000-0000F1350000}"/>
    <cellStyle name="Normal 161 4 2" xfId="13810" xr:uid="{00000000-0005-0000-0000-0000F2350000}"/>
    <cellStyle name="Normal 161 4 2 2" xfId="13811" xr:uid="{00000000-0005-0000-0000-0000F3350000}"/>
    <cellStyle name="Normal 161 4 3" xfId="13812" xr:uid="{00000000-0005-0000-0000-0000F4350000}"/>
    <cellStyle name="Normal 161 5" xfId="13813" xr:uid="{00000000-0005-0000-0000-0000F5350000}"/>
    <cellStyle name="Normal 161 5 2" xfId="13814" xr:uid="{00000000-0005-0000-0000-0000F6350000}"/>
    <cellStyle name="Normal 161 5 2 2" xfId="13815" xr:uid="{00000000-0005-0000-0000-0000F7350000}"/>
    <cellStyle name="Normal 161 5 3" xfId="13816" xr:uid="{00000000-0005-0000-0000-0000F8350000}"/>
    <cellStyle name="Normal 161 6" xfId="13817" xr:uid="{00000000-0005-0000-0000-0000F9350000}"/>
    <cellStyle name="Normal 161 6 2" xfId="13818" xr:uid="{00000000-0005-0000-0000-0000FA350000}"/>
    <cellStyle name="Normal 161 6 2 2" xfId="13819" xr:uid="{00000000-0005-0000-0000-0000FB350000}"/>
    <cellStyle name="Normal 161 6 3" xfId="13820" xr:uid="{00000000-0005-0000-0000-0000FC350000}"/>
    <cellStyle name="Normal 161 7" xfId="13821" xr:uid="{00000000-0005-0000-0000-0000FD350000}"/>
    <cellStyle name="Normal 162" xfId="13822" xr:uid="{00000000-0005-0000-0000-0000FE350000}"/>
    <cellStyle name="Normal 162 2" xfId="13823" xr:uid="{00000000-0005-0000-0000-0000FF350000}"/>
    <cellStyle name="Normal 162 2 2" xfId="13824" xr:uid="{00000000-0005-0000-0000-000000360000}"/>
    <cellStyle name="Normal 162 2 2 2" xfId="13825" xr:uid="{00000000-0005-0000-0000-000001360000}"/>
    <cellStyle name="Normal 162 2 3" xfId="13826" xr:uid="{00000000-0005-0000-0000-000002360000}"/>
    <cellStyle name="Normal 162 2 3 2" xfId="13827" xr:uid="{00000000-0005-0000-0000-000003360000}"/>
    <cellStyle name="Normal 162 2 3 2 2" xfId="13828" xr:uid="{00000000-0005-0000-0000-000004360000}"/>
    <cellStyle name="Normal 162 2 3 3" xfId="13829" xr:uid="{00000000-0005-0000-0000-000005360000}"/>
    <cellStyle name="Normal 162 2 4" xfId="13830" xr:uid="{00000000-0005-0000-0000-000006360000}"/>
    <cellStyle name="Normal 162 2 4 2" xfId="13831" xr:uid="{00000000-0005-0000-0000-000007360000}"/>
    <cellStyle name="Normal 162 2 4 2 2" xfId="13832" xr:uid="{00000000-0005-0000-0000-000008360000}"/>
    <cellStyle name="Normal 162 2 4 3" xfId="13833" xr:uid="{00000000-0005-0000-0000-000009360000}"/>
    <cellStyle name="Normal 162 2 5" xfId="13834" xr:uid="{00000000-0005-0000-0000-00000A360000}"/>
    <cellStyle name="Normal 162 3" xfId="13835" xr:uid="{00000000-0005-0000-0000-00000B360000}"/>
    <cellStyle name="Normal 162 3 2" xfId="13836" xr:uid="{00000000-0005-0000-0000-00000C360000}"/>
    <cellStyle name="Normal 162 3 2 2" xfId="13837" xr:uid="{00000000-0005-0000-0000-00000D360000}"/>
    <cellStyle name="Normal 162 3 2 2 2" xfId="13838" xr:uid="{00000000-0005-0000-0000-00000E360000}"/>
    <cellStyle name="Normal 162 3 2 3" xfId="13839" xr:uid="{00000000-0005-0000-0000-00000F360000}"/>
    <cellStyle name="Normal 162 3 2 3 2" xfId="13840" xr:uid="{00000000-0005-0000-0000-000010360000}"/>
    <cellStyle name="Normal 162 3 2 3 2 2" xfId="13841" xr:uid="{00000000-0005-0000-0000-000011360000}"/>
    <cellStyle name="Normal 162 3 2 3 3" xfId="13842" xr:uid="{00000000-0005-0000-0000-000012360000}"/>
    <cellStyle name="Normal 162 3 2 4" xfId="13843" xr:uid="{00000000-0005-0000-0000-000013360000}"/>
    <cellStyle name="Normal 162 3 3" xfId="13844" xr:uid="{00000000-0005-0000-0000-000014360000}"/>
    <cellStyle name="Normal 162 3 3 2" xfId="13845" xr:uid="{00000000-0005-0000-0000-000015360000}"/>
    <cellStyle name="Normal 162 3 3 2 2" xfId="13846" xr:uid="{00000000-0005-0000-0000-000016360000}"/>
    <cellStyle name="Normal 162 3 3 3" xfId="13847" xr:uid="{00000000-0005-0000-0000-000017360000}"/>
    <cellStyle name="Normal 162 3 4" xfId="13848" xr:uid="{00000000-0005-0000-0000-000018360000}"/>
    <cellStyle name="Normal 162 3 4 2" xfId="13849" xr:uid="{00000000-0005-0000-0000-000019360000}"/>
    <cellStyle name="Normal 162 3 4 2 2" xfId="13850" xr:uid="{00000000-0005-0000-0000-00001A360000}"/>
    <cellStyle name="Normal 162 3 4 3" xfId="13851" xr:uid="{00000000-0005-0000-0000-00001B360000}"/>
    <cellStyle name="Normal 162 3 5" xfId="13852" xr:uid="{00000000-0005-0000-0000-00001C360000}"/>
    <cellStyle name="Normal 162 3 5 2" xfId="13853" xr:uid="{00000000-0005-0000-0000-00001D360000}"/>
    <cellStyle name="Normal 162 3 5 2 2" xfId="13854" xr:uid="{00000000-0005-0000-0000-00001E360000}"/>
    <cellStyle name="Normal 162 3 5 3" xfId="13855" xr:uid="{00000000-0005-0000-0000-00001F360000}"/>
    <cellStyle name="Normal 162 3 6" xfId="13856" xr:uid="{00000000-0005-0000-0000-000020360000}"/>
    <cellStyle name="Normal 162 4" xfId="13857" xr:uid="{00000000-0005-0000-0000-000021360000}"/>
    <cellStyle name="Normal 162 4 2" xfId="13858" xr:uid="{00000000-0005-0000-0000-000022360000}"/>
    <cellStyle name="Normal 162 4 2 2" xfId="13859" xr:uid="{00000000-0005-0000-0000-000023360000}"/>
    <cellStyle name="Normal 162 4 3" xfId="13860" xr:uid="{00000000-0005-0000-0000-000024360000}"/>
    <cellStyle name="Normal 162 5" xfId="13861" xr:uid="{00000000-0005-0000-0000-000025360000}"/>
    <cellStyle name="Normal 162 5 2" xfId="13862" xr:uid="{00000000-0005-0000-0000-000026360000}"/>
    <cellStyle name="Normal 162 5 2 2" xfId="13863" xr:uid="{00000000-0005-0000-0000-000027360000}"/>
    <cellStyle name="Normal 162 5 3" xfId="13864" xr:uid="{00000000-0005-0000-0000-000028360000}"/>
    <cellStyle name="Normal 162 6" xfId="13865" xr:uid="{00000000-0005-0000-0000-000029360000}"/>
    <cellStyle name="Normal 162 6 2" xfId="13866" xr:uid="{00000000-0005-0000-0000-00002A360000}"/>
    <cellStyle name="Normal 162 6 2 2" xfId="13867" xr:uid="{00000000-0005-0000-0000-00002B360000}"/>
    <cellStyle name="Normal 162 6 3" xfId="13868" xr:uid="{00000000-0005-0000-0000-00002C360000}"/>
    <cellStyle name="Normal 162 7" xfId="13869" xr:uid="{00000000-0005-0000-0000-00002D360000}"/>
    <cellStyle name="Normal 163" xfId="13870" xr:uid="{00000000-0005-0000-0000-00002E360000}"/>
    <cellStyle name="Normal 163 2" xfId="13871" xr:uid="{00000000-0005-0000-0000-00002F360000}"/>
    <cellStyle name="Normal 163 2 2" xfId="13872" xr:uid="{00000000-0005-0000-0000-000030360000}"/>
    <cellStyle name="Normal 163 2 2 2" xfId="13873" xr:uid="{00000000-0005-0000-0000-000031360000}"/>
    <cellStyle name="Normal 163 2 3" xfId="13874" xr:uid="{00000000-0005-0000-0000-000032360000}"/>
    <cellStyle name="Normal 163 2 3 2" xfId="13875" xr:uid="{00000000-0005-0000-0000-000033360000}"/>
    <cellStyle name="Normal 163 2 3 2 2" xfId="13876" xr:uid="{00000000-0005-0000-0000-000034360000}"/>
    <cellStyle name="Normal 163 2 3 3" xfId="13877" xr:uid="{00000000-0005-0000-0000-000035360000}"/>
    <cellStyle name="Normal 163 2 4" xfId="13878" xr:uid="{00000000-0005-0000-0000-000036360000}"/>
    <cellStyle name="Normal 163 2 4 2" xfId="13879" xr:uid="{00000000-0005-0000-0000-000037360000}"/>
    <cellStyle name="Normal 163 2 4 2 2" xfId="13880" xr:uid="{00000000-0005-0000-0000-000038360000}"/>
    <cellStyle name="Normal 163 2 4 3" xfId="13881" xr:uid="{00000000-0005-0000-0000-000039360000}"/>
    <cellStyle name="Normal 163 2 5" xfId="13882" xr:uid="{00000000-0005-0000-0000-00003A360000}"/>
    <cellStyle name="Normal 163 3" xfId="13883" xr:uid="{00000000-0005-0000-0000-00003B360000}"/>
    <cellStyle name="Normal 163 3 2" xfId="13884" xr:uid="{00000000-0005-0000-0000-00003C360000}"/>
    <cellStyle name="Normal 163 3 2 2" xfId="13885" xr:uid="{00000000-0005-0000-0000-00003D360000}"/>
    <cellStyle name="Normal 163 3 2 2 2" xfId="13886" xr:uid="{00000000-0005-0000-0000-00003E360000}"/>
    <cellStyle name="Normal 163 3 2 3" xfId="13887" xr:uid="{00000000-0005-0000-0000-00003F360000}"/>
    <cellStyle name="Normal 163 3 2 3 2" xfId="13888" xr:uid="{00000000-0005-0000-0000-000040360000}"/>
    <cellStyle name="Normal 163 3 2 3 2 2" xfId="13889" xr:uid="{00000000-0005-0000-0000-000041360000}"/>
    <cellStyle name="Normal 163 3 2 3 3" xfId="13890" xr:uid="{00000000-0005-0000-0000-000042360000}"/>
    <cellStyle name="Normal 163 3 2 4" xfId="13891" xr:uid="{00000000-0005-0000-0000-000043360000}"/>
    <cellStyle name="Normal 163 3 3" xfId="13892" xr:uid="{00000000-0005-0000-0000-000044360000}"/>
    <cellStyle name="Normal 163 3 3 2" xfId="13893" xr:uid="{00000000-0005-0000-0000-000045360000}"/>
    <cellStyle name="Normal 163 3 3 2 2" xfId="13894" xr:uid="{00000000-0005-0000-0000-000046360000}"/>
    <cellStyle name="Normal 163 3 3 3" xfId="13895" xr:uid="{00000000-0005-0000-0000-000047360000}"/>
    <cellStyle name="Normal 163 3 4" xfId="13896" xr:uid="{00000000-0005-0000-0000-000048360000}"/>
    <cellStyle name="Normal 163 3 4 2" xfId="13897" xr:uid="{00000000-0005-0000-0000-000049360000}"/>
    <cellStyle name="Normal 163 3 4 2 2" xfId="13898" xr:uid="{00000000-0005-0000-0000-00004A360000}"/>
    <cellStyle name="Normal 163 3 4 3" xfId="13899" xr:uid="{00000000-0005-0000-0000-00004B360000}"/>
    <cellStyle name="Normal 163 3 5" xfId="13900" xr:uid="{00000000-0005-0000-0000-00004C360000}"/>
    <cellStyle name="Normal 163 3 5 2" xfId="13901" xr:uid="{00000000-0005-0000-0000-00004D360000}"/>
    <cellStyle name="Normal 163 3 5 2 2" xfId="13902" xr:uid="{00000000-0005-0000-0000-00004E360000}"/>
    <cellStyle name="Normal 163 3 5 3" xfId="13903" xr:uid="{00000000-0005-0000-0000-00004F360000}"/>
    <cellStyle name="Normal 163 3 6" xfId="13904" xr:uid="{00000000-0005-0000-0000-000050360000}"/>
    <cellStyle name="Normal 163 4" xfId="13905" xr:uid="{00000000-0005-0000-0000-000051360000}"/>
    <cellStyle name="Normal 163 4 2" xfId="13906" xr:uid="{00000000-0005-0000-0000-000052360000}"/>
    <cellStyle name="Normal 163 4 2 2" xfId="13907" xr:uid="{00000000-0005-0000-0000-000053360000}"/>
    <cellStyle name="Normal 163 4 3" xfId="13908" xr:uid="{00000000-0005-0000-0000-000054360000}"/>
    <cellStyle name="Normal 163 5" xfId="13909" xr:uid="{00000000-0005-0000-0000-000055360000}"/>
    <cellStyle name="Normal 163 5 2" xfId="13910" xr:uid="{00000000-0005-0000-0000-000056360000}"/>
    <cellStyle name="Normal 163 5 2 2" xfId="13911" xr:uid="{00000000-0005-0000-0000-000057360000}"/>
    <cellStyle name="Normal 163 5 3" xfId="13912" xr:uid="{00000000-0005-0000-0000-000058360000}"/>
    <cellStyle name="Normal 163 6" xfId="13913" xr:uid="{00000000-0005-0000-0000-000059360000}"/>
    <cellStyle name="Normal 163 6 2" xfId="13914" xr:uid="{00000000-0005-0000-0000-00005A360000}"/>
    <cellStyle name="Normal 163 6 2 2" xfId="13915" xr:uid="{00000000-0005-0000-0000-00005B360000}"/>
    <cellStyle name="Normal 163 6 3" xfId="13916" xr:uid="{00000000-0005-0000-0000-00005C360000}"/>
    <cellStyle name="Normal 163 7" xfId="13917" xr:uid="{00000000-0005-0000-0000-00005D360000}"/>
    <cellStyle name="Normal 164" xfId="13918" xr:uid="{00000000-0005-0000-0000-00005E360000}"/>
    <cellStyle name="Normal 164 2" xfId="13919" xr:uid="{00000000-0005-0000-0000-00005F360000}"/>
    <cellStyle name="Normal 164 2 2" xfId="13920" xr:uid="{00000000-0005-0000-0000-000060360000}"/>
    <cellStyle name="Normal 164 2 2 2" xfId="13921" xr:uid="{00000000-0005-0000-0000-000061360000}"/>
    <cellStyle name="Normal 164 2 3" xfId="13922" xr:uid="{00000000-0005-0000-0000-000062360000}"/>
    <cellStyle name="Normal 164 2 3 2" xfId="13923" xr:uid="{00000000-0005-0000-0000-000063360000}"/>
    <cellStyle name="Normal 164 2 3 2 2" xfId="13924" xr:uid="{00000000-0005-0000-0000-000064360000}"/>
    <cellStyle name="Normal 164 2 3 3" xfId="13925" xr:uid="{00000000-0005-0000-0000-000065360000}"/>
    <cellStyle name="Normal 164 2 4" xfId="13926" xr:uid="{00000000-0005-0000-0000-000066360000}"/>
    <cellStyle name="Normal 164 2 4 2" xfId="13927" xr:uid="{00000000-0005-0000-0000-000067360000}"/>
    <cellStyle name="Normal 164 2 4 2 2" xfId="13928" xr:uid="{00000000-0005-0000-0000-000068360000}"/>
    <cellStyle name="Normal 164 2 4 3" xfId="13929" xr:uid="{00000000-0005-0000-0000-000069360000}"/>
    <cellStyle name="Normal 164 2 5" xfId="13930" xr:uid="{00000000-0005-0000-0000-00006A360000}"/>
    <cellStyle name="Normal 164 3" xfId="13931" xr:uid="{00000000-0005-0000-0000-00006B360000}"/>
    <cellStyle name="Normal 164 3 2" xfId="13932" xr:uid="{00000000-0005-0000-0000-00006C360000}"/>
    <cellStyle name="Normal 164 3 2 2" xfId="13933" xr:uid="{00000000-0005-0000-0000-00006D360000}"/>
    <cellStyle name="Normal 164 3 2 2 2" xfId="13934" xr:uid="{00000000-0005-0000-0000-00006E360000}"/>
    <cellStyle name="Normal 164 3 2 3" xfId="13935" xr:uid="{00000000-0005-0000-0000-00006F360000}"/>
    <cellStyle name="Normal 164 3 2 3 2" xfId="13936" xr:uid="{00000000-0005-0000-0000-000070360000}"/>
    <cellStyle name="Normal 164 3 2 3 2 2" xfId="13937" xr:uid="{00000000-0005-0000-0000-000071360000}"/>
    <cellStyle name="Normal 164 3 2 3 3" xfId="13938" xr:uid="{00000000-0005-0000-0000-000072360000}"/>
    <cellStyle name="Normal 164 3 2 4" xfId="13939" xr:uid="{00000000-0005-0000-0000-000073360000}"/>
    <cellStyle name="Normal 164 3 3" xfId="13940" xr:uid="{00000000-0005-0000-0000-000074360000}"/>
    <cellStyle name="Normal 164 3 3 2" xfId="13941" xr:uid="{00000000-0005-0000-0000-000075360000}"/>
    <cellStyle name="Normal 164 3 3 2 2" xfId="13942" xr:uid="{00000000-0005-0000-0000-000076360000}"/>
    <cellStyle name="Normal 164 3 3 3" xfId="13943" xr:uid="{00000000-0005-0000-0000-000077360000}"/>
    <cellStyle name="Normal 164 3 4" xfId="13944" xr:uid="{00000000-0005-0000-0000-000078360000}"/>
    <cellStyle name="Normal 164 3 4 2" xfId="13945" xr:uid="{00000000-0005-0000-0000-000079360000}"/>
    <cellStyle name="Normal 164 3 4 2 2" xfId="13946" xr:uid="{00000000-0005-0000-0000-00007A360000}"/>
    <cellStyle name="Normal 164 3 4 3" xfId="13947" xr:uid="{00000000-0005-0000-0000-00007B360000}"/>
    <cellStyle name="Normal 164 3 5" xfId="13948" xr:uid="{00000000-0005-0000-0000-00007C360000}"/>
    <cellStyle name="Normal 164 3 5 2" xfId="13949" xr:uid="{00000000-0005-0000-0000-00007D360000}"/>
    <cellStyle name="Normal 164 3 5 2 2" xfId="13950" xr:uid="{00000000-0005-0000-0000-00007E360000}"/>
    <cellStyle name="Normal 164 3 5 3" xfId="13951" xr:uid="{00000000-0005-0000-0000-00007F360000}"/>
    <cellStyle name="Normal 164 3 6" xfId="13952" xr:uid="{00000000-0005-0000-0000-000080360000}"/>
    <cellStyle name="Normal 164 4" xfId="13953" xr:uid="{00000000-0005-0000-0000-000081360000}"/>
    <cellStyle name="Normal 164 4 2" xfId="13954" xr:uid="{00000000-0005-0000-0000-000082360000}"/>
    <cellStyle name="Normal 164 4 2 2" xfId="13955" xr:uid="{00000000-0005-0000-0000-000083360000}"/>
    <cellStyle name="Normal 164 4 3" xfId="13956" xr:uid="{00000000-0005-0000-0000-000084360000}"/>
    <cellStyle name="Normal 164 5" xfId="13957" xr:uid="{00000000-0005-0000-0000-000085360000}"/>
    <cellStyle name="Normal 164 5 2" xfId="13958" xr:uid="{00000000-0005-0000-0000-000086360000}"/>
    <cellStyle name="Normal 164 5 2 2" xfId="13959" xr:uid="{00000000-0005-0000-0000-000087360000}"/>
    <cellStyle name="Normal 164 5 3" xfId="13960" xr:uid="{00000000-0005-0000-0000-000088360000}"/>
    <cellStyle name="Normal 164 6" xfId="13961" xr:uid="{00000000-0005-0000-0000-000089360000}"/>
    <cellStyle name="Normal 164 6 2" xfId="13962" xr:uid="{00000000-0005-0000-0000-00008A360000}"/>
    <cellStyle name="Normal 164 6 2 2" xfId="13963" xr:uid="{00000000-0005-0000-0000-00008B360000}"/>
    <cellStyle name="Normal 164 6 3" xfId="13964" xr:uid="{00000000-0005-0000-0000-00008C360000}"/>
    <cellStyle name="Normal 164 7" xfId="13965" xr:uid="{00000000-0005-0000-0000-00008D360000}"/>
    <cellStyle name="Normal 165" xfId="13966" xr:uid="{00000000-0005-0000-0000-00008E360000}"/>
    <cellStyle name="Normal 165 2" xfId="13967" xr:uid="{00000000-0005-0000-0000-00008F360000}"/>
    <cellStyle name="Normal 165 2 2" xfId="13968" xr:uid="{00000000-0005-0000-0000-000090360000}"/>
    <cellStyle name="Normal 165 2 2 2" xfId="13969" xr:uid="{00000000-0005-0000-0000-000091360000}"/>
    <cellStyle name="Normal 165 2 3" xfId="13970" xr:uid="{00000000-0005-0000-0000-000092360000}"/>
    <cellStyle name="Normal 165 2 3 2" xfId="13971" xr:uid="{00000000-0005-0000-0000-000093360000}"/>
    <cellStyle name="Normal 165 2 3 2 2" xfId="13972" xr:uid="{00000000-0005-0000-0000-000094360000}"/>
    <cellStyle name="Normal 165 2 3 3" xfId="13973" xr:uid="{00000000-0005-0000-0000-000095360000}"/>
    <cellStyle name="Normal 165 2 4" xfId="13974" xr:uid="{00000000-0005-0000-0000-000096360000}"/>
    <cellStyle name="Normal 165 2 4 2" xfId="13975" xr:uid="{00000000-0005-0000-0000-000097360000}"/>
    <cellStyle name="Normal 165 2 4 2 2" xfId="13976" xr:uid="{00000000-0005-0000-0000-000098360000}"/>
    <cellStyle name="Normal 165 2 4 3" xfId="13977" xr:uid="{00000000-0005-0000-0000-000099360000}"/>
    <cellStyle name="Normal 165 2 5" xfId="13978" xr:uid="{00000000-0005-0000-0000-00009A360000}"/>
    <cellStyle name="Normal 165 3" xfId="13979" xr:uid="{00000000-0005-0000-0000-00009B360000}"/>
    <cellStyle name="Normal 165 3 2" xfId="13980" xr:uid="{00000000-0005-0000-0000-00009C360000}"/>
    <cellStyle name="Normal 165 3 2 2" xfId="13981" xr:uid="{00000000-0005-0000-0000-00009D360000}"/>
    <cellStyle name="Normal 165 3 2 2 2" xfId="13982" xr:uid="{00000000-0005-0000-0000-00009E360000}"/>
    <cellStyle name="Normal 165 3 2 3" xfId="13983" xr:uid="{00000000-0005-0000-0000-00009F360000}"/>
    <cellStyle name="Normal 165 3 2 3 2" xfId="13984" xr:uid="{00000000-0005-0000-0000-0000A0360000}"/>
    <cellStyle name="Normal 165 3 2 3 2 2" xfId="13985" xr:uid="{00000000-0005-0000-0000-0000A1360000}"/>
    <cellStyle name="Normal 165 3 2 3 3" xfId="13986" xr:uid="{00000000-0005-0000-0000-0000A2360000}"/>
    <cellStyle name="Normal 165 3 2 4" xfId="13987" xr:uid="{00000000-0005-0000-0000-0000A3360000}"/>
    <cellStyle name="Normal 165 3 3" xfId="13988" xr:uid="{00000000-0005-0000-0000-0000A4360000}"/>
    <cellStyle name="Normal 165 3 3 2" xfId="13989" xr:uid="{00000000-0005-0000-0000-0000A5360000}"/>
    <cellStyle name="Normal 165 3 3 2 2" xfId="13990" xr:uid="{00000000-0005-0000-0000-0000A6360000}"/>
    <cellStyle name="Normal 165 3 3 3" xfId="13991" xr:uid="{00000000-0005-0000-0000-0000A7360000}"/>
    <cellStyle name="Normal 165 3 4" xfId="13992" xr:uid="{00000000-0005-0000-0000-0000A8360000}"/>
    <cellStyle name="Normal 165 3 4 2" xfId="13993" xr:uid="{00000000-0005-0000-0000-0000A9360000}"/>
    <cellStyle name="Normal 165 3 4 2 2" xfId="13994" xr:uid="{00000000-0005-0000-0000-0000AA360000}"/>
    <cellStyle name="Normal 165 3 4 3" xfId="13995" xr:uid="{00000000-0005-0000-0000-0000AB360000}"/>
    <cellStyle name="Normal 165 3 5" xfId="13996" xr:uid="{00000000-0005-0000-0000-0000AC360000}"/>
    <cellStyle name="Normal 165 3 5 2" xfId="13997" xr:uid="{00000000-0005-0000-0000-0000AD360000}"/>
    <cellStyle name="Normal 165 3 5 2 2" xfId="13998" xr:uid="{00000000-0005-0000-0000-0000AE360000}"/>
    <cellStyle name="Normal 165 3 5 3" xfId="13999" xr:uid="{00000000-0005-0000-0000-0000AF360000}"/>
    <cellStyle name="Normal 165 3 6" xfId="14000" xr:uid="{00000000-0005-0000-0000-0000B0360000}"/>
    <cellStyle name="Normal 165 4" xfId="14001" xr:uid="{00000000-0005-0000-0000-0000B1360000}"/>
    <cellStyle name="Normal 165 4 2" xfId="14002" xr:uid="{00000000-0005-0000-0000-0000B2360000}"/>
    <cellStyle name="Normal 165 4 2 2" xfId="14003" xr:uid="{00000000-0005-0000-0000-0000B3360000}"/>
    <cellStyle name="Normal 165 4 3" xfId="14004" xr:uid="{00000000-0005-0000-0000-0000B4360000}"/>
    <cellStyle name="Normal 165 5" xfId="14005" xr:uid="{00000000-0005-0000-0000-0000B5360000}"/>
    <cellStyle name="Normal 165 5 2" xfId="14006" xr:uid="{00000000-0005-0000-0000-0000B6360000}"/>
    <cellStyle name="Normal 165 5 2 2" xfId="14007" xr:uid="{00000000-0005-0000-0000-0000B7360000}"/>
    <cellStyle name="Normal 165 5 3" xfId="14008" xr:uid="{00000000-0005-0000-0000-0000B8360000}"/>
    <cellStyle name="Normal 165 6" xfId="14009" xr:uid="{00000000-0005-0000-0000-0000B9360000}"/>
    <cellStyle name="Normal 165 6 2" xfId="14010" xr:uid="{00000000-0005-0000-0000-0000BA360000}"/>
    <cellStyle name="Normal 165 6 2 2" xfId="14011" xr:uid="{00000000-0005-0000-0000-0000BB360000}"/>
    <cellStyle name="Normal 165 6 3" xfId="14012" xr:uid="{00000000-0005-0000-0000-0000BC360000}"/>
    <cellStyle name="Normal 165 7" xfId="14013" xr:uid="{00000000-0005-0000-0000-0000BD360000}"/>
    <cellStyle name="Normal 166" xfId="14014" xr:uid="{00000000-0005-0000-0000-0000BE360000}"/>
    <cellStyle name="Normal 166 2" xfId="14015" xr:uid="{00000000-0005-0000-0000-0000BF360000}"/>
    <cellStyle name="Normal 166 2 2" xfId="14016" xr:uid="{00000000-0005-0000-0000-0000C0360000}"/>
    <cellStyle name="Normal 166 2 2 2" xfId="14017" xr:uid="{00000000-0005-0000-0000-0000C1360000}"/>
    <cellStyle name="Normal 166 2 3" xfId="14018" xr:uid="{00000000-0005-0000-0000-0000C2360000}"/>
    <cellStyle name="Normal 166 2 3 2" xfId="14019" xr:uid="{00000000-0005-0000-0000-0000C3360000}"/>
    <cellStyle name="Normal 166 2 3 2 2" xfId="14020" xr:uid="{00000000-0005-0000-0000-0000C4360000}"/>
    <cellStyle name="Normal 166 2 3 3" xfId="14021" xr:uid="{00000000-0005-0000-0000-0000C5360000}"/>
    <cellStyle name="Normal 166 2 4" xfId="14022" xr:uid="{00000000-0005-0000-0000-0000C6360000}"/>
    <cellStyle name="Normal 166 2 4 2" xfId="14023" xr:uid="{00000000-0005-0000-0000-0000C7360000}"/>
    <cellStyle name="Normal 166 2 4 2 2" xfId="14024" xr:uid="{00000000-0005-0000-0000-0000C8360000}"/>
    <cellStyle name="Normal 166 2 4 3" xfId="14025" xr:uid="{00000000-0005-0000-0000-0000C9360000}"/>
    <cellStyle name="Normal 166 2 5" xfId="14026" xr:uid="{00000000-0005-0000-0000-0000CA360000}"/>
    <cellStyle name="Normal 166 3" xfId="14027" xr:uid="{00000000-0005-0000-0000-0000CB360000}"/>
    <cellStyle name="Normal 166 3 2" xfId="14028" xr:uid="{00000000-0005-0000-0000-0000CC360000}"/>
    <cellStyle name="Normal 166 3 2 2" xfId="14029" xr:uid="{00000000-0005-0000-0000-0000CD360000}"/>
    <cellStyle name="Normal 166 3 2 2 2" xfId="14030" xr:uid="{00000000-0005-0000-0000-0000CE360000}"/>
    <cellStyle name="Normal 166 3 2 3" xfId="14031" xr:uid="{00000000-0005-0000-0000-0000CF360000}"/>
    <cellStyle name="Normal 166 3 2 3 2" xfId="14032" xr:uid="{00000000-0005-0000-0000-0000D0360000}"/>
    <cellStyle name="Normal 166 3 2 3 2 2" xfId="14033" xr:uid="{00000000-0005-0000-0000-0000D1360000}"/>
    <cellStyle name="Normal 166 3 2 3 3" xfId="14034" xr:uid="{00000000-0005-0000-0000-0000D2360000}"/>
    <cellStyle name="Normal 166 3 2 4" xfId="14035" xr:uid="{00000000-0005-0000-0000-0000D3360000}"/>
    <cellStyle name="Normal 166 3 3" xfId="14036" xr:uid="{00000000-0005-0000-0000-0000D4360000}"/>
    <cellStyle name="Normal 166 3 3 2" xfId="14037" xr:uid="{00000000-0005-0000-0000-0000D5360000}"/>
    <cellStyle name="Normal 166 3 3 2 2" xfId="14038" xr:uid="{00000000-0005-0000-0000-0000D6360000}"/>
    <cellStyle name="Normal 166 3 3 3" xfId="14039" xr:uid="{00000000-0005-0000-0000-0000D7360000}"/>
    <cellStyle name="Normal 166 3 4" xfId="14040" xr:uid="{00000000-0005-0000-0000-0000D8360000}"/>
    <cellStyle name="Normal 166 3 4 2" xfId="14041" xr:uid="{00000000-0005-0000-0000-0000D9360000}"/>
    <cellStyle name="Normal 166 3 4 2 2" xfId="14042" xr:uid="{00000000-0005-0000-0000-0000DA360000}"/>
    <cellStyle name="Normal 166 3 4 3" xfId="14043" xr:uid="{00000000-0005-0000-0000-0000DB360000}"/>
    <cellStyle name="Normal 166 3 5" xfId="14044" xr:uid="{00000000-0005-0000-0000-0000DC360000}"/>
    <cellStyle name="Normal 166 3 5 2" xfId="14045" xr:uid="{00000000-0005-0000-0000-0000DD360000}"/>
    <cellStyle name="Normal 166 3 5 2 2" xfId="14046" xr:uid="{00000000-0005-0000-0000-0000DE360000}"/>
    <cellStyle name="Normal 166 3 5 3" xfId="14047" xr:uid="{00000000-0005-0000-0000-0000DF360000}"/>
    <cellStyle name="Normal 166 3 6" xfId="14048" xr:uid="{00000000-0005-0000-0000-0000E0360000}"/>
    <cellStyle name="Normal 166 4" xfId="14049" xr:uid="{00000000-0005-0000-0000-0000E1360000}"/>
    <cellStyle name="Normal 166 4 2" xfId="14050" xr:uid="{00000000-0005-0000-0000-0000E2360000}"/>
    <cellStyle name="Normal 166 4 2 2" xfId="14051" xr:uid="{00000000-0005-0000-0000-0000E3360000}"/>
    <cellStyle name="Normal 166 4 3" xfId="14052" xr:uid="{00000000-0005-0000-0000-0000E4360000}"/>
    <cellStyle name="Normal 166 5" xfId="14053" xr:uid="{00000000-0005-0000-0000-0000E5360000}"/>
    <cellStyle name="Normal 166 5 2" xfId="14054" xr:uid="{00000000-0005-0000-0000-0000E6360000}"/>
    <cellStyle name="Normal 166 5 2 2" xfId="14055" xr:uid="{00000000-0005-0000-0000-0000E7360000}"/>
    <cellStyle name="Normal 166 5 3" xfId="14056" xr:uid="{00000000-0005-0000-0000-0000E8360000}"/>
    <cellStyle name="Normal 166 6" xfId="14057" xr:uid="{00000000-0005-0000-0000-0000E9360000}"/>
    <cellStyle name="Normal 166 6 2" xfId="14058" xr:uid="{00000000-0005-0000-0000-0000EA360000}"/>
    <cellStyle name="Normal 166 6 2 2" xfId="14059" xr:uid="{00000000-0005-0000-0000-0000EB360000}"/>
    <cellStyle name="Normal 166 6 3" xfId="14060" xr:uid="{00000000-0005-0000-0000-0000EC360000}"/>
    <cellStyle name="Normal 166 7" xfId="14061" xr:uid="{00000000-0005-0000-0000-0000ED360000}"/>
    <cellStyle name="Normal 167" xfId="14062" xr:uid="{00000000-0005-0000-0000-0000EE360000}"/>
    <cellStyle name="Normal 167 2" xfId="14063" xr:uid="{00000000-0005-0000-0000-0000EF360000}"/>
    <cellStyle name="Normal 167 2 2" xfId="14064" xr:uid="{00000000-0005-0000-0000-0000F0360000}"/>
    <cellStyle name="Normal 167 2 2 2" xfId="14065" xr:uid="{00000000-0005-0000-0000-0000F1360000}"/>
    <cellStyle name="Normal 167 2 3" xfId="14066" xr:uid="{00000000-0005-0000-0000-0000F2360000}"/>
    <cellStyle name="Normal 167 2 3 2" xfId="14067" xr:uid="{00000000-0005-0000-0000-0000F3360000}"/>
    <cellStyle name="Normal 167 2 3 2 2" xfId="14068" xr:uid="{00000000-0005-0000-0000-0000F4360000}"/>
    <cellStyle name="Normal 167 2 3 3" xfId="14069" xr:uid="{00000000-0005-0000-0000-0000F5360000}"/>
    <cellStyle name="Normal 167 2 4" xfId="14070" xr:uid="{00000000-0005-0000-0000-0000F6360000}"/>
    <cellStyle name="Normal 167 2 4 2" xfId="14071" xr:uid="{00000000-0005-0000-0000-0000F7360000}"/>
    <cellStyle name="Normal 167 2 4 2 2" xfId="14072" xr:uid="{00000000-0005-0000-0000-0000F8360000}"/>
    <cellStyle name="Normal 167 2 4 3" xfId="14073" xr:uid="{00000000-0005-0000-0000-0000F9360000}"/>
    <cellStyle name="Normal 167 2 5" xfId="14074" xr:uid="{00000000-0005-0000-0000-0000FA360000}"/>
    <cellStyle name="Normal 167 3" xfId="14075" xr:uid="{00000000-0005-0000-0000-0000FB360000}"/>
    <cellStyle name="Normal 167 3 2" xfId="14076" xr:uid="{00000000-0005-0000-0000-0000FC360000}"/>
    <cellStyle name="Normal 167 3 2 2" xfId="14077" xr:uid="{00000000-0005-0000-0000-0000FD360000}"/>
    <cellStyle name="Normal 167 3 2 2 2" xfId="14078" xr:uid="{00000000-0005-0000-0000-0000FE360000}"/>
    <cellStyle name="Normal 167 3 2 3" xfId="14079" xr:uid="{00000000-0005-0000-0000-0000FF360000}"/>
    <cellStyle name="Normal 167 3 2 3 2" xfId="14080" xr:uid="{00000000-0005-0000-0000-000000370000}"/>
    <cellStyle name="Normal 167 3 2 3 2 2" xfId="14081" xr:uid="{00000000-0005-0000-0000-000001370000}"/>
    <cellStyle name="Normal 167 3 2 3 3" xfId="14082" xr:uid="{00000000-0005-0000-0000-000002370000}"/>
    <cellStyle name="Normal 167 3 2 4" xfId="14083" xr:uid="{00000000-0005-0000-0000-000003370000}"/>
    <cellStyle name="Normal 167 3 3" xfId="14084" xr:uid="{00000000-0005-0000-0000-000004370000}"/>
    <cellStyle name="Normal 167 3 3 2" xfId="14085" xr:uid="{00000000-0005-0000-0000-000005370000}"/>
    <cellStyle name="Normal 167 3 3 2 2" xfId="14086" xr:uid="{00000000-0005-0000-0000-000006370000}"/>
    <cellStyle name="Normal 167 3 3 3" xfId="14087" xr:uid="{00000000-0005-0000-0000-000007370000}"/>
    <cellStyle name="Normal 167 3 4" xfId="14088" xr:uid="{00000000-0005-0000-0000-000008370000}"/>
    <cellStyle name="Normal 167 3 4 2" xfId="14089" xr:uid="{00000000-0005-0000-0000-000009370000}"/>
    <cellStyle name="Normal 167 3 4 2 2" xfId="14090" xr:uid="{00000000-0005-0000-0000-00000A370000}"/>
    <cellStyle name="Normal 167 3 4 3" xfId="14091" xr:uid="{00000000-0005-0000-0000-00000B370000}"/>
    <cellStyle name="Normal 167 3 5" xfId="14092" xr:uid="{00000000-0005-0000-0000-00000C370000}"/>
    <cellStyle name="Normal 167 3 5 2" xfId="14093" xr:uid="{00000000-0005-0000-0000-00000D370000}"/>
    <cellStyle name="Normal 167 3 5 2 2" xfId="14094" xr:uid="{00000000-0005-0000-0000-00000E370000}"/>
    <cellStyle name="Normal 167 3 5 3" xfId="14095" xr:uid="{00000000-0005-0000-0000-00000F370000}"/>
    <cellStyle name="Normal 167 3 6" xfId="14096" xr:uid="{00000000-0005-0000-0000-000010370000}"/>
    <cellStyle name="Normal 167 4" xfId="14097" xr:uid="{00000000-0005-0000-0000-000011370000}"/>
    <cellStyle name="Normal 167 4 2" xfId="14098" xr:uid="{00000000-0005-0000-0000-000012370000}"/>
    <cellStyle name="Normal 167 4 2 2" xfId="14099" xr:uid="{00000000-0005-0000-0000-000013370000}"/>
    <cellStyle name="Normal 167 4 3" xfId="14100" xr:uid="{00000000-0005-0000-0000-000014370000}"/>
    <cellStyle name="Normal 167 5" xfId="14101" xr:uid="{00000000-0005-0000-0000-000015370000}"/>
    <cellStyle name="Normal 167 5 2" xfId="14102" xr:uid="{00000000-0005-0000-0000-000016370000}"/>
    <cellStyle name="Normal 167 5 2 2" xfId="14103" xr:uid="{00000000-0005-0000-0000-000017370000}"/>
    <cellStyle name="Normal 167 5 3" xfId="14104" xr:uid="{00000000-0005-0000-0000-000018370000}"/>
    <cellStyle name="Normal 167 6" xfId="14105" xr:uid="{00000000-0005-0000-0000-000019370000}"/>
    <cellStyle name="Normal 167 6 2" xfId="14106" xr:uid="{00000000-0005-0000-0000-00001A370000}"/>
    <cellStyle name="Normal 167 6 2 2" xfId="14107" xr:uid="{00000000-0005-0000-0000-00001B370000}"/>
    <cellStyle name="Normal 167 6 3" xfId="14108" xr:uid="{00000000-0005-0000-0000-00001C370000}"/>
    <cellStyle name="Normal 167 7" xfId="14109" xr:uid="{00000000-0005-0000-0000-00001D370000}"/>
    <cellStyle name="Normal 168" xfId="14110" xr:uid="{00000000-0005-0000-0000-00001E370000}"/>
    <cellStyle name="Normal 168 2" xfId="14111" xr:uid="{00000000-0005-0000-0000-00001F370000}"/>
    <cellStyle name="Normal 168 2 2" xfId="14112" xr:uid="{00000000-0005-0000-0000-000020370000}"/>
    <cellStyle name="Normal 168 2 2 2" xfId="14113" xr:uid="{00000000-0005-0000-0000-000021370000}"/>
    <cellStyle name="Normal 168 2 3" xfId="14114" xr:uid="{00000000-0005-0000-0000-000022370000}"/>
    <cellStyle name="Normal 168 2 3 2" xfId="14115" xr:uid="{00000000-0005-0000-0000-000023370000}"/>
    <cellStyle name="Normal 168 2 3 2 2" xfId="14116" xr:uid="{00000000-0005-0000-0000-000024370000}"/>
    <cellStyle name="Normal 168 2 3 3" xfId="14117" xr:uid="{00000000-0005-0000-0000-000025370000}"/>
    <cellStyle name="Normal 168 2 4" xfId="14118" xr:uid="{00000000-0005-0000-0000-000026370000}"/>
    <cellStyle name="Normal 168 2 4 2" xfId="14119" xr:uid="{00000000-0005-0000-0000-000027370000}"/>
    <cellStyle name="Normal 168 2 4 2 2" xfId="14120" xr:uid="{00000000-0005-0000-0000-000028370000}"/>
    <cellStyle name="Normal 168 2 4 3" xfId="14121" xr:uid="{00000000-0005-0000-0000-000029370000}"/>
    <cellStyle name="Normal 168 2 5" xfId="14122" xr:uid="{00000000-0005-0000-0000-00002A370000}"/>
    <cellStyle name="Normal 168 3" xfId="14123" xr:uid="{00000000-0005-0000-0000-00002B370000}"/>
    <cellStyle name="Normal 168 3 2" xfId="14124" xr:uid="{00000000-0005-0000-0000-00002C370000}"/>
    <cellStyle name="Normal 168 3 2 2" xfId="14125" xr:uid="{00000000-0005-0000-0000-00002D370000}"/>
    <cellStyle name="Normal 168 3 2 2 2" xfId="14126" xr:uid="{00000000-0005-0000-0000-00002E370000}"/>
    <cellStyle name="Normal 168 3 2 3" xfId="14127" xr:uid="{00000000-0005-0000-0000-00002F370000}"/>
    <cellStyle name="Normal 168 3 2 3 2" xfId="14128" xr:uid="{00000000-0005-0000-0000-000030370000}"/>
    <cellStyle name="Normal 168 3 2 3 2 2" xfId="14129" xr:uid="{00000000-0005-0000-0000-000031370000}"/>
    <cellStyle name="Normal 168 3 2 3 3" xfId="14130" xr:uid="{00000000-0005-0000-0000-000032370000}"/>
    <cellStyle name="Normal 168 3 2 4" xfId="14131" xr:uid="{00000000-0005-0000-0000-000033370000}"/>
    <cellStyle name="Normal 168 3 3" xfId="14132" xr:uid="{00000000-0005-0000-0000-000034370000}"/>
    <cellStyle name="Normal 168 3 3 2" xfId="14133" xr:uid="{00000000-0005-0000-0000-000035370000}"/>
    <cellStyle name="Normal 168 3 3 2 2" xfId="14134" xr:uid="{00000000-0005-0000-0000-000036370000}"/>
    <cellStyle name="Normal 168 3 3 3" xfId="14135" xr:uid="{00000000-0005-0000-0000-000037370000}"/>
    <cellStyle name="Normal 168 3 4" xfId="14136" xr:uid="{00000000-0005-0000-0000-000038370000}"/>
    <cellStyle name="Normal 168 3 4 2" xfId="14137" xr:uid="{00000000-0005-0000-0000-000039370000}"/>
    <cellStyle name="Normal 168 3 4 2 2" xfId="14138" xr:uid="{00000000-0005-0000-0000-00003A370000}"/>
    <cellStyle name="Normal 168 3 4 3" xfId="14139" xr:uid="{00000000-0005-0000-0000-00003B370000}"/>
    <cellStyle name="Normal 168 3 5" xfId="14140" xr:uid="{00000000-0005-0000-0000-00003C370000}"/>
    <cellStyle name="Normal 168 3 5 2" xfId="14141" xr:uid="{00000000-0005-0000-0000-00003D370000}"/>
    <cellStyle name="Normal 168 3 5 2 2" xfId="14142" xr:uid="{00000000-0005-0000-0000-00003E370000}"/>
    <cellStyle name="Normal 168 3 5 3" xfId="14143" xr:uid="{00000000-0005-0000-0000-00003F370000}"/>
    <cellStyle name="Normal 168 3 6" xfId="14144" xr:uid="{00000000-0005-0000-0000-000040370000}"/>
    <cellStyle name="Normal 168 4" xfId="14145" xr:uid="{00000000-0005-0000-0000-000041370000}"/>
    <cellStyle name="Normal 168 4 2" xfId="14146" xr:uid="{00000000-0005-0000-0000-000042370000}"/>
    <cellStyle name="Normal 168 4 2 2" xfId="14147" xr:uid="{00000000-0005-0000-0000-000043370000}"/>
    <cellStyle name="Normal 168 4 3" xfId="14148" xr:uid="{00000000-0005-0000-0000-000044370000}"/>
    <cellStyle name="Normal 168 5" xfId="14149" xr:uid="{00000000-0005-0000-0000-000045370000}"/>
    <cellStyle name="Normal 168 5 2" xfId="14150" xr:uid="{00000000-0005-0000-0000-000046370000}"/>
    <cellStyle name="Normal 168 5 2 2" xfId="14151" xr:uid="{00000000-0005-0000-0000-000047370000}"/>
    <cellStyle name="Normal 168 5 3" xfId="14152" xr:uid="{00000000-0005-0000-0000-000048370000}"/>
    <cellStyle name="Normal 168 6" xfId="14153" xr:uid="{00000000-0005-0000-0000-000049370000}"/>
    <cellStyle name="Normal 168 6 2" xfId="14154" xr:uid="{00000000-0005-0000-0000-00004A370000}"/>
    <cellStyle name="Normal 168 6 2 2" xfId="14155" xr:uid="{00000000-0005-0000-0000-00004B370000}"/>
    <cellStyle name="Normal 168 6 3" xfId="14156" xr:uid="{00000000-0005-0000-0000-00004C370000}"/>
    <cellStyle name="Normal 168 7" xfId="14157" xr:uid="{00000000-0005-0000-0000-00004D370000}"/>
    <cellStyle name="Normal 169" xfId="14158" xr:uid="{00000000-0005-0000-0000-00004E370000}"/>
    <cellStyle name="Normal 169 2" xfId="14159" xr:uid="{00000000-0005-0000-0000-00004F370000}"/>
    <cellStyle name="Normal 169 2 2" xfId="14160" xr:uid="{00000000-0005-0000-0000-000050370000}"/>
    <cellStyle name="Normal 169 2 2 2" xfId="14161" xr:uid="{00000000-0005-0000-0000-000051370000}"/>
    <cellStyle name="Normal 169 2 3" xfId="14162" xr:uid="{00000000-0005-0000-0000-000052370000}"/>
    <cellStyle name="Normal 169 2 3 2" xfId="14163" xr:uid="{00000000-0005-0000-0000-000053370000}"/>
    <cellStyle name="Normal 169 2 3 2 2" xfId="14164" xr:uid="{00000000-0005-0000-0000-000054370000}"/>
    <cellStyle name="Normal 169 2 3 3" xfId="14165" xr:uid="{00000000-0005-0000-0000-000055370000}"/>
    <cellStyle name="Normal 169 2 4" xfId="14166" xr:uid="{00000000-0005-0000-0000-000056370000}"/>
    <cellStyle name="Normal 169 2 4 2" xfId="14167" xr:uid="{00000000-0005-0000-0000-000057370000}"/>
    <cellStyle name="Normal 169 2 4 2 2" xfId="14168" xr:uid="{00000000-0005-0000-0000-000058370000}"/>
    <cellStyle name="Normal 169 2 4 3" xfId="14169" xr:uid="{00000000-0005-0000-0000-000059370000}"/>
    <cellStyle name="Normal 169 2 5" xfId="14170" xr:uid="{00000000-0005-0000-0000-00005A370000}"/>
    <cellStyle name="Normal 169 3" xfId="14171" xr:uid="{00000000-0005-0000-0000-00005B370000}"/>
    <cellStyle name="Normal 169 3 2" xfId="14172" xr:uid="{00000000-0005-0000-0000-00005C370000}"/>
    <cellStyle name="Normal 169 3 2 2" xfId="14173" xr:uid="{00000000-0005-0000-0000-00005D370000}"/>
    <cellStyle name="Normal 169 3 2 2 2" xfId="14174" xr:uid="{00000000-0005-0000-0000-00005E370000}"/>
    <cellStyle name="Normal 169 3 2 3" xfId="14175" xr:uid="{00000000-0005-0000-0000-00005F370000}"/>
    <cellStyle name="Normal 169 3 2 3 2" xfId="14176" xr:uid="{00000000-0005-0000-0000-000060370000}"/>
    <cellStyle name="Normal 169 3 2 3 2 2" xfId="14177" xr:uid="{00000000-0005-0000-0000-000061370000}"/>
    <cellStyle name="Normal 169 3 2 3 3" xfId="14178" xr:uid="{00000000-0005-0000-0000-000062370000}"/>
    <cellStyle name="Normal 169 3 2 4" xfId="14179" xr:uid="{00000000-0005-0000-0000-000063370000}"/>
    <cellStyle name="Normal 169 3 3" xfId="14180" xr:uid="{00000000-0005-0000-0000-000064370000}"/>
    <cellStyle name="Normal 169 3 3 2" xfId="14181" xr:uid="{00000000-0005-0000-0000-000065370000}"/>
    <cellStyle name="Normal 169 3 3 2 2" xfId="14182" xr:uid="{00000000-0005-0000-0000-000066370000}"/>
    <cellStyle name="Normal 169 3 3 3" xfId="14183" xr:uid="{00000000-0005-0000-0000-000067370000}"/>
    <cellStyle name="Normal 169 3 4" xfId="14184" xr:uid="{00000000-0005-0000-0000-000068370000}"/>
    <cellStyle name="Normal 169 3 4 2" xfId="14185" xr:uid="{00000000-0005-0000-0000-000069370000}"/>
    <cellStyle name="Normal 169 3 4 2 2" xfId="14186" xr:uid="{00000000-0005-0000-0000-00006A370000}"/>
    <cellStyle name="Normal 169 3 4 3" xfId="14187" xr:uid="{00000000-0005-0000-0000-00006B370000}"/>
    <cellStyle name="Normal 169 3 5" xfId="14188" xr:uid="{00000000-0005-0000-0000-00006C370000}"/>
    <cellStyle name="Normal 169 3 5 2" xfId="14189" xr:uid="{00000000-0005-0000-0000-00006D370000}"/>
    <cellStyle name="Normal 169 3 5 2 2" xfId="14190" xr:uid="{00000000-0005-0000-0000-00006E370000}"/>
    <cellStyle name="Normal 169 3 5 3" xfId="14191" xr:uid="{00000000-0005-0000-0000-00006F370000}"/>
    <cellStyle name="Normal 169 3 6" xfId="14192" xr:uid="{00000000-0005-0000-0000-000070370000}"/>
    <cellStyle name="Normal 169 4" xfId="14193" xr:uid="{00000000-0005-0000-0000-000071370000}"/>
    <cellStyle name="Normal 169 4 2" xfId="14194" xr:uid="{00000000-0005-0000-0000-000072370000}"/>
    <cellStyle name="Normal 169 4 2 2" xfId="14195" xr:uid="{00000000-0005-0000-0000-000073370000}"/>
    <cellStyle name="Normal 169 4 3" xfId="14196" xr:uid="{00000000-0005-0000-0000-000074370000}"/>
    <cellStyle name="Normal 169 5" xfId="14197" xr:uid="{00000000-0005-0000-0000-000075370000}"/>
    <cellStyle name="Normal 169 5 2" xfId="14198" xr:uid="{00000000-0005-0000-0000-000076370000}"/>
    <cellStyle name="Normal 169 5 2 2" xfId="14199" xr:uid="{00000000-0005-0000-0000-000077370000}"/>
    <cellStyle name="Normal 169 5 3" xfId="14200" xr:uid="{00000000-0005-0000-0000-000078370000}"/>
    <cellStyle name="Normal 169 6" xfId="14201" xr:uid="{00000000-0005-0000-0000-000079370000}"/>
    <cellStyle name="Normal 169 6 2" xfId="14202" xr:uid="{00000000-0005-0000-0000-00007A370000}"/>
    <cellStyle name="Normal 169 6 2 2" xfId="14203" xr:uid="{00000000-0005-0000-0000-00007B370000}"/>
    <cellStyle name="Normal 169 6 3" xfId="14204" xr:uid="{00000000-0005-0000-0000-00007C370000}"/>
    <cellStyle name="Normal 169 7" xfId="14205" xr:uid="{00000000-0005-0000-0000-00007D370000}"/>
    <cellStyle name="Normal 17" xfId="64" xr:uid="{00000000-0005-0000-0000-000040000000}"/>
    <cellStyle name="Normal 17 2" xfId="14206" xr:uid="{00000000-0005-0000-0000-00007E370000}"/>
    <cellStyle name="Normal 17 2 2" xfId="14207" xr:uid="{00000000-0005-0000-0000-00007F370000}"/>
    <cellStyle name="Normal 17 2 2 2" xfId="14208" xr:uid="{00000000-0005-0000-0000-000080370000}"/>
    <cellStyle name="Normal 17 2 2 2 2" xfId="14209" xr:uid="{00000000-0005-0000-0000-000081370000}"/>
    <cellStyle name="Normal 17 2 2 3" xfId="14210" xr:uid="{00000000-0005-0000-0000-000082370000}"/>
    <cellStyle name="Normal 17 2 2 3 2" xfId="14211" xr:uid="{00000000-0005-0000-0000-000083370000}"/>
    <cellStyle name="Normal 17 2 2 3 2 2" xfId="14212" xr:uid="{00000000-0005-0000-0000-000084370000}"/>
    <cellStyle name="Normal 17 2 2 3 3" xfId="14213" xr:uid="{00000000-0005-0000-0000-000085370000}"/>
    <cellStyle name="Normal 17 2 2 4" xfId="14214" xr:uid="{00000000-0005-0000-0000-000086370000}"/>
    <cellStyle name="Normal 17 2 2 4 2" xfId="14215" xr:uid="{00000000-0005-0000-0000-000087370000}"/>
    <cellStyle name="Normal 17 2 2 4 2 2" xfId="14216" xr:uid="{00000000-0005-0000-0000-000088370000}"/>
    <cellStyle name="Normal 17 2 2 4 3" xfId="14217" xr:uid="{00000000-0005-0000-0000-000089370000}"/>
    <cellStyle name="Normal 17 2 2 5" xfId="14218" xr:uid="{00000000-0005-0000-0000-00008A370000}"/>
    <cellStyle name="Normal 17 2 3" xfId="14219" xr:uid="{00000000-0005-0000-0000-00008B370000}"/>
    <cellStyle name="Normal 17 2 3 2" xfId="14220" xr:uid="{00000000-0005-0000-0000-00008C370000}"/>
    <cellStyle name="Normal 17 2 3 2 2" xfId="14221" xr:uid="{00000000-0005-0000-0000-00008D370000}"/>
    <cellStyle name="Normal 17 2 3 2 2 2" xfId="14222" xr:uid="{00000000-0005-0000-0000-00008E370000}"/>
    <cellStyle name="Normal 17 2 3 2 3" xfId="14223" xr:uid="{00000000-0005-0000-0000-00008F370000}"/>
    <cellStyle name="Normal 17 2 3 2 3 2" xfId="14224" xr:uid="{00000000-0005-0000-0000-000090370000}"/>
    <cellStyle name="Normal 17 2 3 2 3 2 2" xfId="14225" xr:uid="{00000000-0005-0000-0000-000091370000}"/>
    <cellStyle name="Normal 17 2 3 2 3 3" xfId="14226" xr:uid="{00000000-0005-0000-0000-000092370000}"/>
    <cellStyle name="Normal 17 2 3 2 4" xfId="14227" xr:uid="{00000000-0005-0000-0000-000093370000}"/>
    <cellStyle name="Normal 17 2 3 3" xfId="14228" xr:uid="{00000000-0005-0000-0000-000094370000}"/>
    <cellStyle name="Normal 17 2 3 3 2" xfId="14229" xr:uid="{00000000-0005-0000-0000-000095370000}"/>
    <cellStyle name="Normal 17 2 3 3 2 2" xfId="14230" xr:uid="{00000000-0005-0000-0000-000096370000}"/>
    <cellStyle name="Normal 17 2 3 3 3" xfId="14231" xr:uid="{00000000-0005-0000-0000-000097370000}"/>
    <cellStyle name="Normal 17 2 3 4" xfId="14232" xr:uid="{00000000-0005-0000-0000-000098370000}"/>
    <cellStyle name="Normal 17 2 3 4 2" xfId="14233" xr:uid="{00000000-0005-0000-0000-000099370000}"/>
    <cellStyle name="Normal 17 2 3 4 2 2" xfId="14234" xr:uid="{00000000-0005-0000-0000-00009A370000}"/>
    <cellStyle name="Normal 17 2 3 4 3" xfId="14235" xr:uid="{00000000-0005-0000-0000-00009B370000}"/>
    <cellStyle name="Normal 17 2 3 5" xfId="14236" xr:uid="{00000000-0005-0000-0000-00009C370000}"/>
    <cellStyle name="Normal 17 2 3 5 2" xfId="14237" xr:uid="{00000000-0005-0000-0000-00009D370000}"/>
    <cellStyle name="Normal 17 2 3 5 2 2" xfId="14238" xr:uid="{00000000-0005-0000-0000-00009E370000}"/>
    <cellStyle name="Normal 17 2 3 5 3" xfId="14239" xr:uid="{00000000-0005-0000-0000-00009F370000}"/>
    <cellStyle name="Normal 17 2 3 6" xfId="14240" xr:uid="{00000000-0005-0000-0000-0000A0370000}"/>
    <cellStyle name="Normal 17 2 4" xfId="14241" xr:uid="{00000000-0005-0000-0000-0000A1370000}"/>
    <cellStyle name="Normal 17 3" xfId="14242" xr:uid="{00000000-0005-0000-0000-0000A2370000}"/>
    <cellStyle name="Normal 17 3 2" xfId="14243" xr:uid="{00000000-0005-0000-0000-0000A3370000}"/>
    <cellStyle name="Normal 17 3 2 2" xfId="14244" xr:uid="{00000000-0005-0000-0000-0000A4370000}"/>
    <cellStyle name="Normal 17 3 2 2 2" xfId="14245" xr:uid="{00000000-0005-0000-0000-0000A5370000}"/>
    <cellStyle name="Normal 17 3 2 3" xfId="14246" xr:uid="{00000000-0005-0000-0000-0000A6370000}"/>
    <cellStyle name="Normal 17 3 2 3 2" xfId="14247" xr:uid="{00000000-0005-0000-0000-0000A7370000}"/>
    <cellStyle name="Normal 17 3 2 3 2 2" xfId="14248" xr:uid="{00000000-0005-0000-0000-0000A8370000}"/>
    <cellStyle name="Normal 17 3 2 3 3" xfId="14249" xr:uid="{00000000-0005-0000-0000-0000A9370000}"/>
    <cellStyle name="Normal 17 3 2 4" xfId="14250" xr:uid="{00000000-0005-0000-0000-0000AA370000}"/>
    <cellStyle name="Normal 17 3 2 4 2" xfId="14251" xr:uid="{00000000-0005-0000-0000-0000AB370000}"/>
    <cellStyle name="Normal 17 3 2 4 2 2" xfId="14252" xr:uid="{00000000-0005-0000-0000-0000AC370000}"/>
    <cellStyle name="Normal 17 3 2 4 3" xfId="14253" xr:uid="{00000000-0005-0000-0000-0000AD370000}"/>
    <cellStyle name="Normal 17 3 2 5" xfId="14254" xr:uid="{00000000-0005-0000-0000-0000AE370000}"/>
    <cellStyle name="Normal 17 3 3" xfId="14255" xr:uid="{00000000-0005-0000-0000-0000AF370000}"/>
    <cellStyle name="Normal 17 3 3 2" xfId="14256" xr:uid="{00000000-0005-0000-0000-0000B0370000}"/>
    <cellStyle name="Normal 17 3 3 2 2" xfId="14257" xr:uid="{00000000-0005-0000-0000-0000B1370000}"/>
    <cellStyle name="Normal 17 3 3 3" xfId="14258" xr:uid="{00000000-0005-0000-0000-0000B2370000}"/>
    <cellStyle name="Normal 17 3 4" xfId="14259" xr:uid="{00000000-0005-0000-0000-0000B3370000}"/>
    <cellStyle name="Normal 17 3 4 2" xfId="14260" xr:uid="{00000000-0005-0000-0000-0000B4370000}"/>
    <cellStyle name="Normal 17 3 4 2 2" xfId="14261" xr:uid="{00000000-0005-0000-0000-0000B5370000}"/>
    <cellStyle name="Normal 17 3 4 3" xfId="14262" xr:uid="{00000000-0005-0000-0000-0000B6370000}"/>
    <cellStyle name="Normal 17 3 5" xfId="14263" xr:uid="{00000000-0005-0000-0000-0000B7370000}"/>
    <cellStyle name="Normal 17 3 5 2" xfId="14264" xr:uid="{00000000-0005-0000-0000-0000B8370000}"/>
    <cellStyle name="Normal 17 3 5 2 2" xfId="14265" xr:uid="{00000000-0005-0000-0000-0000B9370000}"/>
    <cellStyle name="Normal 17 3 5 3" xfId="14266" xr:uid="{00000000-0005-0000-0000-0000BA370000}"/>
    <cellStyle name="Normal 17 3 6" xfId="14267" xr:uid="{00000000-0005-0000-0000-0000BB370000}"/>
    <cellStyle name="Normal 17 4" xfId="14268" xr:uid="{00000000-0005-0000-0000-0000BC370000}"/>
    <cellStyle name="Normal 17 4 2" xfId="14269" xr:uid="{00000000-0005-0000-0000-0000BD370000}"/>
    <cellStyle name="Normal 17 4 2 2" xfId="14270" xr:uid="{00000000-0005-0000-0000-0000BE370000}"/>
    <cellStyle name="Normal 17 4 3" xfId="14271" xr:uid="{00000000-0005-0000-0000-0000BF370000}"/>
    <cellStyle name="Normal 17 4 3 2" xfId="14272" xr:uid="{00000000-0005-0000-0000-0000C0370000}"/>
    <cellStyle name="Normal 17 4 3 2 2" xfId="14273" xr:uid="{00000000-0005-0000-0000-0000C1370000}"/>
    <cellStyle name="Normal 17 4 3 3" xfId="14274" xr:uid="{00000000-0005-0000-0000-0000C2370000}"/>
    <cellStyle name="Normal 17 4 4" xfId="14275" xr:uid="{00000000-0005-0000-0000-0000C3370000}"/>
    <cellStyle name="Normal 17 4 4 2" xfId="14276" xr:uid="{00000000-0005-0000-0000-0000C4370000}"/>
    <cellStyle name="Normal 17 4 4 2 2" xfId="14277" xr:uid="{00000000-0005-0000-0000-0000C5370000}"/>
    <cellStyle name="Normal 17 4 4 3" xfId="14278" xr:uid="{00000000-0005-0000-0000-0000C6370000}"/>
    <cellStyle name="Normal 17 4 5" xfId="14279" xr:uid="{00000000-0005-0000-0000-0000C7370000}"/>
    <cellStyle name="Normal 17 5" xfId="14280" xr:uid="{00000000-0005-0000-0000-0000C8370000}"/>
    <cellStyle name="Normal 17 5 2" xfId="14281" xr:uid="{00000000-0005-0000-0000-0000C9370000}"/>
    <cellStyle name="Normal 17 5 2 2" xfId="14282" xr:uid="{00000000-0005-0000-0000-0000CA370000}"/>
    <cellStyle name="Normal 17 5 2 2 2" xfId="14283" xr:uid="{00000000-0005-0000-0000-0000CB370000}"/>
    <cellStyle name="Normal 17 5 2 3" xfId="14284" xr:uid="{00000000-0005-0000-0000-0000CC370000}"/>
    <cellStyle name="Normal 17 5 2 3 2" xfId="14285" xr:uid="{00000000-0005-0000-0000-0000CD370000}"/>
    <cellStyle name="Normal 17 5 2 3 2 2" xfId="14286" xr:uid="{00000000-0005-0000-0000-0000CE370000}"/>
    <cellStyle name="Normal 17 5 2 3 3" xfId="14287" xr:uid="{00000000-0005-0000-0000-0000CF370000}"/>
    <cellStyle name="Normal 17 5 2 4" xfId="14288" xr:uid="{00000000-0005-0000-0000-0000D0370000}"/>
    <cellStyle name="Normal 17 5 3" xfId="14289" xr:uid="{00000000-0005-0000-0000-0000D1370000}"/>
    <cellStyle name="Normal 17 5 3 2" xfId="14290" xr:uid="{00000000-0005-0000-0000-0000D2370000}"/>
    <cellStyle name="Normal 17 5 3 2 2" xfId="14291" xr:uid="{00000000-0005-0000-0000-0000D3370000}"/>
    <cellStyle name="Normal 17 5 3 3" xfId="14292" xr:uid="{00000000-0005-0000-0000-0000D4370000}"/>
    <cellStyle name="Normal 17 5 4" xfId="14293" xr:uid="{00000000-0005-0000-0000-0000D5370000}"/>
    <cellStyle name="Normal 17 5 4 2" xfId="14294" xr:uid="{00000000-0005-0000-0000-0000D6370000}"/>
    <cellStyle name="Normal 17 5 4 2 2" xfId="14295" xr:uid="{00000000-0005-0000-0000-0000D7370000}"/>
    <cellStyle name="Normal 17 5 4 3" xfId="14296" xr:uid="{00000000-0005-0000-0000-0000D8370000}"/>
    <cellStyle name="Normal 17 5 5" xfId="14297" xr:uid="{00000000-0005-0000-0000-0000D9370000}"/>
    <cellStyle name="Normal 17 5 5 2" xfId="14298" xr:uid="{00000000-0005-0000-0000-0000DA370000}"/>
    <cellStyle name="Normal 17 5 5 2 2" xfId="14299" xr:uid="{00000000-0005-0000-0000-0000DB370000}"/>
    <cellStyle name="Normal 17 5 5 3" xfId="14300" xr:uid="{00000000-0005-0000-0000-0000DC370000}"/>
    <cellStyle name="Normal 17 5 6" xfId="14301" xr:uid="{00000000-0005-0000-0000-0000DD370000}"/>
    <cellStyle name="Normal 17 6" xfId="14302" xr:uid="{00000000-0005-0000-0000-0000DE370000}"/>
    <cellStyle name="Normal 17 7" xfId="14303" xr:uid="{00000000-0005-0000-0000-0000DF370000}"/>
    <cellStyle name="Normal 170" xfId="14304" xr:uid="{00000000-0005-0000-0000-0000E0370000}"/>
    <cellStyle name="Normal 170 2" xfId="14305" xr:uid="{00000000-0005-0000-0000-0000E1370000}"/>
    <cellStyle name="Normal 170 2 2" xfId="14306" xr:uid="{00000000-0005-0000-0000-0000E2370000}"/>
    <cellStyle name="Normal 170 2 2 2" xfId="14307" xr:uid="{00000000-0005-0000-0000-0000E3370000}"/>
    <cellStyle name="Normal 170 2 3" xfId="14308" xr:uid="{00000000-0005-0000-0000-0000E4370000}"/>
    <cellStyle name="Normal 170 2 3 2" xfId="14309" xr:uid="{00000000-0005-0000-0000-0000E5370000}"/>
    <cellStyle name="Normal 170 2 3 2 2" xfId="14310" xr:uid="{00000000-0005-0000-0000-0000E6370000}"/>
    <cellStyle name="Normal 170 2 3 3" xfId="14311" xr:uid="{00000000-0005-0000-0000-0000E7370000}"/>
    <cellStyle name="Normal 170 2 4" xfId="14312" xr:uid="{00000000-0005-0000-0000-0000E8370000}"/>
    <cellStyle name="Normal 170 2 4 2" xfId="14313" xr:uid="{00000000-0005-0000-0000-0000E9370000}"/>
    <cellStyle name="Normal 170 2 4 2 2" xfId="14314" xr:uid="{00000000-0005-0000-0000-0000EA370000}"/>
    <cellStyle name="Normal 170 2 4 3" xfId="14315" xr:uid="{00000000-0005-0000-0000-0000EB370000}"/>
    <cellStyle name="Normal 170 2 5" xfId="14316" xr:uid="{00000000-0005-0000-0000-0000EC370000}"/>
    <cellStyle name="Normal 170 3" xfId="14317" xr:uid="{00000000-0005-0000-0000-0000ED370000}"/>
    <cellStyle name="Normal 170 3 2" xfId="14318" xr:uid="{00000000-0005-0000-0000-0000EE370000}"/>
    <cellStyle name="Normal 170 3 2 2" xfId="14319" xr:uid="{00000000-0005-0000-0000-0000EF370000}"/>
    <cellStyle name="Normal 170 3 2 2 2" xfId="14320" xr:uid="{00000000-0005-0000-0000-0000F0370000}"/>
    <cellStyle name="Normal 170 3 2 3" xfId="14321" xr:uid="{00000000-0005-0000-0000-0000F1370000}"/>
    <cellStyle name="Normal 170 3 2 3 2" xfId="14322" xr:uid="{00000000-0005-0000-0000-0000F2370000}"/>
    <cellStyle name="Normal 170 3 2 3 2 2" xfId="14323" xr:uid="{00000000-0005-0000-0000-0000F3370000}"/>
    <cellStyle name="Normal 170 3 2 3 3" xfId="14324" xr:uid="{00000000-0005-0000-0000-0000F4370000}"/>
    <cellStyle name="Normal 170 3 2 4" xfId="14325" xr:uid="{00000000-0005-0000-0000-0000F5370000}"/>
    <cellStyle name="Normal 170 3 3" xfId="14326" xr:uid="{00000000-0005-0000-0000-0000F6370000}"/>
    <cellStyle name="Normal 170 3 3 2" xfId="14327" xr:uid="{00000000-0005-0000-0000-0000F7370000}"/>
    <cellStyle name="Normal 170 3 3 2 2" xfId="14328" xr:uid="{00000000-0005-0000-0000-0000F8370000}"/>
    <cellStyle name="Normal 170 3 3 3" xfId="14329" xr:uid="{00000000-0005-0000-0000-0000F9370000}"/>
    <cellStyle name="Normal 170 3 4" xfId="14330" xr:uid="{00000000-0005-0000-0000-0000FA370000}"/>
    <cellStyle name="Normal 170 3 4 2" xfId="14331" xr:uid="{00000000-0005-0000-0000-0000FB370000}"/>
    <cellStyle name="Normal 170 3 4 2 2" xfId="14332" xr:uid="{00000000-0005-0000-0000-0000FC370000}"/>
    <cellStyle name="Normal 170 3 4 3" xfId="14333" xr:uid="{00000000-0005-0000-0000-0000FD370000}"/>
    <cellStyle name="Normal 170 3 5" xfId="14334" xr:uid="{00000000-0005-0000-0000-0000FE370000}"/>
    <cellStyle name="Normal 170 3 5 2" xfId="14335" xr:uid="{00000000-0005-0000-0000-0000FF370000}"/>
    <cellStyle name="Normal 170 3 5 2 2" xfId="14336" xr:uid="{00000000-0005-0000-0000-000000380000}"/>
    <cellStyle name="Normal 170 3 5 3" xfId="14337" xr:uid="{00000000-0005-0000-0000-000001380000}"/>
    <cellStyle name="Normal 170 3 6" xfId="14338" xr:uid="{00000000-0005-0000-0000-000002380000}"/>
    <cellStyle name="Normal 170 4" xfId="14339" xr:uid="{00000000-0005-0000-0000-000003380000}"/>
    <cellStyle name="Normal 170 4 2" xfId="14340" xr:uid="{00000000-0005-0000-0000-000004380000}"/>
    <cellStyle name="Normal 170 4 2 2" xfId="14341" xr:uid="{00000000-0005-0000-0000-000005380000}"/>
    <cellStyle name="Normal 170 4 3" xfId="14342" xr:uid="{00000000-0005-0000-0000-000006380000}"/>
    <cellStyle name="Normal 170 5" xfId="14343" xr:uid="{00000000-0005-0000-0000-000007380000}"/>
    <cellStyle name="Normal 170 5 2" xfId="14344" xr:uid="{00000000-0005-0000-0000-000008380000}"/>
    <cellStyle name="Normal 170 5 2 2" xfId="14345" xr:uid="{00000000-0005-0000-0000-000009380000}"/>
    <cellStyle name="Normal 170 5 3" xfId="14346" xr:uid="{00000000-0005-0000-0000-00000A380000}"/>
    <cellStyle name="Normal 170 6" xfId="14347" xr:uid="{00000000-0005-0000-0000-00000B380000}"/>
    <cellStyle name="Normal 170 6 2" xfId="14348" xr:uid="{00000000-0005-0000-0000-00000C380000}"/>
    <cellStyle name="Normal 170 6 2 2" xfId="14349" xr:uid="{00000000-0005-0000-0000-00000D380000}"/>
    <cellStyle name="Normal 170 6 3" xfId="14350" xr:uid="{00000000-0005-0000-0000-00000E380000}"/>
    <cellStyle name="Normal 170 7" xfId="14351" xr:uid="{00000000-0005-0000-0000-00000F380000}"/>
    <cellStyle name="Normal 171" xfId="14352" xr:uid="{00000000-0005-0000-0000-000010380000}"/>
    <cellStyle name="Normal 171 2" xfId="14353" xr:uid="{00000000-0005-0000-0000-000011380000}"/>
    <cellStyle name="Normal 171 2 2" xfId="14354" xr:uid="{00000000-0005-0000-0000-000012380000}"/>
    <cellStyle name="Normal 171 2 2 2" xfId="14355" xr:uid="{00000000-0005-0000-0000-000013380000}"/>
    <cellStyle name="Normal 171 2 3" xfId="14356" xr:uid="{00000000-0005-0000-0000-000014380000}"/>
    <cellStyle name="Normal 171 2 3 2" xfId="14357" xr:uid="{00000000-0005-0000-0000-000015380000}"/>
    <cellStyle name="Normal 171 2 3 2 2" xfId="14358" xr:uid="{00000000-0005-0000-0000-000016380000}"/>
    <cellStyle name="Normal 171 2 3 3" xfId="14359" xr:uid="{00000000-0005-0000-0000-000017380000}"/>
    <cellStyle name="Normal 171 2 4" xfId="14360" xr:uid="{00000000-0005-0000-0000-000018380000}"/>
    <cellStyle name="Normal 171 2 4 2" xfId="14361" xr:uid="{00000000-0005-0000-0000-000019380000}"/>
    <cellStyle name="Normal 171 2 4 2 2" xfId="14362" xr:uid="{00000000-0005-0000-0000-00001A380000}"/>
    <cellStyle name="Normal 171 2 4 3" xfId="14363" xr:uid="{00000000-0005-0000-0000-00001B380000}"/>
    <cellStyle name="Normal 171 2 5" xfId="14364" xr:uid="{00000000-0005-0000-0000-00001C380000}"/>
    <cellStyle name="Normal 171 3" xfId="14365" xr:uid="{00000000-0005-0000-0000-00001D380000}"/>
    <cellStyle name="Normal 171 3 2" xfId="14366" xr:uid="{00000000-0005-0000-0000-00001E380000}"/>
    <cellStyle name="Normal 171 3 2 2" xfId="14367" xr:uid="{00000000-0005-0000-0000-00001F380000}"/>
    <cellStyle name="Normal 171 3 2 2 2" xfId="14368" xr:uid="{00000000-0005-0000-0000-000020380000}"/>
    <cellStyle name="Normal 171 3 2 3" xfId="14369" xr:uid="{00000000-0005-0000-0000-000021380000}"/>
    <cellStyle name="Normal 171 3 2 3 2" xfId="14370" xr:uid="{00000000-0005-0000-0000-000022380000}"/>
    <cellStyle name="Normal 171 3 2 3 2 2" xfId="14371" xr:uid="{00000000-0005-0000-0000-000023380000}"/>
    <cellStyle name="Normal 171 3 2 3 3" xfId="14372" xr:uid="{00000000-0005-0000-0000-000024380000}"/>
    <cellStyle name="Normal 171 3 2 4" xfId="14373" xr:uid="{00000000-0005-0000-0000-000025380000}"/>
    <cellStyle name="Normal 171 3 3" xfId="14374" xr:uid="{00000000-0005-0000-0000-000026380000}"/>
    <cellStyle name="Normal 171 3 3 2" xfId="14375" xr:uid="{00000000-0005-0000-0000-000027380000}"/>
    <cellStyle name="Normal 171 3 3 2 2" xfId="14376" xr:uid="{00000000-0005-0000-0000-000028380000}"/>
    <cellStyle name="Normal 171 3 3 3" xfId="14377" xr:uid="{00000000-0005-0000-0000-000029380000}"/>
    <cellStyle name="Normal 171 3 4" xfId="14378" xr:uid="{00000000-0005-0000-0000-00002A380000}"/>
    <cellStyle name="Normal 171 3 4 2" xfId="14379" xr:uid="{00000000-0005-0000-0000-00002B380000}"/>
    <cellStyle name="Normal 171 3 4 2 2" xfId="14380" xr:uid="{00000000-0005-0000-0000-00002C380000}"/>
    <cellStyle name="Normal 171 3 4 3" xfId="14381" xr:uid="{00000000-0005-0000-0000-00002D380000}"/>
    <cellStyle name="Normal 171 3 5" xfId="14382" xr:uid="{00000000-0005-0000-0000-00002E380000}"/>
    <cellStyle name="Normal 171 3 5 2" xfId="14383" xr:uid="{00000000-0005-0000-0000-00002F380000}"/>
    <cellStyle name="Normal 171 3 5 2 2" xfId="14384" xr:uid="{00000000-0005-0000-0000-000030380000}"/>
    <cellStyle name="Normal 171 3 5 3" xfId="14385" xr:uid="{00000000-0005-0000-0000-000031380000}"/>
    <cellStyle name="Normal 171 3 6" xfId="14386" xr:uid="{00000000-0005-0000-0000-000032380000}"/>
    <cellStyle name="Normal 171 4" xfId="14387" xr:uid="{00000000-0005-0000-0000-000033380000}"/>
    <cellStyle name="Normal 171 4 2" xfId="14388" xr:uid="{00000000-0005-0000-0000-000034380000}"/>
    <cellStyle name="Normal 171 4 2 2" xfId="14389" xr:uid="{00000000-0005-0000-0000-000035380000}"/>
    <cellStyle name="Normal 171 4 3" xfId="14390" xr:uid="{00000000-0005-0000-0000-000036380000}"/>
    <cellStyle name="Normal 171 5" xfId="14391" xr:uid="{00000000-0005-0000-0000-000037380000}"/>
    <cellStyle name="Normal 171 5 2" xfId="14392" xr:uid="{00000000-0005-0000-0000-000038380000}"/>
    <cellStyle name="Normal 171 5 2 2" xfId="14393" xr:uid="{00000000-0005-0000-0000-000039380000}"/>
    <cellStyle name="Normal 171 5 3" xfId="14394" xr:uid="{00000000-0005-0000-0000-00003A380000}"/>
    <cellStyle name="Normal 171 6" xfId="14395" xr:uid="{00000000-0005-0000-0000-00003B380000}"/>
    <cellStyle name="Normal 171 6 2" xfId="14396" xr:uid="{00000000-0005-0000-0000-00003C380000}"/>
    <cellStyle name="Normal 171 6 2 2" xfId="14397" xr:uid="{00000000-0005-0000-0000-00003D380000}"/>
    <cellStyle name="Normal 171 6 3" xfId="14398" xr:uid="{00000000-0005-0000-0000-00003E380000}"/>
    <cellStyle name="Normal 171 7" xfId="14399" xr:uid="{00000000-0005-0000-0000-00003F380000}"/>
    <cellStyle name="Normal 172" xfId="14400" xr:uid="{00000000-0005-0000-0000-000040380000}"/>
    <cellStyle name="Normal 172 2" xfId="14401" xr:uid="{00000000-0005-0000-0000-000041380000}"/>
    <cellStyle name="Normal 172 2 2" xfId="14402" xr:uid="{00000000-0005-0000-0000-000042380000}"/>
    <cellStyle name="Normal 172 2 2 2" xfId="14403" xr:uid="{00000000-0005-0000-0000-000043380000}"/>
    <cellStyle name="Normal 172 2 3" xfId="14404" xr:uid="{00000000-0005-0000-0000-000044380000}"/>
    <cellStyle name="Normal 172 2 3 2" xfId="14405" xr:uid="{00000000-0005-0000-0000-000045380000}"/>
    <cellStyle name="Normal 172 2 3 2 2" xfId="14406" xr:uid="{00000000-0005-0000-0000-000046380000}"/>
    <cellStyle name="Normal 172 2 3 3" xfId="14407" xr:uid="{00000000-0005-0000-0000-000047380000}"/>
    <cellStyle name="Normal 172 2 4" xfId="14408" xr:uid="{00000000-0005-0000-0000-000048380000}"/>
    <cellStyle name="Normal 172 2 4 2" xfId="14409" xr:uid="{00000000-0005-0000-0000-000049380000}"/>
    <cellStyle name="Normal 172 2 4 2 2" xfId="14410" xr:uid="{00000000-0005-0000-0000-00004A380000}"/>
    <cellStyle name="Normal 172 2 4 3" xfId="14411" xr:uid="{00000000-0005-0000-0000-00004B380000}"/>
    <cellStyle name="Normal 172 2 5" xfId="14412" xr:uid="{00000000-0005-0000-0000-00004C380000}"/>
    <cellStyle name="Normal 172 3" xfId="14413" xr:uid="{00000000-0005-0000-0000-00004D380000}"/>
    <cellStyle name="Normal 172 3 2" xfId="14414" xr:uid="{00000000-0005-0000-0000-00004E380000}"/>
    <cellStyle name="Normal 172 3 2 2" xfId="14415" xr:uid="{00000000-0005-0000-0000-00004F380000}"/>
    <cellStyle name="Normal 172 3 2 2 2" xfId="14416" xr:uid="{00000000-0005-0000-0000-000050380000}"/>
    <cellStyle name="Normal 172 3 2 3" xfId="14417" xr:uid="{00000000-0005-0000-0000-000051380000}"/>
    <cellStyle name="Normal 172 3 2 3 2" xfId="14418" xr:uid="{00000000-0005-0000-0000-000052380000}"/>
    <cellStyle name="Normal 172 3 2 3 2 2" xfId="14419" xr:uid="{00000000-0005-0000-0000-000053380000}"/>
    <cellStyle name="Normal 172 3 2 3 3" xfId="14420" xr:uid="{00000000-0005-0000-0000-000054380000}"/>
    <cellStyle name="Normal 172 3 2 4" xfId="14421" xr:uid="{00000000-0005-0000-0000-000055380000}"/>
    <cellStyle name="Normal 172 3 3" xfId="14422" xr:uid="{00000000-0005-0000-0000-000056380000}"/>
    <cellStyle name="Normal 172 3 3 2" xfId="14423" xr:uid="{00000000-0005-0000-0000-000057380000}"/>
    <cellStyle name="Normal 172 3 3 2 2" xfId="14424" xr:uid="{00000000-0005-0000-0000-000058380000}"/>
    <cellStyle name="Normal 172 3 3 3" xfId="14425" xr:uid="{00000000-0005-0000-0000-000059380000}"/>
    <cellStyle name="Normal 172 3 4" xfId="14426" xr:uid="{00000000-0005-0000-0000-00005A380000}"/>
    <cellStyle name="Normal 172 3 4 2" xfId="14427" xr:uid="{00000000-0005-0000-0000-00005B380000}"/>
    <cellStyle name="Normal 172 3 4 2 2" xfId="14428" xr:uid="{00000000-0005-0000-0000-00005C380000}"/>
    <cellStyle name="Normal 172 3 4 3" xfId="14429" xr:uid="{00000000-0005-0000-0000-00005D380000}"/>
    <cellStyle name="Normal 172 3 5" xfId="14430" xr:uid="{00000000-0005-0000-0000-00005E380000}"/>
    <cellStyle name="Normal 172 3 5 2" xfId="14431" xr:uid="{00000000-0005-0000-0000-00005F380000}"/>
    <cellStyle name="Normal 172 3 5 2 2" xfId="14432" xr:uid="{00000000-0005-0000-0000-000060380000}"/>
    <cellStyle name="Normal 172 3 5 3" xfId="14433" xr:uid="{00000000-0005-0000-0000-000061380000}"/>
    <cellStyle name="Normal 172 3 6" xfId="14434" xr:uid="{00000000-0005-0000-0000-000062380000}"/>
    <cellStyle name="Normal 172 4" xfId="14435" xr:uid="{00000000-0005-0000-0000-000063380000}"/>
    <cellStyle name="Normal 172 4 2" xfId="14436" xr:uid="{00000000-0005-0000-0000-000064380000}"/>
    <cellStyle name="Normal 172 4 2 2" xfId="14437" xr:uid="{00000000-0005-0000-0000-000065380000}"/>
    <cellStyle name="Normal 172 4 3" xfId="14438" xr:uid="{00000000-0005-0000-0000-000066380000}"/>
    <cellStyle name="Normal 172 5" xfId="14439" xr:uid="{00000000-0005-0000-0000-000067380000}"/>
    <cellStyle name="Normal 172 5 2" xfId="14440" xr:uid="{00000000-0005-0000-0000-000068380000}"/>
    <cellStyle name="Normal 172 5 2 2" xfId="14441" xr:uid="{00000000-0005-0000-0000-000069380000}"/>
    <cellStyle name="Normal 172 5 3" xfId="14442" xr:uid="{00000000-0005-0000-0000-00006A380000}"/>
    <cellStyle name="Normal 172 6" xfId="14443" xr:uid="{00000000-0005-0000-0000-00006B380000}"/>
    <cellStyle name="Normal 172 6 2" xfId="14444" xr:uid="{00000000-0005-0000-0000-00006C380000}"/>
    <cellStyle name="Normal 172 6 2 2" xfId="14445" xr:uid="{00000000-0005-0000-0000-00006D380000}"/>
    <cellStyle name="Normal 172 6 3" xfId="14446" xr:uid="{00000000-0005-0000-0000-00006E380000}"/>
    <cellStyle name="Normal 172 7" xfId="14447" xr:uid="{00000000-0005-0000-0000-00006F380000}"/>
    <cellStyle name="Normal 173" xfId="14448" xr:uid="{00000000-0005-0000-0000-000070380000}"/>
    <cellStyle name="Normal 173 2" xfId="14449" xr:uid="{00000000-0005-0000-0000-000071380000}"/>
    <cellStyle name="Normal 173 2 2" xfId="14450" xr:uid="{00000000-0005-0000-0000-000072380000}"/>
    <cellStyle name="Normal 173 2 2 2" xfId="14451" xr:uid="{00000000-0005-0000-0000-000073380000}"/>
    <cellStyle name="Normal 173 2 3" xfId="14452" xr:uid="{00000000-0005-0000-0000-000074380000}"/>
    <cellStyle name="Normal 173 2 3 2" xfId="14453" xr:uid="{00000000-0005-0000-0000-000075380000}"/>
    <cellStyle name="Normal 173 2 3 2 2" xfId="14454" xr:uid="{00000000-0005-0000-0000-000076380000}"/>
    <cellStyle name="Normal 173 2 3 3" xfId="14455" xr:uid="{00000000-0005-0000-0000-000077380000}"/>
    <cellStyle name="Normal 173 2 4" xfId="14456" xr:uid="{00000000-0005-0000-0000-000078380000}"/>
    <cellStyle name="Normal 173 2 4 2" xfId="14457" xr:uid="{00000000-0005-0000-0000-000079380000}"/>
    <cellStyle name="Normal 173 2 4 2 2" xfId="14458" xr:uid="{00000000-0005-0000-0000-00007A380000}"/>
    <cellStyle name="Normal 173 2 4 3" xfId="14459" xr:uid="{00000000-0005-0000-0000-00007B380000}"/>
    <cellStyle name="Normal 173 2 5" xfId="14460" xr:uid="{00000000-0005-0000-0000-00007C380000}"/>
    <cellStyle name="Normal 173 3" xfId="14461" xr:uid="{00000000-0005-0000-0000-00007D380000}"/>
    <cellStyle name="Normal 173 3 2" xfId="14462" xr:uid="{00000000-0005-0000-0000-00007E380000}"/>
    <cellStyle name="Normal 173 3 2 2" xfId="14463" xr:uid="{00000000-0005-0000-0000-00007F380000}"/>
    <cellStyle name="Normal 173 3 2 2 2" xfId="14464" xr:uid="{00000000-0005-0000-0000-000080380000}"/>
    <cellStyle name="Normal 173 3 2 3" xfId="14465" xr:uid="{00000000-0005-0000-0000-000081380000}"/>
    <cellStyle name="Normal 173 3 2 3 2" xfId="14466" xr:uid="{00000000-0005-0000-0000-000082380000}"/>
    <cellStyle name="Normal 173 3 2 3 2 2" xfId="14467" xr:uid="{00000000-0005-0000-0000-000083380000}"/>
    <cellStyle name="Normal 173 3 2 3 3" xfId="14468" xr:uid="{00000000-0005-0000-0000-000084380000}"/>
    <cellStyle name="Normal 173 3 2 4" xfId="14469" xr:uid="{00000000-0005-0000-0000-000085380000}"/>
    <cellStyle name="Normal 173 3 3" xfId="14470" xr:uid="{00000000-0005-0000-0000-000086380000}"/>
    <cellStyle name="Normal 173 3 3 2" xfId="14471" xr:uid="{00000000-0005-0000-0000-000087380000}"/>
    <cellStyle name="Normal 173 3 3 2 2" xfId="14472" xr:uid="{00000000-0005-0000-0000-000088380000}"/>
    <cellStyle name="Normal 173 3 3 3" xfId="14473" xr:uid="{00000000-0005-0000-0000-000089380000}"/>
    <cellStyle name="Normal 173 3 4" xfId="14474" xr:uid="{00000000-0005-0000-0000-00008A380000}"/>
    <cellStyle name="Normal 173 3 4 2" xfId="14475" xr:uid="{00000000-0005-0000-0000-00008B380000}"/>
    <cellStyle name="Normal 173 3 4 2 2" xfId="14476" xr:uid="{00000000-0005-0000-0000-00008C380000}"/>
    <cellStyle name="Normal 173 3 4 3" xfId="14477" xr:uid="{00000000-0005-0000-0000-00008D380000}"/>
    <cellStyle name="Normal 173 3 5" xfId="14478" xr:uid="{00000000-0005-0000-0000-00008E380000}"/>
    <cellStyle name="Normal 173 3 5 2" xfId="14479" xr:uid="{00000000-0005-0000-0000-00008F380000}"/>
    <cellStyle name="Normal 173 3 5 2 2" xfId="14480" xr:uid="{00000000-0005-0000-0000-000090380000}"/>
    <cellStyle name="Normal 173 3 5 3" xfId="14481" xr:uid="{00000000-0005-0000-0000-000091380000}"/>
    <cellStyle name="Normal 173 3 6" xfId="14482" xr:uid="{00000000-0005-0000-0000-000092380000}"/>
    <cellStyle name="Normal 173 4" xfId="14483" xr:uid="{00000000-0005-0000-0000-000093380000}"/>
    <cellStyle name="Normal 173 4 2" xfId="14484" xr:uid="{00000000-0005-0000-0000-000094380000}"/>
    <cellStyle name="Normal 173 4 2 2" xfId="14485" xr:uid="{00000000-0005-0000-0000-000095380000}"/>
    <cellStyle name="Normal 173 4 3" xfId="14486" xr:uid="{00000000-0005-0000-0000-000096380000}"/>
    <cellStyle name="Normal 173 5" xfId="14487" xr:uid="{00000000-0005-0000-0000-000097380000}"/>
    <cellStyle name="Normal 173 5 2" xfId="14488" xr:uid="{00000000-0005-0000-0000-000098380000}"/>
    <cellStyle name="Normal 173 5 2 2" xfId="14489" xr:uid="{00000000-0005-0000-0000-000099380000}"/>
    <cellStyle name="Normal 173 5 3" xfId="14490" xr:uid="{00000000-0005-0000-0000-00009A380000}"/>
    <cellStyle name="Normal 173 6" xfId="14491" xr:uid="{00000000-0005-0000-0000-00009B380000}"/>
    <cellStyle name="Normal 173 6 2" xfId="14492" xr:uid="{00000000-0005-0000-0000-00009C380000}"/>
    <cellStyle name="Normal 173 6 2 2" xfId="14493" xr:uid="{00000000-0005-0000-0000-00009D380000}"/>
    <cellStyle name="Normal 173 6 3" xfId="14494" xr:uid="{00000000-0005-0000-0000-00009E380000}"/>
    <cellStyle name="Normal 173 7" xfId="14495" xr:uid="{00000000-0005-0000-0000-00009F380000}"/>
    <cellStyle name="Normal 174" xfId="14496" xr:uid="{00000000-0005-0000-0000-0000A0380000}"/>
    <cellStyle name="Normal 174 2" xfId="14497" xr:uid="{00000000-0005-0000-0000-0000A1380000}"/>
    <cellStyle name="Normal 174 2 2" xfId="14498" xr:uid="{00000000-0005-0000-0000-0000A2380000}"/>
    <cellStyle name="Normal 174 2 2 2" xfId="14499" xr:uid="{00000000-0005-0000-0000-0000A3380000}"/>
    <cellStyle name="Normal 174 2 3" xfId="14500" xr:uid="{00000000-0005-0000-0000-0000A4380000}"/>
    <cellStyle name="Normal 174 2 3 2" xfId="14501" xr:uid="{00000000-0005-0000-0000-0000A5380000}"/>
    <cellStyle name="Normal 174 2 3 2 2" xfId="14502" xr:uid="{00000000-0005-0000-0000-0000A6380000}"/>
    <cellStyle name="Normal 174 2 3 3" xfId="14503" xr:uid="{00000000-0005-0000-0000-0000A7380000}"/>
    <cellStyle name="Normal 174 2 4" xfId="14504" xr:uid="{00000000-0005-0000-0000-0000A8380000}"/>
    <cellStyle name="Normal 174 2 4 2" xfId="14505" xr:uid="{00000000-0005-0000-0000-0000A9380000}"/>
    <cellStyle name="Normal 174 2 4 2 2" xfId="14506" xr:uid="{00000000-0005-0000-0000-0000AA380000}"/>
    <cellStyle name="Normal 174 2 4 3" xfId="14507" xr:uid="{00000000-0005-0000-0000-0000AB380000}"/>
    <cellStyle name="Normal 174 2 5" xfId="14508" xr:uid="{00000000-0005-0000-0000-0000AC380000}"/>
    <cellStyle name="Normal 174 3" xfId="14509" xr:uid="{00000000-0005-0000-0000-0000AD380000}"/>
    <cellStyle name="Normal 174 3 2" xfId="14510" xr:uid="{00000000-0005-0000-0000-0000AE380000}"/>
    <cellStyle name="Normal 174 3 2 2" xfId="14511" xr:uid="{00000000-0005-0000-0000-0000AF380000}"/>
    <cellStyle name="Normal 174 3 2 2 2" xfId="14512" xr:uid="{00000000-0005-0000-0000-0000B0380000}"/>
    <cellStyle name="Normal 174 3 2 3" xfId="14513" xr:uid="{00000000-0005-0000-0000-0000B1380000}"/>
    <cellStyle name="Normal 174 3 2 3 2" xfId="14514" xr:uid="{00000000-0005-0000-0000-0000B2380000}"/>
    <cellStyle name="Normal 174 3 2 3 2 2" xfId="14515" xr:uid="{00000000-0005-0000-0000-0000B3380000}"/>
    <cellStyle name="Normal 174 3 2 3 3" xfId="14516" xr:uid="{00000000-0005-0000-0000-0000B4380000}"/>
    <cellStyle name="Normal 174 3 2 4" xfId="14517" xr:uid="{00000000-0005-0000-0000-0000B5380000}"/>
    <cellStyle name="Normal 174 3 3" xfId="14518" xr:uid="{00000000-0005-0000-0000-0000B6380000}"/>
    <cellStyle name="Normal 174 3 3 2" xfId="14519" xr:uid="{00000000-0005-0000-0000-0000B7380000}"/>
    <cellStyle name="Normal 174 3 3 2 2" xfId="14520" xr:uid="{00000000-0005-0000-0000-0000B8380000}"/>
    <cellStyle name="Normal 174 3 3 3" xfId="14521" xr:uid="{00000000-0005-0000-0000-0000B9380000}"/>
    <cellStyle name="Normal 174 3 4" xfId="14522" xr:uid="{00000000-0005-0000-0000-0000BA380000}"/>
    <cellStyle name="Normal 174 3 4 2" xfId="14523" xr:uid="{00000000-0005-0000-0000-0000BB380000}"/>
    <cellStyle name="Normal 174 3 4 2 2" xfId="14524" xr:uid="{00000000-0005-0000-0000-0000BC380000}"/>
    <cellStyle name="Normal 174 3 4 3" xfId="14525" xr:uid="{00000000-0005-0000-0000-0000BD380000}"/>
    <cellStyle name="Normal 174 3 5" xfId="14526" xr:uid="{00000000-0005-0000-0000-0000BE380000}"/>
    <cellStyle name="Normal 174 3 5 2" xfId="14527" xr:uid="{00000000-0005-0000-0000-0000BF380000}"/>
    <cellStyle name="Normal 174 3 5 2 2" xfId="14528" xr:uid="{00000000-0005-0000-0000-0000C0380000}"/>
    <cellStyle name="Normal 174 3 5 3" xfId="14529" xr:uid="{00000000-0005-0000-0000-0000C1380000}"/>
    <cellStyle name="Normal 174 3 6" xfId="14530" xr:uid="{00000000-0005-0000-0000-0000C2380000}"/>
    <cellStyle name="Normal 174 4" xfId="14531" xr:uid="{00000000-0005-0000-0000-0000C3380000}"/>
    <cellStyle name="Normal 174 4 2" xfId="14532" xr:uid="{00000000-0005-0000-0000-0000C4380000}"/>
    <cellStyle name="Normal 174 4 2 2" xfId="14533" xr:uid="{00000000-0005-0000-0000-0000C5380000}"/>
    <cellStyle name="Normal 174 4 3" xfId="14534" xr:uid="{00000000-0005-0000-0000-0000C6380000}"/>
    <cellStyle name="Normal 174 5" xfId="14535" xr:uid="{00000000-0005-0000-0000-0000C7380000}"/>
    <cellStyle name="Normal 174 5 2" xfId="14536" xr:uid="{00000000-0005-0000-0000-0000C8380000}"/>
    <cellStyle name="Normal 174 5 2 2" xfId="14537" xr:uid="{00000000-0005-0000-0000-0000C9380000}"/>
    <cellStyle name="Normal 174 5 3" xfId="14538" xr:uid="{00000000-0005-0000-0000-0000CA380000}"/>
    <cellStyle name="Normal 174 6" xfId="14539" xr:uid="{00000000-0005-0000-0000-0000CB380000}"/>
    <cellStyle name="Normal 174 6 2" xfId="14540" xr:uid="{00000000-0005-0000-0000-0000CC380000}"/>
    <cellStyle name="Normal 174 6 2 2" xfId="14541" xr:uid="{00000000-0005-0000-0000-0000CD380000}"/>
    <cellStyle name="Normal 174 6 3" xfId="14542" xr:uid="{00000000-0005-0000-0000-0000CE380000}"/>
    <cellStyle name="Normal 174 7" xfId="14543" xr:uid="{00000000-0005-0000-0000-0000CF380000}"/>
    <cellStyle name="Normal 175" xfId="14544" xr:uid="{00000000-0005-0000-0000-0000D0380000}"/>
    <cellStyle name="Normal 175 2" xfId="14545" xr:uid="{00000000-0005-0000-0000-0000D1380000}"/>
    <cellStyle name="Normal 175 2 2" xfId="14546" xr:uid="{00000000-0005-0000-0000-0000D2380000}"/>
    <cellStyle name="Normal 175 2 2 2" xfId="14547" xr:uid="{00000000-0005-0000-0000-0000D3380000}"/>
    <cellStyle name="Normal 175 2 3" xfId="14548" xr:uid="{00000000-0005-0000-0000-0000D4380000}"/>
    <cellStyle name="Normal 175 2 3 2" xfId="14549" xr:uid="{00000000-0005-0000-0000-0000D5380000}"/>
    <cellStyle name="Normal 175 2 3 2 2" xfId="14550" xr:uid="{00000000-0005-0000-0000-0000D6380000}"/>
    <cellStyle name="Normal 175 2 3 3" xfId="14551" xr:uid="{00000000-0005-0000-0000-0000D7380000}"/>
    <cellStyle name="Normal 175 2 4" xfId="14552" xr:uid="{00000000-0005-0000-0000-0000D8380000}"/>
    <cellStyle name="Normal 175 2 4 2" xfId="14553" xr:uid="{00000000-0005-0000-0000-0000D9380000}"/>
    <cellStyle name="Normal 175 2 4 2 2" xfId="14554" xr:uid="{00000000-0005-0000-0000-0000DA380000}"/>
    <cellStyle name="Normal 175 2 4 3" xfId="14555" xr:uid="{00000000-0005-0000-0000-0000DB380000}"/>
    <cellStyle name="Normal 175 2 5" xfId="14556" xr:uid="{00000000-0005-0000-0000-0000DC380000}"/>
    <cellStyle name="Normal 175 3" xfId="14557" xr:uid="{00000000-0005-0000-0000-0000DD380000}"/>
    <cellStyle name="Normal 175 3 2" xfId="14558" xr:uid="{00000000-0005-0000-0000-0000DE380000}"/>
    <cellStyle name="Normal 175 3 2 2" xfId="14559" xr:uid="{00000000-0005-0000-0000-0000DF380000}"/>
    <cellStyle name="Normal 175 3 2 2 2" xfId="14560" xr:uid="{00000000-0005-0000-0000-0000E0380000}"/>
    <cellStyle name="Normal 175 3 2 3" xfId="14561" xr:uid="{00000000-0005-0000-0000-0000E1380000}"/>
    <cellStyle name="Normal 175 3 2 3 2" xfId="14562" xr:uid="{00000000-0005-0000-0000-0000E2380000}"/>
    <cellStyle name="Normal 175 3 2 3 2 2" xfId="14563" xr:uid="{00000000-0005-0000-0000-0000E3380000}"/>
    <cellStyle name="Normal 175 3 2 3 3" xfId="14564" xr:uid="{00000000-0005-0000-0000-0000E4380000}"/>
    <cellStyle name="Normal 175 3 2 4" xfId="14565" xr:uid="{00000000-0005-0000-0000-0000E5380000}"/>
    <cellStyle name="Normal 175 3 3" xfId="14566" xr:uid="{00000000-0005-0000-0000-0000E6380000}"/>
    <cellStyle name="Normal 175 3 3 2" xfId="14567" xr:uid="{00000000-0005-0000-0000-0000E7380000}"/>
    <cellStyle name="Normal 175 3 3 2 2" xfId="14568" xr:uid="{00000000-0005-0000-0000-0000E8380000}"/>
    <cellStyle name="Normal 175 3 3 3" xfId="14569" xr:uid="{00000000-0005-0000-0000-0000E9380000}"/>
    <cellStyle name="Normal 175 3 4" xfId="14570" xr:uid="{00000000-0005-0000-0000-0000EA380000}"/>
    <cellStyle name="Normal 175 3 4 2" xfId="14571" xr:uid="{00000000-0005-0000-0000-0000EB380000}"/>
    <cellStyle name="Normal 175 3 4 2 2" xfId="14572" xr:uid="{00000000-0005-0000-0000-0000EC380000}"/>
    <cellStyle name="Normal 175 3 4 3" xfId="14573" xr:uid="{00000000-0005-0000-0000-0000ED380000}"/>
    <cellStyle name="Normal 175 3 5" xfId="14574" xr:uid="{00000000-0005-0000-0000-0000EE380000}"/>
    <cellStyle name="Normal 175 3 5 2" xfId="14575" xr:uid="{00000000-0005-0000-0000-0000EF380000}"/>
    <cellStyle name="Normal 175 3 5 2 2" xfId="14576" xr:uid="{00000000-0005-0000-0000-0000F0380000}"/>
    <cellStyle name="Normal 175 3 5 3" xfId="14577" xr:uid="{00000000-0005-0000-0000-0000F1380000}"/>
    <cellStyle name="Normal 175 3 6" xfId="14578" xr:uid="{00000000-0005-0000-0000-0000F2380000}"/>
    <cellStyle name="Normal 175 4" xfId="14579" xr:uid="{00000000-0005-0000-0000-0000F3380000}"/>
    <cellStyle name="Normal 175 4 2" xfId="14580" xr:uid="{00000000-0005-0000-0000-0000F4380000}"/>
    <cellStyle name="Normal 175 4 2 2" xfId="14581" xr:uid="{00000000-0005-0000-0000-0000F5380000}"/>
    <cellStyle name="Normal 175 4 3" xfId="14582" xr:uid="{00000000-0005-0000-0000-0000F6380000}"/>
    <cellStyle name="Normal 175 5" xfId="14583" xr:uid="{00000000-0005-0000-0000-0000F7380000}"/>
    <cellStyle name="Normal 175 5 2" xfId="14584" xr:uid="{00000000-0005-0000-0000-0000F8380000}"/>
    <cellStyle name="Normal 175 5 2 2" xfId="14585" xr:uid="{00000000-0005-0000-0000-0000F9380000}"/>
    <cellStyle name="Normal 175 5 3" xfId="14586" xr:uid="{00000000-0005-0000-0000-0000FA380000}"/>
    <cellStyle name="Normal 175 6" xfId="14587" xr:uid="{00000000-0005-0000-0000-0000FB380000}"/>
    <cellStyle name="Normal 175 6 2" xfId="14588" xr:uid="{00000000-0005-0000-0000-0000FC380000}"/>
    <cellStyle name="Normal 175 6 2 2" xfId="14589" xr:uid="{00000000-0005-0000-0000-0000FD380000}"/>
    <cellStyle name="Normal 175 6 3" xfId="14590" xr:uid="{00000000-0005-0000-0000-0000FE380000}"/>
    <cellStyle name="Normal 175 7" xfId="14591" xr:uid="{00000000-0005-0000-0000-0000FF380000}"/>
    <cellStyle name="Normal 176" xfId="14592" xr:uid="{00000000-0005-0000-0000-000000390000}"/>
    <cellStyle name="Normal 176 2" xfId="14593" xr:uid="{00000000-0005-0000-0000-000001390000}"/>
    <cellStyle name="Normal 176 2 2" xfId="14594" xr:uid="{00000000-0005-0000-0000-000002390000}"/>
    <cellStyle name="Normal 176 2 2 2" xfId="14595" xr:uid="{00000000-0005-0000-0000-000003390000}"/>
    <cellStyle name="Normal 176 2 3" xfId="14596" xr:uid="{00000000-0005-0000-0000-000004390000}"/>
    <cellStyle name="Normal 176 2 3 2" xfId="14597" xr:uid="{00000000-0005-0000-0000-000005390000}"/>
    <cellStyle name="Normal 176 2 3 2 2" xfId="14598" xr:uid="{00000000-0005-0000-0000-000006390000}"/>
    <cellStyle name="Normal 176 2 3 3" xfId="14599" xr:uid="{00000000-0005-0000-0000-000007390000}"/>
    <cellStyle name="Normal 176 2 4" xfId="14600" xr:uid="{00000000-0005-0000-0000-000008390000}"/>
    <cellStyle name="Normal 176 2 4 2" xfId="14601" xr:uid="{00000000-0005-0000-0000-000009390000}"/>
    <cellStyle name="Normal 176 2 4 2 2" xfId="14602" xr:uid="{00000000-0005-0000-0000-00000A390000}"/>
    <cellStyle name="Normal 176 2 4 3" xfId="14603" xr:uid="{00000000-0005-0000-0000-00000B390000}"/>
    <cellStyle name="Normal 176 2 5" xfId="14604" xr:uid="{00000000-0005-0000-0000-00000C390000}"/>
    <cellStyle name="Normal 176 3" xfId="14605" xr:uid="{00000000-0005-0000-0000-00000D390000}"/>
    <cellStyle name="Normal 176 3 2" xfId="14606" xr:uid="{00000000-0005-0000-0000-00000E390000}"/>
    <cellStyle name="Normal 176 3 2 2" xfId="14607" xr:uid="{00000000-0005-0000-0000-00000F390000}"/>
    <cellStyle name="Normal 176 3 2 2 2" xfId="14608" xr:uid="{00000000-0005-0000-0000-000010390000}"/>
    <cellStyle name="Normal 176 3 2 3" xfId="14609" xr:uid="{00000000-0005-0000-0000-000011390000}"/>
    <cellStyle name="Normal 176 3 2 3 2" xfId="14610" xr:uid="{00000000-0005-0000-0000-000012390000}"/>
    <cellStyle name="Normal 176 3 2 3 2 2" xfId="14611" xr:uid="{00000000-0005-0000-0000-000013390000}"/>
    <cellStyle name="Normal 176 3 2 3 3" xfId="14612" xr:uid="{00000000-0005-0000-0000-000014390000}"/>
    <cellStyle name="Normal 176 3 2 4" xfId="14613" xr:uid="{00000000-0005-0000-0000-000015390000}"/>
    <cellStyle name="Normal 176 3 3" xfId="14614" xr:uid="{00000000-0005-0000-0000-000016390000}"/>
    <cellStyle name="Normal 176 3 3 2" xfId="14615" xr:uid="{00000000-0005-0000-0000-000017390000}"/>
    <cellStyle name="Normal 176 3 3 2 2" xfId="14616" xr:uid="{00000000-0005-0000-0000-000018390000}"/>
    <cellStyle name="Normal 176 3 3 3" xfId="14617" xr:uid="{00000000-0005-0000-0000-000019390000}"/>
    <cellStyle name="Normal 176 3 4" xfId="14618" xr:uid="{00000000-0005-0000-0000-00001A390000}"/>
    <cellStyle name="Normal 176 3 4 2" xfId="14619" xr:uid="{00000000-0005-0000-0000-00001B390000}"/>
    <cellStyle name="Normal 176 3 4 2 2" xfId="14620" xr:uid="{00000000-0005-0000-0000-00001C390000}"/>
    <cellStyle name="Normal 176 3 4 3" xfId="14621" xr:uid="{00000000-0005-0000-0000-00001D390000}"/>
    <cellStyle name="Normal 176 3 5" xfId="14622" xr:uid="{00000000-0005-0000-0000-00001E390000}"/>
    <cellStyle name="Normal 176 3 5 2" xfId="14623" xr:uid="{00000000-0005-0000-0000-00001F390000}"/>
    <cellStyle name="Normal 176 3 5 2 2" xfId="14624" xr:uid="{00000000-0005-0000-0000-000020390000}"/>
    <cellStyle name="Normal 176 3 5 3" xfId="14625" xr:uid="{00000000-0005-0000-0000-000021390000}"/>
    <cellStyle name="Normal 176 3 6" xfId="14626" xr:uid="{00000000-0005-0000-0000-000022390000}"/>
    <cellStyle name="Normal 176 4" xfId="14627" xr:uid="{00000000-0005-0000-0000-000023390000}"/>
    <cellStyle name="Normal 176 4 2" xfId="14628" xr:uid="{00000000-0005-0000-0000-000024390000}"/>
    <cellStyle name="Normal 176 4 2 2" xfId="14629" xr:uid="{00000000-0005-0000-0000-000025390000}"/>
    <cellStyle name="Normal 176 4 3" xfId="14630" xr:uid="{00000000-0005-0000-0000-000026390000}"/>
    <cellStyle name="Normal 176 5" xfId="14631" xr:uid="{00000000-0005-0000-0000-000027390000}"/>
    <cellStyle name="Normal 176 5 2" xfId="14632" xr:uid="{00000000-0005-0000-0000-000028390000}"/>
    <cellStyle name="Normal 176 5 2 2" xfId="14633" xr:uid="{00000000-0005-0000-0000-000029390000}"/>
    <cellStyle name="Normal 176 5 3" xfId="14634" xr:uid="{00000000-0005-0000-0000-00002A390000}"/>
    <cellStyle name="Normal 176 6" xfId="14635" xr:uid="{00000000-0005-0000-0000-00002B390000}"/>
    <cellStyle name="Normal 176 6 2" xfId="14636" xr:uid="{00000000-0005-0000-0000-00002C390000}"/>
    <cellStyle name="Normal 176 6 2 2" xfId="14637" xr:uid="{00000000-0005-0000-0000-00002D390000}"/>
    <cellStyle name="Normal 176 6 3" xfId="14638" xr:uid="{00000000-0005-0000-0000-00002E390000}"/>
    <cellStyle name="Normal 176 7" xfId="14639" xr:uid="{00000000-0005-0000-0000-00002F390000}"/>
    <cellStyle name="Normal 177" xfId="14640" xr:uid="{00000000-0005-0000-0000-000030390000}"/>
    <cellStyle name="Normal 177 2" xfId="14641" xr:uid="{00000000-0005-0000-0000-000031390000}"/>
    <cellStyle name="Normal 177 2 2" xfId="14642" xr:uid="{00000000-0005-0000-0000-000032390000}"/>
    <cellStyle name="Normal 177 2 2 2" xfId="14643" xr:uid="{00000000-0005-0000-0000-000033390000}"/>
    <cellStyle name="Normal 177 2 3" xfId="14644" xr:uid="{00000000-0005-0000-0000-000034390000}"/>
    <cellStyle name="Normal 177 2 3 2" xfId="14645" xr:uid="{00000000-0005-0000-0000-000035390000}"/>
    <cellStyle name="Normal 177 2 3 2 2" xfId="14646" xr:uid="{00000000-0005-0000-0000-000036390000}"/>
    <cellStyle name="Normal 177 2 3 3" xfId="14647" xr:uid="{00000000-0005-0000-0000-000037390000}"/>
    <cellStyle name="Normal 177 2 4" xfId="14648" xr:uid="{00000000-0005-0000-0000-000038390000}"/>
    <cellStyle name="Normal 177 2 4 2" xfId="14649" xr:uid="{00000000-0005-0000-0000-000039390000}"/>
    <cellStyle name="Normal 177 2 4 2 2" xfId="14650" xr:uid="{00000000-0005-0000-0000-00003A390000}"/>
    <cellStyle name="Normal 177 2 4 3" xfId="14651" xr:uid="{00000000-0005-0000-0000-00003B390000}"/>
    <cellStyle name="Normal 177 2 5" xfId="14652" xr:uid="{00000000-0005-0000-0000-00003C390000}"/>
    <cellStyle name="Normal 177 3" xfId="14653" xr:uid="{00000000-0005-0000-0000-00003D390000}"/>
    <cellStyle name="Normal 177 3 2" xfId="14654" xr:uid="{00000000-0005-0000-0000-00003E390000}"/>
    <cellStyle name="Normal 177 3 2 2" xfId="14655" xr:uid="{00000000-0005-0000-0000-00003F390000}"/>
    <cellStyle name="Normal 177 3 2 2 2" xfId="14656" xr:uid="{00000000-0005-0000-0000-000040390000}"/>
    <cellStyle name="Normal 177 3 2 3" xfId="14657" xr:uid="{00000000-0005-0000-0000-000041390000}"/>
    <cellStyle name="Normal 177 3 2 3 2" xfId="14658" xr:uid="{00000000-0005-0000-0000-000042390000}"/>
    <cellStyle name="Normal 177 3 2 3 2 2" xfId="14659" xr:uid="{00000000-0005-0000-0000-000043390000}"/>
    <cellStyle name="Normal 177 3 2 3 3" xfId="14660" xr:uid="{00000000-0005-0000-0000-000044390000}"/>
    <cellStyle name="Normal 177 3 2 4" xfId="14661" xr:uid="{00000000-0005-0000-0000-000045390000}"/>
    <cellStyle name="Normal 177 3 3" xfId="14662" xr:uid="{00000000-0005-0000-0000-000046390000}"/>
    <cellStyle name="Normal 177 3 3 2" xfId="14663" xr:uid="{00000000-0005-0000-0000-000047390000}"/>
    <cellStyle name="Normal 177 3 3 2 2" xfId="14664" xr:uid="{00000000-0005-0000-0000-000048390000}"/>
    <cellStyle name="Normal 177 3 3 3" xfId="14665" xr:uid="{00000000-0005-0000-0000-000049390000}"/>
    <cellStyle name="Normal 177 3 4" xfId="14666" xr:uid="{00000000-0005-0000-0000-00004A390000}"/>
    <cellStyle name="Normal 177 3 4 2" xfId="14667" xr:uid="{00000000-0005-0000-0000-00004B390000}"/>
    <cellStyle name="Normal 177 3 4 2 2" xfId="14668" xr:uid="{00000000-0005-0000-0000-00004C390000}"/>
    <cellStyle name="Normal 177 3 4 3" xfId="14669" xr:uid="{00000000-0005-0000-0000-00004D390000}"/>
    <cellStyle name="Normal 177 3 5" xfId="14670" xr:uid="{00000000-0005-0000-0000-00004E390000}"/>
    <cellStyle name="Normal 177 3 5 2" xfId="14671" xr:uid="{00000000-0005-0000-0000-00004F390000}"/>
    <cellStyle name="Normal 177 3 5 2 2" xfId="14672" xr:uid="{00000000-0005-0000-0000-000050390000}"/>
    <cellStyle name="Normal 177 3 5 3" xfId="14673" xr:uid="{00000000-0005-0000-0000-000051390000}"/>
    <cellStyle name="Normal 177 3 6" xfId="14674" xr:uid="{00000000-0005-0000-0000-000052390000}"/>
    <cellStyle name="Normal 177 4" xfId="14675" xr:uid="{00000000-0005-0000-0000-000053390000}"/>
    <cellStyle name="Normal 177 4 2" xfId="14676" xr:uid="{00000000-0005-0000-0000-000054390000}"/>
    <cellStyle name="Normal 177 4 2 2" xfId="14677" xr:uid="{00000000-0005-0000-0000-000055390000}"/>
    <cellStyle name="Normal 177 4 3" xfId="14678" xr:uid="{00000000-0005-0000-0000-000056390000}"/>
    <cellStyle name="Normal 177 5" xfId="14679" xr:uid="{00000000-0005-0000-0000-000057390000}"/>
    <cellStyle name="Normal 177 5 2" xfId="14680" xr:uid="{00000000-0005-0000-0000-000058390000}"/>
    <cellStyle name="Normal 177 5 2 2" xfId="14681" xr:uid="{00000000-0005-0000-0000-000059390000}"/>
    <cellStyle name="Normal 177 5 3" xfId="14682" xr:uid="{00000000-0005-0000-0000-00005A390000}"/>
    <cellStyle name="Normal 177 6" xfId="14683" xr:uid="{00000000-0005-0000-0000-00005B390000}"/>
    <cellStyle name="Normal 177 6 2" xfId="14684" xr:uid="{00000000-0005-0000-0000-00005C390000}"/>
    <cellStyle name="Normal 177 6 2 2" xfId="14685" xr:uid="{00000000-0005-0000-0000-00005D390000}"/>
    <cellStyle name="Normal 177 6 3" xfId="14686" xr:uid="{00000000-0005-0000-0000-00005E390000}"/>
    <cellStyle name="Normal 177 7" xfId="14687" xr:uid="{00000000-0005-0000-0000-00005F390000}"/>
    <cellStyle name="Normal 178" xfId="14688" xr:uid="{00000000-0005-0000-0000-000060390000}"/>
    <cellStyle name="Normal 178 2" xfId="14689" xr:uid="{00000000-0005-0000-0000-000061390000}"/>
    <cellStyle name="Normal 178 2 2" xfId="14690" xr:uid="{00000000-0005-0000-0000-000062390000}"/>
    <cellStyle name="Normal 178 2 2 2" xfId="14691" xr:uid="{00000000-0005-0000-0000-000063390000}"/>
    <cellStyle name="Normal 178 2 3" xfId="14692" xr:uid="{00000000-0005-0000-0000-000064390000}"/>
    <cellStyle name="Normal 178 2 3 2" xfId="14693" xr:uid="{00000000-0005-0000-0000-000065390000}"/>
    <cellStyle name="Normal 178 2 3 2 2" xfId="14694" xr:uid="{00000000-0005-0000-0000-000066390000}"/>
    <cellStyle name="Normal 178 2 3 3" xfId="14695" xr:uid="{00000000-0005-0000-0000-000067390000}"/>
    <cellStyle name="Normal 178 2 4" xfId="14696" xr:uid="{00000000-0005-0000-0000-000068390000}"/>
    <cellStyle name="Normal 178 2 4 2" xfId="14697" xr:uid="{00000000-0005-0000-0000-000069390000}"/>
    <cellStyle name="Normal 178 2 4 2 2" xfId="14698" xr:uid="{00000000-0005-0000-0000-00006A390000}"/>
    <cellStyle name="Normal 178 2 4 3" xfId="14699" xr:uid="{00000000-0005-0000-0000-00006B390000}"/>
    <cellStyle name="Normal 178 2 5" xfId="14700" xr:uid="{00000000-0005-0000-0000-00006C390000}"/>
    <cellStyle name="Normal 178 3" xfId="14701" xr:uid="{00000000-0005-0000-0000-00006D390000}"/>
    <cellStyle name="Normal 178 3 2" xfId="14702" xr:uid="{00000000-0005-0000-0000-00006E390000}"/>
    <cellStyle name="Normal 178 3 2 2" xfId="14703" xr:uid="{00000000-0005-0000-0000-00006F390000}"/>
    <cellStyle name="Normal 178 3 2 2 2" xfId="14704" xr:uid="{00000000-0005-0000-0000-000070390000}"/>
    <cellStyle name="Normal 178 3 2 3" xfId="14705" xr:uid="{00000000-0005-0000-0000-000071390000}"/>
    <cellStyle name="Normal 178 3 2 3 2" xfId="14706" xr:uid="{00000000-0005-0000-0000-000072390000}"/>
    <cellStyle name="Normal 178 3 2 3 2 2" xfId="14707" xr:uid="{00000000-0005-0000-0000-000073390000}"/>
    <cellStyle name="Normal 178 3 2 3 3" xfId="14708" xr:uid="{00000000-0005-0000-0000-000074390000}"/>
    <cellStyle name="Normal 178 3 2 4" xfId="14709" xr:uid="{00000000-0005-0000-0000-000075390000}"/>
    <cellStyle name="Normal 178 3 3" xfId="14710" xr:uid="{00000000-0005-0000-0000-000076390000}"/>
    <cellStyle name="Normal 178 3 3 2" xfId="14711" xr:uid="{00000000-0005-0000-0000-000077390000}"/>
    <cellStyle name="Normal 178 3 3 2 2" xfId="14712" xr:uid="{00000000-0005-0000-0000-000078390000}"/>
    <cellStyle name="Normal 178 3 3 3" xfId="14713" xr:uid="{00000000-0005-0000-0000-000079390000}"/>
    <cellStyle name="Normal 178 3 4" xfId="14714" xr:uid="{00000000-0005-0000-0000-00007A390000}"/>
    <cellStyle name="Normal 178 3 4 2" xfId="14715" xr:uid="{00000000-0005-0000-0000-00007B390000}"/>
    <cellStyle name="Normal 178 3 4 2 2" xfId="14716" xr:uid="{00000000-0005-0000-0000-00007C390000}"/>
    <cellStyle name="Normal 178 3 4 3" xfId="14717" xr:uid="{00000000-0005-0000-0000-00007D390000}"/>
    <cellStyle name="Normal 178 3 5" xfId="14718" xr:uid="{00000000-0005-0000-0000-00007E390000}"/>
    <cellStyle name="Normal 178 3 5 2" xfId="14719" xr:uid="{00000000-0005-0000-0000-00007F390000}"/>
    <cellStyle name="Normal 178 3 5 2 2" xfId="14720" xr:uid="{00000000-0005-0000-0000-000080390000}"/>
    <cellStyle name="Normal 178 3 5 3" xfId="14721" xr:uid="{00000000-0005-0000-0000-000081390000}"/>
    <cellStyle name="Normal 178 3 6" xfId="14722" xr:uid="{00000000-0005-0000-0000-000082390000}"/>
    <cellStyle name="Normal 178 4" xfId="14723" xr:uid="{00000000-0005-0000-0000-000083390000}"/>
    <cellStyle name="Normal 178 4 2" xfId="14724" xr:uid="{00000000-0005-0000-0000-000084390000}"/>
    <cellStyle name="Normal 178 4 2 2" xfId="14725" xr:uid="{00000000-0005-0000-0000-000085390000}"/>
    <cellStyle name="Normal 178 4 3" xfId="14726" xr:uid="{00000000-0005-0000-0000-000086390000}"/>
    <cellStyle name="Normal 178 5" xfId="14727" xr:uid="{00000000-0005-0000-0000-000087390000}"/>
    <cellStyle name="Normal 178 5 2" xfId="14728" xr:uid="{00000000-0005-0000-0000-000088390000}"/>
    <cellStyle name="Normal 178 5 2 2" xfId="14729" xr:uid="{00000000-0005-0000-0000-000089390000}"/>
    <cellStyle name="Normal 178 5 3" xfId="14730" xr:uid="{00000000-0005-0000-0000-00008A390000}"/>
    <cellStyle name="Normal 178 6" xfId="14731" xr:uid="{00000000-0005-0000-0000-00008B390000}"/>
    <cellStyle name="Normal 178 6 2" xfId="14732" xr:uid="{00000000-0005-0000-0000-00008C390000}"/>
    <cellStyle name="Normal 178 6 2 2" xfId="14733" xr:uid="{00000000-0005-0000-0000-00008D390000}"/>
    <cellStyle name="Normal 178 6 3" xfId="14734" xr:uid="{00000000-0005-0000-0000-00008E390000}"/>
    <cellStyle name="Normal 178 7" xfId="14735" xr:uid="{00000000-0005-0000-0000-00008F390000}"/>
    <cellStyle name="Normal 179" xfId="14736" xr:uid="{00000000-0005-0000-0000-000090390000}"/>
    <cellStyle name="Normal 179 2" xfId="14737" xr:uid="{00000000-0005-0000-0000-000091390000}"/>
    <cellStyle name="Normal 179 2 2" xfId="14738" xr:uid="{00000000-0005-0000-0000-000092390000}"/>
    <cellStyle name="Normal 179 2 2 2" xfId="14739" xr:uid="{00000000-0005-0000-0000-000093390000}"/>
    <cellStyle name="Normal 179 2 3" xfId="14740" xr:uid="{00000000-0005-0000-0000-000094390000}"/>
    <cellStyle name="Normal 179 2 3 2" xfId="14741" xr:uid="{00000000-0005-0000-0000-000095390000}"/>
    <cellStyle name="Normal 179 2 3 2 2" xfId="14742" xr:uid="{00000000-0005-0000-0000-000096390000}"/>
    <cellStyle name="Normal 179 2 3 3" xfId="14743" xr:uid="{00000000-0005-0000-0000-000097390000}"/>
    <cellStyle name="Normal 179 2 4" xfId="14744" xr:uid="{00000000-0005-0000-0000-000098390000}"/>
    <cellStyle name="Normal 179 2 4 2" xfId="14745" xr:uid="{00000000-0005-0000-0000-000099390000}"/>
    <cellStyle name="Normal 179 2 4 2 2" xfId="14746" xr:uid="{00000000-0005-0000-0000-00009A390000}"/>
    <cellStyle name="Normal 179 2 4 3" xfId="14747" xr:uid="{00000000-0005-0000-0000-00009B390000}"/>
    <cellStyle name="Normal 179 2 5" xfId="14748" xr:uid="{00000000-0005-0000-0000-00009C390000}"/>
    <cellStyle name="Normal 179 3" xfId="14749" xr:uid="{00000000-0005-0000-0000-00009D390000}"/>
    <cellStyle name="Normal 179 3 2" xfId="14750" xr:uid="{00000000-0005-0000-0000-00009E390000}"/>
    <cellStyle name="Normal 179 3 2 2" xfId="14751" xr:uid="{00000000-0005-0000-0000-00009F390000}"/>
    <cellStyle name="Normal 179 3 2 2 2" xfId="14752" xr:uid="{00000000-0005-0000-0000-0000A0390000}"/>
    <cellStyle name="Normal 179 3 2 3" xfId="14753" xr:uid="{00000000-0005-0000-0000-0000A1390000}"/>
    <cellStyle name="Normal 179 3 2 3 2" xfId="14754" xr:uid="{00000000-0005-0000-0000-0000A2390000}"/>
    <cellStyle name="Normal 179 3 2 3 2 2" xfId="14755" xr:uid="{00000000-0005-0000-0000-0000A3390000}"/>
    <cellStyle name="Normal 179 3 2 3 3" xfId="14756" xr:uid="{00000000-0005-0000-0000-0000A4390000}"/>
    <cellStyle name="Normal 179 3 2 4" xfId="14757" xr:uid="{00000000-0005-0000-0000-0000A5390000}"/>
    <cellStyle name="Normal 179 3 3" xfId="14758" xr:uid="{00000000-0005-0000-0000-0000A6390000}"/>
    <cellStyle name="Normal 179 3 3 2" xfId="14759" xr:uid="{00000000-0005-0000-0000-0000A7390000}"/>
    <cellStyle name="Normal 179 3 3 2 2" xfId="14760" xr:uid="{00000000-0005-0000-0000-0000A8390000}"/>
    <cellStyle name="Normal 179 3 3 3" xfId="14761" xr:uid="{00000000-0005-0000-0000-0000A9390000}"/>
    <cellStyle name="Normal 179 3 4" xfId="14762" xr:uid="{00000000-0005-0000-0000-0000AA390000}"/>
    <cellStyle name="Normal 179 3 4 2" xfId="14763" xr:uid="{00000000-0005-0000-0000-0000AB390000}"/>
    <cellStyle name="Normal 179 3 4 2 2" xfId="14764" xr:uid="{00000000-0005-0000-0000-0000AC390000}"/>
    <cellStyle name="Normal 179 3 4 3" xfId="14765" xr:uid="{00000000-0005-0000-0000-0000AD390000}"/>
    <cellStyle name="Normal 179 3 5" xfId="14766" xr:uid="{00000000-0005-0000-0000-0000AE390000}"/>
    <cellStyle name="Normal 179 3 5 2" xfId="14767" xr:uid="{00000000-0005-0000-0000-0000AF390000}"/>
    <cellStyle name="Normal 179 3 5 2 2" xfId="14768" xr:uid="{00000000-0005-0000-0000-0000B0390000}"/>
    <cellStyle name="Normal 179 3 5 3" xfId="14769" xr:uid="{00000000-0005-0000-0000-0000B1390000}"/>
    <cellStyle name="Normal 179 3 6" xfId="14770" xr:uid="{00000000-0005-0000-0000-0000B2390000}"/>
    <cellStyle name="Normal 179 4" xfId="14771" xr:uid="{00000000-0005-0000-0000-0000B3390000}"/>
    <cellStyle name="Normal 179 4 2" xfId="14772" xr:uid="{00000000-0005-0000-0000-0000B4390000}"/>
    <cellStyle name="Normal 179 4 2 2" xfId="14773" xr:uid="{00000000-0005-0000-0000-0000B5390000}"/>
    <cellStyle name="Normal 179 4 3" xfId="14774" xr:uid="{00000000-0005-0000-0000-0000B6390000}"/>
    <cellStyle name="Normal 179 5" xfId="14775" xr:uid="{00000000-0005-0000-0000-0000B7390000}"/>
    <cellStyle name="Normal 179 5 2" xfId="14776" xr:uid="{00000000-0005-0000-0000-0000B8390000}"/>
    <cellStyle name="Normal 179 5 2 2" xfId="14777" xr:uid="{00000000-0005-0000-0000-0000B9390000}"/>
    <cellStyle name="Normal 179 5 3" xfId="14778" xr:uid="{00000000-0005-0000-0000-0000BA390000}"/>
    <cellStyle name="Normal 179 6" xfId="14779" xr:uid="{00000000-0005-0000-0000-0000BB390000}"/>
    <cellStyle name="Normal 179 6 2" xfId="14780" xr:uid="{00000000-0005-0000-0000-0000BC390000}"/>
    <cellStyle name="Normal 179 6 2 2" xfId="14781" xr:uid="{00000000-0005-0000-0000-0000BD390000}"/>
    <cellStyle name="Normal 179 6 3" xfId="14782" xr:uid="{00000000-0005-0000-0000-0000BE390000}"/>
    <cellStyle name="Normal 179 7" xfId="14783" xr:uid="{00000000-0005-0000-0000-0000BF390000}"/>
    <cellStyle name="Normal 18" xfId="14784" xr:uid="{00000000-0005-0000-0000-0000C0390000}"/>
    <cellStyle name="Normal 18 2" xfId="14785" xr:uid="{00000000-0005-0000-0000-0000C1390000}"/>
    <cellStyle name="Normal 18 2 2" xfId="14786" xr:uid="{00000000-0005-0000-0000-0000C2390000}"/>
    <cellStyle name="Normal 18 2 2 2" xfId="14787" xr:uid="{00000000-0005-0000-0000-0000C3390000}"/>
    <cellStyle name="Normal 18 2 2 2 2" xfId="14788" xr:uid="{00000000-0005-0000-0000-0000C4390000}"/>
    <cellStyle name="Normal 18 2 2 3" xfId="14789" xr:uid="{00000000-0005-0000-0000-0000C5390000}"/>
    <cellStyle name="Normal 18 2 2 3 2" xfId="14790" xr:uid="{00000000-0005-0000-0000-0000C6390000}"/>
    <cellStyle name="Normal 18 2 2 3 2 2" xfId="14791" xr:uid="{00000000-0005-0000-0000-0000C7390000}"/>
    <cellStyle name="Normal 18 2 2 3 3" xfId="14792" xr:uid="{00000000-0005-0000-0000-0000C8390000}"/>
    <cellStyle name="Normal 18 2 2 4" xfId="14793" xr:uid="{00000000-0005-0000-0000-0000C9390000}"/>
    <cellStyle name="Normal 18 2 2 4 2" xfId="14794" xr:uid="{00000000-0005-0000-0000-0000CA390000}"/>
    <cellStyle name="Normal 18 2 2 4 2 2" xfId="14795" xr:uid="{00000000-0005-0000-0000-0000CB390000}"/>
    <cellStyle name="Normal 18 2 2 4 3" xfId="14796" xr:uid="{00000000-0005-0000-0000-0000CC390000}"/>
    <cellStyle name="Normal 18 2 2 5" xfId="14797" xr:uid="{00000000-0005-0000-0000-0000CD390000}"/>
    <cellStyle name="Normal 18 2 3" xfId="14798" xr:uid="{00000000-0005-0000-0000-0000CE390000}"/>
    <cellStyle name="Normal 18 2 3 2" xfId="14799" xr:uid="{00000000-0005-0000-0000-0000CF390000}"/>
    <cellStyle name="Normal 18 2 3 2 2" xfId="14800" xr:uid="{00000000-0005-0000-0000-0000D0390000}"/>
    <cellStyle name="Normal 18 2 3 2 2 2" xfId="14801" xr:uid="{00000000-0005-0000-0000-0000D1390000}"/>
    <cellStyle name="Normal 18 2 3 2 3" xfId="14802" xr:uid="{00000000-0005-0000-0000-0000D2390000}"/>
    <cellStyle name="Normal 18 2 3 2 3 2" xfId="14803" xr:uid="{00000000-0005-0000-0000-0000D3390000}"/>
    <cellStyle name="Normal 18 2 3 2 3 2 2" xfId="14804" xr:uid="{00000000-0005-0000-0000-0000D4390000}"/>
    <cellStyle name="Normal 18 2 3 2 3 3" xfId="14805" xr:uid="{00000000-0005-0000-0000-0000D5390000}"/>
    <cellStyle name="Normal 18 2 3 2 4" xfId="14806" xr:uid="{00000000-0005-0000-0000-0000D6390000}"/>
    <cellStyle name="Normal 18 2 3 3" xfId="14807" xr:uid="{00000000-0005-0000-0000-0000D7390000}"/>
    <cellStyle name="Normal 18 2 3 3 2" xfId="14808" xr:uid="{00000000-0005-0000-0000-0000D8390000}"/>
    <cellStyle name="Normal 18 2 3 3 2 2" xfId="14809" xr:uid="{00000000-0005-0000-0000-0000D9390000}"/>
    <cellStyle name="Normal 18 2 3 3 3" xfId="14810" xr:uid="{00000000-0005-0000-0000-0000DA390000}"/>
    <cellStyle name="Normal 18 2 3 4" xfId="14811" xr:uid="{00000000-0005-0000-0000-0000DB390000}"/>
    <cellStyle name="Normal 18 2 3 4 2" xfId="14812" xr:uid="{00000000-0005-0000-0000-0000DC390000}"/>
    <cellStyle name="Normal 18 2 3 4 2 2" xfId="14813" xr:uid="{00000000-0005-0000-0000-0000DD390000}"/>
    <cellStyle name="Normal 18 2 3 4 3" xfId="14814" xr:uid="{00000000-0005-0000-0000-0000DE390000}"/>
    <cellStyle name="Normal 18 2 3 5" xfId="14815" xr:uid="{00000000-0005-0000-0000-0000DF390000}"/>
    <cellStyle name="Normal 18 2 3 5 2" xfId="14816" xr:uid="{00000000-0005-0000-0000-0000E0390000}"/>
    <cellStyle name="Normal 18 2 3 5 2 2" xfId="14817" xr:uid="{00000000-0005-0000-0000-0000E1390000}"/>
    <cellStyle name="Normal 18 2 3 5 3" xfId="14818" xr:uid="{00000000-0005-0000-0000-0000E2390000}"/>
    <cellStyle name="Normal 18 2 3 6" xfId="14819" xr:uid="{00000000-0005-0000-0000-0000E3390000}"/>
    <cellStyle name="Normal 18 2 4" xfId="14820" xr:uid="{00000000-0005-0000-0000-0000E4390000}"/>
    <cellStyle name="Normal 18 2 4 2" xfId="14821" xr:uid="{00000000-0005-0000-0000-0000E5390000}"/>
    <cellStyle name="Normal 18 2 4 2 2" xfId="14822" xr:uid="{00000000-0005-0000-0000-0000E6390000}"/>
    <cellStyle name="Normal 18 2 4 3" xfId="14823" xr:uid="{00000000-0005-0000-0000-0000E7390000}"/>
    <cellStyle name="Normal 18 2 5" xfId="14824" xr:uid="{00000000-0005-0000-0000-0000E8390000}"/>
    <cellStyle name="Normal 18 2 5 2" xfId="14825" xr:uid="{00000000-0005-0000-0000-0000E9390000}"/>
    <cellStyle name="Normal 18 2 5 2 2" xfId="14826" xr:uid="{00000000-0005-0000-0000-0000EA390000}"/>
    <cellStyle name="Normal 18 2 5 3" xfId="14827" xr:uid="{00000000-0005-0000-0000-0000EB390000}"/>
    <cellStyle name="Normal 18 2 6" xfId="14828" xr:uid="{00000000-0005-0000-0000-0000EC390000}"/>
    <cellStyle name="Normal 18 2 6 2" xfId="14829" xr:uid="{00000000-0005-0000-0000-0000ED390000}"/>
    <cellStyle name="Normal 18 2 6 2 2" xfId="14830" xr:uid="{00000000-0005-0000-0000-0000EE390000}"/>
    <cellStyle name="Normal 18 2 6 3" xfId="14831" xr:uid="{00000000-0005-0000-0000-0000EF390000}"/>
    <cellStyle name="Normal 18 2 7" xfId="14832" xr:uid="{00000000-0005-0000-0000-0000F0390000}"/>
    <cellStyle name="Normal 18 3" xfId="14833" xr:uid="{00000000-0005-0000-0000-0000F1390000}"/>
    <cellStyle name="Normal 18 3 2" xfId="14834" xr:uid="{00000000-0005-0000-0000-0000F2390000}"/>
    <cellStyle name="Normal 18 3 2 2" xfId="14835" xr:uid="{00000000-0005-0000-0000-0000F3390000}"/>
    <cellStyle name="Normal 18 3 2 2 2" xfId="14836" xr:uid="{00000000-0005-0000-0000-0000F4390000}"/>
    <cellStyle name="Normal 18 3 2 3" xfId="14837" xr:uid="{00000000-0005-0000-0000-0000F5390000}"/>
    <cellStyle name="Normal 18 3 2 3 2" xfId="14838" xr:uid="{00000000-0005-0000-0000-0000F6390000}"/>
    <cellStyle name="Normal 18 3 2 3 2 2" xfId="14839" xr:uid="{00000000-0005-0000-0000-0000F7390000}"/>
    <cellStyle name="Normal 18 3 2 3 3" xfId="14840" xr:uid="{00000000-0005-0000-0000-0000F8390000}"/>
    <cellStyle name="Normal 18 3 2 4" xfId="14841" xr:uid="{00000000-0005-0000-0000-0000F9390000}"/>
    <cellStyle name="Normal 18 3 2 4 2" xfId="14842" xr:uid="{00000000-0005-0000-0000-0000FA390000}"/>
    <cellStyle name="Normal 18 3 2 4 2 2" xfId="14843" xr:uid="{00000000-0005-0000-0000-0000FB390000}"/>
    <cellStyle name="Normal 18 3 2 4 3" xfId="14844" xr:uid="{00000000-0005-0000-0000-0000FC390000}"/>
    <cellStyle name="Normal 18 3 2 5" xfId="14845" xr:uid="{00000000-0005-0000-0000-0000FD390000}"/>
    <cellStyle name="Normal 18 3 3" xfId="14846" xr:uid="{00000000-0005-0000-0000-0000FE390000}"/>
    <cellStyle name="Normal 18 3 3 2" xfId="14847" xr:uid="{00000000-0005-0000-0000-0000FF390000}"/>
    <cellStyle name="Normal 18 3 3 2 2" xfId="14848" xr:uid="{00000000-0005-0000-0000-0000003A0000}"/>
    <cellStyle name="Normal 18 3 3 3" xfId="14849" xr:uid="{00000000-0005-0000-0000-0000013A0000}"/>
    <cellStyle name="Normal 18 3 4" xfId="14850" xr:uid="{00000000-0005-0000-0000-0000023A0000}"/>
    <cellStyle name="Normal 18 3 4 2" xfId="14851" xr:uid="{00000000-0005-0000-0000-0000033A0000}"/>
    <cellStyle name="Normal 18 3 4 2 2" xfId="14852" xr:uid="{00000000-0005-0000-0000-0000043A0000}"/>
    <cellStyle name="Normal 18 3 4 3" xfId="14853" xr:uid="{00000000-0005-0000-0000-0000053A0000}"/>
    <cellStyle name="Normal 18 3 5" xfId="14854" xr:uid="{00000000-0005-0000-0000-0000063A0000}"/>
    <cellStyle name="Normal 18 3 5 2" xfId="14855" xr:uid="{00000000-0005-0000-0000-0000073A0000}"/>
    <cellStyle name="Normal 18 3 5 2 2" xfId="14856" xr:uid="{00000000-0005-0000-0000-0000083A0000}"/>
    <cellStyle name="Normal 18 3 5 3" xfId="14857" xr:uid="{00000000-0005-0000-0000-0000093A0000}"/>
    <cellStyle name="Normal 18 3 6" xfId="14858" xr:uid="{00000000-0005-0000-0000-00000A3A0000}"/>
    <cellStyle name="Normal 18 4" xfId="14859" xr:uid="{00000000-0005-0000-0000-00000B3A0000}"/>
    <cellStyle name="Normal 18 4 2" xfId="14860" xr:uid="{00000000-0005-0000-0000-00000C3A0000}"/>
    <cellStyle name="Normal 18 4 2 2" xfId="14861" xr:uid="{00000000-0005-0000-0000-00000D3A0000}"/>
    <cellStyle name="Normal 18 4 3" xfId="14862" xr:uid="{00000000-0005-0000-0000-00000E3A0000}"/>
    <cellStyle name="Normal 18 4 3 2" xfId="14863" xr:uid="{00000000-0005-0000-0000-00000F3A0000}"/>
    <cellStyle name="Normal 18 4 3 2 2" xfId="14864" xr:uid="{00000000-0005-0000-0000-0000103A0000}"/>
    <cellStyle name="Normal 18 4 3 3" xfId="14865" xr:uid="{00000000-0005-0000-0000-0000113A0000}"/>
    <cellStyle name="Normal 18 4 4" xfId="14866" xr:uid="{00000000-0005-0000-0000-0000123A0000}"/>
    <cellStyle name="Normal 18 4 4 2" xfId="14867" xr:uid="{00000000-0005-0000-0000-0000133A0000}"/>
    <cellStyle name="Normal 18 4 4 2 2" xfId="14868" xr:uid="{00000000-0005-0000-0000-0000143A0000}"/>
    <cellStyle name="Normal 18 4 4 3" xfId="14869" xr:uid="{00000000-0005-0000-0000-0000153A0000}"/>
    <cellStyle name="Normal 18 4 5" xfId="14870" xr:uid="{00000000-0005-0000-0000-0000163A0000}"/>
    <cellStyle name="Normal 18 5" xfId="14871" xr:uid="{00000000-0005-0000-0000-0000173A0000}"/>
    <cellStyle name="Normal 18 5 2" xfId="14872" xr:uid="{00000000-0005-0000-0000-0000183A0000}"/>
    <cellStyle name="Normal 18 5 2 2" xfId="14873" xr:uid="{00000000-0005-0000-0000-0000193A0000}"/>
    <cellStyle name="Normal 18 5 2 2 2" xfId="14874" xr:uid="{00000000-0005-0000-0000-00001A3A0000}"/>
    <cellStyle name="Normal 18 5 2 3" xfId="14875" xr:uid="{00000000-0005-0000-0000-00001B3A0000}"/>
    <cellStyle name="Normal 18 5 2 3 2" xfId="14876" xr:uid="{00000000-0005-0000-0000-00001C3A0000}"/>
    <cellStyle name="Normal 18 5 2 3 2 2" xfId="14877" xr:uid="{00000000-0005-0000-0000-00001D3A0000}"/>
    <cellStyle name="Normal 18 5 2 3 3" xfId="14878" xr:uid="{00000000-0005-0000-0000-00001E3A0000}"/>
    <cellStyle name="Normal 18 5 2 4" xfId="14879" xr:uid="{00000000-0005-0000-0000-00001F3A0000}"/>
    <cellStyle name="Normal 18 5 3" xfId="14880" xr:uid="{00000000-0005-0000-0000-0000203A0000}"/>
    <cellStyle name="Normal 18 5 3 2" xfId="14881" xr:uid="{00000000-0005-0000-0000-0000213A0000}"/>
    <cellStyle name="Normal 18 5 3 2 2" xfId="14882" xr:uid="{00000000-0005-0000-0000-0000223A0000}"/>
    <cellStyle name="Normal 18 5 3 3" xfId="14883" xr:uid="{00000000-0005-0000-0000-0000233A0000}"/>
    <cellStyle name="Normal 18 5 4" xfId="14884" xr:uid="{00000000-0005-0000-0000-0000243A0000}"/>
    <cellStyle name="Normal 18 5 4 2" xfId="14885" xr:uid="{00000000-0005-0000-0000-0000253A0000}"/>
    <cellStyle name="Normal 18 5 4 2 2" xfId="14886" xr:uid="{00000000-0005-0000-0000-0000263A0000}"/>
    <cellStyle name="Normal 18 5 4 3" xfId="14887" xr:uid="{00000000-0005-0000-0000-0000273A0000}"/>
    <cellStyle name="Normal 18 5 5" xfId="14888" xr:uid="{00000000-0005-0000-0000-0000283A0000}"/>
    <cellStyle name="Normal 18 5 5 2" xfId="14889" xr:uid="{00000000-0005-0000-0000-0000293A0000}"/>
    <cellStyle name="Normal 18 5 5 2 2" xfId="14890" xr:uid="{00000000-0005-0000-0000-00002A3A0000}"/>
    <cellStyle name="Normal 18 5 5 3" xfId="14891" xr:uid="{00000000-0005-0000-0000-00002B3A0000}"/>
    <cellStyle name="Normal 18 5 6" xfId="14892" xr:uid="{00000000-0005-0000-0000-00002C3A0000}"/>
    <cellStyle name="Normal 18 6" xfId="14893" xr:uid="{00000000-0005-0000-0000-00002D3A0000}"/>
    <cellStyle name="Normal 18 7" xfId="14894" xr:uid="{00000000-0005-0000-0000-00002E3A0000}"/>
    <cellStyle name="Normal 180" xfId="14895" xr:uid="{00000000-0005-0000-0000-00002F3A0000}"/>
    <cellStyle name="Normal 180 2" xfId="14896" xr:uid="{00000000-0005-0000-0000-0000303A0000}"/>
    <cellStyle name="Normal 180 2 2" xfId="14897" xr:uid="{00000000-0005-0000-0000-0000313A0000}"/>
    <cellStyle name="Normal 180 2 2 2" xfId="14898" xr:uid="{00000000-0005-0000-0000-0000323A0000}"/>
    <cellStyle name="Normal 180 2 3" xfId="14899" xr:uid="{00000000-0005-0000-0000-0000333A0000}"/>
    <cellStyle name="Normal 180 2 3 2" xfId="14900" xr:uid="{00000000-0005-0000-0000-0000343A0000}"/>
    <cellStyle name="Normal 180 2 3 2 2" xfId="14901" xr:uid="{00000000-0005-0000-0000-0000353A0000}"/>
    <cellStyle name="Normal 180 2 3 3" xfId="14902" xr:uid="{00000000-0005-0000-0000-0000363A0000}"/>
    <cellStyle name="Normal 180 2 4" xfId="14903" xr:uid="{00000000-0005-0000-0000-0000373A0000}"/>
    <cellStyle name="Normal 180 2 4 2" xfId="14904" xr:uid="{00000000-0005-0000-0000-0000383A0000}"/>
    <cellStyle name="Normal 180 2 4 2 2" xfId="14905" xr:uid="{00000000-0005-0000-0000-0000393A0000}"/>
    <cellStyle name="Normal 180 2 4 3" xfId="14906" xr:uid="{00000000-0005-0000-0000-00003A3A0000}"/>
    <cellStyle name="Normal 180 2 5" xfId="14907" xr:uid="{00000000-0005-0000-0000-00003B3A0000}"/>
    <cellStyle name="Normal 180 3" xfId="14908" xr:uid="{00000000-0005-0000-0000-00003C3A0000}"/>
    <cellStyle name="Normal 180 3 2" xfId="14909" xr:uid="{00000000-0005-0000-0000-00003D3A0000}"/>
    <cellStyle name="Normal 180 3 2 2" xfId="14910" xr:uid="{00000000-0005-0000-0000-00003E3A0000}"/>
    <cellStyle name="Normal 180 3 2 2 2" xfId="14911" xr:uid="{00000000-0005-0000-0000-00003F3A0000}"/>
    <cellStyle name="Normal 180 3 2 3" xfId="14912" xr:uid="{00000000-0005-0000-0000-0000403A0000}"/>
    <cellStyle name="Normal 180 3 2 3 2" xfId="14913" xr:uid="{00000000-0005-0000-0000-0000413A0000}"/>
    <cellStyle name="Normal 180 3 2 3 2 2" xfId="14914" xr:uid="{00000000-0005-0000-0000-0000423A0000}"/>
    <cellStyle name="Normal 180 3 2 3 3" xfId="14915" xr:uid="{00000000-0005-0000-0000-0000433A0000}"/>
    <cellStyle name="Normal 180 3 2 4" xfId="14916" xr:uid="{00000000-0005-0000-0000-0000443A0000}"/>
    <cellStyle name="Normal 180 3 3" xfId="14917" xr:uid="{00000000-0005-0000-0000-0000453A0000}"/>
    <cellStyle name="Normal 180 3 3 2" xfId="14918" xr:uid="{00000000-0005-0000-0000-0000463A0000}"/>
    <cellStyle name="Normal 180 3 3 2 2" xfId="14919" xr:uid="{00000000-0005-0000-0000-0000473A0000}"/>
    <cellStyle name="Normal 180 3 3 3" xfId="14920" xr:uid="{00000000-0005-0000-0000-0000483A0000}"/>
    <cellStyle name="Normal 180 3 4" xfId="14921" xr:uid="{00000000-0005-0000-0000-0000493A0000}"/>
    <cellStyle name="Normal 180 3 4 2" xfId="14922" xr:uid="{00000000-0005-0000-0000-00004A3A0000}"/>
    <cellStyle name="Normal 180 3 4 2 2" xfId="14923" xr:uid="{00000000-0005-0000-0000-00004B3A0000}"/>
    <cellStyle name="Normal 180 3 4 3" xfId="14924" xr:uid="{00000000-0005-0000-0000-00004C3A0000}"/>
    <cellStyle name="Normal 180 3 5" xfId="14925" xr:uid="{00000000-0005-0000-0000-00004D3A0000}"/>
    <cellStyle name="Normal 180 3 5 2" xfId="14926" xr:uid="{00000000-0005-0000-0000-00004E3A0000}"/>
    <cellStyle name="Normal 180 3 5 2 2" xfId="14927" xr:uid="{00000000-0005-0000-0000-00004F3A0000}"/>
    <cellStyle name="Normal 180 3 5 3" xfId="14928" xr:uid="{00000000-0005-0000-0000-0000503A0000}"/>
    <cellStyle name="Normal 180 3 6" xfId="14929" xr:uid="{00000000-0005-0000-0000-0000513A0000}"/>
    <cellStyle name="Normal 180 4" xfId="14930" xr:uid="{00000000-0005-0000-0000-0000523A0000}"/>
    <cellStyle name="Normal 180 4 2" xfId="14931" xr:uid="{00000000-0005-0000-0000-0000533A0000}"/>
    <cellStyle name="Normal 180 4 2 2" xfId="14932" xr:uid="{00000000-0005-0000-0000-0000543A0000}"/>
    <cellStyle name="Normal 180 4 3" xfId="14933" xr:uid="{00000000-0005-0000-0000-0000553A0000}"/>
    <cellStyle name="Normal 180 5" xfId="14934" xr:uid="{00000000-0005-0000-0000-0000563A0000}"/>
    <cellStyle name="Normal 180 5 2" xfId="14935" xr:uid="{00000000-0005-0000-0000-0000573A0000}"/>
    <cellStyle name="Normal 180 5 2 2" xfId="14936" xr:uid="{00000000-0005-0000-0000-0000583A0000}"/>
    <cellStyle name="Normal 180 5 3" xfId="14937" xr:uid="{00000000-0005-0000-0000-0000593A0000}"/>
    <cellStyle name="Normal 180 6" xfId="14938" xr:uid="{00000000-0005-0000-0000-00005A3A0000}"/>
    <cellStyle name="Normal 180 6 2" xfId="14939" xr:uid="{00000000-0005-0000-0000-00005B3A0000}"/>
    <cellStyle name="Normal 180 6 2 2" xfId="14940" xr:uid="{00000000-0005-0000-0000-00005C3A0000}"/>
    <cellStyle name="Normal 180 6 3" xfId="14941" xr:uid="{00000000-0005-0000-0000-00005D3A0000}"/>
    <cellStyle name="Normal 180 7" xfId="14942" xr:uid="{00000000-0005-0000-0000-00005E3A0000}"/>
    <cellStyle name="Normal 181" xfId="14943" xr:uid="{00000000-0005-0000-0000-00005F3A0000}"/>
    <cellStyle name="Normal 181 2" xfId="14944" xr:uid="{00000000-0005-0000-0000-0000603A0000}"/>
    <cellStyle name="Normal 181 2 2" xfId="14945" xr:uid="{00000000-0005-0000-0000-0000613A0000}"/>
    <cellStyle name="Normal 181 2 2 2" xfId="14946" xr:uid="{00000000-0005-0000-0000-0000623A0000}"/>
    <cellStyle name="Normal 181 2 3" xfId="14947" xr:uid="{00000000-0005-0000-0000-0000633A0000}"/>
    <cellStyle name="Normal 181 2 3 2" xfId="14948" xr:uid="{00000000-0005-0000-0000-0000643A0000}"/>
    <cellStyle name="Normal 181 2 3 2 2" xfId="14949" xr:uid="{00000000-0005-0000-0000-0000653A0000}"/>
    <cellStyle name="Normal 181 2 3 3" xfId="14950" xr:uid="{00000000-0005-0000-0000-0000663A0000}"/>
    <cellStyle name="Normal 181 2 4" xfId="14951" xr:uid="{00000000-0005-0000-0000-0000673A0000}"/>
    <cellStyle name="Normal 181 2 4 2" xfId="14952" xr:uid="{00000000-0005-0000-0000-0000683A0000}"/>
    <cellStyle name="Normal 181 2 4 2 2" xfId="14953" xr:uid="{00000000-0005-0000-0000-0000693A0000}"/>
    <cellStyle name="Normal 181 2 4 3" xfId="14954" xr:uid="{00000000-0005-0000-0000-00006A3A0000}"/>
    <cellStyle name="Normal 181 2 5" xfId="14955" xr:uid="{00000000-0005-0000-0000-00006B3A0000}"/>
    <cellStyle name="Normal 181 3" xfId="14956" xr:uid="{00000000-0005-0000-0000-00006C3A0000}"/>
    <cellStyle name="Normal 181 3 2" xfId="14957" xr:uid="{00000000-0005-0000-0000-00006D3A0000}"/>
    <cellStyle name="Normal 181 3 2 2" xfId="14958" xr:uid="{00000000-0005-0000-0000-00006E3A0000}"/>
    <cellStyle name="Normal 181 3 2 2 2" xfId="14959" xr:uid="{00000000-0005-0000-0000-00006F3A0000}"/>
    <cellStyle name="Normal 181 3 2 3" xfId="14960" xr:uid="{00000000-0005-0000-0000-0000703A0000}"/>
    <cellStyle name="Normal 181 3 2 3 2" xfId="14961" xr:uid="{00000000-0005-0000-0000-0000713A0000}"/>
    <cellStyle name="Normal 181 3 2 3 2 2" xfId="14962" xr:uid="{00000000-0005-0000-0000-0000723A0000}"/>
    <cellStyle name="Normal 181 3 2 3 3" xfId="14963" xr:uid="{00000000-0005-0000-0000-0000733A0000}"/>
    <cellStyle name="Normal 181 3 2 4" xfId="14964" xr:uid="{00000000-0005-0000-0000-0000743A0000}"/>
    <cellStyle name="Normal 181 3 3" xfId="14965" xr:uid="{00000000-0005-0000-0000-0000753A0000}"/>
    <cellStyle name="Normal 181 3 3 2" xfId="14966" xr:uid="{00000000-0005-0000-0000-0000763A0000}"/>
    <cellStyle name="Normal 181 3 3 2 2" xfId="14967" xr:uid="{00000000-0005-0000-0000-0000773A0000}"/>
    <cellStyle name="Normal 181 3 3 3" xfId="14968" xr:uid="{00000000-0005-0000-0000-0000783A0000}"/>
    <cellStyle name="Normal 181 3 4" xfId="14969" xr:uid="{00000000-0005-0000-0000-0000793A0000}"/>
    <cellStyle name="Normal 181 3 4 2" xfId="14970" xr:uid="{00000000-0005-0000-0000-00007A3A0000}"/>
    <cellStyle name="Normal 181 3 4 2 2" xfId="14971" xr:uid="{00000000-0005-0000-0000-00007B3A0000}"/>
    <cellStyle name="Normal 181 3 4 3" xfId="14972" xr:uid="{00000000-0005-0000-0000-00007C3A0000}"/>
    <cellStyle name="Normal 181 3 5" xfId="14973" xr:uid="{00000000-0005-0000-0000-00007D3A0000}"/>
    <cellStyle name="Normal 181 3 5 2" xfId="14974" xr:uid="{00000000-0005-0000-0000-00007E3A0000}"/>
    <cellStyle name="Normal 181 3 5 2 2" xfId="14975" xr:uid="{00000000-0005-0000-0000-00007F3A0000}"/>
    <cellStyle name="Normal 181 3 5 3" xfId="14976" xr:uid="{00000000-0005-0000-0000-0000803A0000}"/>
    <cellStyle name="Normal 181 3 6" xfId="14977" xr:uid="{00000000-0005-0000-0000-0000813A0000}"/>
    <cellStyle name="Normal 181 4" xfId="14978" xr:uid="{00000000-0005-0000-0000-0000823A0000}"/>
    <cellStyle name="Normal 181 4 2" xfId="14979" xr:uid="{00000000-0005-0000-0000-0000833A0000}"/>
    <cellStyle name="Normal 181 4 2 2" xfId="14980" xr:uid="{00000000-0005-0000-0000-0000843A0000}"/>
    <cellStyle name="Normal 181 4 3" xfId="14981" xr:uid="{00000000-0005-0000-0000-0000853A0000}"/>
    <cellStyle name="Normal 181 5" xfId="14982" xr:uid="{00000000-0005-0000-0000-0000863A0000}"/>
    <cellStyle name="Normal 181 5 2" xfId="14983" xr:uid="{00000000-0005-0000-0000-0000873A0000}"/>
    <cellStyle name="Normal 181 5 2 2" xfId="14984" xr:uid="{00000000-0005-0000-0000-0000883A0000}"/>
    <cellStyle name="Normal 181 5 3" xfId="14985" xr:uid="{00000000-0005-0000-0000-0000893A0000}"/>
    <cellStyle name="Normal 181 6" xfId="14986" xr:uid="{00000000-0005-0000-0000-00008A3A0000}"/>
    <cellStyle name="Normal 181 6 2" xfId="14987" xr:uid="{00000000-0005-0000-0000-00008B3A0000}"/>
    <cellStyle name="Normal 181 6 2 2" xfId="14988" xr:uid="{00000000-0005-0000-0000-00008C3A0000}"/>
    <cellStyle name="Normal 181 6 3" xfId="14989" xr:uid="{00000000-0005-0000-0000-00008D3A0000}"/>
    <cellStyle name="Normal 181 7" xfId="14990" xr:uid="{00000000-0005-0000-0000-00008E3A0000}"/>
    <cellStyle name="Normal 182" xfId="14991" xr:uid="{00000000-0005-0000-0000-00008F3A0000}"/>
    <cellStyle name="Normal 182 2" xfId="14992" xr:uid="{00000000-0005-0000-0000-0000903A0000}"/>
    <cellStyle name="Normal 182 2 2" xfId="14993" xr:uid="{00000000-0005-0000-0000-0000913A0000}"/>
    <cellStyle name="Normal 182 2 2 2" xfId="14994" xr:uid="{00000000-0005-0000-0000-0000923A0000}"/>
    <cellStyle name="Normal 182 2 3" xfId="14995" xr:uid="{00000000-0005-0000-0000-0000933A0000}"/>
    <cellStyle name="Normal 182 2 3 2" xfId="14996" xr:uid="{00000000-0005-0000-0000-0000943A0000}"/>
    <cellStyle name="Normal 182 2 3 2 2" xfId="14997" xr:uid="{00000000-0005-0000-0000-0000953A0000}"/>
    <cellStyle name="Normal 182 2 3 3" xfId="14998" xr:uid="{00000000-0005-0000-0000-0000963A0000}"/>
    <cellStyle name="Normal 182 2 4" xfId="14999" xr:uid="{00000000-0005-0000-0000-0000973A0000}"/>
    <cellStyle name="Normal 182 2 4 2" xfId="15000" xr:uid="{00000000-0005-0000-0000-0000983A0000}"/>
    <cellStyle name="Normal 182 2 4 2 2" xfId="15001" xr:uid="{00000000-0005-0000-0000-0000993A0000}"/>
    <cellStyle name="Normal 182 2 4 3" xfId="15002" xr:uid="{00000000-0005-0000-0000-00009A3A0000}"/>
    <cellStyle name="Normal 182 2 5" xfId="15003" xr:uid="{00000000-0005-0000-0000-00009B3A0000}"/>
    <cellStyle name="Normal 182 3" xfId="15004" xr:uid="{00000000-0005-0000-0000-00009C3A0000}"/>
    <cellStyle name="Normal 182 3 2" xfId="15005" xr:uid="{00000000-0005-0000-0000-00009D3A0000}"/>
    <cellStyle name="Normal 182 3 2 2" xfId="15006" xr:uid="{00000000-0005-0000-0000-00009E3A0000}"/>
    <cellStyle name="Normal 182 3 2 2 2" xfId="15007" xr:uid="{00000000-0005-0000-0000-00009F3A0000}"/>
    <cellStyle name="Normal 182 3 2 3" xfId="15008" xr:uid="{00000000-0005-0000-0000-0000A03A0000}"/>
    <cellStyle name="Normal 182 3 2 3 2" xfId="15009" xr:uid="{00000000-0005-0000-0000-0000A13A0000}"/>
    <cellStyle name="Normal 182 3 2 3 2 2" xfId="15010" xr:uid="{00000000-0005-0000-0000-0000A23A0000}"/>
    <cellStyle name="Normal 182 3 2 3 3" xfId="15011" xr:uid="{00000000-0005-0000-0000-0000A33A0000}"/>
    <cellStyle name="Normal 182 3 2 4" xfId="15012" xr:uid="{00000000-0005-0000-0000-0000A43A0000}"/>
    <cellStyle name="Normal 182 3 3" xfId="15013" xr:uid="{00000000-0005-0000-0000-0000A53A0000}"/>
    <cellStyle name="Normal 182 3 3 2" xfId="15014" xr:uid="{00000000-0005-0000-0000-0000A63A0000}"/>
    <cellStyle name="Normal 182 3 3 2 2" xfId="15015" xr:uid="{00000000-0005-0000-0000-0000A73A0000}"/>
    <cellStyle name="Normal 182 3 3 3" xfId="15016" xr:uid="{00000000-0005-0000-0000-0000A83A0000}"/>
    <cellStyle name="Normal 182 3 4" xfId="15017" xr:uid="{00000000-0005-0000-0000-0000A93A0000}"/>
    <cellStyle name="Normal 182 3 4 2" xfId="15018" xr:uid="{00000000-0005-0000-0000-0000AA3A0000}"/>
    <cellStyle name="Normal 182 3 4 2 2" xfId="15019" xr:uid="{00000000-0005-0000-0000-0000AB3A0000}"/>
    <cellStyle name="Normal 182 3 4 3" xfId="15020" xr:uid="{00000000-0005-0000-0000-0000AC3A0000}"/>
    <cellStyle name="Normal 182 3 5" xfId="15021" xr:uid="{00000000-0005-0000-0000-0000AD3A0000}"/>
    <cellStyle name="Normal 182 3 5 2" xfId="15022" xr:uid="{00000000-0005-0000-0000-0000AE3A0000}"/>
    <cellStyle name="Normal 182 3 5 2 2" xfId="15023" xr:uid="{00000000-0005-0000-0000-0000AF3A0000}"/>
    <cellStyle name="Normal 182 3 5 3" xfId="15024" xr:uid="{00000000-0005-0000-0000-0000B03A0000}"/>
    <cellStyle name="Normal 182 3 6" xfId="15025" xr:uid="{00000000-0005-0000-0000-0000B13A0000}"/>
    <cellStyle name="Normal 182 4" xfId="15026" xr:uid="{00000000-0005-0000-0000-0000B23A0000}"/>
    <cellStyle name="Normal 182 4 2" xfId="15027" xr:uid="{00000000-0005-0000-0000-0000B33A0000}"/>
    <cellStyle name="Normal 182 4 2 2" xfId="15028" xr:uid="{00000000-0005-0000-0000-0000B43A0000}"/>
    <cellStyle name="Normal 182 4 3" xfId="15029" xr:uid="{00000000-0005-0000-0000-0000B53A0000}"/>
    <cellStyle name="Normal 182 5" xfId="15030" xr:uid="{00000000-0005-0000-0000-0000B63A0000}"/>
    <cellStyle name="Normal 182 5 2" xfId="15031" xr:uid="{00000000-0005-0000-0000-0000B73A0000}"/>
    <cellStyle name="Normal 182 5 2 2" xfId="15032" xr:uid="{00000000-0005-0000-0000-0000B83A0000}"/>
    <cellStyle name="Normal 182 5 3" xfId="15033" xr:uid="{00000000-0005-0000-0000-0000B93A0000}"/>
    <cellStyle name="Normal 182 6" xfId="15034" xr:uid="{00000000-0005-0000-0000-0000BA3A0000}"/>
    <cellStyle name="Normal 182 6 2" xfId="15035" xr:uid="{00000000-0005-0000-0000-0000BB3A0000}"/>
    <cellStyle name="Normal 182 6 2 2" xfId="15036" xr:uid="{00000000-0005-0000-0000-0000BC3A0000}"/>
    <cellStyle name="Normal 182 6 3" xfId="15037" xr:uid="{00000000-0005-0000-0000-0000BD3A0000}"/>
    <cellStyle name="Normal 182 7" xfId="15038" xr:uid="{00000000-0005-0000-0000-0000BE3A0000}"/>
    <cellStyle name="Normal 183" xfId="15039" xr:uid="{00000000-0005-0000-0000-0000BF3A0000}"/>
    <cellStyle name="Normal 183 2" xfId="15040" xr:uid="{00000000-0005-0000-0000-0000C03A0000}"/>
    <cellStyle name="Normal 183 2 2" xfId="15041" xr:uid="{00000000-0005-0000-0000-0000C13A0000}"/>
    <cellStyle name="Normal 183 2 2 2" xfId="15042" xr:uid="{00000000-0005-0000-0000-0000C23A0000}"/>
    <cellStyle name="Normal 183 2 3" xfId="15043" xr:uid="{00000000-0005-0000-0000-0000C33A0000}"/>
    <cellStyle name="Normal 183 2 3 2" xfId="15044" xr:uid="{00000000-0005-0000-0000-0000C43A0000}"/>
    <cellStyle name="Normal 183 2 3 2 2" xfId="15045" xr:uid="{00000000-0005-0000-0000-0000C53A0000}"/>
    <cellStyle name="Normal 183 2 3 3" xfId="15046" xr:uid="{00000000-0005-0000-0000-0000C63A0000}"/>
    <cellStyle name="Normal 183 2 4" xfId="15047" xr:uid="{00000000-0005-0000-0000-0000C73A0000}"/>
    <cellStyle name="Normal 183 2 4 2" xfId="15048" xr:uid="{00000000-0005-0000-0000-0000C83A0000}"/>
    <cellStyle name="Normal 183 2 4 2 2" xfId="15049" xr:uid="{00000000-0005-0000-0000-0000C93A0000}"/>
    <cellStyle name="Normal 183 2 4 3" xfId="15050" xr:uid="{00000000-0005-0000-0000-0000CA3A0000}"/>
    <cellStyle name="Normal 183 2 5" xfId="15051" xr:uid="{00000000-0005-0000-0000-0000CB3A0000}"/>
    <cellStyle name="Normal 183 3" xfId="15052" xr:uid="{00000000-0005-0000-0000-0000CC3A0000}"/>
    <cellStyle name="Normal 183 3 2" xfId="15053" xr:uid="{00000000-0005-0000-0000-0000CD3A0000}"/>
    <cellStyle name="Normal 183 3 2 2" xfId="15054" xr:uid="{00000000-0005-0000-0000-0000CE3A0000}"/>
    <cellStyle name="Normal 183 3 2 2 2" xfId="15055" xr:uid="{00000000-0005-0000-0000-0000CF3A0000}"/>
    <cellStyle name="Normal 183 3 2 3" xfId="15056" xr:uid="{00000000-0005-0000-0000-0000D03A0000}"/>
    <cellStyle name="Normal 183 3 2 3 2" xfId="15057" xr:uid="{00000000-0005-0000-0000-0000D13A0000}"/>
    <cellStyle name="Normal 183 3 2 3 2 2" xfId="15058" xr:uid="{00000000-0005-0000-0000-0000D23A0000}"/>
    <cellStyle name="Normal 183 3 2 3 3" xfId="15059" xr:uid="{00000000-0005-0000-0000-0000D33A0000}"/>
    <cellStyle name="Normal 183 3 2 4" xfId="15060" xr:uid="{00000000-0005-0000-0000-0000D43A0000}"/>
    <cellStyle name="Normal 183 3 3" xfId="15061" xr:uid="{00000000-0005-0000-0000-0000D53A0000}"/>
    <cellStyle name="Normal 183 3 3 2" xfId="15062" xr:uid="{00000000-0005-0000-0000-0000D63A0000}"/>
    <cellStyle name="Normal 183 3 3 2 2" xfId="15063" xr:uid="{00000000-0005-0000-0000-0000D73A0000}"/>
    <cellStyle name="Normal 183 3 3 3" xfId="15064" xr:uid="{00000000-0005-0000-0000-0000D83A0000}"/>
    <cellStyle name="Normal 183 3 4" xfId="15065" xr:uid="{00000000-0005-0000-0000-0000D93A0000}"/>
    <cellStyle name="Normal 183 3 4 2" xfId="15066" xr:uid="{00000000-0005-0000-0000-0000DA3A0000}"/>
    <cellStyle name="Normal 183 3 4 2 2" xfId="15067" xr:uid="{00000000-0005-0000-0000-0000DB3A0000}"/>
    <cellStyle name="Normal 183 3 4 3" xfId="15068" xr:uid="{00000000-0005-0000-0000-0000DC3A0000}"/>
    <cellStyle name="Normal 183 3 5" xfId="15069" xr:uid="{00000000-0005-0000-0000-0000DD3A0000}"/>
    <cellStyle name="Normal 183 3 5 2" xfId="15070" xr:uid="{00000000-0005-0000-0000-0000DE3A0000}"/>
    <cellStyle name="Normal 183 3 5 2 2" xfId="15071" xr:uid="{00000000-0005-0000-0000-0000DF3A0000}"/>
    <cellStyle name="Normal 183 3 5 3" xfId="15072" xr:uid="{00000000-0005-0000-0000-0000E03A0000}"/>
    <cellStyle name="Normal 183 3 6" xfId="15073" xr:uid="{00000000-0005-0000-0000-0000E13A0000}"/>
    <cellStyle name="Normal 183 4" xfId="15074" xr:uid="{00000000-0005-0000-0000-0000E23A0000}"/>
    <cellStyle name="Normal 183 4 2" xfId="15075" xr:uid="{00000000-0005-0000-0000-0000E33A0000}"/>
    <cellStyle name="Normal 183 4 2 2" xfId="15076" xr:uid="{00000000-0005-0000-0000-0000E43A0000}"/>
    <cellStyle name="Normal 183 4 3" xfId="15077" xr:uid="{00000000-0005-0000-0000-0000E53A0000}"/>
    <cellStyle name="Normal 183 5" xfId="15078" xr:uid="{00000000-0005-0000-0000-0000E63A0000}"/>
    <cellStyle name="Normal 183 5 2" xfId="15079" xr:uid="{00000000-0005-0000-0000-0000E73A0000}"/>
    <cellStyle name="Normal 183 5 2 2" xfId="15080" xr:uid="{00000000-0005-0000-0000-0000E83A0000}"/>
    <cellStyle name="Normal 183 5 3" xfId="15081" xr:uid="{00000000-0005-0000-0000-0000E93A0000}"/>
    <cellStyle name="Normal 183 6" xfId="15082" xr:uid="{00000000-0005-0000-0000-0000EA3A0000}"/>
    <cellStyle name="Normal 183 6 2" xfId="15083" xr:uid="{00000000-0005-0000-0000-0000EB3A0000}"/>
    <cellStyle name="Normal 183 6 2 2" xfId="15084" xr:uid="{00000000-0005-0000-0000-0000EC3A0000}"/>
    <cellStyle name="Normal 183 6 3" xfId="15085" xr:uid="{00000000-0005-0000-0000-0000ED3A0000}"/>
    <cellStyle name="Normal 183 7" xfId="15086" xr:uid="{00000000-0005-0000-0000-0000EE3A0000}"/>
    <cellStyle name="Normal 184" xfId="15087" xr:uid="{00000000-0005-0000-0000-0000EF3A0000}"/>
    <cellStyle name="Normal 184 2" xfId="15088" xr:uid="{00000000-0005-0000-0000-0000F03A0000}"/>
    <cellStyle name="Normal 184 2 2" xfId="15089" xr:uid="{00000000-0005-0000-0000-0000F13A0000}"/>
    <cellStyle name="Normal 184 2 2 2" xfId="15090" xr:uid="{00000000-0005-0000-0000-0000F23A0000}"/>
    <cellStyle name="Normal 184 2 3" xfId="15091" xr:uid="{00000000-0005-0000-0000-0000F33A0000}"/>
    <cellStyle name="Normal 184 2 3 2" xfId="15092" xr:uid="{00000000-0005-0000-0000-0000F43A0000}"/>
    <cellStyle name="Normal 184 2 3 2 2" xfId="15093" xr:uid="{00000000-0005-0000-0000-0000F53A0000}"/>
    <cellStyle name="Normal 184 2 3 3" xfId="15094" xr:uid="{00000000-0005-0000-0000-0000F63A0000}"/>
    <cellStyle name="Normal 184 2 4" xfId="15095" xr:uid="{00000000-0005-0000-0000-0000F73A0000}"/>
    <cellStyle name="Normal 184 2 4 2" xfId="15096" xr:uid="{00000000-0005-0000-0000-0000F83A0000}"/>
    <cellStyle name="Normal 184 2 4 2 2" xfId="15097" xr:uid="{00000000-0005-0000-0000-0000F93A0000}"/>
    <cellStyle name="Normal 184 2 4 3" xfId="15098" xr:uid="{00000000-0005-0000-0000-0000FA3A0000}"/>
    <cellStyle name="Normal 184 2 5" xfId="15099" xr:uid="{00000000-0005-0000-0000-0000FB3A0000}"/>
    <cellStyle name="Normal 184 3" xfId="15100" xr:uid="{00000000-0005-0000-0000-0000FC3A0000}"/>
    <cellStyle name="Normal 184 3 2" xfId="15101" xr:uid="{00000000-0005-0000-0000-0000FD3A0000}"/>
    <cellStyle name="Normal 184 3 2 2" xfId="15102" xr:uid="{00000000-0005-0000-0000-0000FE3A0000}"/>
    <cellStyle name="Normal 184 3 2 2 2" xfId="15103" xr:uid="{00000000-0005-0000-0000-0000FF3A0000}"/>
    <cellStyle name="Normal 184 3 2 3" xfId="15104" xr:uid="{00000000-0005-0000-0000-0000003B0000}"/>
    <cellStyle name="Normal 184 3 2 3 2" xfId="15105" xr:uid="{00000000-0005-0000-0000-0000013B0000}"/>
    <cellStyle name="Normal 184 3 2 3 2 2" xfId="15106" xr:uid="{00000000-0005-0000-0000-0000023B0000}"/>
    <cellStyle name="Normal 184 3 2 3 3" xfId="15107" xr:uid="{00000000-0005-0000-0000-0000033B0000}"/>
    <cellStyle name="Normal 184 3 2 4" xfId="15108" xr:uid="{00000000-0005-0000-0000-0000043B0000}"/>
    <cellStyle name="Normal 184 3 3" xfId="15109" xr:uid="{00000000-0005-0000-0000-0000053B0000}"/>
    <cellStyle name="Normal 184 3 3 2" xfId="15110" xr:uid="{00000000-0005-0000-0000-0000063B0000}"/>
    <cellStyle name="Normal 184 3 3 2 2" xfId="15111" xr:uid="{00000000-0005-0000-0000-0000073B0000}"/>
    <cellStyle name="Normal 184 3 3 3" xfId="15112" xr:uid="{00000000-0005-0000-0000-0000083B0000}"/>
    <cellStyle name="Normal 184 3 4" xfId="15113" xr:uid="{00000000-0005-0000-0000-0000093B0000}"/>
    <cellStyle name="Normal 184 3 4 2" xfId="15114" xr:uid="{00000000-0005-0000-0000-00000A3B0000}"/>
    <cellStyle name="Normal 184 3 4 2 2" xfId="15115" xr:uid="{00000000-0005-0000-0000-00000B3B0000}"/>
    <cellStyle name="Normal 184 3 4 3" xfId="15116" xr:uid="{00000000-0005-0000-0000-00000C3B0000}"/>
    <cellStyle name="Normal 184 3 5" xfId="15117" xr:uid="{00000000-0005-0000-0000-00000D3B0000}"/>
    <cellStyle name="Normal 184 3 5 2" xfId="15118" xr:uid="{00000000-0005-0000-0000-00000E3B0000}"/>
    <cellStyle name="Normal 184 3 5 2 2" xfId="15119" xr:uid="{00000000-0005-0000-0000-00000F3B0000}"/>
    <cellStyle name="Normal 184 3 5 3" xfId="15120" xr:uid="{00000000-0005-0000-0000-0000103B0000}"/>
    <cellStyle name="Normal 184 3 6" xfId="15121" xr:uid="{00000000-0005-0000-0000-0000113B0000}"/>
    <cellStyle name="Normal 184 4" xfId="15122" xr:uid="{00000000-0005-0000-0000-0000123B0000}"/>
    <cellStyle name="Normal 184 4 2" xfId="15123" xr:uid="{00000000-0005-0000-0000-0000133B0000}"/>
    <cellStyle name="Normal 184 4 2 2" xfId="15124" xr:uid="{00000000-0005-0000-0000-0000143B0000}"/>
    <cellStyle name="Normal 184 4 3" xfId="15125" xr:uid="{00000000-0005-0000-0000-0000153B0000}"/>
    <cellStyle name="Normal 184 5" xfId="15126" xr:uid="{00000000-0005-0000-0000-0000163B0000}"/>
    <cellStyle name="Normal 184 5 2" xfId="15127" xr:uid="{00000000-0005-0000-0000-0000173B0000}"/>
    <cellStyle name="Normal 184 5 2 2" xfId="15128" xr:uid="{00000000-0005-0000-0000-0000183B0000}"/>
    <cellStyle name="Normal 184 5 3" xfId="15129" xr:uid="{00000000-0005-0000-0000-0000193B0000}"/>
    <cellStyle name="Normal 184 6" xfId="15130" xr:uid="{00000000-0005-0000-0000-00001A3B0000}"/>
    <cellStyle name="Normal 184 6 2" xfId="15131" xr:uid="{00000000-0005-0000-0000-00001B3B0000}"/>
    <cellStyle name="Normal 184 6 2 2" xfId="15132" xr:uid="{00000000-0005-0000-0000-00001C3B0000}"/>
    <cellStyle name="Normal 184 6 3" xfId="15133" xr:uid="{00000000-0005-0000-0000-00001D3B0000}"/>
    <cellStyle name="Normal 184 7" xfId="15134" xr:uid="{00000000-0005-0000-0000-00001E3B0000}"/>
    <cellStyle name="Normal 185" xfId="15135" xr:uid="{00000000-0005-0000-0000-00001F3B0000}"/>
    <cellStyle name="Normal 185 2" xfId="15136" xr:uid="{00000000-0005-0000-0000-0000203B0000}"/>
    <cellStyle name="Normal 185 2 2" xfId="15137" xr:uid="{00000000-0005-0000-0000-0000213B0000}"/>
    <cellStyle name="Normal 185 2 2 2" xfId="15138" xr:uid="{00000000-0005-0000-0000-0000223B0000}"/>
    <cellStyle name="Normal 185 2 3" xfId="15139" xr:uid="{00000000-0005-0000-0000-0000233B0000}"/>
    <cellStyle name="Normal 185 2 3 2" xfId="15140" xr:uid="{00000000-0005-0000-0000-0000243B0000}"/>
    <cellStyle name="Normal 185 2 3 2 2" xfId="15141" xr:uid="{00000000-0005-0000-0000-0000253B0000}"/>
    <cellStyle name="Normal 185 2 3 3" xfId="15142" xr:uid="{00000000-0005-0000-0000-0000263B0000}"/>
    <cellStyle name="Normal 185 2 4" xfId="15143" xr:uid="{00000000-0005-0000-0000-0000273B0000}"/>
    <cellStyle name="Normal 185 2 4 2" xfId="15144" xr:uid="{00000000-0005-0000-0000-0000283B0000}"/>
    <cellStyle name="Normal 185 2 4 2 2" xfId="15145" xr:uid="{00000000-0005-0000-0000-0000293B0000}"/>
    <cellStyle name="Normal 185 2 4 3" xfId="15146" xr:uid="{00000000-0005-0000-0000-00002A3B0000}"/>
    <cellStyle name="Normal 185 2 5" xfId="15147" xr:uid="{00000000-0005-0000-0000-00002B3B0000}"/>
    <cellStyle name="Normal 185 3" xfId="15148" xr:uid="{00000000-0005-0000-0000-00002C3B0000}"/>
    <cellStyle name="Normal 185 3 2" xfId="15149" xr:uid="{00000000-0005-0000-0000-00002D3B0000}"/>
    <cellStyle name="Normal 185 3 2 2" xfId="15150" xr:uid="{00000000-0005-0000-0000-00002E3B0000}"/>
    <cellStyle name="Normal 185 3 2 2 2" xfId="15151" xr:uid="{00000000-0005-0000-0000-00002F3B0000}"/>
    <cellStyle name="Normal 185 3 2 3" xfId="15152" xr:uid="{00000000-0005-0000-0000-0000303B0000}"/>
    <cellStyle name="Normal 185 3 2 3 2" xfId="15153" xr:uid="{00000000-0005-0000-0000-0000313B0000}"/>
    <cellStyle name="Normal 185 3 2 3 2 2" xfId="15154" xr:uid="{00000000-0005-0000-0000-0000323B0000}"/>
    <cellStyle name="Normal 185 3 2 3 3" xfId="15155" xr:uid="{00000000-0005-0000-0000-0000333B0000}"/>
    <cellStyle name="Normal 185 3 2 4" xfId="15156" xr:uid="{00000000-0005-0000-0000-0000343B0000}"/>
    <cellStyle name="Normal 185 3 3" xfId="15157" xr:uid="{00000000-0005-0000-0000-0000353B0000}"/>
    <cellStyle name="Normal 185 3 3 2" xfId="15158" xr:uid="{00000000-0005-0000-0000-0000363B0000}"/>
    <cellStyle name="Normal 185 3 3 2 2" xfId="15159" xr:uid="{00000000-0005-0000-0000-0000373B0000}"/>
    <cellStyle name="Normal 185 3 3 3" xfId="15160" xr:uid="{00000000-0005-0000-0000-0000383B0000}"/>
    <cellStyle name="Normal 185 3 4" xfId="15161" xr:uid="{00000000-0005-0000-0000-0000393B0000}"/>
    <cellStyle name="Normal 185 3 4 2" xfId="15162" xr:uid="{00000000-0005-0000-0000-00003A3B0000}"/>
    <cellStyle name="Normal 185 3 4 2 2" xfId="15163" xr:uid="{00000000-0005-0000-0000-00003B3B0000}"/>
    <cellStyle name="Normal 185 3 4 3" xfId="15164" xr:uid="{00000000-0005-0000-0000-00003C3B0000}"/>
    <cellStyle name="Normal 185 3 5" xfId="15165" xr:uid="{00000000-0005-0000-0000-00003D3B0000}"/>
    <cellStyle name="Normal 185 3 5 2" xfId="15166" xr:uid="{00000000-0005-0000-0000-00003E3B0000}"/>
    <cellStyle name="Normal 185 3 5 2 2" xfId="15167" xr:uid="{00000000-0005-0000-0000-00003F3B0000}"/>
    <cellStyle name="Normal 185 3 5 3" xfId="15168" xr:uid="{00000000-0005-0000-0000-0000403B0000}"/>
    <cellStyle name="Normal 185 3 6" xfId="15169" xr:uid="{00000000-0005-0000-0000-0000413B0000}"/>
    <cellStyle name="Normal 185 4" xfId="15170" xr:uid="{00000000-0005-0000-0000-0000423B0000}"/>
    <cellStyle name="Normal 185 4 2" xfId="15171" xr:uid="{00000000-0005-0000-0000-0000433B0000}"/>
    <cellStyle name="Normal 185 4 2 2" xfId="15172" xr:uid="{00000000-0005-0000-0000-0000443B0000}"/>
    <cellStyle name="Normal 185 4 3" xfId="15173" xr:uid="{00000000-0005-0000-0000-0000453B0000}"/>
    <cellStyle name="Normal 185 5" xfId="15174" xr:uid="{00000000-0005-0000-0000-0000463B0000}"/>
    <cellStyle name="Normal 185 5 2" xfId="15175" xr:uid="{00000000-0005-0000-0000-0000473B0000}"/>
    <cellStyle name="Normal 185 5 2 2" xfId="15176" xr:uid="{00000000-0005-0000-0000-0000483B0000}"/>
    <cellStyle name="Normal 185 5 3" xfId="15177" xr:uid="{00000000-0005-0000-0000-0000493B0000}"/>
    <cellStyle name="Normal 185 6" xfId="15178" xr:uid="{00000000-0005-0000-0000-00004A3B0000}"/>
    <cellStyle name="Normal 185 6 2" xfId="15179" xr:uid="{00000000-0005-0000-0000-00004B3B0000}"/>
    <cellStyle name="Normal 185 6 2 2" xfId="15180" xr:uid="{00000000-0005-0000-0000-00004C3B0000}"/>
    <cellStyle name="Normal 185 6 3" xfId="15181" xr:uid="{00000000-0005-0000-0000-00004D3B0000}"/>
    <cellStyle name="Normal 185 7" xfId="15182" xr:uid="{00000000-0005-0000-0000-00004E3B0000}"/>
    <cellStyle name="Normal 186" xfId="15183" xr:uid="{00000000-0005-0000-0000-00004F3B0000}"/>
    <cellStyle name="Normal 186 2" xfId="15184" xr:uid="{00000000-0005-0000-0000-0000503B0000}"/>
    <cellStyle name="Normal 186 2 2" xfId="15185" xr:uid="{00000000-0005-0000-0000-0000513B0000}"/>
    <cellStyle name="Normal 186 2 2 2" xfId="15186" xr:uid="{00000000-0005-0000-0000-0000523B0000}"/>
    <cellStyle name="Normal 186 2 3" xfId="15187" xr:uid="{00000000-0005-0000-0000-0000533B0000}"/>
    <cellStyle name="Normal 186 2 3 2" xfId="15188" xr:uid="{00000000-0005-0000-0000-0000543B0000}"/>
    <cellStyle name="Normal 186 2 3 2 2" xfId="15189" xr:uid="{00000000-0005-0000-0000-0000553B0000}"/>
    <cellStyle name="Normal 186 2 3 3" xfId="15190" xr:uid="{00000000-0005-0000-0000-0000563B0000}"/>
    <cellStyle name="Normal 186 2 4" xfId="15191" xr:uid="{00000000-0005-0000-0000-0000573B0000}"/>
    <cellStyle name="Normal 186 2 4 2" xfId="15192" xr:uid="{00000000-0005-0000-0000-0000583B0000}"/>
    <cellStyle name="Normal 186 2 4 2 2" xfId="15193" xr:uid="{00000000-0005-0000-0000-0000593B0000}"/>
    <cellStyle name="Normal 186 2 4 3" xfId="15194" xr:uid="{00000000-0005-0000-0000-00005A3B0000}"/>
    <cellStyle name="Normal 186 2 5" xfId="15195" xr:uid="{00000000-0005-0000-0000-00005B3B0000}"/>
    <cellStyle name="Normal 186 3" xfId="15196" xr:uid="{00000000-0005-0000-0000-00005C3B0000}"/>
    <cellStyle name="Normal 186 3 2" xfId="15197" xr:uid="{00000000-0005-0000-0000-00005D3B0000}"/>
    <cellStyle name="Normal 186 3 2 2" xfId="15198" xr:uid="{00000000-0005-0000-0000-00005E3B0000}"/>
    <cellStyle name="Normal 186 3 2 2 2" xfId="15199" xr:uid="{00000000-0005-0000-0000-00005F3B0000}"/>
    <cellStyle name="Normal 186 3 2 3" xfId="15200" xr:uid="{00000000-0005-0000-0000-0000603B0000}"/>
    <cellStyle name="Normal 186 3 2 3 2" xfId="15201" xr:uid="{00000000-0005-0000-0000-0000613B0000}"/>
    <cellStyle name="Normal 186 3 2 3 2 2" xfId="15202" xr:uid="{00000000-0005-0000-0000-0000623B0000}"/>
    <cellStyle name="Normal 186 3 2 3 3" xfId="15203" xr:uid="{00000000-0005-0000-0000-0000633B0000}"/>
    <cellStyle name="Normal 186 3 2 4" xfId="15204" xr:uid="{00000000-0005-0000-0000-0000643B0000}"/>
    <cellStyle name="Normal 186 3 3" xfId="15205" xr:uid="{00000000-0005-0000-0000-0000653B0000}"/>
    <cellStyle name="Normal 186 3 3 2" xfId="15206" xr:uid="{00000000-0005-0000-0000-0000663B0000}"/>
    <cellStyle name="Normal 186 3 3 2 2" xfId="15207" xr:uid="{00000000-0005-0000-0000-0000673B0000}"/>
    <cellStyle name="Normal 186 3 3 3" xfId="15208" xr:uid="{00000000-0005-0000-0000-0000683B0000}"/>
    <cellStyle name="Normal 186 3 4" xfId="15209" xr:uid="{00000000-0005-0000-0000-0000693B0000}"/>
    <cellStyle name="Normal 186 3 4 2" xfId="15210" xr:uid="{00000000-0005-0000-0000-00006A3B0000}"/>
    <cellStyle name="Normal 186 3 4 2 2" xfId="15211" xr:uid="{00000000-0005-0000-0000-00006B3B0000}"/>
    <cellStyle name="Normal 186 3 4 3" xfId="15212" xr:uid="{00000000-0005-0000-0000-00006C3B0000}"/>
    <cellStyle name="Normal 186 3 5" xfId="15213" xr:uid="{00000000-0005-0000-0000-00006D3B0000}"/>
    <cellStyle name="Normal 186 3 5 2" xfId="15214" xr:uid="{00000000-0005-0000-0000-00006E3B0000}"/>
    <cellStyle name="Normal 186 3 5 2 2" xfId="15215" xr:uid="{00000000-0005-0000-0000-00006F3B0000}"/>
    <cellStyle name="Normal 186 3 5 3" xfId="15216" xr:uid="{00000000-0005-0000-0000-0000703B0000}"/>
    <cellStyle name="Normal 186 3 6" xfId="15217" xr:uid="{00000000-0005-0000-0000-0000713B0000}"/>
    <cellStyle name="Normal 186 4" xfId="15218" xr:uid="{00000000-0005-0000-0000-0000723B0000}"/>
    <cellStyle name="Normal 186 4 2" xfId="15219" xr:uid="{00000000-0005-0000-0000-0000733B0000}"/>
    <cellStyle name="Normal 186 4 2 2" xfId="15220" xr:uid="{00000000-0005-0000-0000-0000743B0000}"/>
    <cellStyle name="Normal 186 4 3" xfId="15221" xr:uid="{00000000-0005-0000-0000-0000753B0000}"/>
    <cellStyle name="Normal 186 5" xfId="15222" xr:uid="{00000000-0005-0000-0000-0000763B0000}"/>
    <cellStyle name="Normal 186 5 2" xfId="15223" xr:uid="{00000000-0005-0000-0000-0000773B0000}"/>
    <cellStyle name="Normal 186 5 2 2" xfId="15224" xr:uid="{00000000-0005-0000-0000-0000783B0000}"/>
    <cellStyle name="Normal 186 5 3" xfId="15225" xr:uid="{00000000-0005-0000-0000-0000793B0000}"/>
    <cellStyle name="Normal 186 6" xfId="15226" xr:uid="{00000000-0005-0000-0000-00007A3B0000}"/>
    <cellStyle name="Normal 186 6 2" xfId="15227" xr:uid="{00000000-0005-0000-0000-00007B3B0000}"/>
    <cellStyle name="Normal 186 6 2 2" xfId="15228" xr:uid="{00000000-0005-0000-0000-00007C3B0000}"/>
    <cellStyle name="Normal 186 6 3" xfId="15229" xr:uid="{00000000-0005-0000-0000-00007D3B0000}"/>
    <cellStyle name="Normal 186 7" xfId="15230" xr:uid="{00000000-0005-0000-0000-00007E3B0000}"/>
    <cellStyle name="Normal 187" xfId="15231" xr:uid="{00000000-0005-0000-0000-00007F3B0000}"/>
    <cellStyle name="Normal 187 2" xfId="15232" xr:uid="{00000000-0005-0000-0000-0000803B0000}"/>
    <cellStyle name="Normal 187 2 2" xfId="15233" xr:uid="{00000000-0005-0000-0000-0000813B0000}"/>
    <cellStyle name="Normal 187 2 2 2" xfId="15234" xr:uid="{00000000-0005-0000-0000-0000823B0000}"/>
    <cellStyle name="Normal 187 2 3" xfId="15235" xr:uid="{00000000-0005-0000-0000-0000833B0000}"/>
    <cellStyle name="Normal 187 2 3 2" xfId="15236" xr:uid="{00000000-0005-0000-0000-0000843B0000}"/>
    <cellStyle name="Normal 187 2 3 2 2" xfId="15237" xr:uid="{00000000-0005-0000-0000-0000853B0000}"/>
    <cellStyle name="Normal 187 2 3 3" xfId="15238" xr:uid="{00000000-0005-0000-0000-0000863B0000}"/>
    <cellStyle name="Normal 187 2 4" xfId="15239" xr:uid="{00000000-0005-0000-0000-0000873B0000}"/>
    <cellStyle name="Normal 187 2 4 2" xfId="15240" xr:uid="{00000000-0005-0000-0000-0000883B0000}"/>
    <cellStyle name="Normal 187 2 4 2 2" xfId="15241" xr:uid="{00000000-0005-0000-0000-0000893B0000}"/>
    <cellStyle name="Normal 187 2 4 3" xfId="15242" xr:uid="{00000000-0005-0000-0000-00008A3B0000}"/>
    <cellStyle name="Normal 187 2 5" xfId="15243" xr:uid="{00000000-0005-0000-0000-00008B3B0000}"/>
    <cellStyle name="Normal 187 3" xfId="15244" xr:uid="{00000000-0005-0000-0000-00008C3B0000}"/>
    <cellStyle name="Normal 187 3 2" xfId="15245" xr:uid="{00000000-0005-0000-0000-00008D3B0000}"/>
    <cellStyle name="Normal 187 3 2 2" xfId="15246" xr:uid="{00000000-0005-0000-0000-00008E3B0000}"/>
    <cellStyle name="Normal 187 3 2 2 2" xfId="15247" xr:uid="{00000000-0005-0000-0000-00008F3B0000}"/>
    <cellStyle name="Normal 187 3 2 3" xfId="15248" xr:uid="{00000000-0005-0000-0000-0000903B0000}"/>
    <cellStyle name="Normal 187 3 2 3 2" xfId="15249" xr:uid="{00000000-0005-0000-0000-0000913B0000}"/>
    <cellStyle name="Normal 187 3 2 3 2 2" xfId="15250" xr:uid="{00000000-0005-0000-0000-0000923B0000}"/>
    <cellStyle name="Normal 187 3 2 3 3" xfId="15251" xr:uid="{00000000-0005-0000-0000-0000933B0000}"/>
    <cellStyle name="Normal 187 3 2 4" xfId="15252" xr:uid="{00000000-0005-0000-0000-0000943B0000}"/>
    <cellStyle name="Normal 187 3 3" xfId="15253" xr:uid="{00000000-0005-0000-0000-0000953B0000}"/>
    <cellStyle name="Normal 187 3 3 2" xfId="15254" xr:uid="{00000000-0005-0000-0000-0000963B0000}"/>
    <cellStyle name="Normal 187 3 3 2 2" xfId="15255" xr:uid="{00000000-0005-0000-0000-0000973B0000}"/>
    <cellStyle name="Normal 187 3 3 3" xfId="15256" xr:uid="{00000000-0005-0000-0000-0000983B0000}"/>
    <cellStyle name="Normal 187 3 4" xfId="15257" xr:uid="{00000000-0005-0000-0000-0000993B0000}"/>
    <cellStyle name="Normal 187 3 4 2" xfId="15258" xr:uid="{00000000-0005-0000-0000-00009A3B0000}"/>
    <cellStyle name="Normal 187 3 4 2 2" xfId="15259" xr:uid="{00000000-0005-0000-0000-00009B3B0000}"/>
    <cellStyle name="Normal 187 3 4 3" xfId="15260" xr:uid="{00000000-0005-0000-0000-00009C3B0000}"/>
    <cellStyle name="Normal 187 3 5" xfId="15261" xr:uid="{00000000-0005-0000-0000-00009D3B0000}"/>
    <cellStyle name="Normal 187 3 5 2" xfId="15262" xr:uid="{00000000-0005-0000-0000-00009E3B0000}"/>
    <cellStyle name="Normal 187 3 5 2 2" xfId="15263" xr:uid="{00000000-0005-0000-0000-00009F3B0000}"/>
    <cellStyle name="Normal 187 3 5 3" xfId="15264" xr:uid="{00000000-0005-0000-0000-0000A03B0000}"/>
    <cellStyle name="Normal 187 3 6" xfId="15265" xr:uid="{00000000-0005-0000-0000-0000A13B0000}"/>
    <cellStyle name="Normal 187 4" xfId="15266" xr:uid="{00000000-0005-0000-0000-0000A23B0000}"/>
    <cellStyle name="Normal 187 4 2" xfId="15267" xr:uid="{00000000-0005-0000-0000-0000A33B0000}"/>
    <cellStyle name="Normal 187 4 2 2" xfId="15268" xr:uid="{00000000-0005-0000-0000-0000A43B0000}"/>
    <cellStyle name="Normal 187 4 3" xfId="15269" xr:uid="{00000000-0005-0000-0000-0000A53B0000}"/>
    <cellStyle name="Normal 187 5" xfId="15270" xr:uid="{00000000-0005-0000-0000-0000A63B0000}"/>
    <cellStyle name="Normal 187 5 2" xfId="15271" xr:uid="{00000000-0005-0000-0000-0000A73B0000}"/>
    <cellStyle name="Normal 187 5 2 2" xfId="15272" xr:uid="{00000000-0005-0000-0000-0000A83B0000}"/>
    <cellStyle name="Normal 187 5 3" xfId="15273" xr:uid="{00000000-0005-0000-0000-0000A93B0000}"/>
    <cellStyle name="Normal 187 6" xfId="15274" xr:uid="{00000000-0005-0000-0000-0000AA3B0000}"/>
    <cellStyle name="Normal 187 6 2" xfId="15275" xr:uid="{00000000-0005-0000-0000-0000AB3B0000}"/>
    <cellStyle name="Normal 187 6 2 2" xfId="15276" xr:uid="{00000000-0005-0000-0000-0000AC3B0000}"/>
    <cellStyle name="Normal 187 6 3" xfId="15277" xr:uid="{00000000-0005-0000-0000-0000AD3B0000}"/>
    <cellStyle name="Normal 187 7" xfId="15278" xr:uid="{00000000-0005-0000-0000-0000AE3B0000}"/>
    <cellStyle name="Normal 188" xfId="15279" xr:uid="{00000000-0005-0000-0000-0000AF3B0000}"/>
    <cellStyle name="Normal 188 2" xfId="15280" xr:uid="{00000000-0005-0000-0000-0000B03B0000}"/>
    <cellStyle name="Normal 188 2 2" xfId="15281" xr:uid="{00000000-0005-0000-0000-0000B13B0000}"/>
    <cellStyle name="Normal 188 2 2 2" xfId="15282" xr:uid="{00000000-0005-0000-0000-0000B23B0000}"/>
    <cellStyle name="Normal 188 2 3" xfId="15283" xr:uid="{00000000-0005-0000-0000-0000B33B0000}"/>
    <cellStyle name="Normal 188 2 3 2" xfId="15284" xr:uid="{00000000-0005-0000-0000-0000B43B0000}"/>
    <cellStyle name="Normal 188 2 3 2 2" xfId="15285" xr:uid="{00000000-0005-0000-0000-0000B53B0000}"/>
    <cellStyle name="Normal 188 2 3 3" xfId="15286" xr:uid="{00000000-0005-0000-0000-0000B63B0000}"/>
    <cellStyle name="Normal 188 2 4" xfId="15287" xr:uid="{00000000-0005-0000-0000-0000B73B0000}"/>
    <cellStyle name="Normal 188 2 4 2" xfId="15288" xr:uid="{00000000-0005-0000-0000-0000B83B0000}"/>
    <cellStyle name="Normal 188 2 4 2 2" xfId="15289" xr:uid="{00000000-0005-0000-0000-0000B93B0000}"/>
    <cellStyle name="Normal 188 2 4 3" xfId="15290" xr:uid="{00000000-0005-0000-0000-0000BA3B0000}"/>
    <cellStyle name="Normal 188 2 5" xfId="15291" xr:uid="{00000000-0005-0000-0000-0000BB3B0000}"/>
    <cellStyle name="Normal 188 3" xfId="15292" xr:uid="{00000000-0005-0000-0000-0000BC3B0000}"/>
    <cellStyle name="Normal 188 3 2" xfId="15293" xr:uid="{00000000-0005-0000-0000-0000BD3B0000}"/>
    <cellStyle name="Normal 188 3 2 2" xfId="15294" xr:uid="{00000000-0005-0000-0000-0000BE3B0000}"/>
    <cellStyle name="Normal 188 3 2 2 2" xfId="15295" xr:uid="{00000000-0005-0000-0000-0000BF3B0000}"/>
    <cellStyle name="Normal 188 3 2 3" xfId="15296" xr:uid="{00000000-0005-0000-0000-0000C03B0000}"/>
    <cellStyle name="Normal 188 3 2 3 2" xfId="15297" xr:uid="{00000000-0005-0000-0000-0000C13B0000}"/>
    <cellStyle name="Normal 188 3 2 3 2 2" xfId="15298" xr:uid="{00000000-0005-0000-0000-0000C23B0000}"/>
    <cellStyle name="Normal 188 3 2 3 3" xfId="15299" xr:uid="{00000000-0005-0000-0000-0000C33B0000}"/>
    <cellStyle name="Normal 188 3 2 4" xfId="15300" xr:uid="{00000000-0005-0000-0000-0000C43B0000}"/>
    <cellStyle name="Normal 188 3 3" xfId="15301" xr:uid="{00000000-0005-0000-0000-0000C53B0000}"/>
    <cellStyle name="Normal 188 3 3 2" xfId="15302" xr:uid="{00000000-0005-0000-0000-0000C63B0000}"/>
    <cellStyle name="Normal 188 3 3 2 2" xfId="15303" xr:uid="{00000000-0005-0000-0000-0000C73B0000}"/>
    <cellStyle name="Normal 188 3 3 3" xfId="15304" xr:uid="{00000000-0005-0000-0000-0000C83B0000}"/>
    <cellStyle name="Normal 188 3 4" xfId="15305" xr:uid="{00000000-0005-0000-0000-0000C93B0000}"/>
    <cellStyle name="Normal 188 3 4 2" xfId="15306" xr:uid="{00000000-0005-0000-0000-0000CA3B0000}"/>
    <cellStyle name="Normal 188 3 4 2 2" xfId="15307" xr:uid="{00000000-0005-0000-0000-0000CB3B0000}"/>
    <cellStyle name="Normal 188 3 4 3" xfId="15308" xr:uid="{00000000-0005-0000-0000-0000CC3B0000}"/>
    <cellStyle name="Normal 188 3 5" xfId="15309" xr:uid="{00000000-0005-0000-0000-0000CD3B0000}"/>
    <cellStyle name="Normal 188 3 5 2" xfId="15310" xr:uid="{00000000-0005-0000-0000-0000CE3B0000}"/>
    <cellStyle name="Normal 188 3 5 2 2" xfId="15311" xr:uid="{00000000-0005-0000-0000-0000CF3B0000}"/>
    <cellStyle name="Normal 188 3 5 3" xfId="15312" xr:uid="{00000000-0005-0000-0000-0000D03B0000}"/>
    <cellStyle name="Normal 188 3 6" xfId="15313" xr:uid="{00000000-0005-0000-0000-0000D13B0000}"/>
    <cellStyle name="Normal 188 4" xfId="15314" xr:uid="{00000000-0005-0000-0000-0000D23B0000}"/>
    <cellStyle name="Normal 188 4 2" xfId="15315" xr:uid="{00000000-0005-0000-0000-0000D33B0000}"/>
    <cellStyle name="Normal 188 4 2 2" xfId="15316" xr:uid="{00000000-0005-0000-0000-0000D43B0000}"/>
    <cellStyle name="Normal 188 4 3" xfId="15317" xr:uid="{00000000-0005-0000-0000-0000D53B0000}"/>
    <cellStyle name="Normal 188 5" xfId="15318" xr:uid="{00000000-0005-0000-0000-0000D63B0000}"/>
    <cellStyle name="Normal 188 5 2" xfId="15319" xr:uid="{00000000-0005-0000-0000-0000D73B0000}"/>
    <cellStyle name="Normal 188 5 2 2" xfId="15320" xr:uid="{00000000-0005-0000-0000-0000D83B0000}"/>
    <cellStyle name="Normal 188 5 3" xfId="15321" xr:uid="{00000000-0005-0000-0000-0000D93B0000}"/>
    <cellStyle name="Normal 188 6" xfId="15322" xr:uid="{00000000-0005-0000-0000-0000DA3B0000}"/>
    <cellStyle name="Normal 188 6 2" xfId="15323" xr:uid="{00000000-0005-0000-0000-0000DB3B0000}"/>
    <cellStyle name="Normal 188 6 2 2" xfId="15324" xr:uid="{00000000-0005-0000-0000-0000DC3B0000}"/>
    <cellStyle name="Normal 188 6 3" xfId="15325" xr:uid="{00000000-0005-0000-0000-0000DD3B0000}"/>
    <cellStyle name="Normal 188 7" xfId="15326" xr:uid="{00000000-0005-0000-0000-0000DE3B0000}"/>
    <cellStyle name="Normal 189" xfId="15327" xr:uid="{00000000-0005-0000-0000-0000DF3B0000}"/>
    <cellStyle name="Normal 189 2" xfId="15328" xr:uid="{00000000-0005-0000-0000-0000E03B0000}"/>
    <cellStyle name="Normal 189 2 2" xfId="15329" xr:uid="{00000000-0005-0000-0000-0000E13B0000}"/>
    <cellStyle name="Normal 189 2 2 2" xfId="15330" xr:uid="{00000000-0005-0000-0000-0000E23B0000}"/>
    <cellStyle name="Normal 189 2 3" xfId="15331" xr:uid="{00000000-0005-0000-0000-0000E33B0000}"/>
    <cellStyle name="Normal 189 2 3 2" xfId="15332" xr:uid="{00000000-0005-0000-0000-0000E43B0000}"/>
    <cellStyle name="Normal 189 2 3 2 2" xfId="15333" xr:uid="{00000000-0005-0000-0000-0000E53B0000}"/>
    <cellStyle name="Normal 189 2 3 3" xfId="15334" xr:uid="{00000000-0005-0000-0000-0000E63B0000}"/>
    <cellStyle name="Normal 189 2 4" xfId="15335" xr:uid="{00000000-0005-0000-0000-0000E73B0000}"/>
    <cellStyle name="Normal 189 2 4 2" xfId="15336" xr:uid="{00000000-0005-0000-0000-0000E83B0000}"/>
    <cellStyle name="Normal 189 2 4 2 2" xfId="15337" xr:uid="{00000000-0005-0000-0000-0000E93B0000}"/>
    <cellStyle name="Normal 189 2 4 3" xfId="15338" xr:uid="{00000000-0005-0000-0000-0000EA3B0000}"/>
    <cellStyle name="Normal 189 2 5" xfId="15339" xr:uid="{00000000-0005-0000-0000-0000EB3B0000}"/>
    <cellStyle name="Normal 189 3" xfId="15340" xr:uid="{00000000-0005-0000-0000-0000EC3B0000}"/>
    <cellStyle name="Normal 189 3 2" xfId="15341" xr:uid="{00000000-0005-0000-0000-0000ED3B0000}"/>
    <cellStyle name="Normal 189 3 2 2" xfId="15342" xr:uid="{00000000-0005-0000-0000-0000EE3B0000}"/>
    <cellStyle name="Normal 189 3 2 2 2" xfId="15343" xr:uid="{00000000-0005-0000-0000-0000EF3B0000}"/>
    <cellStyle name="Normal 189 3 2 3" xfId="15344" xr:uid="{00000000-0005-0000-0000-0000F03B0000}"/>
    <cellStyle name="Normal 189 3 2 3 2" xfId="15345" xr:uid="{00000000-0005-0000-0000-0000F13B0000}"/>
    <cellStyle name="Normal 189 3 2 3 2 2" xfId="15346" xr:uid="{00000000-0005-0000-0000-0000F23B0000}"/>
    <cellStyle name="Normal 189 3 2 3 3" xfId="15347" xr:uid="{00000000-0005-0000-0000-0000F33B0000}"/>
    <cellStyle name="Normal 189 3 2 4" xfId="15348" xr:uid="{00000000-0005-0000-0000-0000F43B0000}"/>
    <cellStyle name="Normal 189 3 3" xfId="15349" xr:uid="{00000000-0005-0000-0000-0000F53B0000}"/>
    <cellStyle name="Normal 189 3 3 2" xfId="15350" xr:uid="{00000000-0005-0000-0000-0000F63B0000}"/>
    <cellStyle name="Normal 189 3 3 2 2" xfId="15351" xr:uid="{00000000-0005-0000-0000-0000F73B0000}"/>
    <cellStyle name="Normal 189 3 3 3" xfId="15352" xr:uid="{00000000-0005-0000-0000-0000F83B0000}"/>
    <cellStyle name="Normal 189 3 4" xfId="15353" xr:uid="{00000000-0005-0000-0000-0000F93B0000}"/>
    <cellStyle name="Normal 189 3 4 2" xfId="15354" xr:uid="{00000000-0005-0000-0000-0000FA3B0000}"/>
    <cellStyle name="Normal 189 3 4 2 2" xfId="15355" xr:uid="{00000000-0005-0000-0000-0000FB3B0000}"/>
    <cellStyle name="Normal 189 3 4 3" xfId="15356" xr:uid="{00000000-0005-0000-0000-0000FC3B0000}"/>
    <cellStyle name="Normal 189 3 5" xfId="15357" xr:uid="{00000000-0005-0000-0000-0000FD3B0000}"/>
    <cellStyle name="Normal 189 3 5 2" xfId="15358" xr:uid="{00000000-0005-0000-0000-0000FE3B0000}"/>
    <cellStyle name="Normal 189 3 5 2 2" xfId="15359" xr:uid="{00000000-0005-0000-0000-0000FF3B0000}"/>
    <cellStyle name="Normal 189 3 5 3" xfId="15360" xr:uid="{00000000-0005-0000-0000-0000003C0000}"/>
    <cellStyle name="Normal 189 3 6" xfId="15361" xr:uid="{00000000-0005-0000-0000-0000013C0000}"/>
    <cellStyle name="Normal 189 4" xfId="15362" xr:uid="{00000000-0005-0000-0000-0000023C0000}"/>
    <cellStyle name="Normal 189 4 2" xfId="15363" xr:uid="{00000000-0005-0000-0000-0000033C0000}"/>
    <cellStyle name="Normal 189 4 2 2" xfId="15364" xr:uid="{00000000-0005-0000-0000-0000043C0000}"/>
    <cellStyle name="Normal 189 4 3" xfId="15365" xr:uid="{00000000-0005-0000-0000-0000053C0000}"/>
    <cellStyle name="Normal 189 5" xfId="15366" xr:uid="{00000000-0005-0000-0000-0000063C0000}"/>
    <cellStyle name="Normal 189 5 2" xfId="15367" xr:uid="{00000000-0005-0000-0000-0000073C0000}"/>
    <cellStyle name="Normal 189 5 2 2" xfId="15368" xr:uid="{00000000-0005-0000-0000-0000083C0000}"/>
    <cellStyle name="Normal 189 5 3" xfId="15369" xr:uid="{00000000-0005-0000-0000-0000093C0000}"/>
    <cellStyle name="Normal 189 6" xfId="15370" xr:uid="{00000000-0005-0000-0000-00000A3C0000}"/>
    <cellStyle name="Normal 189 6 2" xfId="15371" xr:uid="{00000000-0005-0000-0000-00000B3C0000}"/>
    <cellStyle name="Normal 189 6 2 2" xfId="15372" xr:uid="{00000000-0005-0000-0000-00000C3C0000}"/>
    <cellStyle name="Normal 189 6 3" xfId="15373" xr:uid="{00000000-0005-0000-0000-00000D3C0000}"/>
    <cellStyle name="Normal 189 7" xfId="15374" xr:uid="{00000000-0005-0000-0000-00000E3C0000}"/>
    <cellStyle name="Normal 19" xfId="15375" xr:uid="{00000000-0005-0000-0000-00000F3C0000}"/>
    <cellStyle name="Normal 19 2" xfId="15376" xr:uid="{00000000-0005-0000-0000-0000103C0000}"/>
    <cellStyle name="Normal 19 2 2" xfId="15377" xr:uid="{00000000-0005-0000-0000-0000113C0000}"/>
    <cellStyle name="Normal 19 2 2 2" xfId="15378" xr:uid="{00000000-0005-0000-0000-0000123C0000}"/>
    <cellStyle name="Normal 19 2 2 2 2" xfId="15379" xr:uid="{00000000-0005-0000-0000-0000133C0000}"/>
    <cellStyle name="Normal 19 2 2 3" xfId="15380" xr:uid="{00000000-0005-0000-0000-0000143C0000}"/>
    <cellStyle name="Normal 19 2 2 3 2" xfId="15381" xr:uid="{00000000-0005-0000-0000-0000153C0000}"/>
    <cellStyle name="Normal 19 2 2 3 2 2" xfId="15382" xr:uid="{00000000-0005-0000-0000-0000163C0000}"/>
    <cellStyle name="Normal 19 2 2 3 3" xfId="15383" xr:uid="{00000000-0005-0000-0000-0000173C0000}"/>
    <cellStyle name="Normal 19 2 2 4" xfId="15384" xr:uid="{00000000-0005-0000-0000-0000183C0000}"/>
    <cellStyle name="Normal 19 2 2 4 2" xfId="15385" xr:uid="{00000000-0005-0000-0000-0000193C0000}"/>
    <cellStyle name="Normal 19 2 2 4 2 2" xfId="15386" xr:uid="{00000000-0005-0000-0000-00001A3C0000}"/>
    <cellStyle name="Normal 19 2 2 4 3" xfId="15387" xr:uid="{00000000-0005-0000-0000-00001B3C0000}"/>
    <cellStyle name="Normal 19 2 2 5" xfId="15388" xr:uid="{00000000-0005-0000-0000-00001C3C0000}"/>
    <cellStyle name="Normal 19 2 3" xfId="15389" xr:uid="{00000000-0005-0000-0000-00001D3C0000}"/>
    <cellStyle name="Normal 19 2 3 2" xfId="15390" xr:uid="{00000000-0005-0000-0000-00001E3C0000}"/>
    <cellStyle name="Normal 19 2 3 2 2" xfId="15391" xr:uid="{00000000-0005-0000-0000-00001F3C0000}"/>
    <cellStyle name="Normal 19 2 3 3" xfId="15392" xr:uid="{00000000-0005-0000-0000-0000203C0000}"/>
    <cellStyle name="Normal 19 2 4" xfId="15393" xr:uid="{00000000-0005-0000-0000-0000213C0000}"/>
    <cellStyle name="Normal 19 2 4 2" xfId="15394" xr:uid="{00000000-0005-0000-0000-0000223C0000}"/>
    <cellStyle name="Normal 19 2 4 2 2" xfId="15395" xr:uid="{00000000-0005-0000-0000-0000233C0000}"/>
    <cellStyle name="Normal 19 2 4 3" xfId="15396" xr:uid="{00000000-0005-0000-0000-0000243C0000}"/>
    <cellStyle name="Normal 19 2 5" xfId="15397" xr:uid="{00000000-0005-0000-0000-0000253C0000}"/>
    <cellStyle name="Normal 19 2 5 2" xfId="15398" xr:uid="{00000000-0005-0000-0000-0000263C0000}"/>
    <cellStyle name="Normal 19 2 5 2 2" xfId="15399" xr:uid="{00000000-0005-0000-0000-0000273C0000}"/>
    <cellStyle name="Normal 19 2 5 3" xfId="15400" xr:uid="{00000000-0005-0000-0000-0000283C0000}"/>
    <cellStyle name="Normal 19 2 6" xfId="15401" xr:uid="{00000000-0005-0000-0000-0000293C0000}"/>
    <cellStyle name="Normal 19 3" xfId="15402" xr:uid="{00000000-0005-0000-0000-00002A3C0000}"/>
    <cellStyle name="Normal 19 3 2" xfId="15403" xr:uid="{00000000-0005-0000-0000-00002B3C0000}"/>
    <cellStyle name="Normal 19 3 2 2" xfId="15404" xr:uid="{00000000-0005-0000-0000-00002C3C0000}"/>
    <cellStyle name="Normal 19 3 3" xfId="15405" xr:uid="{00000000-0005-0000-0000-00002D3C0000}"/>
    <cellStyle name="Normal 19 3 3 2" xfId="15406" xr:uid="{00000000-0005-0000-0000-00002E3C0000}"/>
    <cellStyle name="Normal 19 3 3 2 2" xfId="15407" xr:uid="{00000000-0005-0000-0000-00002F3C0000}"/>
    <cellStyle name="Normal 19 3 3 3" xfId="15408" xr:uid="{00000000-0005-0000-0000-0000303C0000}"/>
    <cellStyle name="Normal 19 3 4" xfId="15409" xr:uid="{00000000-0005-0000-0000-0000313C0000}"/>
    <cellStyle name="Normal 19 3 4 2" xfId="15410" xr:uid="{00000000-0005-0000-0000-0000323C0000}"/>
    <cellStyle name="Normal 19 3 4 2 2" xfId="15411" xr:uid="{00000000-0005-0000-0000-0000333C0000}"/>
    <cellStyle name="Normal 19 3 4 3" xfId="15412" xr:uid="{00000000-0005-0000-0000-0000343C0000}"/>
    <cellStyle name="Normal 19 3 5" xfId="15413" xr:uid="{00000000-0005-0000-0000-0000353C0000}"/>
    <cellStyle name="Normal 19 4" xfId="15414" xr:uid="{00000000-0005-0000-0000-0000363C0000}"/>
    <cellStyle name="Normal 19 4 2" xfId="15415" xr:uid="{00000000-0005-0000-0000-0000373C0000}"/>
    <cellStyle name="Normal 19 4 2 2" xfId="15416" xr:uid="{00000000-0005-0000-0000-0000383C0000}"/>
    <cellStyle name="Normal 19 4 2 2 2" xfId="15417" xr:uid="{00000000-0005-0000-0000-0000393C0000}"/>
    <cellStyle name="Normal 19 4 2 3" xfId="15418" xr:uid="{00000000-0005-0000-0000-00003A3C0000}"/>
    <cellStyle name="Normal 19 4 2 3 2" xfId="15419" xr:uid="{00000000-0005-0000-0000-00003B3C0000}"/>
    <cellStyle name="Normal 19 4 2 3 2 2" xfId="15420" xr:uid="{00000000-0005-0000-0000-00003C3C0000}"/>
    <cellStyle name="Normal 19 4 2 3 3" xfId="15421" xr:uid="{00000000-0005-0000-0000-00003D3C0000}"/>
    <cellStyle name="Normal 19 4 2 4" xfId="15422" xr:uid="{00000000-0005-0000-0000-00003E3C0000}"/>
    <cellStyle name="Normal 19 4 3" xfId="15423" xr:uid="{00000000-0005-0000-0000-00003F3C0000}"/>
    <cellStyle name="Normal 19 4 3 2" xfId="15424" xr:uid="{00000000-0005-0000-0000-0000403C0000}"/>
    <cellStyle name="Normal 19 4 3 2 2" xfId="15425" xr:uid="{00000000-0005-0000-0000-0000413C0000}"/>
    <cellStyle name="Normal 19 4 3 3" xfId="15426" xr:uid="{00000000-0005-0000-0000-0000423C0000}"/>
    <cellStyle name="Normal 19 4 4" xfId="15427" xr:uid="{00000000-0005-0000-0000-0000433C0000}"/>
    <cellStyle name="Normal 19 4 4 2" xfId="15428" xr:uid="{00000000-0005-0000-0000-0000443C0000}"/>
    <cellStyle name="Normal 19 4 4 2 2" xfId="15429" xr:uid="{00000000-0005-0000-0000-0000453C0000}"/>
    <cellStyle name="Normal 19 4 4 3" xfId="15430" xr:uid="{00000000-0005-0000-0000-0000463C0000}"/>
    <cellStyle name="Normal 19 4 5" xfId="15431" xr:uid="{00000000-0005-0000-0000-0000473C0000}"/>
    <cellStyle name="Normal 19 4 5 2" xfId="15432" xr:uid="{00000000-0005-0000-0000-0000483C0000}"/>
    <cellStyle name="Normal 19 4 5 2 2" xfId="15433" xr:uid="{00000000-0005-0000-0000-0000493C0000}"/>
    <cellStyle name="Normal 19 4 5 3" xfId="15434" xr:uid="{00000000-0005-0000-0000-00004A3C0000}"/>
    <cellStyle name="Normal 19 4 6" xfId="15435" xr:uid="{00000000-0005-0000-0000-00004B3C0000}"/>
    <cellStyle name="Normal 19 5" xfId="15436" xr:uid="{00000000-0005-0000-0000-00004C3C0000}"/>
    <cellStyle name="Normal 190" xfId="15437" xr:uid="{00000000-0005-0000-0000-00004D3C0000}"/>
    <cellStyle name="Normal 190 2" xfId="15438" xr:uid="{00000000-0005-0000-0000-00004E3C0000}"/>
    <cellStyle name="Normal 190 2 2" xfId="15439" xr:uid="{00000000-0005-0000-0000-00004F3C0000}"/>
    <cellStyle name="Normal 190 2 2 2" xfId="15440" xr:uid="{00000000-0005-0000-0000-0000503C0000}"/>
    <cellStyle name="Normal 190 2 3" xfId="15441" xr:uid="{00000000-0005-0000-0000-0000513C0000}"/>
    <cellStyle name="Normal 190 2 3 2" xfId="15442" xr:uid="{00000000-0005-0000-0000-0000523C0000}"/>
    <cellStyle name="Normal 190 2 3 2 2" xfId="15443" xr:uid="{00000000-0005-0000-0000-0000533C0000}"/>
    <cellStyle name="Normal 190 2 3 3" xfId="15444" xr:uid="{00000000-0005-0000-0000-0000543C0000}"/>
    <cellStyle name="Normal 190 2 4" xfId="15445" xr:uid="{00000000-0005-0000-0000-0000553C0000}"/>
    <cellStyle name="Normal 190 2 4 2" xfId="15446" xr:uid="{00000000-0005-0000-0000-0000563C0000}"/>
    <cellStyle name="Normal 190 2 4 2 2" xfId="15447" xr:uid="{00000000-0005-0000-0000-0000573C0000}"/>
    <cellStyle name="Normal 190 2 4 3" xfId="15448" xr:uid="{00000000-0005-0000-0000-0000583C0000}"/>
    <cellStyle name="Normal 190 2 5" xfId="15449" xr:uid="{00000000-0005-0000-0000-0000593C0000}"/>
    <cellStyle name="Normal 190 3" xfId="15450" xr:uid="{00000000-0005-0000-0000-00005A3C0000}"/>
    <cellStyle name="Normal 190 3 2" xfId="15451" xr:uid="{00000000-0005-0000-0000-00005B3C0000}"/>
    <cellStyle name="Normal 190 3 2 2" xfId="15452" xr:uid="{00000000-0005-0000-0000-00005C3C0000}"/>
    <cellStyle name="Normal 190 3 2 2 2" xfId="15453" xr:uid="{00000000-0005-0000-0000-00005D3C0000}"/>
    <cellStyle name="Normal 190 3 2 3" xfId="15454" xr:uid="{00000000-0005-0000-0000-00005E3C0000}"/>
    <cellStyle name="Normal 190 3 2 3 2" xfId="15455" xr:uid="{00000000-0005-0000-0000-00005F3C0000}"/>
    <cellStyle name="Normal 190 3 2 3 2 2" xfId="15456" xr:uid="{00000000-0005-0000-0000-0000603C0000}"/>
    <cellStyle name="Normal 190 3 2 3 3" xfId="15457" xr:uid="{00000000-0005-0000-0000-0000613C0000}"/>
    <cellStyle name="Normal 190 3 2 4" xfId="15458" xr:uid="{00000000-0005-0000-0000-0000623C0000}"/>
    <cellStyle name="Normal 190 3 3" xfId="15459" xr:uid="{00000000-0005-0000-0000-0000633C0000}"/>
    <cellStyle name="Normal 190 3 3 2" xfId="15460" xr:uid="{00000000-0005-0000-0000-0000643C0000}"/>
    <cellStyle name="Normal 190 3 3 2 2" xfId="15461" xr:uid="{00000000-0005-0000-0000-0000653C0000}"/>
    <cellStyle name="Normal 190 3 3 3" xfId="15462" xr:uid="{00000000-0005-0000-0000-0000663C0000}"/>
    <cellStyle name="Normal 190 3 4" xfId="15463" xr:uid="{00000000-0005-0000-0000-0000673C0000}"/>
    <cellStyle name="Normal 190 3 4 2" xfId="15464" xr:uid="{00000000-0005-0000-0000-0000683C0000}"/>
    <cellStyle name="Normal 190 3 4 2 2" xfId="15465" xr:uid="{00000000-0005-0000-0000-0000693C0000}"/>
    <cellStyle name="Normal 190 3 4 3" xfId="15466" xr:uid="{00000000-0005-0000-0000-00006A3C0000}"/>
    <cellStyle name="Normal 190 3 5" xfId="15467" xr:uid="{00000000-0005-0000-0000-00006B3C0000}"/>
    <cellStyle name="Normal 190 3 5 2" xfId="15468" xr:uid="{00000000-0005-0000-0000-00006C3C0000}"/>
    <cellStyle name="Normal 190 3 5 2 2" xfId="15469" xr:uid="{00000000-0005-0000-0000-00006D3C0000}"/>
    <cellStyle name="Normal 190 3 5 3" xfId="15470" xr:uid="{00000000-0005-0000-0000-00006E3C0000}"/>
    <cellStyle name="Normal 190 3 6" xfId="15471" xr:uid="{00000000-0005-0000-0000-00006F3C0000}"/>
    <cellStyle name="Normal 190 4" xfId="15472" xr:uid="{00000000-0005-0000-0000-0000703C0000}"/>
    <cellStyle name="Normal 190 4 2" xfId="15473" xr:uid="{00000000-0005-0000-0000-0000713C0000}"/>
    <cellStyle name="Normal 190 4 2 2" xfId="15474" xr:uid="{00000000-0005-0000-0000-0000723C0000}"/>
    <cellStyle name="Normal 190 4 3" xfId="15475" xr:uid="{00000000-0005-0000-0000-0000733C0000}"/>
    <cellStyle name="Normal 190 5" xfId="15476" xr:uid="{00000000-0005-0000-0000-0000743C0000}"/>
    <cellStyle name="Normal 190 5 2" xfId="15477" xr:uid="{00000000-0005-0000-0000-0000753C0000}"/>
    <cellStyle name="Normal 190 5 2 2" xfId="15478" xr:uid="{00000000-0005-0000-0000-0000763C0000}"/>
    <cellStyle name="Normal 190 5 3" xfId="15479" xr:uid="{00000000-0005-0000-0000-0000773C0000}"/>
    <cellStyle name="Normal 190 6" xfId="15480" xr:uid="{00000000-0005-0000-0000-0000783C0000}"/>
    <cellStyle name="Normal 190 6 2" xfId="15481" xr:uid="{00000000-0005-0000-0000-0000793C0000}"/>
    <cellStyle name="Normal 190 6 2 2" xfId="15482" xr:uid="{00000000-0005-0000-0000-00007A3C0000}"/>
    <cellStyle name="Normal 190 6 3" xfId="15483" xr:uid="{00000000-0005-0000-0000-00007B3C0000}"/>
    <cellStyle name="Normal 190 7" xfId="15484" xr:uid="{00000000-0005-0000-0000-00007C3C0000}"/>
    <cellStyle name="Normal 191" xfId="15485" xr:uid="{00000000-0005-0000-0000-00007D3C0000}"/>
    <cellStyle name="Normal 191 2" xfId="15486" xr:uid="{00000000-0005-0000-0000-00007E3C0000}"/>
    <cellStyle name="Normal 191 2 2" xfId="15487" xr:uid="{00000000-0005-0000-0000-00007F3C0000}"/>
    <cellStyle name="Normal 191 2 2 2" xfId="15488" xr:uid="{00000000-0005-0000-0000-0000803C0000}"/>
    <cellStyle name="Normal 191 2 3" xfId="15489" xr:uid="{00000000-0005-0000-0000-0000813C0000}"/>
    <cellStyle name="Normal 191 2 3 2" xfId="15490" xr:uid="{00000000-0005-0000-0000-0000823C0000}"/>
    <cellStyle name="Normal 191 2 3 2 2" xfId="15491" xr:uid="{00000000-0005-0000-0000-0000833C0000}"/>
    <cellStyle name="Normal 191 2 3 3" xfId="15492" xr:uid="{00000000-0005-0000-0000-0000843C0000}"/>
    <cellStyle name="Normal 191 2 4" xfId="15493" xr:uid="{00000000-0005-0000-0000-0000853C0000}"/>
    <cellStyle name="Normal 191 2 4 2" xfId="15494" xr:uid="{00000000-0005-0000-0000-0000863C0000}"/>
    <cellStyle name="Normal 191 2 4 2 2" xfId="15495" xr:uid="{00000000-0005-0000-0000-0000873C0000}"/>
    <cellStyle name="Normal 191 2 4 3" xfId="15496" xr:uid="{00000000-0005-0000-0000-0000883C0000}"/>
    <cellStyle name="Normal 191 2 5" xfId="15497" xr:uid="{00000000-0005-0000-0000-0000893C0000}"/>
    <cellStyle name="Normal 191 3" xfId="15498" xr:uid="{00000000-0005-0000-0000-00008A3C0000}"/>
    <cellStyle name="Normal 191 3 2" xfId="15499" xr:uid="{00000000-0005-0000-0000-00008B3C0000}"/>
    <cellStyle name="Normal 191 3 2 2" xfId="15500" xr:uid="{00000000-0005-0000-0000-00008C3C0000}"/>
    <cellStyle name="Normal 191 3 2 2 2" xfId="15501" xr:uid="{00000000-0005-0000-0000-00008D3C0000}"/>
    <cellStyle name="Normal 191 3 2 3" xfId="15502" xr:uid="{00000000-0005-0000-0000-00008E3C0000}"/>
    <cellStyle name="Normal 191 3 2 3 2" xfId="15503" xr:uid="{00000000-0005-0000-0000-00008F3C0000}"/>
    <cellStyle name="Normal 191 3 2 3 2 2" xfId="15504" xr:uid="{00000000-0005-0000-0000-0000903C0000}"/>
    <cellStyle name="Normal 191 3 2 3 3" xfId="15505" xr:uid="{00000000-0005-0000-0000-0000913C0000}"/>
    <cellStyle name="Normal 191 3 2 4" xfId="15506" xr:uid="{00000000-0005-0000-0000-0000923C0000}"/>
    <cellStyle name="Normal 191 3 3" xfId="15507" xr:uid="{00000000-0005-0000-0000-0000933C0000}"/>
    <cellStyle name="Normal 191 3 3 2" xfId="15508" xr:uid="{00000000-0005-0000-0000-0000943C0000}"/>
    <cellStyle name="Normal 191 3 3 2 2" xfId="15509" xr:uid="{00000000-0005-0000-0000-0000953C0000}"/>
    <cellStyle name="Normal 191 3 3 3" xfId="15510" xr:uid="{00000000-0005-0000-0000-0000963C0000}"/>
    <cellStyle name="Normal 191 3 4" xfId="15511" xr:uid="{00000000-0005-0000-0000-0000973C0000}"/>
    <cellStyle name="Normal 191 3 4 2" xfId="15512" xr:uid="{00000000-0005-0000-0000-0000983C0000}"/>
    <cellStyle name="Normal 191 3 4 2 2" xfId="15513" xr:uid="{00000000-0005-0000-0000-0000993C0000}"/>
    <cellStyle name="Normal 191 3 4 3" xfId="15514" xr:uid="{00000000-0005-0000-0000-00009A3C0000}"/>
    <cellStyle name="Normal 191 3 5" xfId="15515" xr:uid="{00000000-0005-0000-0000-00009B3C0000}"/>
    <cellStyle name="Normal 191 3 5 2" xfId="15516" xr:uid="{00000000-0005-0000-0000-00009C3C0000}"/>
    <cellStyle name="Normal 191 3 5 2 2" xfId="15517" xr:uid="{00000000-0005-0000-0000-00009D3C0000}"/>
    <cellStyle name="Normal 191 3 5 3" xfId="15518" xr:uid="{00000000-0005-0000-0000-00009E3C0000}"/>
    <cellStyle name="Normal 191 3 6" xfId="15519" xr:uid="{00000000-0005-0000-0000-00009F3C0000}"/>
    <cellStyle name="Normal 191 4" xfId="15520" xr:uid="{00000000-0005-0000-0000-0000A03C0000}"/>
    <cellStyle name="Normal 191 4 2" xfId="15521" xr:uid="{00000000-0005-0000-0000-0000A13C0000}"/>
    <cellStyle name="Normal 191 4 2 2" xfId="15522" xr:uid="{00000000-0005-0000-0000-0000A23C0000}"/>
    <cellStyle name="Normal 191 4 3" xfId="15523" xr:uid="{00000000-0005-0000-0000-0000A33C0000}"/>
    <cellStyle name="Normal 191 5" xfId="15524" xr:uid="{00000000-0005-0000-0000-0000A43C0000}"/>
    <cellStyle name="Normal 191 5 2" xfId="15525" xr:uid="{00000000-0005-0000-0000-0000A53C0000}"/>
    <cellStyle name="Normal 191 5 2 2" xfId="15526" xr:uid="{00000000-0005-0000-0000-0000A63C0000}"/>
    <cellStyle name="Normal 191 5 3" xfId="15527" xr:uid="{00000000-0005-0000-0000-0000A73C0000}"/>
    <cellStyle name="Normal 191 6" xfId="15528" xr:uid="{00000000-0005-0000-0000-0000A83C0000}"/>
    <cellStyle name="Normal 191 6 2" xfId="15529" xr:uid="{00000000-0005-0000-0000-0000A93C0000}"/>
    <cellStyle name="Normal 191 6 2 2" xfId="15530" xr:uid="{00000000-0005-0000-0000-0000AA3C0000}"/>
    <cellStyle name="Normal 191 6 3" xfId="15531" xr:uid="{00000000-0005-0000-0000-0000AB3C0000}"/>
    <cellStyle name="Normal 191 7" xfId="15532" xr:uid="{00000000-0005-0000-0000-0000AC3C0000}"/>
    <cellStyle name="Normal 192" xfId="15533" xr:uid="{00000000-0005-0000-0000-0000AD3C0000}"/>
    <cellStyle name="Normal 192 2" xfId="15534" xr:uid="{00000000-0005-0000-0000-0000AE3C0000}"/>
    <cellStyle name="Normal 192 2 2" xfId="15535" xr:uid="{00000000-0005-0000-0000-0000AF3C0000}"/>
    <cellStyle name="Normal 192 2 2 2" xfId="15536" xr:uid="{00000000-0005-0000-0000-0000B03C0000}"/>
    <cellStyle name="Normal 192 2 2 2 2" xfId="15537" xr:uid="{00000000-0005-0000-0000-0000B13C0000}"/>
    <cellStyle name="Normal 192 2 2 3" xfId="15538" xr:uid="{00000000-0005-0000-0000-0000B23C0000}"/>
    <cellStyle name="Normal 192 2 2 3 2" xfId="15539" xr:uid="{00000000-0005-0000-0000-0000B33C0000}"/>
    <cellStyle name="Normal 192 2 2 3 2 2" xfId="15540" xr:uid="{00000000-0005-0000-0000-0000B43C0000}"/>
    <cellStyle name="Normal 192 2 2 3 3" xfId="15541" xr:uid="{00000000-0005-0000-0000-0000B53C0000}"/>
    <cellStyle name="Normal 192 2 2 4" xfId="15542" xr:uid="{00000000-0005-0000-0000-0000B63C0000}"/>
    <cellStyle name="Normal 192 2 2 4 2" xfId="15543" xr:uid="{00000000-0005-0000-0000-0000B73C0000}"/>
    <cellStyle name="Normal 192 2 2 4 2 2" xfId="15544" xr:uid="{00000000-0005-0000-0000-0000B83C0000}"/>
    <cellStyle name="Normal 192 2 2 4 3" xfId="15545" xr:uid="{00000000-0005-0000-0000-0000B93C0000}"/>
    <cellStyle name="Normal 192 2 2 5" xfId="15546" xr:uid="{00000000-0005-0000-0000-0000BA3C0000}"/>
    <cellStyle name="Normal 192 2 3" xfId="15547" xr:uid="{00000000-0005-0000-0000-0000BB3C0000}"/>
    <cellStyle name="Normal 192 2 3 2" xfId="15548" xr:uid="{00000000-0005-0000-0000-0000BC3C0000}"/>
    <cellStyle name="Normal 192 2 3 2 2" xfId="15549" xr:uid="{00000000-0005-0000-0000-0000BD3C0000}"/>
    <cellStyle name="Normal 192 2 3 2 2 2" xfId="15550" xr:uid="{00000000-0005-0000-0000-0000BE3C0000}"/>
    <cellStyle name="Normal 192 2 3 2 3" xfId="15551" xr:uid="{00000000-0005-0000-0000-0000BF3C0000}"/>
    <cellStyle name="Normal 192 2 3 2 3 2" xfId="15552" xr:uid="{00000000-0005-0000-0000-0000C03C0000}"/>
    <cellStyle name="Normal 192 2 3 2 3 2 2" xfId="15553" xr:uid="{00000000-0005-0000-0000-0000C13C0000}"/>
    <cellStyle name="Normal 192 2 3 2 3 3" xfId="15554" xr:uid="{00000000-0005-0000-0000-0000C23C0000}"/>
    <cellStyle name="Normal 192 2 3 2 4" xfId="15555" xr:uid="{00000000-0005-0000-0000-0000C33C0000}"/>
    <cellStyle name="Normal 192 2 3 3" xfId="15556" xr:uid="{00000000-0005-0000-0000-0000C43C0000}"/>
    <cellStyle name="Normal 192 2 3 3 2" xfId="15557" xr:uid="{00000000-0005-0000-0000-0000C53C0000}"/>
    <cellStyle name="Normal 192 2 3 3 2 2" xfId="15558" xr:uid="{00000000-0005-0000-0000-0000C63C0000}"/>
    <cellStyle name="Normal 192 2 3 3 3" xfId="15559" xr:uid="{00000000-0005-0000-0000-0000C73C0000}"/>
    <cellStyle name="Normal 192 2 3 4" xfId="15560" xr:uid="{00000000-0005-0000-0000-0000C83C0000}"/>
    <cellStyle name="Normal 192 2 3 4 2" xfId="15561" xr:uid="{00000000-0005-0000-0000-0000C93C0000}"/>
    <cellStyle name="Normal 192 2 3 4 2 2" xfId="15562" xr:uid="{00000000-0005-0000-0000-0000CA3C0000}"/>
    <cellStyle name="Normal 192 2 3 4 3" xfId="15563" xr:uid="{00000000-0005-0000-0000-0000CB3C0000}"/>
    <cellStyle name="Normal 192 2 3 5" xfId="15564" xr:uid="{00000000-0005-0000-0000-0000CC3C0000}"/>
    <cellStyle name="Normal 192 2 3 5 2" xfId="15565" xr:uid="{00000000-0005-0000-0000-0000CD3C0000}"/>
    <cellStyle name="Normal 192 2 3 5 2 2" xfId="15566" xr:uid="{00000000-0005-0000-0000-0000CE3C0000}"/>
    <cellStyle name="Normal 192 2 3 5 3" xfId="15567" xr:uid="{00000000-0005-0000-0000-0000CF3C0000}"/>
    <cellStyle name="Normal 192 2 3 6" xfId="15568" xr:uid="{00000000-0005-0000-0000-0000D03C0000}"/>
    <cellStyle name="Normal 192 2 4" xfId="15569" xr:uid="{00000000-0005-0000-0000-0000D13C0000}"/>
    <cellStyle name="Normal 192 2 4 2" xfId="15570" xr:uid="{00000000-0005-0000-0000-0000D23C0000}"/>
    <cellStyle name="Normal 192 2 4 2 2" xfId="15571" xr:uid="{00000000-0005-0000-0000-0000D33C0000}"/>
    <cellStyle name="Normal 192 2 4 3" xfId="15572" xr:uid="{00000000-0005-0000-0000-0000D43C0000}"/>
    <cellStyle name="Normal 192 2 5" xfId="15573" xr:uid="{00000000-0005-0000-0000-0000D53C0000}"/>
    <cellStyle name="Normal 192 2 5 2" xfId="15574" xr:uid="{00000000-0005-0000-0000-0000D63C0000}"/>
    <cellStyle name="Normal 192 2 5 2 2" xfId="15575" xr:uid="{00000000-0005-0000-0000-0000D73C0000}"/>
    <cellStyle name="Normal 192 2 5 3" xfId="15576" xr:uid="{00000000-0005-0000-0000-0000D83C0000}"/>
    <cellStyle name="Normal 192 2 6" xfId="15577" xr:uid="{00000000-0005-0000-0000-0000D93C0000}"/>
    <cellStyle name="Normal 192 2 6 2" xfId="15578" xr:uid="{00000000-0005-0000-0000-0000DA3C0000}"/>
    <cellStyle name="Normal 192 2 6 2 2" xfId="15579" xr:uid="{00000000-0005-0000-0000-0000DB3C0000}"/>
    <cellStyle name="Normal 192 2 6 3" xfId="15580" xr:uid="{00000000-0005-0000-0000-0000DC3C0000}"/>
    <cellStyle name="Normal 192 2 7" xfId="15581" xr:uid="{00000000-0005-0000-0000-0000DD3C0000}"/>
    <cellStyle name="Normal 192 3" xfId="15582" xr:uid="{00000000-0005-0000-0000-0000DE3C0000}"/>
    <cellStyle name="Normal 192 3 2" xfId="15583" xr:uid="{00000000-0005-0000-0000-0000DF3C0000}"/>
    <cellStyle name="Normal 192 3 2 2" xfId="15584" xr:uid="{00000000-0005-0000-0000-0000E03C0000}"/>
    <cellStyle name="Normal 192 3 3" xfId="15585" xr:uid="{00000000-0005-0000-0000-0000E13C0000}"/>
    <cellStyle name="Normal 192 3 3 2" xfId="15586" xr:uid="{00000000-0005-0000-0000-0000E23C0000}"/>
    <cellStyle name="Normal 192 3 3 2 2" xfId="15587" xr:uid="{00000000-0005-0000-0000-0000E33C0000}"/>
    <cellStyle name="Normal 192 3 3 3" xfId="15588" xr:uid="{00000000-0005-0000-0000-0000E43C0000}"/>
    <cellStyle name="Normal 192 3 4" xfId="15589" xr:uid="{00000000-0005-0000-0000-0000E53C0000}"/>
    <cellStyle name="Normal 192 3 4 2" xfId="15590" xr:uid="{00000000-0005-0000-0000-0000E63C0000}"/>
    <cellStyle name="Normal 192 3 4 2 2" xfId="15591" xr:uid="{00000000-0005-0000-0000-0000E73C0000}"/>
    <cellStyle name="Normal 192 3 4 3" xfId="15592" xr:uid="{00000000-0005-0000-0000-0000E83C0000}"/>
    <cellStyle name="Normal 192 3 5" xfId="15593" xr:uid="{00000000-0005-0000-0000-0000E93C0000}"/>
    <cellStyle name="Normal 192 4" xfId="15594" xr:uid="{00000000-0005-0000-0000-0000EA3C0000}"/>
    <cellStyle name="Normal 192 4 2" xfId="15595" xr:uid="{00000000-0005-0000-0000-0000EB3C0000}"/>
    <cellStyle name="Normal 192 4 2 2" xfId="15596" xr:uid="{00000000-0005-0000-0000-0000EC3C0000}"/>
    <cellStyle name="Normal 192 4 2 2 2" xfId="15597" xr:uid="{00000000-0005-0000-0000-0000ED3C0000}"/>
    <cellStyle name="Normal 192 4 2 3" xfId="15598" xr:uid="{00000000-0005-0000-0000-0000EE3C0000}"/>
    <cellStyle name="Normal 192 4 2 3 2" xfId="15599" xr:uid="{00000000-0005-0000-0000-0000EF3C0000}"/>
    <cellStyle name="Normal 192 4 2 3 2 2" xfId="15600" xr:uid="{00000000-0005-0000-0000-0000F03C0000}"/>
    <cellStyle name="Normal 192 4 2 3 3" xfId="15601" xr:uid="{00000000-0005-0000-0000-0000F13C0000}"/>
    <cellStyle name="Normal 192 4 2 4" xfId="15602" xr:uid="{00000000-0005-0000-0000-0000F23C0000}"/>
    <cellStyle name="Normal 192 4 3" xfId="15603" xr:uid="{00000000-0005-0000-0000-0000F33C0000}"/>
    <cellStyle name="Normal 192 4 3 2" xfId="15604" xr:uid="{00000000-0005-0000-0000-0000F43C0000}"/>
    <cellStyle name="Normal 192 4 3 2 2" xfId="15605" xr:uid="{00000000-0005-0000-0000-0000F53C0000}"/>
    <cellStyle name="Normal 192 4 3 3" xfId="15606" xr:uid="{00000000-0005-0000-0000-0000F63C0000}"/>
    <cellStyle name="Normal 192 4 4" xfId="15607" xr:uid="{00000000-0005-0000-0000-0000F73C0000}"/>
    <cellStyle name="Normal 192 4 4 2" xfId="15608" xr:uid="{00000000-0005-0000-0000-0000F83C0000}"/>
    <cellStyle name="Normal 192 4 4 2 2" xfId="15609" xr:uid="{00000000-0005-0000-0000-0000F93C0000}"/>
    <cellStyle name="Normal 192 4 4 3" xfId="15610" xr:uid="{00000000-0005-0000-0000-0000FA3C0000}"/>
    <cellStyle name="Normal 192 4 5" xfId="15611" xr:uid="{00000000-0005-0000-0000-0000FB3C0000}"/>
    <cellStyle name="Normal 192 4 5 2" xfId="15612" xr:uid="{00000000-0005-0000-0000-0000FC3C0000}"/>
    <cellStyle name="Normal 192 4 5 2 2" xfId="15613" xr:uid="{00000000-0005-0000-0000-0000FD3C0000}"/>
    <cellStyle name="Normal 192 4 5 3" xfId="15614" xr:uid="{00000000-0005-0000-0000-0000FE3C0000}"/>
    <cellStyle name="Normal 192 4 6" xfId="15615" xr:uid="{00000000-0005-0000-0000-0000FF3C0000}"/>
    <cellStyle name="Normal 192 5" xfId="15616" xr:uid="{00000000-0005-0000-0000-0000003D0000}"/>
    <cellStyle name="Normal 192 5 2" xfId="15617" xr:uid="{00000000-0005-0000-0000-0000013D0000}"/>
    <cellStyle name="Normal 192 5 2 2" xfId="15618" xr:uid="{00000000-0005-0000-0000-0000023D0000}"/>
    <cellStyle name="Normal 192 5 3" xfId="15619" xr:uid="{00000000-0005-0000-0000-0000033D0000}"/>
    <cellStyle name="Normal 192 6" xfId="15620" xr:uid="{00000000-0005-0000-0000-0000043D0000}"/>
    <cellStyle name="Normal 192 6 2" xfId="15621" xr:uid="{00000000-0005-0000-0000-0000053D0000}"/>
    <cellStyle name="Normal 192 6 2 2" xfId="15622" xr:uid="{00000000-0005-0000-0000-0000063D0000}"/>
    <cellStyle name="Normal 192 6 3" xfId="15623" xr:uid="{00000000-0005-0000-0000-0000073D0000}"/>
    <cellStyle name="Normal 192 7" xfId="15624" xr:uid="{00000000-0005-0000-0000-0000083D0000}"/>
    <cellStyle name="Normal 192 7 2" xfId="15625" xr:uid="{00000000-0005-0000-0000-0000093D0000}"/>
    <cellStyle name="Normal 192 7 2 2" xfId="15626" xr:uid="{00000000-0005-0000-0000-00000A3D0000}"/>
    <cellStyle name="Normal 192 7 3" xfId="15627" xr:uid="{00000000-0005-0000-0000-00000B3D0000}"/>
    <cellStyle name="Normal 192 8" xfId="15628" xr:uid="{00000000-0005-0000-0000-00000C3D0000}"/>
    <cellStyle name="Normal 193" xfId="15629" xr:uid="{00000000-0005-0000-0000-00000D3D0000}"/>
    <cellStyle name="Normal 193 2" xfId="15630" xr:uid="{00000000-0005-0000-0000-00000E3D0000}"/>
    <cellStyle name="Normal 193 2 2" xfId="15631" xr:uid="{00000000-0005-0000-0000-00000F3D0000}"/>
    <cellStyle name="Normal 193 2 2 2" xfId="15632" xr:uid="{00000000-0005-0000-0000-0000103D0000}"/>
    <cellStyle name="Normal 193 2 2 2 2" xfId="15633" xr:uid="{00000000-0005-0000-0000-0000113D0000}"/>
    <cellStyle name="Normal 193 2 2 3" xfId="15634" xr:uid="{00000000-0005-0000-0000-0000123D0000}"/>
    <cellStyle name="Normal 193 2 2 3 2" xfId="15635" xr:uid="{00000000-0005-0000-0000-0000133D0000}"/>
    <cellStyle name="Normal 193 2 2 3 2 2" xfId="15636" xr:uid="{00000000-0005-0000-0000-0000143D0000}"/>
    <cellStyle name="Normal 193 2 2 3 3" xfId="15637" xr:uid="{00000000-0005-0000-0000-0000153D0000}"/>
    <cellStyle name="Normal 193 2 2 4" xfId="15638" xr:uid="{00000000-0005-0000-0000-0000163D0000}"/>
    <cellStyle name="Normal 193 2 2 4 2" xfId="15639" xr:uid="{00000000-0005-0000-0000-0000173D0000}"/>
    <cellStyle name="Normal 193 2 2 4 2 2" xfId="15640" xr:uid="{00000000-0005-0000-0000-0000183D0000}"/>
    <cellStyle name="Normal 193 2 2 4 3" xfId="15641" xr:uid="{00000000-0005-0000-0000-0000193D0000}"/>
    <cellStyle name="Normal 193 2 2 5" xfId="15642" xr:uid="{00000000-0005-0000-0000-00001A3D0000}"/>
    <cellStyle name="Normal 193 2 3" xfId="15643" xr:uid="{00000000-0005-0000-0000-00001B3D0000}"/>
    <cellStyle name="Normal 193 2 3 2" xfId="15644" xr:uid="{00000000-0005-0000-0000-00001C3D0000}"/>
    <cellStyle name="Normal 193 2 3 2 2" xfId="15645" xr:uid="{00000000-0005-0000-0000-00001D3D0000}"/>
    <cellStyle name="Normal 193 2 3 2 2 2" xfId="15646" xr:uid="{00000000-0005-0000-0000-00001E3D0000}"/>
    <cellStyle name="Normal 193 2 3 2 3" xfId="15647" xr:uid="{00000000-0005-0000-0000-00001F3D0000}"/>
    <cellStyle name="Normal 193 2 3 2 3 2" xfId="15648" xr:uid="{00000000-0005-0000-0000-0000203D0000}"/>
    <cellStyle name="Normal 193 2 3 2 3 2 2" xfId="15649" xr:uid="{00000000-0005-0000-0000-0000213D0000}"/>
    <cellStyle name="Normal 193 2 3 2 3 3" xfId="15650" xr:uid="{00000000-0005-0000-0000-0000223D0000}"/>
    <cellStyle name="Normal 193 2 3 2 4" xfId="15651" xr:uid="{00000000-0005-0000-0000-0000233D0000}"/>
    <cellStyle name="Normal 193 2 3 3" xfId="15652" xr:uid="{00000000-0005-0000-0000-0000243D0000}"/>
    <cellStyle name="Normal 193 2 3 3 2" xfId="15653" xr:uid="{00000000-0005-0000-0000-0000253D0000}"/>
    <cellStyle name="Normal 193 2 3 3 2 2" xfId="15654" xr:uid="{00000000-0005-0000-0000-0000263D0000}"/>
    <cellStyle name="Normal 193 2 3 3 3" xfId="15655" xr:uid="{00000000-0005-0000-0000-0000273D0000}"/>
    <cellStyle name="Normal 193 2 3 4" xfId="15656" xr:uid="{00000000-0005-0000-0000-0000283D0000}"/>
    <cellStyle name="Normal 193 2 3 4 2" xfId="15657" xr:uid="{00000000-0005-0000-0000-0000293D0000}"/>
    <cellStyle name="Normal 193 2 3 4 2 2" xfId="15658" xr:uid="{00000000-0005-0000-0000-00002A3D0000}"/>
    <cellStyle name="Normal 193 2 3 4 3" xfId="15659" xr:uid="{00000000-0005-0000-0000-00002B3D0000}"/>
    <cellStyle name="Normal 193 2 3 5" xfId="15660" xr:uid="{00000000-0005-0000-0000-00002C3D0000}"/>
    <cellStyle name="Normal 193 2 3 5 2" xfId="15661" xr:uid="{00000000-0005-0000-0000-00002D3D0000}"/>
    <cellStyle name="Normal 193 2 3 5 2 2" xfId="15662" xr:uid="{00000000-0005-0000-0000-00002E3D0000}"/>
    <cellStyle name="Normal 193 2 3 5 3" xfId="15663" xr:uid="{00000000-0005-0000-0000-00002F3D0000}"/>
    <cellStyle name="Normal 193 2 3 6" xfId="15664" xr:uid="{00000000-0005-0000-0000-0000303D0000}"/>
    <cellStyle name="Normal 193 2 4" xfId="15665" xr:uid="{00000000-0005-0000-0000-0000313D0000}"/>
    <cellStyle name="Normal 193 2 4 2" xfId="15666" xr:uid="{00000000-0005-0000-0000-0000323D0000}"/>
    <cellStyle name="Normal 193 2 4 2 2" xfId="15667" xr:uid="{00000000-0005-0000-0000-0000333D0000}"/>
    <cellStyle name="Normal 193 2 4 3" xfId="15668" xr:uid="{00000000-0005-0000-0000-0000343D0000}"/>
    <cellStyle name="Normal 193 2 5" xfId="15669" xr:uid="{00000000-0005-0000-0000-0000353D0000}"/>
    <cellStyle name="Normal 193 2 5 2" xfId="15670" xr:uid="{00000000-0005-0000-0000-0000363D0000}"/>
    <cellStyle name="Normal 193 2 5 2 2" xfId="15671" xr:uid="{00000000-0005-0000-0000-0000373D0000}"/>
    <cellStyle name="Normal 193 2 5 3" xfId="15672" xr:uid="{00000000-0005-0000-0000-0000383D0000}"/>
    <cellStyle name="Normal 193 2 6" xfId="15673" xr:uid="{00000000-0005-0000-0000-0000393D0000}"/>
    <cellStyle name="Normal 193 2 6 2" xfId="15674" xr:uid="{00000000-0005-0000-0000-00003A3D0000}"/>
    <cellStyle name="Normal 193 2 6 2 2" xfId="15675" xr:uid="{00000000-0005-0000-0000-00003B3D0000}"/>
    <cellStyle name="Normal 193 2 6 3" xfId="15676" xr:uid="{00000000-0005-0000-0000-00003C3D0000}"/>
    <cellStyle name="Normal 193 2 7" xfId="15677" xr:uid="{00000000-0005-0000-0000-00003D3D0000}"/>
    <cellStyle name="Normal 193 3" xfId="15678" xr:uid="{00000000-0005-0000-0000-00003E3D0000}"/>
    <cellStyle name="Normal 193 3 2" xfId="15679" xr:uid="{00000000-0005-0000-0000-00003F3D0000}"/>
    <cellStyle name="Normal 193 3 2 2" xfId="15680" xr:uid="{00000000-0005-0000-0000-0000403D0000}"/>
    <cellStyle name="Normal 193 3 3" xfId="15681" xr:uid="{00000000-0005-0000-0000-0000413D0000}"/>
    <cellStyle name="Normal 193 3 3 2" xfId="15682" xr:uid="{00000000-0005-0000-0000-0000423D0000}"/>
    <cellStyle name="Normal 193 3 3 2 2" xfId="15683" xr:uid="{00000000-0005-0000-0000-0000433D0000}"/>
    <cellStyle name="Normal 193 3 3 3" xfId="15684" xr:uid="{00000000-0005-0000-0000-0000443D0000}"/>
    <cellStyle name="Normal 193 3 4" xfId="15685" xr:uid="{00000000-0005-0000-0000-0000453D0000}"/>
    <cellStyle name="Normal 193 3 4 2" xfId="15686" xr:uid="{00000000-0005-0000-0000-0000463D0000}"/>
    <cellStyle name="Normal 193 3 4 2 2" xfId="15687" xr:uid="{00000000-0005-0000-0000-0000473D0000}"/>
    <cellStyle name="Normal 193 3 4 3" xfId="15688" xr:uid="{00000000-0005-0000-0000-0000483D0000}"/>
    <cellStyle name="Normal 193 3 5" xfId="15689" xr:uid="{00000000-0005-0000-0000-0000493D0000}"/>
    <cellStyle name="Normal 193 4" xfId="15690" xr:uid="{00000000-0005-0000-0000-00004A3D0000}"/>
    <cellStyle name="Normal 193 4 2" xfId="15691" xr:uid="{00000000-0005-0000-0000-00004B3D0000}"/>
    <cellStyle name="Normal 193 4 2 2" xfId="15692" xr:uid="{00000000-0005-0000-0000-00004C3D0000}"/>
    <cellStyle name="Normal 193 4 2 2 2" xfId="15693" xr:uid="{00000000-0005-0000-0000-00004D3D0000}"/>
    <cellStyle name="Normal 193 4 2 3" xfId="15694" xr:uid="{00000000-0005-0000-0000-00004E3D0000}"/>
    <cellStyle name="Normal 193 4 2 3 2" xfId="15695" xr:uid="{00000000-0005-0000-0000-00004F3D0000}"/>
    <cellStyle name="Normal 193 4 2 3 2 2" xfId="15696" xr:uid="{00000000-0005-0000-0000-0000503D0000}"/>
    <cellStyle name="Normal 193 4 2 3 3" xfId="15697" xr:uid="{00000000-0005-0000-0000-0000513D0000}"/>
    <cellStyle name="Normal 193 4 2 4" xfId="15698" xr:uid="{00000000-0005-0000-0000-0000523D0000}"/>
    <cellStyle name="Normal 193 4 3" xfId="15699" xr:uid="{00000000-0005-0000-0000-0000533D0000}"/>
    <cellStyle name="Normal 193 4 3 2" xfId="15700" xr:uid="{00000000-0005-0000-0000-0000543D0000}"/>
    <cellStyle name="Normal 193 4 3 2 2" xfId="15701" xr:uid="{00000000-0005-0000-0000-0000553D0000}"/>
    <cellStyle name="Normal 193 4 3 3" xfId="15702" xr:uid="{00000000-0005-0000-0000-0000563D0000}"/>
    <cellStyle name="Normal 193 4 4" xfId="15703" xr:uid="{00000000-0005-0000-0000-0000573D0000}"/>
    <cellStyle name="Normal 193 4 4 2" xfId="15704" xr:uid="{00000000-0005-0000-0000-0000583D0000}"/>
    <cellStyle name="Normal 193 4 4 2 2" xfId="15705" xr:uid="{00000000-0005-0000-0000-0000593D0000}"/>
    <cellStyle name="Normal 193 4 4 3" xfId="15706" xr:uid="{00000000-0005-0000-0000-00005A3D0000}"/>
    <cellStyle name="Normal 193 4 5" xfId="15707" xr:uid="{00000000-0005-0000-0000-00005B3D0000}"/>
    <cellStyle name="Normal 193 4 5 2" xfId="15708" xr:uid="{00000000-0005-0000-0000-00005C3D0000}"/>
    <cellStyle name="Normal 193 4 5 2 2" xfId="15709" xr:uid="{00000000-0005-0000-0000-00005D3D0000}"/>
    <cellStyle name="Normal 193 4 5 3" xfId="15710" xr:uid="{00000000-0005-0000-0000-00005E3D0000}"/>
    <cellStyle name="Normal 193 4 6" xfId="15711" xr:uid="{00000000-0005-0000-0000-00005F3D0000}"/>
    <cellStyle name="Normal 193 5" xfId="15712" xr:uid="{00000000-0005-0000-0000-0000603D0000}"/>
    <cellStyle name="Normal 193 5 2" xfId="15713" xr:uid="{00000000-0005-0000-0000-0000613D0000}"/>
    <cellStyle name="Normal 193 5 2 2" xfId="15714" xr:uid="{00000000-0005-0000-0000-0000623D0000}"/>
    <cellStyle name="Normal 193 5 3" xfId="15715" xr:uid="{00000000-0005-0000-0000-0000633D0000}"/>
    <cellStyle name="Normal 193 6" xfId="15716" xr:uid="{00000000-0005-0000-0000-0000643D0000}"/>
    <cellStyle name="Normal 193 6 2" xfId="15717" xr:uid="{00000000-0005-0000-0000-0000653D0000}"/>
    <cellStyle name="Normal 193 6 2 2" xfId="15718" xr:uid="{00000000-0005-0000-0000-0000663D0000}"/>
    <cellStyle name="Normal 193 6 3" xfId="15719" xr:uid="{00000000-0005-0000-0000-0000673D0000}"/>
    <cellStyle name="Normal 193 7" xfId="15720" xr:uid="{00000000-0005-0000-0000-0000683D0000}"/>
    <cellStyle name="Normal 193 7 2" xfId="15721" xr:uid="{00000000-0005-0000-0000-0000693D0000}"/>
    <cellStyle name="Normal 193 7 2 2" xfId="15722" xr:uid="{00000000-0005-0000-0000-00006A3D0000}"/>
    <cellStyle name="Normal 193 7 3" xfId="15723" xr:uid="{00000000-0005-0000-0000-00006B3D0000}"/>
    <cellStyle name="Normal 193 8" xfId="15724" xr:uid="{00000000-0005-0000-0000-00006C3D0000}"/>
    <cellStyle name="Normal 194" xfId="15725" xr:uid="{00000000-0005-0000-0000-00006D3D0000}"/>
    <cellStyle name="Normal 194 2" xfId="15726" xr:uid="{00000000-0005-0000-0000-00006E3D0000}"/>
    <cellStyle name="Normal 194 2 2" xfId="15727" xr:uid="{00000000-0005-0000-0000-00006F3D0000}"/>
    <cellStyle name="Normal 194 2 2 2" xfId="15728" xr:uid="{00000000-0005-0000-0000-0000703D0000}"/>
    <cellStyle name="Normal 194 2 2 2 2" xfId="15729" xr:uid="{00000000-0005-0000-0000-0000713D0000}"/>
    <cellStyle name="Normal 194 2 2 3" xfId="15730" xr:uid="{00000000-0005-0000-0000-0000723D0000}"/>
    <cellStyle name="Normal 194 2 2 3 2" xfId="15731" xr:uid="{00000000-0005-0000-0000-0000733D0000}"/>
    <cellStyle name="Normal 194 2 2 3 2 2" xfId="15732" xr:uid="{00000000-0005-0000-0000-0000743D0000}"/>
    <cellStyle name="Normal 194 2 2 3 3" xfId="15733" xr:uid="{00000000-0005-0000-0000-0000753D0000}"/>
    <cellStyle name="Normal 194 2 2 4" xfId="15734" xr:uid="{00000000-0005-0000-0000-0000763D0000}"/>
    <cellStyle name="Normal 194 2 2 4 2" xfId="15735" xr:uid="{00000000-0005-0000-0000-0000773D0000}"/>
    <cellStyle name="Normal 194 2 2 4 2 2" xfId="15736" xr:uid="{00000000-0005-0000-0000-0000783D0000}"/>
    <cellStyle name="Normal 194 2 2 4 3" xfId="15737" xr:uid="{00000000-0005-0000-0000-0000793D0000}"/>
    <cellStyle name="Normal 194 2 2 5" xfId="15738" xr:uid="{00000000-0005-0000-0000-00007A3D0000}"/>
    <cellStyle name="Normal 194 2 3" xfId="15739" xr:uid="{00000000-0005-0000-0000-00007B3D0000}"/>
    <cellStyle name="Normal 194 2 3 2" xfId="15740" xr:uid="{00000000-0005-0000-0000-00007C3D0000}"/>
    <cellStyle name="Normal 194 2 3 2 2" xfId="15741" xr:uid="{00000000-0005-0000-0000-00007D3D0000}"/>
    <cellStyle name="Normal 194 2 3 2 2 2" xfId="15742" xr:uid="{00000000-0005-0000-0000-00007E3D0000}"/>
    <cellStyle name="Normal 194 2 3 2 3" xfId="15743" xr:uid="{00000000-0005-0000-0000-00007F3D0000}"/>
    <cellStyle name="Normal 194 2 3 2 3 2" xfId="15744" xr:uid="{00000000-0005-0000-0000-0000803D0000}"/>
    <cellStyle name="Normal 194 2 3 2 3 2 2" xfId="15745" xr:uid="{00000000-0005-0000-0000-0000813D0000}"/>
    <cellStyle name="Normal 194 2 3 2 3 3" xfId="15746" xr:uid="{00000000-0005-0000-0000-0000823D0000}"/>
    <cellStyle name="Normal 194 2 3 2 4" xfId="15747" xr:uid="{00000000-0005-0000-0000-0000833D0000}"/>
    <cellStyle name="Normal 194 2 3 3" xfId="15748" xr:uid="{00000000-0005-0000-0000-0000843D0000}"/>
    <cellStyle name="Normal 194 2 3 3 2" xfId="15749" xr:uid="{00000000-0005-0000-0000-0000853D0000}"/>
    <cellStyle name="Normal 194 2 3 3 2 2" xfId="15750" xr:uid="{00000000-0005-0000-0000-0000863D0000}"/>
    <cellStyle name="Normal 194 2 3 3 3" xfId="15751" xr:uid="{00000000-0005-0000-0000-0000873D0000}"/>
    <cellStyle name="Normal 194 2 3 4" xfId="15752" xr:uid="{00000000-0005-0000-0000-0000883D0000}"/>
    <cellStyle name="Normal 194 2 3 4 2" xfId="15753" xr:uid="{00000000-0005-0000-0000-0000893D0000}"/>
    <cellStyle name="Normal 194 2 3 4 2 2" xfId="15754" xr:uid="{00000000-0005-0000-0000-00008A3D0000}"/>
    <cellStyle name="Normal 194 2 3 4 3" xfId="15755" xr:uid="{00000000-0005-0000-0000-00008B3D0000}"/>
    <cellStyle name="Normal 194 2 3 5" xfId="15756" xr:uid="{00000000-0005-0000-0000-00008C3D0000}"/>
    <cellStyle name="Normal 194 2 3 5 2" xfId="15757" xr:uid="{00000000-0005-0000-0000-00008D3D0000}"/>
    <cellStyle name="Normal 194 2 3 5 2 2" xfId="15758" xr:uid="{00000000-0005-0000-0000-00008E3D0000}"/>
    <cellStyle name="Normal 194 2 3 5 3" xfId="15759" xr:uid="{00000000-0005-0000-0000-00008F3D0000}"/>
    <cellStyle name="Normal 194 2 3 6" xfId="15760" xr:uid="{00000000-0005-0000-0000-0000903D0000}"/>
    <cellStyle name="Normal 194 2 4" xfId="15761" xr:uid="{00000000-0005-0000-0000-0000913D0000}"/>
    <cellStyle name="Normal 194 2 4 2" xfId="15762" xr:uid="{00000000-0005-0000-0000-0000923D0000}"/>
    <cellStyle name="Normal 194 2 4 2 2" xfId="15763" xr:uid="{00000000-0005-0000-0000-0000933D0000}"/>
    <cellStyle name="Normal 194 2 4 3" xfId="15764" xr:uid="{00000000-0005-0000-0000-0000943D0000}"/>
    <cellStyle name="Normal 194 2 5" xfId="15765" xr:uid="{00000000-0005-0000-0000-0000953D0000}"/>
    <cellStyle name="Normal 194 2 5 2" xfId="15766" xr:uid="{00000000-0005-0000-0000-0000963D0000}"/>
    <cellStyle name="Normal 194 2 5 2 2" xfId="15767" xr:uid="{00000000-0005-0000-0000-0000973D0000}"/>
    <cellStyle name="Normal 194 2 5 3" xfId="15768" xr:uid="{00000000-0005-0000-0000-0000983D0000}"/>
    <cellStyle name="Normal 194 2 6" xfId="15769" xr:uid="{00000000-0005-0000-0000-0000993D0000}"/>
    <cellStyle name="Normal 194 2 6 2" xfId="15770" xr:uid="{00000000-0005-0000-0000-00009A3D0000}"/>
    <cellStyle name="Normal 194 2 6 2 2" xfId="15771" xr:uid="{00000000-0005-0000-0000-00009B3D0000}"/>
    <cellStyle name="Normal 194 2 6 3" xfId="15772" xr:uid="{00000000-0005-0000-0000-00009C3D0000}"/>
    <cellStyle name="Normal 194 2 7" xfId="15773" xr:uid="{00000000-0005-0000-0000-00009D3D0000}"/>
    <cellStyle name="Normal 194 3" xfId="15774" xr:uid="{00000000-0005-0000-0000-00009E3D0000}"/>
    <cellStyle name="Normal 194 3 2" xfId="15775" xr:uid="{00000000-0005-0000-0000-00009F3D0000}"/>
    <cellStyle name="Normal 194 3 2 2" xfId="15776" xr:uid="{00000000-0005-0000-0000-0000A03D0000}"/>
    <cellStyle name="Normal 194 3 3" xfId="15777" xr:uid="{00000000-0005-0000-0000-0000A13D0000}"/>
    <cellStyle name="Normal 194 3 3 2" xfId="15778" xr:uid="{00000000-0005-0000-0000-0000A23D0000}"/>
    <cellStyle name="Normal 194 3 3 2 2" xfId="15779" xr:uid="{00000000-0005-0000-0000-0000A33D0000}"/>
    <cellStyle name="Normal 194 3 3 3" xfId="15780" xr:uid="{00000000-0005-0000-0000-0000A43D0000}"/>
    <cellStyle name="Normal 194 3 4" xfId="15781" xr:uid="{00000000-0005-0000-0000-0000A53D0000}"/>
    <cellStyle name="Normal 194 3 4 2" xfId="15782" xr:uid="{00000000-0005-0000-0000-0000A63D0000}"/>
    <cellStyle name="Normal 194 3 4 2 2" xfId="15783" xr:uid="{00000000-0005-0000-0000-0000A73D0000}"/>
    <cellStyle name="Normal 194 3 4 3" xfId="15784" xr:uid="{00000000-0005-0000-0000-0000A83D0000}"/>
    <cellStyle name="Normal 194 3 5" xfId="15785" xr:uid="{00000000-0005-0000-0000-0000A93D0000}"/>
    <cellStyle name="Normal 194 4" xfId="15786" xr:uid="{00000000-0005-0000-0000-0000AA3D0000}"/>
    <cellStyle name="Normal 194 4 2" xfId="15787" xr:uid="{00000000-0005-0000-0000-0000AB3D0000}"/>
    <cellStyle name="Normal 194 4 2 2" xfId="15788" xr:uid="{00000000-0005-0000-0000-0000AC3D0000}"/>
    <cellStyle name="Normal 194 4 2 2 2" xfId="15789" xr:uid="{00000000-0005-0000-0000-0000AD3D0000}"/>
    <cellStyle name="Normal 194 4 2 3" xfId="15790" xr:uid="{00000000-0005-0000-0000-0000AE3D0000}"/>
    <cellStyle name="Normal 194 4 2 3 2" xfId="15791" xr:uid="{00000000-0005-0000-0000-0000AF3D0000}"/>
    <cellStyle name="Normal 194 4 2 3 2 2" xfId="15792" xr:uid="{00000000-0005-0000-0000-0000B03D0000}"/>
    <cellStyle name="Normal 194 4 2 3 3" xfId="15793" xr:uid="{00000000-0005-0000-0000-0000B13D0000}"/>
    <cellStyle name="Normal 194 4 2 4" xfId="15794" xr:uid="{00000000-0005-0000-0000-0000B23D0000}"/>
    <cellStyle name="Normal 194 4 3" xfId="15795" xr:uid="{00000000-0005-0000-0000-0000B33D0000}"/>
    <cellStyle name="Normal 194 4 3 2" xfId="15796" xr:uid="{00000000-0005-0000-0000-0000B43D0000}"/>
    <cellStyle name="Normal 194 4 3 2 2" xfId="15797" xr:uid="{00000000-0005-0000-0000-0000B53D0000}"/>
    <cellStyle name="Normal 194 4 3 3" xfId="15798" xr:uid="{00000000-0005-0000-0000-0000B63D0000}"/>
    <cellStyle name="Normal 194 4 4" xfId="15799" xr:uid="{00000000-0005-0000-0000-0000B73D0000}"/>
    <cellStyle name="Normal 194 4 4 2" xfId="15800" xr:uid="{00000000-0005-0000-0000-0000B83D0000}"/>
    <cellStyle name="Normal 194 4 4 2 2" xfId="15801" xr:uid="{00000000-0005-0000-0000-0000B93D0000}"/>
    <cellStyle name="Normal 194 4 4 3" xfId="15802" xr:uid="{00000000-0005-0000-0000-0000BA3D0000}"/>
    <cellStyle name="Normal 194 4 5" xfId="15803" xr:uid="{00000000-0005-0000-0000-0000BB3D0000}"/>
    <cellStyle name="Normal 194 4 5 2" xfId="15804" xr:uid="{00000000-0005-0000-0000-0000BC3D0000}"/>
    <cellStyle name="Normal 194 4 5 2 2" xfId="15805" xr:uid="{00000000-0005-0000-0000-0000BD3D0000}"/>
    <cellStyle name="Normal 194 4 5 3" xfId="15806" xr:uid="{00000000-0005-0000-0000-0000BE3D0000}"/>
    <cellStyle name="Normal 194 4 6" xfId="15807" xr:uid="{00000000-0005-0000-0000-0000BF3D0000}"/>
    <cellStyle name="Normal 194 5" xfId="15808" xr:uid="{00000000-0005-0000-0000-0000C03D0000}"/>
    <cellStyle name="Normal 194 5 2" xfId="15809" xr:uid="{00000000-0005-0000-0000-0000C13D0000}"/>
    <cellStyle name="Normal 194 5 2 2" xfId="15810" xr:uid="{00000000-0005-0000-0000-0000C23D0000}"/>
    <cellStyle name="Normal 194 5 3" xfId="15811" xr:uid="{00000000-0005-0000-0000-0000C33D0000}"/>
    <cellStyle name="Normal 194 6" xfId="15812" xr:uid="{00000000-0005-0000-0000-0000C43D0000}"/>
    <cellStyle name="Normal 194 6 2" xfId="15813" xr:uid="{00000000-0005-0000-0000-0000C53D0000}"/>
    <cellStyle name="Normal 194 6 2 2" xfId="15814" xr:uid="{00000000-0005-0000-0000-0000C63D0000}"/>
    <cellStyle name="Normal 194 6 3" xfId="15815" xr:uid="{00000000-0005-0000-0000-0000C73D0000}"/>
    <cellStyle name="Normal 194 7" xfId="15816" xr:uid="{00000000-0005-0000-0000-0000C83D0000}"/>
    <cellStyle name="Normal 194 7 2" xfId="15817" xr:uid="{00000000-0005-0000-0000-0000C93D0000}"/>
    <cellStyle name="Normal 194 7 2 2" xfId="15818" xr:uid="{00000000-0005-0000-0000-0000CA3D0000}"/>
    <cellStyle name="Normal 194 7 3" xfId="15819" xr:uid="{00000000-0005-0000-0000-0000CB3D0000}"/>
    <cellStyle name="Normal 194 8" xfId="15820" xr:uid="{00000000-0005-0000-0000-0000CC3D0000}"/>
    <cellStyle name="Normal 195" xfId="15821" xr:uid="{00000000-0005-0000-0000-0000CD3D0000}"/>
    <cellStyle name="Normal 195 2" xfId="15822" xr:uid="{00000000-0005-0000-0000-0000CE3D0000}"/>
    <cellStyle name="Normal 195 2 2" xfId="15823" xr:uid="{00000000-0005-0000-0000-0000CF3D0000}"/>
    <cellStyle name="Normal 195 2 2 2" xfId="15824" xr:uid="{00000000-0005-0000-0000-0000D03D0000}"/>
    <cellStyle name="Normal 195 2 2 2 2" xfId="15825" xr:uid="{00000000-0005-0000-0000-0000D13D0000}"/>
    <cellStyle name="Normal 195 2 2 3" xfId="15826" xr:uid="{00000000-0005-0000-0000-0000D23D0000}"/>
    <cellStyle name="Normal 195 2 2 3 2" xfId="15827" xr:uid="{00000000-0005-0000-0000-0000D33D0000}"/>
    <cellStyle name="Normal 195 2 2 3 2 2" xfId="15828" xr:uid="{00000000-0005-0000-0000-0000D43D0000}"/>
    <cellStyle name="Normal 195 2 2 3 3" xfId="15829" xr:uid="{00000000-0005-0000-0000-0000D53D0000}"/>
    <cellStyle name="Normal 195 2 2 4" xfId="15830" xr:uid="{00000000-0005-0000-0000-0000D63D0000}"/>
    <cellStyle name="Normal 195 2 2 4 2" xfId="15831" xr:uid="{00000000-0005-0000-0000-0000D73D0000}"/>
    <cellStyle name="Normal 195 2 2 4 2 2" xfId="15832" xr:uid="{00000000-0005-0000-0000-0000D83D0000}"/>
    <cellStyle name="Normal 195 2 2 4 3" xfId="15833" xr:uid="{00000000-0005-0000-0000-0000D93D0000}"/>
    <cellStyle name="Normal 195 2 2 5" xfId="15834" xr:uid="{00000000-0005-0000-0000-0000DA3D0000}"/>
    <cellStyle name="Normal 195 2 3" xfId="15835" xr:uid="{00000000-0005-0000-0000-0000DB3D0000}"/>
    <cellStyle name="Normal 195 2 3 2" xfId="15836" xr:uid="{00000000-0005-0000-0000-0000DC3D0000}"/>
    <cellStyle name="Normal 195 2 3 2 2" xfId="15837" xr:uid="{00000000-0005-0000-0000-0000DD3D0000}"/>
    <cellStyle name="Normal 195 2 3 2 2 2" xfId="15838" xr:uid="{00000000-0005-0000-0000-0000DE3D0000}"/>
    <cellStyle name="Normal 195 2 3 2 3" xfId="15839" xr:uid="{00000000-0005-0000-0000-0000DF3D0000}"/>
    <cellStyle name="Normal 195 2 3 2 3 2" xfId="15840" xr:uid="{00000000-0005-0000-0000-0000E03D0000}"/>
    <cellStyle name="Normal 195 2 3 2 3 2 2" xfId="15841" xr:uid="{00000000-0005-0000-0000-0000E13D0000}"/>
    <cellStyle name="Normal 195 2 3 2 3 3" xfId="15842" xr:uid="{00000000-0005-0000-0000-0000E23D0000}"/>
    <cellStyle name="Normal 195 2 3 2 4" xfId="15843" xr:uid="{00000000-0005-0000-0000-0000E33D0000}"/>
    <cellStyle name="Normal 195 2 3 3" xfId="15844" xr:uid="{00000000-0005-0000-0000-0000E43D0000}"/>
    <cellStyle name="Normal 195 2 3 3 2" xfId="15845" xr:uid="{00000000-0005-0000-0000-0000E53D0000}"/>
    <cellStyle name="Normal 195 2 3 3 2 2" xfId="15846" xr:uid="{00000000-0005-0000-0000-0000E63D0000}"/>
    <cellStyle name="Normal 195 2 3 3 3" xfId="15847" xr:uid="{00000000-0005-0000-0000-0000E73D0000}"/>
    <cellStyle name="Normal 195 2 3 4" xfId="15848" xr:uid="{00000000-0005-0000-0000-0000E83D0000}"/>
    <cellStyle name="Normal 195 2 3 4 2" xfId="15849" xr:uid="{00000000-0005-0000-0000-0000E93D0000}"/>
    <cellStyle name="Normal 195 2 3 4 2 2" xfId="15850" xr:uid="{00000000-0005-0000-0000-0000EA3D0000}"/>
    <cellStyle name="Normal 195 2 3 4 3" xfId="15851" xr:uid="{00000000-0005-0000-0000-0000EB3D0000}"/>
    <cellStyle name="Normal 195 2 3 5" xfId="15852" xr:uid="{00000000-0005-0000-0000-0000EC3D0000}"/>
    <cellStyle name="Normal 195 2 3 5 2" xfId="15853" xr:uid="{00000000-0005-0000-0000-0000ED3D0000}"/>
    <cellStyle name="Normal 195 2 3 5 2 2" xfId="15854" xr:uid="{00000000-0005-0000-0000-0000EE3D0000}"/>
    <cellStyle name="Normal 195 2 3 5 3" xfId="15855" xr:uid="{00000000-0005-0000-0000-0000EF3D0000}"/>
    <cellStyle name="Normal 195 2 3 6" xfId="15856" xr:uid="{00000000-0005-0000-0000-0000F03D0000}"/>
    <cellStyle name="Normal 195 2 4" xfId="15857" xr:uid="{00000000-0005-0000-0000-0000F13D0000}"/>
    <cellStyle name="Normal 195 2 4 2" xfId="15858" xr:uid="{00000000-0005-0000-0000-0000F23D0000}"/>
    <cellStyle name="Normal 195 2 4 2 2" xfId="15859" xr:uid="{00000000-0005-0000-0000-0000F33D0000}"/>
    <cellStyle name="Normal 195 2 4 3" xfId="15860" xr:uid="{00000000-0005-0000-0000-0000F43D0000}"/>
    <cellStyle name="Normal 195 2 5" xfId="15861" xr:uid="{00000000-0005-0000-0000-0000F53D0000}"/>
    <cellStyle name="Normal 195 2 5 2" xfId="15862" xr:uid="{00000000-0005-0000-0000-0000F63D0000}"/>
    <cellStyle name="Normal 195 2 5 2 2" xfId="15863" xr:uid="{00000000-0005-0000-0000-0000F73D0000}"/>
    <cellStyle name="Normal 195 2 5 3" xfId="15864" xr:uid="{00000000-0005-0000-0000-0000F83D0000}"/>
    <cellStyle name="Normal 195 2 6" xfId="15865" xr:uid="{00000000-0005-0000-0000-0000F93D0000}"/>
    <cellStyle name="Normal 195 2 6 2" xfId="15866" xr:uid="{00000000-0005-0000-0000-0000FA3D0000}"/>
    <cellStyle name="Normal 195 2 6 2 2" xfId="15867" xr:uid="{00000000-0005-0000-0000-0000FB3D0000}"/>
    <cellStyle name="Normal 195 2 6 3" xfId="15868" xr:uid="{00000000-0005-0000-0000-0000FC3D0000}"/>
    <cellStyle name="Normal 195 2 7" xfId="15869" xr:uid="{00000000-0005-0000-0000-0000FD3D0000}"/>
    <cellStyle name="Normal 195 3" xfId="15870" xr:uid="{00000000-0005-0000-0000-0000FE3D0000}"/>
    <cellStyle name="Normal 195 3 2" xfId="15871" xr:uid="{00000000-0005-0000-0000-0000FF3D0000}"/>
    <cellStyle name="Normal 195 3 2 2" xfId="15872" xr:uid="{00000000-0005-0000-0000-0000003E0000}"/>
    <cellStyle name="Normal 195 3 3" xfId="15873" xr:uid="{00000000-0005-0000-0000-0000013E0000}"/>
    <cellStyle name="Normal 195 3 3 2" xfId="15874" xr:uid="{00000000-0005-0000-0000-0000023E0000}"/>
    <cellStyle name="Normal 195 3 3 2 2" xfId="15875" xr:uid="{00000000-0005-0000-0000-0000033E0000}"/>
    <cellStyle name="Normal 195 3 3 3" xfId="15876" xr:uid="{00000000-0005-0000-0000-0000043E0000}"/>
    <cellStyle name="Normal 195 3 4" xfId="15877" xr:uid="{00000000-0005-0000-0000-0000053E0000}"/>
    <cellStyle name="Normal 195 3 4 2" xfId="15878" xr:uid="{00000000-0005-0000-0000-0000063E0000}"/>
    <cellStyle name="Normal 195 3 4 2 2" xfId="15879" xr:uid="{00000000-0005-0000-0000-0000073E0000}"/>
    <cellStyle name="Normal 195 3 4 3" xfId="15880" xr:uid="{00000000-0005-0000-0000-0000083E0000}"/>
    <cellStyle name="Normal 195 3 5" xfId="15881" xr:uid="{00000000-0005-0000-0000-0000093E0000}"/>
    <cellStyle name="Normal 195 4" xfId="15882" xr:uid="{00000000-0005-0000-0000-00000A3E0000}"/>
    <cellStyle name="Normal 195 4 2" xfId="15883" xr:uid="{00000000-0005-0000-0000-00000B3E0000}"/>
    <cellStyle name="Normal 195 4 2 2" xfId="15884" xr:uid="{00000000-0005-0000-0000-00000C3E0000}"/>
    <cellStyle name="Normal 195 4 2 2 2" xfId="15885" xr:uid="{00000000-0005-0000-0000-00000D3E0000}"/>
    <cellStyle name="Normal 195 4 2 3" xfId="15886" xr:uid="{00000000-0005-0000-0000-00000E3E0000}"/>
    <cellStyle name="Normal 195 4 2 3 2" xfId="15887" xr:uid="{00000000-0005-0000-0000-00000F3E0000}"/>
    <cellStyle name="Normal 195 4 2 3 2 2" xfId="15888" xr:uid="{00000000-0005-0000-0000-0000103E0000}"/>
    <cellStyle name="Normal 195 4 2 3 3" xfId="15889" xr:uid="{00000000-0005-0000-0000-0000113E0000}"/>
    <cellStyle name="Normal 195 4 2 4" xfId="15890" xr:uid="{00000000-0005-0000-0000-0000123E0000}"/>
    <cellStyle name="Normal 195 4 3" xfId="15891" xr:uid="{00000000-0005-0000-0000-0000133E0000}"/>
    <cellStyle name="Normal 195 4 3 2" xfId="15892" xr:uid="{00000000-0005-0000-0000-0000143E0000}"/>
    <cellStyle name="Normal 195 4 3 2 2" xfId="15893" xr:uid="{00000000-0005-0000-0000-0000153E0000}"/>
    <cellStyle name="Normal 195 4 3 3" xfId="15894" xr:uid="{00000000-0005-0000-0000-0000163E0000}"/>
    <cellStyle name="Normal 195 4 4" xfId="15895" xr:uid="{00000000-0005-0000-0000-0000173E0000}"/>
    <cellStyle name="Normal 195 4 4 2" xfId="15896" xr:uid="{00000000-0005-0000-0000-0000183E0000}"/>
    <cellStyle name="Normal 195 4 4 2 2" xfId="15897" xr:uid="{00000000-0005-0000-0000-0000193E0000}"/>
    <cellStyle name="Normal 195 4 4 3" xfId="15898" xr:uid="{00000000-0005-0000-0000-00001A3E0000}"/>
    <cellStyle name="Normal 195 4 5" xfId="15899" xr:uid="{00000000-0005-0000-0000-00001B3E0000}"/>
    <cellStyle name="Normal 195 4 5 2" xfId="15900" xr:uid="{00000000-0005-0000-0000-00001C3E0000}"/>
    <cellStyle name="Normal 195 4 5 2 2" xfId="15901" xr:uid="{00000000-0005-0000-0000-00001D3E0000}"/>
    <cellStyle name="Normal 195 4 5 3" xfId="15902" xr:uid="{00000000-0005-0000-0000-00001E3E0000}"/>
    <cellStyle name="Normal 195 4 6" xfId="15903" xr:uid="{00000000-0005-0000-0000-00001F3E0000}"/>
    <cellStyle name="Normal 195 5" xfId="15904" xr:uid="{00000000-0005-0000-0000-0000203E0000}"/>
    <cellStyle name="Normal 195 5 2" xfId="15905" xr:uid="{00000000-0005-0000-0000-0000213E0000}"/>
    <cellStyle name="Normal 195 5 2 2" xfId="15906" xr:uid="{00000000-0005-0000-0000-0000223E0000}"/>
    <cellStyle name="Normal 195 5 3" xfId="15907" xr:uid="{00000000-0005-0000-0000-0000233E0000}"/>
    <cellStyle name="Normal 195 6" xfId="15908" xr:uid="{00000000-0005-0000-0000-0000243E0000}"/>
    <cellStyle name="Normal 195 6 2" xfId="15909" xr:uid="{00000000-0005-0000-0000-0000253E0000}"/>
    <cellStyle name="Normal 195 6 2 2" xfId="15910" xr:uid="{00000000-0005-0000-0000-0000263E0000}"/>
    <cellStyle name="Normal 195 6 3" xfId="15911" xr:uid="{00000000-0005-0000-0000-0000273E0000}"/>
    <cellStyle name="Normal 195 7" xfId="15912" xr:uid="{00000000-0005-0000-0000-0000283E0000}"/>
    <cellStyle name="Normal 195 7 2" xfId="15913" xr:uid="{00000000-0005-0000-0000-0000293E0000}"/>
    <cellStyle name="Normal 195 7 2 2" xfId="15914" xr:uid="{00000000-0005-0000-0000-00002A3E0000}"/>
    <cellStyle name="Normal 195 7 3" xfId="15915" xr:uid="{00000000-0005-0000-0000-00002B3E0000}"/>
    <cellStyle name="Normal 195 8" xfId="15916" xr:uid="{00000000-0005-0000-0000-00002C3E0000}"/>
    <cellStyle name="Normal 196" xfId="15917" xr:uid="{00000000-0005-0000-0000-00002D3E0000}"/>
    <cellStyle name="Normal 196 2" xfId="15918" xr:uid="{00000000-0005-0000-0000-00002E3E0000}"/>
    <cellStyle name="Normal 196 2 2" xfId="15919" xr:uid="{00000000-0005-0000-0000-00002F3E0000}"/>
    <cellStyle name="Normal 196 2 2 2" xfId="15920" xr:uid="{00000000-0005-0000-0000-0000303E0000}"/>
    <cellStyle name="Normal 196 2 2 2 2" xfId="15921" xr:uid="{00000000-0005-0000-0000-0000313E0000}"/>
    <cellStyle name="Normal 196 2 2 3" xfId="15922" xr:uid="{00000000-0005-0000-0000-0000323E0000}"/>
    <cellStyle name="Normal 196 2 2 3 2" xfId="15923" xr:uid="{00000000-0005-0000-0000-0000333E0000}"/>
    <cellStyle name="Normal 196 2 2 3 2 2" xfId="15924" xr:uid="{00000000-0005-0000-0000-0000343E0000}"/>
    <cellStyle name="Normal 196 2 2 3 3" xfId="15925" xr:uid="{00000000-0005-0000-0000-0000353E0000}"/>
    <cellStyle name="Normal 196 2 2 4" xfId="15926" xr:uid="{00000000-0005-0000-0000-0000363E0000}"/>
    <cellStyle name="Normal 196 2 2 4 2" xfId="15927" xr:uid="{00000000-0005-0000-0000-0000373E0000}"/>
    <cellStyle name="Normal 196 2 2 4 2 2" xfId="15928" xr:uid="{00000000-0005-0000-0000-0000383E0000}"/>
    <cellStyle name="Normal 196 2 2 4 3" xfId="15929" xr:uid="{00000000-0005-0000-0000-0000393E0000}"/>
    <cellStyle name="Normal 196 2 2 5" xfId="15930" xr:uid="{00000000-0005-0000-0000-00003A3E0000}"/>
    <cellStyle name="Normal 196 2 3" xfId="15931" xr:uid="{00000000-0005-0000-0000-00003B3E0000}"/>
    <cellStyle name="Normal 196 2 3 2" xfId="15932" xr:uid="{00000000-0005-0000-0000-00003C3E0000}"/>
    <cellStyle name="Normal 196 2 3 2 2" xfId="15933" xr:uid="{00000000-0005-0000-0000-00003D3E0000}"/>
    <cellStyle name="Normal 196 2 3 2 2 2" xfId="15934" xr:uid="{00000000-0005-0000-0000-00003E3E0000}"/>
    <cellStyle name="Normal 196 2 3 2 3" xfId="15935" xr:uid="{00000000-0005-0000-0000-00003F3E0000}"/>
    <cellStyle name="Normal 196 2 3 2 3 2" xfId="15936" xr:uid="{00000000-0005-0000-0000-0000403E0000}"/>
    <cellStyle name="Normal 196 2 3 2 3 2 2" xfId="15937" xr:uid="{00000000-0005-0000-0000-0000413E0000}"/>
    <cellStyle name="Normal 196 2 3 2 3 3" xfId="15938" xr:uid="{00000000-0005-0000-0000-0000423E0000}"/>
    <cellStyle name="Normal 196 2 3 2 4" xfId="15939" xr:uid="{00000000-0005-0000-0000-0000433E0000}"/>
    <cellStyle name="Normal 196 2 3 3" xfId="15940" xr:uid="{00000000-0005-0000-0000-0000443E0000}"/>
    <cellStyle name="Normal 196 2 3 3 2" xfId="15941" xr:uid="{00000000-0005-0000-0000-0000453E0000}"/>
    <cellStyle name="Normal 196 2 3 3 2 2" xfId="15942" xr:uid="{00000000-0005-0000-0000-0000463E0000}"/>
    <cellStyle name="Normal 196 2 3 3 3" xfId="15943" xr:uid="{00000000-0005-0000-0000-0000473E0000}"/>
    <cellStyle name="Normal 196 2 3 4" xfId="15944" xr:uid="{00000000-0005-0000-0000-0000483E0000}"/>
    <cellStyle name="Normal 196 2 3 4 2" xfId="15945" xr:uid="{00000000-0005-0000-0000-0000493E0000}"/>
    <cellStyle name="Normal 196 2 3 4 2 2" xfId="15946" xr:uid="{00000000-0005-0000-0000-00004A3E0000}"/>
    <cellStyle name="Normal 196 2 3 4 3" xfId="15947" xr:uid="{00000000-0005-0000-0000-00004B3E0000}"/>
    <cellStyle name="Normal 196 2 3 5" xfId="15948" xr:uid="{00000000-0005-0000-0000-00004C3E0000}"/>
    <cellStyle name="Normal 196 2 3 5 2" xfId="15949" xr:uid="{00000000-0005-0000-0000-00004D3E0000}"/>
    <cellStyle name="Normal 196 2 3 5 2 2" xfId="15950" xr:uid="{00000000-0005-0000-0000-00004E3E0000}"/>
    <cellStyle name="Normal 196 2 3 5 3" xfId="15951" xr:uid="{00000000-0005-0000-0000-00004F3E0000}"/>
    <cellStyle name="Normal 196 2 3 6" xfId="15952" xr:uid="{00000000-0005-0000-0000-0000503E0000}"/>
    <cellStyle name="Normal 196 2 4" xfId="15953" xr:uid="{00000000-0005-0000-0000-0000513E0000}"/>
    <cellStyle name="Normal 196 2 4 2" xfId="15954" xr:uid="{00000000-0005-0000-0000-0000523E0000}"/>
    <cellStyle name="Normal 196 2 4 2 2" xfId="15955" xr:uid="{00000000-0005-0000-0000-0000533E0000}"/>
    <cellStyle name="Normal 196 2 4 3" xfId="15956" xr:uid="{00000000-0005-0000-0000-0000543E0000}"/>
    <cellStyle name="Normal 196 2 5" xfId="15957" xr:uid="{00000000-0005-0000-0000-0000553E0000}"/>
    <cellStyle name="Normal 196 2 5 2" xfId="15958" xr:uid="{00000000-0005-0000-0000-0000563E0000}"/>
    <cellStyle name="Normal 196 2 5 2 2" xfId="15959" xr:uid="{00000000-0005-0000-0000-0000573E0000}"/>
    <cellStyle name="Normal 196 2 5 3" xfId="15960" xr:uid="{00000000-0005-0000-0000-0000583E0000}"/>
    <cellStyle name="Normal 196 2 6" xfId="15961" xr:uid="{00000000-0005-0000-0000-0000593E0000}"/>
    <cellStyle name="Normal 196 2 6 2" xfId="15962" xr:uid="{00000000-0005-0000-0000-00005A3E0000}"/>
    <cellStyle name="Normal 196 2 6 2 2" xfId="15963" xr:uid="{00000000-0005-0000-0000-00005B3E0000}"/>
    <cellStyle name="Normal 196 2 6 3" xfId="15964" xr:uid="{00000000-0005-0000-0000-00005C3E0000}"/>
    <cellStyle name="Normal 196 2 7" xfId="15965" xr:uid="{00000000-0005-0000-0000-00005D3E0000}"/>
    <cellStyle name="Normal 196 3" xfId="15966" xr:uid="{00000000-0005-0000-0000-00005E3E0000}"/>
    <cellStyle name="Normal 196 3 2" xfId="15967" xr:uid="{00000000-0005-0000-0000-00005F3E0000}"/>
    <cellStyle name="Normal 196 3 2 2" xfId="15968" xr:uid="{00000000-0005-0000-0000-0000603E0000}"/>
    <cellStyle name="Normal 196 3 3" xfId="15969" xr:uid="{00000000-0005-0000-0000-0000613E0000}"/>
    <cellStyle name="Normal 196 3 3 2" xfId="15970" xr:uid="{00000000-0005-0000-0000-0000623E0000}"/>
    <cellStyle name="Normal 196 3 3 2 2" xfId="15971" xr:uid="{00000000-0005-0000-0000-0000633E0000}"/>
    <cellStyle name="Normal 196 3 3 3" xfId="15972" xr:uid="{00000000-0005-0000-0000-0000643E0000}"/>
    <cellStyle name="Normal 196 3 4" xfId="15973" xr:uid="{00000000-0005-0000-0000-0000653E0000}"/>
    <cellStyle name="Normal 196 3 4 2" xfId="15974" xr:uid="{00000000-0005-0000-0000-0000663E0000}"/>
    <cellStyle name="Normal 196 3 4 2 2" xfId="15975" xr:uid="{00000000-0005-0000-0000-0000673E0000}"/>
    <cellStyle name="Normal 196 3 4 3" xfId="15976" xr:uid="{00000000-0005-0000-0000-0000683E0000}"/>
    <cellStyle name="Normal 196 3 5" xfId="15977" xr:uid="{00000000-0005-0000-0000-0000693E0000}"/>
    <cellStyle name="Normal 196 4" xfId="15978" xr:uid="{00000000-0005-0000-0000-00006A3E0000}"/>
    <cellStyle name="Normal 196 4 2" xfId="15979" xr:uid="{00000000-0005-0000-0000-00006B3E0000}"/>
    <cellStyle name="Normal 196 4 2 2" xfId="15980" xr:uid="{00000000-0005-0000-0000-00006C3E0000}"/>
    <cellStyle name="Normal 196 4 2 2 2" xfId="15981" xr:uid="{00000000-0005-0000-0000-00006D3E0000}"/>
    <cellStyle name="Normal 196 4 2 3" xfId="15982" xr:uid="{00000000-0005-0000-0000-00006E3E0000}"/>
    <cellStyle name="Normal 196 4 2 3 2" xfId="15983" xr:uid="{00000000-0005-0000-0000-00006F3E0000}"/>
    <cellStyle name="Normal 196 4 2 3 2 2" xfId="15984" xr:uid="{00000000-0005-0000-0000-0000703E0000}"/>
    <cellStyle name="Normal 196 4 2 3 3" xfId="15985" xr:uid="{00000000-0005-0000-0000-0000713E0000}"/>
    <cellStyle name="Normal 196 4 2 4" xfId="15986" xr:uid="{00000000-0005-0000-0000-0000723E0000}"/>
    <cellStyle name="Normal 196 4 3" xfId="15987" xr:uid="{00000000-0005-0000-0000-0000733E0000}"/>
    <cellStyle name="Normal 196 4 3 2" xfId="15988" xr:uid="{00000000-0005-0000-0000-0000743E0000}"/>
    <cellStyle name="Normal 196 4 3 2 2" xfId="15989" xr:uid="{00000000-0005-0000-0000-0000753E0000}"/>
    <cellStyle name="Normal 196 4 3 3" xfId="15990" xr:uid="{00000000-0005-0000-0000-0000763E0000}"/>
    <cellStyle name="Normal 196 4 4" xfId="15991" xr:uid="{00000000-0005-0000-0000-0000773E0000}"/>
    <cellStyle name="Normal 196 4 4 2" xfId="15992" xr:uid="{00000000-0005-0000-0000-0000783E0000}"/>
    <cellStyle name="Normal 196 4 4 2 2" xfId="15993" xr:uid="{00000000-0005-0000-0000-0000793E0000}"/>
    <cellStyle name="Normal 196 4 4 3" xfId="15994" xr:uid="{00000000-0005-0000-0000-00007A3E0000}"/>
    <cellStyle name="Normal 196 4 5" xfId="15995" xr:uid="{00000000-0005-0000-0000-00007B3E0000}"/>
    <cellStyle name="Normal 196 4 5 2" xfId="15996" xr:uid="{00000000-0005-0000-0000-00007C3E0000}"/>
    <cellStyle name="Normal 196 4 5 2 2" xfId="15997" xr:uid="{00000000-0005-0000-0000-00007D3E0000}"/>
    <cellStyle name="Normal 196 4 5 3" xfId="15998" xr:uid="{00000000-0005-0000-0000-00007E3E0000}"/>
    <cellStyle name="Normal 196 4 6" xfId="15999" xr:uid="{00000000-0005-0000-0000-00007F3E0000}"/>
    <cellStyle name="Normal 196 5" xfId="16000" xr:uid="{00000000-0005-0000-0000-0000803E0000}"/>
    <cellStyle name="Normal 196 5 2" xfId="16001" xr:uid="{00000000-0005-0000-0000-0000813E0000}"/>
    <cellStyle name="Normal 196 5 2 2" xfId="16002" xr:uid="{00000000-0005-0000-0000-0000823E0000}"/>
    <cellStyle name="Normal 196 5 3" xfId="16003" xr:uid="{00000000-0005-0000-0000-0000833E0000}"/>
    <cellStyle name="Normal 196 6" xfId="16004" xr:uid="{00000000-0005-0000-0000-0000843E0000}"/>
    <cellStyle name="Normal 196 6 2" xfId="16005" xr:uid="{00000000-0005-0000-0000-0000853E0000}"/>
    <cellStyle name="Normal 196 6 2 2" xfId="16006" xr:uid="{00000000-0005-0000-0000-0000863E0000}"/>
    <cellStyle name="Normal 196 6 3" xfId="16007" xr:uid="{00000000-0005-0000-0000-0000873E0000}"/>
    <cellStyle name="Normal 196 7" xfId="16008" xr:uid="{00000000-0005-0000-0000-0000883E0000}"/>
    <cellStyle name="Normal 196 7 2" xfId="16009" xr:uid="{00000000-0005-0000-0000-0000893E0000}"/>
    <cellStyle name="Normal 196 7 2 2" xfId="16010" xr:uid="{00000000-0005-0000-0000-00008A3E0000}"/>
    <cellStyle name="Normal 196 7 3" xfId="16011" xr:uid="{00000000-0005-0000-0000-00008B3E0000}"/>
    <cellStyle name="Normal 196 8" xfId="16012" xr:uid="{00000000-0005-0000-0000-00008C3E0000}"/>
    <cellStyle name="Normal 197" xfId="16013" xr:uid="{00000000-0005-0000-0000-00008D3E0000}"/>
    <cellStyle name="Normal 197 2" xfId="16014" xr:uid="{00000000-0005-0000-0000-00008E3E0000}"/>
    <cellStyle name="Normal 197 2 2" xfId="16015" xr:uid="{00000000-0005-0000-0000-00008F3E0000}"/>
    <cellStyle name="Normal 197 2 2 2" xfId="16016" xr:uid="{00000000-0005-0000-0000-0000903E0000}"/>
    <cellStyle name="Normal 197 2 2 2 2" xfId="16017" xr:uid="{00000000-0005-0000-0000-0000913E0000}"/>
    <cellStyle name="Normal 197 2 2 3" xfId="16018" xr:uid="{00000000-0005-0000-0000-0000923E0000}"/>
    <cellStyle name="Normal 197 2 2 3 2" xfId="16019" xr:uid="{00000000-0005-0000-0000-0000933E0000}"/>
    <cellStyle name="Normal 197 2 2 3 2 2" xfId="16020" xr:uid="{00000000-0005-0000-0000-0000943E0000}"/>
    <cellStyle name="Normal 197 2 2 3 3" xfId="16021" xr:uid="{00000000-0005-0000-0000-0000953E0000}"/>
    <cellStyle name="Normal 197 2 2 4" xfId="16022" xr:uid="{00000000-0005-0000-0000-0000963E0000}"/>
    <cellStyle name="Normal 197 2 2 4 2" xfId="16023" xr:uid="{00000000-0005-0000-0000-0000973E0000}"/>
    <cellStyle name="Normal 197 2 2 4 2 2" xfId="16024" xr:uid="{00000000-0005-0000-0000-0000983E0000}"/>
    <cellStyle name="Normal 197 2 2 4 3" xfId="16025" xr:uid="{00000000-0005-0000-0000-0000993E0000}"/>
    <cellStyle name="Normal 197 2 2 5" xfId="16026" xr:uid="{00000000-0005-0000-0000-00009A3E0000}"/>
    <cellStyle name="Normal 197 2 3" xfId="16027" xr:uid="{00000000-0005-0000-0000-00009B3E0000}"/>
    <cellStyle name="Normal 197 2 3 2" xfId="16028" xr:uid="{00000000-0005-0000-0000-00009C3E0000}"/>
    <cellStyle name="Normal 197 2 3 2 2" xfId="16029" xr:uid="{00000000-0005-0000-0000-00009D3E0000}"/>
    <cellStyle name="Normal 197 2 3 2 2 2" xfId="16030" xr:uid="{00000000-0005-0000-0000-00009E3E0000}"/>
    <cellStyle name="Normal 197 2 3 2 3" xfId="16031" xr:uid="{00000000-0005-0000-0000-00009F3E0000}"/>
    <cellStyle name="Normal 197 2 3 2 3 2" xfId="16032" xr:uid="{00000000-0005-0000-0000-0000A03E0000}"/>
    <cellStyle name="Normal 197 2 3 2 3 2 2" xfId="16033" xr:uid="{00000000-0005-0000-0000-0000A13E0000}"/>
    <cellStyle name="Normal 197 2 3 2 3 3" xfId="16034" xr:uid="{00000000-0005-0000-0000-0000A23E0000}"/>
    <cellStyle name="Normal 197 2 3 2 4" xfId="16035" xr:uid="{00000000-0005-0000-0000-0000A33E0000}"/>
    <cellStyle name="Normal 197 2 3 3" xfId="16036" xr:uid="{00000000-0005-0000-0000-0000A43E0000}"/>
    <cellStyle name="Normal 197 2 3 3 2" xfId="16037" xr:uid="{00000000-0005-0000-0000-0000A53E0000}"/>
    <cellStyle name="Normal 197 2 3 3 2 2" xfId="16038" xr:uid="{00000000-0005-0000-0000-0000A63E0000}"/>
    <cellStyle name="Normal 197 2 3 3 3" xfId="16039" xr:uid="{00000000-0005-0000-0000-0000A73E0000}"/>
    <cellStyle name="Normal 197 2 3 4" xfId="16040" xr:uid="{00000000-0005-0000-0000-0000A83E0000}"/>
    <cellStyle name="Normal 197 2 3 4 2" xfId="16041" xr:uid="{00000000-0005-0000-0000-0000A93E0000}"/>
    <cellStyle name="Normal 197 2 3 4 2 2" xfId="16042" xr:uid="{00000000-0005-0000-0000-0000AA3E0000}"/>
    <cellStyle name="Normal 197 2 3 4 3" xfId="16043" xr:uid="{00000000-0005-0000-0000-0000AB3E0000}"/>
    <cellStyle name="Normal 197 2 3 5" xfId="16044" xr:uid="{00000000-0005-0000-0000-0000AC3E0000}"/>
    <cellStyle name="Normal 197 2 3 5 2" xfId="16045" xr:uid="{00000000-0005-0000-0000-0000AD3E0000}"/>
    <cellStyle name="Normal 197 2 3 5 2 2" xfId="16046" xr:uid="{00000000-0005-0000-0000-0000AE3E0000}"/>
    <cellStyle name="Normal 197 2 3 5 3" xfId="16047" xr:uid="{00000000-0005-0000-0000-0000AF3E0000}"/>
    <cellStyle name="Normal 197 2 3 6" xfId="16048" xr:uid="{00000000-0005-0000-0000-0000B03E0000}"/>
    <cellStyle name="Normal 197 2 4" xfId="16049" xr:uid="{00000000-0005-0000-0000-0000B13E0000}"/>
    <cellStyle name="Normal 197 2 4 2" xfId="16050" xr:uid="{00000000-0005-0000-0000-0000B23E0000}"/>
    <cellStyle name="Normal 197 2 4 2 2" xfId="16051" xr:uid="{00000000-0005-0000-0000-0000B33E0000}"/>
    <cellStyle name="Normal 197 2 4 3" xfId="16052" xr:uid="{00000000-0005-0000-0000-0000B43E0000}"/>
    <cellStyle name="Normal 197 2 5" xfId="16053" xr:uid="{00000000-0005-0000-0000-0000B53E0000}"/>
    <cellStyle name="Normal 197 2 5 2" xfId="16054" xr:uid="{00000000-0005-0000-0000-0000B63E0000}"/>
    <cellStyle name="Normal 197 2 5 2 2" xfId="16055" xr:uid="{00000000-0005-0000-0000-0000B73E0000}"/>
    <cellStyle name="Normal 197 2 5 3" xfId="16056" xr:uid="{00000000-0005-0000-0000-0000B83E0000}"/>
    <cellStyle name="Normal 197 2 6" xfId="16057" xr:uid="{00000000-0005-0000-0000-0000B93E0000}"/>
    <cellStyle name="Normal 197 2 6 2" xfId="16058" xr:uid="{00000000-0005-0000-0000-0000BA3E0000}"/>
    <cellStyle name="Normal 197 2 6 2 2" xfId="16059" xr:uid="{00000000-0005-0000-0000-0000BB3E0000}"/>
    <cellStyle name="Normal 197 2 6 3" xfId="16060" xr:uid="{00000000-0005-0000-0000-0000BC3E0000}"/>
    <cellStyle name="Normal 197 2 7" xfId="16061" xr:uid="{00000000-0005-0000-0000-0000BD3E0000}"/>
    <cellStyle name="Normal 197 3" xfId="16062" xr:uid="{00000000-0005-0000-0000-0000BE3E0000}"/>
    <cellStyle name="Normal 197 3 2" xfId="16063" xr:uid="{00000000-0005-0000-0000-0000BF3E0000}"/>
    <cellStyle name="Normal 197 3 2 2" xfId="16064" xr:uid="{00000000-0005-0000-0000-0000C03E0000}"/>
    <cellStyle name="Normal 197 3 3" xfId="16065" xr:uid="{00000000-0005-0000-0000-0000C13E0000}"/>
    <cellStyle name="Normal 197 3 3 2" xfId="16066" xr:uid="{00000000-0005-0000-0000-0000C23E0000}"/>
    <cellStyle name="Normal 197 3 3 2 2" xfId="16067" xr:uid="{00000000-0005-0000-0000-0000C33E0000}"/>
    <cellStyle name="Normal 197 3 3 3" xfId="16068" xr:uid="{00000000-0005-0000-0000-0000C43E0000}"/>
    <cellStyle name="Normal 197 3 4" xfId="16069" xr:uid="{00000000-0005-0000-0000-0000C53E0000}"/>
    <cellStyle name="Normal 197 3 4 2" xfId="16070" xr:uid="{00000000-0005-0000-0000-0000C63E0000}"/>
    <cellStyle name="Normal 197 3 4 2 2" xfId="16071" xr:uid="{00000000-0005-0000-0000-0000C73E0000}"/>
    <cellStyle name="Normal 197 3 4 3" xfId="16072" xr:uid="{00000000-0005-0000-0000-0000C83E0000}"/>
    <cellStyle name="Normal 197 3 5" xfId="16073" xr:uid="{00000000-0005-0000-0000-0000C93E0000}"/>
    <cellStyle name="Normal 197 4" xfId="16074" xr:uid="{00000000-0005-0000-0000-0000CA3E0000}"/>
    <cellStyle name="Normal 197 4 2" xfId="16075" xr:uid="{00000000-0005-0000-0000-0000CB3E0000}"/>
    <cellStyle name="Normal 197 4 2 2" xfId="16076" xr:uid="{00000000-0005-0000-0000-0000CC3E0000}"/>
    <cellStyle name="Normal 197 4 2 2 2" xfId="16077" xr:uid="{00000000-0005-0000-0000-0000CD3E0000}"/>
    <cellStyle name="Normal 197 4 2 3" xfId="16078" xr:uid="{00000000-0005-0000-0000-0000CE3E0000}"/>
    <cellStyle name="Normal 197 4 2 3 2" xfId="16079" xr:uid="{00000000-0005-0000-0000-0000CF3E0000}"/>
    <cellStyle name="Normal 197 4 2 3 2 2" xfId="16080" xr:uid="{00000000-0005-0000-0000-0000D03E0000}"/>
    <cellStyle name="Normal 197 4 2 3 3" xfId="16081" xr:uid="{00000000-0005-0000-0000-0000D13E0000}"/>
    <cellStyle name="Normal 197 4 2 4" xfId="16082" xr:uid="{00000000-0005-0000-0000-0000D23E0000}"/>
    <cellStyle name="Normal 197 4 3" xfId="16083" xr:uid="{00000000-0005-0000-0000-0000D33E0000}"/>
    <cellStyle name="Normal 197 4 3 2" xfId="16084" xr:uid="{00000000-0005-0000-0000-0000D43E0000}"/>
    <cellStyle name="Normal 197 4 3 2 2" xfId="16085" xr:uid="{00000000-0005-0000-0000-0000D53E0000}"/>
    <cellStyle name="Normal 197 4 3 3" xfId="16086" xr:uid="{00000000-0005-0000-0000-0000D63E0000}"/>
    <cellStyle name="Normal 197 4 4" xfId="16087" xr:uid="{00000000-0005-0000-0000-0000D73E0000}"/>
    <cellStyle name="Normal 197 4 4 2" xfId="16088" xr:uid="{00000000-0005-0000-0000-0000D83E0000}"/>
    <cellStyle name="Normal 197 4 4 2 2" xfId="16089" xr:uid="{00000000-0005-0000-0000-0000D93E0000}"/>
    <cellStyle name="Normal 197 4 4 3" xfId="16090" xr:uid="{00000000-0005-0000-0000-0000DA3E0000}"/>
    <cellStyle name="Normal 197 4 5" xfId="16091" xr:uid="{00000000-0005-0000-0000-0000DB3E0000}"/>
    <cellStyle name="Normal 197 4 5 2" xfId="16092" xr:uid="{00000000-0005-0000-0000-0000DC3E0000}"/>
    <cellStyle name="Normal 197 4 5 2 2" xfId="16093" xr:uid="{00000000-0005-0000-0000-0000DD3E0000}"/>
    <cellStyle name="Normal 197 4 5 3" xfId="16094" xr:uid="{00000000-0005-0000-0000-0000DE3E0000}"/>
    <cellStyle name="Normal 197 4 6" xfId="16095" xr:uid="{00000000-0005-0000-0000-0000DF3E0000}"/>
    <cellStyle name="Normal 197 5" xfId="16096" xr:uid="{00000000-0005-0000-0000-0000E03E0000}"/>
    <cellStyle name="Normal 197 5 2" xfId="16097" xr:uid="{00000000-0005-0000-0000-0000E13E0000}"/>
    <cellStyle name="Normal 197 5 2 2" xfId="16098" xr:uid="{00000000-0005-0000-0000-0000E23E0000}"/>
    <cellStyle name="Normal 197 5 3" xfId="16099" xr:uid="{00000000-0005-0000-0000-0000E33E0000}"/>
    <cellStyle name="Normal 197 6" xfId="16100" xr:uid="{00000000-0005-0000-0000-0000E43E0000}"/>
    <cellStyle name="Normal 197 6 2" xfId="16101" xr:uid="{00000000-0005-0000-0000-0000E53E0000}"/>
    <cellStyle name="Normal 197 6 2 2" xfId="16102" xr:uid="{00000000-0005-0000-0000-0000E63E0000}"/>
    <cellStyle name="Normal 197 6 3" xfId="16103" xr:uid="{00000000-0005-0000-0000-0000E73E0000}"/>
    <cellStyle name="Normal 197 7" xfId="16104" xr:uid="{00000000-0005-0000-0000-0000E83E0000}"/>
    <cellStyle name="Normal 197 7 2" xfId="16105" xr:uid="{00000000-0005-0000-0000-0000E93E0000}"/>
    <cellStyle name="Normal 197 7 2 2" xfId="16106" xr:uid="{00000000-0005-0000-0000-0000EA3E0000}"/>
    <cellStyle name="Normal 197 7 3" xfId="16107" xr:uid="{00000000-0005-0000-0000-0000EB3E0000}"/>
    <cellStyle name="Normal 197 8" xfId="16108" xr:uid="{00000000-0005-0000-0000-0000EC3E0000}"/>
    <cellStyle name="Normal 198" xfId="16109" xr:uid="{00000000-0005-0000-0000-0000ED3E0000}"/>
    <cellStyle name="Normal 198 2" xfId="16110" xr:uid="{00000000-0005-0000-0000-0000EE3E0000}"/>
    <cellStyle name="Normal 198 2 2" xfId="16111" xr:uid="{00000000-0005-0000-0000-0000EF3E0000}"/>
    <cellStyle name="Normal 198 2 2 2" xfId="16112" xr:uid="{00000000-0005-0000-0000-0000F03E0000}"/>
    <cellStyle name="Normal 198 2 2 2 2" xfId="16113" xr:uid="{00000000-0005-0000-0000-0000F13E0000}"/>
    <cellStyle name="Normal 198 2 2 3" xfId="16114" xr:uid="{00000000-0005-0000-0000-0000F23E0000}"/>
    <cellStyle name="Normal 198 2 2 3 2" xfId="16115" xr:uid="{00000000-0005-0000-0000-0000F33E0000}"/>
    <cellStyle name="Normal 198 2 2 3 2 2" xfId="16116" xr:uid="{00000000-0005-0000-0000-0000F43E0000}"/>
    <cellStyle name="Normal 198 2 2 3 3" xfId="16117" xr:uid="{00000000-0005-0000-0000-0000F53E0000}"/>
    <cellStyle name="Normal 198 2 2 4" xfId="16118" xr:uid="{00000000-0005-0000-0000-0000F63E0000}"/>
    <cellStyle name="Normal 198 2 2 4 2" xfId="16119" xr:uid="{00000000-0005-0000-0000-0000F73E0000}"/>
    <cellStyle name="Normal 198 2 2 4 2 2" xfId="16120" xr:uid="{00000000-0005-0000-0000-0000F83E0000}"/>
    <cellStyle name="Normal 198 2 2 4 3" xfId="16121" xr:uid="{00000000-0005-0000-0000-0000F93E0000}"/>
    <cellStyle name="Normal 198 2 2 5" xfId="16122" xr:uid="{00000000-0005-0000-0000-0000FA3E0000}"/>
    <cellStyle name="Normal 198 2 3" xfId="16123" xr:uid="{00000000-0005-0000-0000-0000FB3E0000}"/>
    <cellStyle name="Normal 198 2 3 2" xfId="16124" xr:uid="{00000000-0005-0000-0000-0000FC3E0000}"/>
    <cellStyle name="Normal 198 2 3 2 2" xfId="16125" xr:uid="{00000000-0005-0000-0000-0000FD3E0000}"/>
    <cellStyle name="Normal 198 2 3 2 2 2" xfId="16126" xr:uid="{00000000-0005-0000-0000-0000FE3E0000}"/>
    <cellStyle name="Normal 198 2 3 2 3" xfId="16127" xr:uid="{00000000-0005-0000-0000-0000FF3E0000}"/>
    <cellStyle name="Normal 198 2 3 2 3 2" xfId="16128" xr:uid="{00000000-0005-0000-0000-0000003F0000}"/>
    <cellStyle name="Normal 198 2 3 2 3 2 2" xfId="16129" xr:uid="{00000000-0005-0000-0000-0000013F0000}"/>
    <cellStyle name="Normal 198 2 3 2 3 3" xfId="16130" xr:uid="{00000000-0005-0000-0000-0000023F0000}"/>
    <cellStyle name="Normal 198 2 3 2 4" xfId="16131" xr:uid="{00000000-0005-0000-0000-0000033F0000}"/>
    <cellStyle name="Normal 198 2 3 3" xfId="16132" xr:uid="{00000000-0005-0000-0000-0000043F0000}"/>
    <cellStyle name="Normal 198 2 3 3 2" xfId="16133" xr:uid="{00000000-0005-0000-0000-0000053F0000}"/>
    <cellStyle name="Normal 198 2 3 3 2 2" xfId="16134" xr:uid="{00000000-0005-0000-0000-0000063F0000}"/>
    <cellStyle name="Normal 198 2 3 3 3" xfId="16135" xr:uid="{00000000-0005-0000-0000-0000073F0000}"/>
    <cellStyle name="Normal 198 2 3 4" xfId="16136" xr:uid="{00000000-0005-0000-0000-0000083F0000}"/>
    <cellStyle name="Normal 198 2 3 4 2" xfId="16137" xr:uid="{00000000-0005-0000-0000-0000093F0000}"/>
    <cellStyle name="Normal 198 2 3 4 2 2" xfId="16138" xr:uid="{00000000-0005-0000-0000-00000A3F0000}"/>
    <cellStyle name="Normal 198 2 3 4 3" xfId="16139" xr:uid="{00000000-0005-0000-0000-00000B3F0000}"/>
    <cellStyle name="Normal 198 2 3 5" xfId="16140" xr:uid="{00000000-0005-0000-0000-00000C3F0000}"/>
    <cellStyle name="Normal 198 2 3 5 2" xfId="16141" xr:uid="{00000000-0005-0000-0000-00000D3F0000}"/>
    <cellStyle name="Normal 198 2 3 5 2 2" xfId="16142" xr:uid="{00000000-0005-0000-0000-00000E3F0000}"/>
    <cellStyle name="Normal 198 2 3 5 3" xfId="16143" xr:uid="{00000000-0005-0000-0000-00000F3F0000}"/>
    <cellStyle name="Normal 198 2 3 6" xfId="16144" xr:uid="{00000000-0005-0000-0000-0000103F0000}"/>
    <cellStyle name="Normal 198 2 4" xfId="16145" xr:uid="{00000000-0005-0000-0000-0000113F0000}"/>
    <cellStyle name="Normal 198 2 4 2" xfId="16146" xr:uid="{00000000-0005-0000-0000-0000123F0000}"/>
    <cellStyle name="Normal 198 2 4 2 2" xfId="16147" xr:uid="{00000000-0005-0000-0000-0000133F0000}"/>
    <cellStyle name="Normal 198 2 4 3" xfId="16148" xr:uid="{00000000-0005-0000-0000-0000143F0000}"/>
    <cellStyle name="Normal 198 2 5" xfId="16149" xr:uid="{00000000-0005-0000-0000-0000153F0000}"/>
    <cellStyle name="Normal 198 2 5 2" xfId="16150" xr:uid="{00000000-0005-0000-0000-0000163F0000}"/>
    <cellStyle name="Normal 198 2 5 2 2" xfId="16151" xr:uid="{00000000-0005-0000-0000-0000173F0000}"/>
    <cellStyle name="Normal 198 2 5 3" xfId="16152" xr:uid="{00000000-0005-0000-0000-0000183F0000}"/>
    <cellStyle name="Normal 198 2 6" xfId="16153" xr:uid="{00000000-0005-0000-0000-0000193F0000}"/>
    <cellStyle name="Normal 198 2 6 2" xfId="16154" xr:uid="{00000000-0005-0000-0000-00001A3F0000}"/>
    <cellStyle name="Normal 198 2 6 2 2" xfId="16155" xr:uid="{00000000-0005-0000-0000-00001B3F0000}"/>
    <cellStyle name="Normal 198 2 6 3" xfId="16156" xr:uid="{00000000-0005-0000-0000-00001C3F0000}"/>
    <cellStyle name="Normal 198 2 7" xfId="16157" xr:uid="{00000000-0005-0000-0000-00001D3F0000}"/>
    <cellStyle name="Normal 198 3" xfId="16158" xr:uid="{00000000-0005-0000-0000-00001E3F0000}"/>
    <cellStyle name="Normal 198 3 2" xfId="16159" xr:uid="{00000000-0005-0000-0000-00001F3F0000}"/>
    <cellStyle name="Normal 198 3 2 2" xfId="16160" xr:uid="{00000000-0005-0000-0000-0000203F0000}"/>
    <cellStyle name="Normal 198 3 3" xfId="16161" xr:uid="{00000000-0005-0000-0000-0000213F0000}"/>
    <cellStyle name="Normal 198 3 3 2" xfId="16162" xr:uid="{00000000-0005-0000-0000-0000223F0000}"/>
    <cellStyle name="Normal 198 3 3 2 2" xfId="16163" xr:uid="{00000000-0005-0000-0000-0000233F0000}"/>
    <cellStyle name="Normal 198 3 3 3" xfId="16164" xr:uid="{00000000-0005-0000-0000-0000243F0000}"/>
    <cellStyle name="Normal 198 3 4" xfId="16165" xr:uid="{00000000-0005-0000-0000-0000253F0000}"/>
    <cellStyle name="Normal 198 3 4 2" xfId="16166" xr:uid="{00000000-0005-0000-0000-0000263F0000}"/>
    <cellStyle name="Normal 198 3 4 2 2" xfId="16167" xr:uid="{00000000-0005-0000-0000-0000273F0000}"/>
    <cellStyle name="Normal 198 3 4 3" xfId="16168" xr:uid="{00000000-0005-0000-0000-0000283F0000}"/>
    <cellStyle name="Normal 198 3 5" xfId="16169" xr:uid="{00000000-0005-0000-0000-0000293F0000}"/>
    <cellStyle name="Normal 198 4" xfId="16170" xr:uid="{00000000-0005-0000-0000-00002A3F0000}"/>
    <cellStyle name="Normal 198 4 2" xfId="16171" xr:uid="{00000000-0005-0000-0000-00002B3F0000}"/>
    <cellStyle name="Normal 198 4 2 2" xfId="16172" xr:uid="{00000000-0005-0000-0000-00002C3F0000}"/>
    <cellStyle name="Normal 198 4 2 2 2" xfId="16173" xr:uid="{00000000-0005-0000-0000-00002D3F0000}"/>
    <cellStyle name="Normal 198 4 2 3" xfId="16174" xr:uid="{00000000-0005-0000-0000-00002E3F0000}"/>
    <cellStyle name="Normal 198 4 2 3 2" xfId="16175" xr:uid="{00000000-0005-0000-0000-00002F3F0000}"/>
    <cellStyle name="Normal 198 4 2 3 2 2" xfId="16176" xr:uid="{00000000-0005-0000-0000-0000303F0000}"/>
    <cellStyle name="Normal 198 4 2 3 3" xfId="16177" xr:uid="{00000000-0005-0000-0000-0000313F0000}"/>
    <cellStyle name="Normal 198 4 2 4" xfId="16178" xr:uid="{00000000-0005-0000-0000-0000323F0000}"/>
    <cellStyle name="Normal 198 4 3" xfId="16179" xr:uid="{00000000-0005-0000-0000-0000333F0000}"/>
    <cellStyle name="Normal 198 4 3 2" xfId="16180" xr:uid="{00000000-0005-0000-0000-0000343F0000}"/>
    <cellStyle name="Normal 198 4 3 2 2" xfId="16181" xr:uid="{00000000-0005-0000-0000-0000353F0000}"/>
    <cellStyle name="Normal 198 4 3 3" xfId="16182" xr:uid="{00000000-0005-0000-0000-0000363F0000}"/>
    <cellStyle name="Normal 198 4 4" xfId="16183" xr:uid="{00000000-0005-0000-0000-0000373F0000}"/>
    <cellStyle name="Normal 198 4 4 2" xfId="16184" xr:uid="{00000000-0005-0000-0000-0000383F0000}"/>
    <cellStyle name="Normal 198 4 4 2 2" xfId="16185" xr:uid="{00000000-0005-0000-0000-0000393F0000}"/>
    <cellStyle name="Normal 198 4 4 3" xfId="16186" xr:uid="{00000000-0005-0000-0000-00003A3F0000}"/>
    <cellStyle name="Normal 198 4 5" xfId="16187" xr:uid="{00000000-0005-0000-0000-00003B3F0000}"/>
    <cellStyle name="Normal 198 4 5 2" xfId="16188" xr:uid="{00000000-0005-0000-0000-00003C3F0000}"/>
    <cellStyle name="Normal 198 4 5 2 2" xfId="16189" xr:uid="{00000000-0005-0000-0000-00003D3F0000}"/>
    <cellStyle name="Normal 198 4 5 3" xfId="16190" xr:uid="{00000000-0005-0000-0000-00003E3F0000}"/>
    <cellStyle name="Normal 198 4 6" xfId="16191" xr:uid="{00000000-0005-0000-0000-00003F3F0000}"/>
    <cellStyle name="Normal 198 5" xfId="16192" xr:uid="{00000000-0005-0000-0000-0000403F0000}"/>
    <cellStyle name="Normal 198 5 2" xfId="16193" xr:uid="{00000000-0005-0000-0000-0000413F0000}"/>
    <cellStyle name="Normal 198 5 2 2" xfId="16194" xr:uid="{00000000-0005-0000-0000-0000423F0000}"/>
    <cellStyle name="Normal 198 5 3" xfId="16195" xr:uid="{00000000-0005-0000-0000-0000433F0000}"/>
    <cellStyle name="Normal 198 6" xfId="16196" xr:uid="{00000000-0005-0000-0000-0000443F0000}"/>
    <cellStyle name="Normal 198 6 2" xfId="16197" xr:uid="{00000000-0005-0000-0000-0000453F0000}"/>
    <cellStyle name="Normal 198 6 2 2" xfId="16198" xr:uid="{00000000-0005-0000-0000-0000463F0000}"/>
    <cellStyle name="Normal 198 6 3" xfId="16199" xr:uid="{00000000-0005-0000-0000-0000473F0000}"/>
    <cellStyle name="Normal 198 7" xfId="16200" xr:uid="{00000000-0005-0000-0000-0000483F0000}"/>
    <cellStyle name="Normal 198 7 2" xfId="16201" xr:uid="{00000000-0005-0000-0000-0000493F0000}"/>
    <cellStyle name="Normal 198 7 2 2" xfId="16202" xr:uid="{00000000-0005-0000-0000-00004A3F0000}"/>
    <cellStyle name="Normal 198 7 3" xfId="16203" xr:uid="{00000000-0005-0000-0000-00004B3F0000}"/>
    <cellStyle name="Normal 198 8" xfId="16204" xr:uid="{00000000-0005-0000-0000-00004C3F0000}"/>
    <cellStyle name="Normal 199" xfId="16205" xr:uid="{00000000-0005-0000-0000-00004D3F0000}"/>
    <cellStyle name="Normal 199 2" xfId="16206" xr:uid="{00000000-0005-0000-0000-00004E3F0000}"/>
    <cellStyle name="Normal 199 2 2" xfId="16207" xr:uid="{00000000-0005-0000-0000-00004F3F0000}"/>
    <cellStyle name="Normal 199 2 2 2" xfId="16208" xr:uid="{00000000-0005-0000-0000-0000503F0000}"/>
    <cellStyle name="Normal 199 2 2 2 2" xfId="16209" xr:uid="{00000000-0005-0000-0000-0000513F0000}"/>
    <cellStyle name="Normal 199 2 2 3" xfId="16210" xr:uid="{00000000-0005-0000-0000-0000523F0000}"/>
    <cellStyle name="Normal 199 2 2 3 2" xfId="16211" xr:uid="{00000000-0005-0000-0000-0000533F0000}"/>
    <cellStyle name="Normal 199 2 2 3 2 2" xfId="16212" xr:uid="{00000000-0005-0000-0000-0000543F0000}"/>
    <cellStyle name="Normal 199 2 2 3 3" xfId="16213" xr:uid="{00000000-0005-0000-0000-0000553F0000}"/>
    <cellStyle name="Normal 199 2 2 4" xfId="16214" xr:uid="{00000000-0005-0000-0000-0000563F0000}"/>
    <cellStyle name="Normal 199 2 2 4 2" xfId="16215" xr:uid="{00000000-0005-0000-0000-0000573F0000}"/>
    <cellStyle name="Normal 199 2 2 4 2 2" xfId="16216" xr:uid="{00000000-0005-0000-0000-0000583F0000}"/>
    <cellStyle name="Normal 199 2 2 4 3" xfId="16217" xr:uid="{00000000-0005-0000-0000-0000593F0000}"/>
    <cellStyle name="Normal 199 2 2 5" xfId="16218" xr:uid="{00000000-0005-0000-0000-00005A3F0000}"/>
    <cellStyle name="Normal 199 2 3" xfId="16219" xr:uid="{00000000-0005-0000-0000-00005B3F0000}"/>
    <cellStyle name="Normal 199 2 3 2" xfId="16220" xr:uid="{00000000-0005-0000-0000-00005C3F0000}"/>
    <cellStyle name="Normal 199 2 3 2 2" xfId="16221" xr:uid="{00000000-0005-0000-0000-00005D3F0000}"/>
    <cellStyle name="Normal 199 2 3 2 2 2" xfId="16222" xr:uid="{00000000-0005-0000-0000-00005E3F0000}"/>
    <cellStyle name="Normal 199 2 3 2 3" xfId="16223" xr:uid="{00000000-0005-0000-0000-00005F3F0000}"/>
    <cellStyle name="Normal 199 2 3 2 3 2" xfId="16224" xr:uid="{00000000-0005-0000-0000-0000603F0000}"/>
    <cellStyle name="Normal 199 2 3 2 3 2 2" xfId="16225" xr:uid="{00000000-0005-0000-0000-0000613F0000}"/>
    <cellStyle name="Normal 199 2 3 2 3 3" xfId="16226" xr:uid="{00000000-0005-0000-0000-0000623F0000}"/>
    <cellStyle name="Normal 199 2 3 2 4" xfId="16227" xr:uid="{00000000-0005-0000-0000-0000633F0000}"/>
    <cellStyle name="Normal 199 2 3 3" xfId="16228" xr:uid="{00000000-0005-0000-0000-0000643F0000}"/>
    <cellStyle name="Normal 199 2 3 3 2" xfId="16229" xr:uid="{00000000-0005-0000-0000-0000653F0000}"/>
    <cellStyle name="Normal 199 2 3 3 2 2" xfId="16230" xr:uid="{00000000-0005-0000-0000-0000663F0000}"/>
    <cellStyle name="Normal 199 2 3 3 3" xfId="16231" xr:uid="{00000000-0005-0000-0000-0000673F0000}"/>
    <cellStyle name="Normal 199 2 3 4" xfId="16232" xr:uid="{00000000-0005-0000-0000-0000683F0000}"/>
    <cellStyle name="Normal 199 2 3 4 2" xfId="16233" xr:uid="{00000000-0005-0000-0000-0000693F0000}"/>
    <cellStyle name="Normal 199 2 3 4 2 2" xfId="16234" xr:uid="{00000000-0005-0000-0000-00006A3F0000}"/>
    <cellStyle name="Normal 199 2 3 4 3" xfId="16235" xr:uid="{00000000-0005-0000-0000-00006B3F0000}"/>
    <cellStyle name="Normal 199 2 3 5" xfId="16236" xr:uid="{00000000-0005-0000-0000-00006C3F0000}"/>
    <cellStyle name="Normal 199 2 3 5 2" xfId="16237" xr:uid="{00000000-0005-0000-0000-00006D3F0000}"/>
    <cellStyle name="Normal 199 2 3 5 2 2" xfId="16238" xr:uid="{00000000-0005-0000-0000-00006E3F0000}"/>
    <cellStyle name="Normal 199 2 3 5 3" xfId="16239" xr:uid="{00000000-0005-0000-0000-00006F3F0000}"/>
    <cellStyle name="Normal 199 2 3 6" xfId="16240" xr:uid="{00000000-0005-0000-0000-0000703F0000}"/>
    <cellStyle name="Normal 199 2 4" xfId="16241" xr:uid="{00000000-0005-0000-0000-0000713F0000}"/>
    <cellStyle name="Normal 199 2 4 2" xfId="16242" xr:uid="{00000000-0005-0000-0000-0000723F0000}"/>
    <cellStyle name="Normal 199 2 4 2 2" xfId="16243" xr:uid="{00000000-0005-0000-0000-0000733F0000}"/>
    <cellStyle name="Normal 199 2 4 3" xfId="16244" xr:uid="{00000000-0005-0000-0000-0000743F0000}"/>
    <cellStyle name="Normal 199 2 5" xfId="16245" xr:uid="{00000000-0005-0000-0000-0000753F0000}"/>
    <cellStyle name="Normal 199 2 5 2" xfId="16246" xr:uid="{00000000-0005-0000-0000-0000763F0000}"/>
    <cellStyle name="Normal 199 2 5 2 2" xfId="16247" xr:uid="{00000000-0005-0000-0000-0000773F0000}"/>
    <cellStyle name="Normal 199 2 5 3" xfId="16248" xr:uid="{00000000-0005-0000-0000-0000783F0000}"/>
    <cellStyle name="Normal 199 2 6" xfId="16249" xr:uid="{00000000-0005-0000-0000-0000793F0000}"/>
    <cellStyle name="Normal 199 2 6 2" xfId="16250" xr:uid="{00000000-0005-0000-0000-00007A3F0000}"/>
    <cellStyle name="Normal 199 2 6 2 2" xfId="16251" xr:uid="{00000000-0005-0000-0000-00007B3F0000}"/>
    <cellStyle name="Normal 199 2 6 3" xfId="16252" xr:uid="{00000000-0005-0000-0000-00007C3F0000}"/>
    <cellStyle name="Normal 199 2 7" xfId="16253" xr:uid="{00000000-0005-0000-0000-00007D3F0000}"/>
    <cellStyle name="Normal 199 3" xfId="16254" xr:uid="{00000000-0005-0000-0000-00007E3F0000}"/>
    <cellStyle name="Normal 199 3 2" xfId="16255" xr:uid="{00000000-0005-0000-0000-00007F3F0000}"/>
    <cellStyle name="Normal 199 3 2 2" xfId="16256" xr:uid="{00000000-0005-0000-0000-0000803F0000}"/>
    <cellStyle name="Normal 199 3 3" xfId="16257" xr:uid="{00000000-0005-0000-0000-0000813F0000}"/>
    <cellStyle name="Normal 199 3 3 2" xfId="16258" xr:uid="{00000000-0005-0000-0000-0000823F0000}"/>
    <cellStyle name="Normal 199 3 3 2 2" xfId="16259" xr:uid="{00000000-0005-0000-0000-0000833F0000}"/>
    <cellStyle name="Normal 199 3 3 3" xfId="16260" xr:uid="{00000000-0005-0000-0000-0000843F0000}"/>
    <cellStyle name="Normal 199 3 4" xfId="16261" xr:uid="{00000000-0005-0000-0000-0000853F0000}"/>
    <cellStyle name="Normal 199 3 4 2" xfId="16262" xr:uid="{00000000-0005-0000-0000-0000863F0000}"/>
    <cellStyle name="Normal 199 3 4 2 2" xfId="16263" xr:uid="{00000000-0005-0000-0000-0000873F0000}"/>
    <cellStyle name="Normal 199 3 4 3" xfId="16264" xr:uid="{00000000-0005-0000-0000-0000883F0000}"/>
    <cellStyle name="Normal 199 3 5" xfId="16265" xr:uid="{00000000-0005-0000-0000-0000893F0000}"/>
    <cellStyle name="Normal 199 4" xfId="16266" xr:uid="{00000000-0005-0000-0000-00008A3F0000}"/>
    <cellStyle name="Normal 199 4 2" xfId="16267" xr:uid="{00000000-0005-0000-0000-00008B3F0000}"/>
    <cellStyle name="Normal 199 4 2 2" xfId="16268" xr:uid="{00000000-0005-0000-0000-00008C3F0000}"/>
    <cellStyle name="Normal 199 4 2 2 2" xfId="16269" xr:uid="{00000000-0005-0000-0000-00008D3F0000}"/>
    <cellStyle name="Normal 199 4 2 3" xfId="16270" xr:uid="{00000000-0005-0000-0000-00008E3F0000}"/>
    <cellStyle name="Normal 199 4 2 3 2" xfId="16271" xr:uid="{00000000-0005-0000-0000-00008F3F0000}"/>
    <cellStyle name="Normal 199 4 2 3 2 2" xfId="16272" xr:uid="{00000000-0005-0000-0000-0000903F0000}"/>
    <cellStyle name="Normal 199 4 2 3 3" xfId="16273" xr:uid="{00000000-0005-0000-0000-0000913F0000}"/>
    <cellStyle name="Normal 199 4 2 4" xfId="16274" xr:uid="{00000000-0005-0000-0000-0000923F0000}"/>
    <cellStyle name="Normal 199 4 3" xfId="16275" xr:uid="{00000000-0005-0000-0000-0000933F0000}"/>
    <cellStyle name="Normal 199 4 3 2" xfId="16276" xr:uid="{00000000-0005-0000-0000-0000943F0000}"/>
    <cellStyle name="Normal 199 4 3 2 2" xfId="16277" xr:uid="{00000000-0005-0000-0000-0000953F0000}"/>
    <cellStyle name="Normal 199 4 3 3" xfId="16278" xr:uid="{00000000-0005-0000-0000-0000963F0000}"/>
    <cellStyle name="Normal 199 4 4" xfId="16279" xr:uid="{00000000-0005-0000-0000-0000973F0000}"/>
    <cellStyle name="Normal 199 4 4 2" xfId="16280" xr:uid="{00000000-0005-0000-0000-0000983F0000}"/>
    <cellStyle name="Normal 199 4 4 2 2" xfId="16281" xr:uid="{00000000-0005-0000-0000-0000993F0000}"/>
    <cellStyle name="Normal 199 4 4 3" xfId="16282" xr:uid="{00000000-0005-0000-0000-00009A3F0000}"/>
    <cellStyle name="Normal 199 4 5" xfId="16283" xr:uid="{00000000-0005-0000-0000-00009B3F0000}"/>
    <cellStyle name="Normal 199 4 5 2" xfId="16284" xr:uid="{00000000-0005-0000-0000-00009C3F0000}"/>
    <cellStyle name="Normal 199 4 5 2 2" xfId="16285" xr:uid="{00000000-0005-0000-0000-00009D3F0000}"/>
    <cellStyle name="Normal 199 4 5 3" xfId="16286" xr:uid="{00000000-0005-0000-0000-00009E3F0000}"/>
    <cellStyle name="Normal 199 4 6" xfId="16287" xr:uid="{00000000-0005-0000-0000-00009F3F0000}"/>
    <cellStyle name="Normal 199 5" xfId="16288" xr:uid="{00000000-0005-0000-0000-0000A03F0000}"/>
    <cellStyle name="Normal 199 5 2" xfId="16289" xr:uid="{00000000-0005-0000-0000-0000A13F0000}"/>
    <cellStyle name="Normal 199 5 2 2" xfId="16290" xr:uid="{00000000-0005-0000-0000-0000A23F0000}"/>
    <cellStyle name="Normal 199 5 3" xfId="16291" xr:uid="{00000000-0005-0000-0000-0000A33F0000}"/>
    <cellStyle name="Normal 199 6" xfId="16292" xr:uid="{00000000-0005-0000-0000-0000A43F0000}"/>
    <cellStyle name="Normal 199 6 2" xfId="16293" xr:uid="{00000000-0005-0000-0000-0000A53F0000}"/>
    <cellStyle name="Normal 199 6 2 2" xfId="16294" xr:uid="{00000000-0005-0000-0000-0000A63F0000}"/>
    <cellStyle name="Normal 199 6 3" xfId="16295" xr:uid="{00000000-0005-0000-0000-0000A73F0000}"/>
    <cellStyle name="Normal 199 7" xfId="16296" xr:uid="{00000000-0005-0000-0000-0000A83F0000}"/>
    <cellStyle name="Normal 199 7 2" xfId="16297" xr:uid="{00000000-0005-0000-0000-0000A93F0000}"/>
    <cellStyle name="Normal 199 7 2 2" xfId="16298" xr:uid="{00000000-0005-0000-0000-0000AA3F0000}"/>
    <cellStyle name="Normal 199 7 3" xfId="16299" xr:uid="{00000000-0005-0000-0000-0000AB3F0000}"/>
    <cellStyle name="Normal 199 8" xfId="16300" xr:uid="{00000000-0005-0000-0000-0000AC3F0000}"/>
    <cellStyle name="Normal 2" xfId="11" xr:uid="{00000000-0005-0000-0000-00000B000000}"/>
    <cellStyle name="Normal 2 10" xfId="16301" xr:uid="{00000000-0005-0000-0000-0000AD3F0000}"/>
    <cellStyle name="Normal 2 10 2" xfId="16302" xr:uid="{00000000-0005-0000-0000-0000AE3F0000}"/>
    <cellStyle name="Normal 2 11" xfId="16303" xr:uid="{00000000-0005-0000-0000-0000AF3F0000}"/>
    <cellStyle name="Normal 2 12" xfId="16304" xr:uid="{00000000-0005-0000-0000-0000B03F0000}"/>
    <cellStyle name="Normal 2 13" xfId="16305" xr:uid="{00000000-0005-0000-0000-0000B13F0000}"/>
    <cellStyle name="Normal 2 14" xfId="16306" xr:uid="{00000000-0005-0000-0000-0000B23F0000}"/>
    <cellStyle name="Normal 2 15" xfId="16307" xr:uid="{00000000-0005-0000-0000-0000B33F0000}"/>
    <cellStyle name="Normal 2 2" xfId="16308" xr:uid="{00000000-0005-0000-0000-0000B43F0000}"/>
    <cellStyle name="Normal 2 2 2" xfId="6" xr:uid="{00000000-0005-0000-0000-000006000000}"/>
    <cellStyle name="Normal 2 2 2 2" xfId="16309" xr:uid="{00000000-0005-0000-0000-0000B53F0000}"/>
    <cellStyle name="Normal 2 2 2 2 2" xfId="16310" xr:uid="{00000000-0005-0000-0000-0000B63F0000}"/>
    <cellStyle name="Normal 2 2 2 2 2 2" xfId="16311" xr:uid="{00000000-0005-0000-0000-0000B73F0000}"/>
    <cellStyle name="Normal 2 2 2 2 3" xfId="16312" xr:uid="{00000000-0005-0000-0000-0000B83F0000}"/>
    <cellStyle name="Normal 2 2 2 2 3 2" xfId="16313" xr:uid="{00000000-0005-0000-0000-0000B93F0000}"/>
    <cellStyle name="Normal 2 2 2 2 3 2 2" xfId="16314" xr:uid="{00000000-0005-0000-0000-0000BA3F0000}"/>
    <cellStyle name="Normal 2 2 2 2 3 3" xfId="16315" xr:uid="{00000000-0005-0000-0000-0000BB3F0000}"/>
    <cellStyle name="Normal 2 2 2 2 4" xfId="16316" xr:uid="{00000000-0005-0000-0000-0000BC3F0000}"/>
    <cellStyle name="Normal 2 2 2 2 4 2" xfId="16317" xr:uid="{00000000-0005-0000-0000-0000BD3F0000}"/>
    <cellStyle name="Normal 2 2 2 2 4 2 2" xfId="16318" xr:uid="{00000000-0005-0000-0000-0000BE3F0000}"/>
    <cellStyle name="Normal 2 2 2 2 4 3" xfId="16319" xr:uid="{00000000-0005-0000-0000-0000BF3F0000}"/>
    <cellStyle name="Normal 2 2 2 2 5" xfId="16320" xr:uid="{00000000-0005-0000-0000-0000C03F0000}"/>
    <cellStyle name="Normal 2 2 2 3" xfId="16321" xr:uid="{00000000-0005-0000-0000-0000C13F0000}"/>
    <cellStyle name="Normal 2 2 2 3 2" xfId="16322" xr:uid="{00000000-0005-0000-0000-0000C23F0000}"/>
    <cellStyle name="Normal 2 2 2 3 2 2" xfId="16323" xr:uid="{00000000-0005-0000-0000-0000C33F0000}"/>
    <cellStyle name="Normal 2 2 2 3 2 2 2" xfId="16324" xr:uid="{00000000-0005-0000-0000-0000C43F0000}"/>
    <cellStyle name="Normal 2 2 2 3 2 3" xfId="16325" xr:uid="{00000000-0005-0000-0000-0000C53F0000}"/>
    <cellStyle name="Normal 2 2 2 3 2 3 2" xfId="16326" xr:uid="{00000000-0005-0000-0000-0000C63F0000}"/>
    <cellStyle name="Normal 2 2 2 3 2 3 2 2" xfId="16327" xr:uid="{00000000-0005-0000-0000-0000C73F0000}"/>
    <cellStyle name="Normal 2 2 2 3 2 3 3" xfId="16328" xr:uid="{00000000-0005-0000-0000-0000C83F0000}"/>
    <cellStyle name="Normal 2 2 2 3 2 4" xfId="16329" xr:uid="{00000000-0005-0000-0000-0000C93F0000}"/>
    <cellStyle name="Normal 2 2 2 3 3" xfId="16330" xr:uid="{00000000-0005-0000-0000-0000CA3F0000}"/>
    <cellStyle name="Normal 2 2 2 3 3 2" xfId="16331" xr:uid="{00000000-0005-0000-0000-0000CB3F0000}"/>
    <cellStyle name="Normal 2 2 2 3 3 2 2" xfId="16332" xr:uid="{00000000-0005-0000-0000-0000CC3F0000}"/>
    <cellStyle name="Normal 2 2 2 3 3 3" xfId="16333" xr:uid="{00000000-0005-0000-0000-0000CD3F0000}"/>
    <cellStyle name="Normal 2 2 2 3 4" xfId="16334" xr:uid="{00000000-0005-0000-0000-0000CE3F0000}"/>
    <cellStyle name="Normal 2 2 2 3 4 2" xfId="16335" xr:uid="{00000000-0005-0000-0000-0000CF3F0000}"/>
    <cellStyle name="Normal 2 2 2 3 4 2 2" xfId="16336" xr:uid="{00000000-0005-0000-0000-0000D03F0000}"/>
    <cellStyle name="Normal 2 2 2 3 4 3" xfId="16337" xr:uid="{00000000-0005-0000-0000-0000D13F0000}"/>
    <cellStyle name="Normal 2 2 2 3 5" xfId="16338" xr:uid="{00000000-0005-0000-0000-0000D23F0000}"/>
    <cellStyle name="Normal 2 2 2 3 5 2" xfId="16339" xr:uid="{00000000-0005-0000-0000-0000D33F0000}"/>
    <cellStyle name="Normal 2 2 2 3 5 2 2" xfId="16340" xr:uid="{00000000-0005-0000-0000-0000D43F0000}"/>
    <cellStyle name="Normal 2 2 2 3 5 3" xfId="16341" xr:uid="{00000000-0005-0000-0000-0000D53F0000}"/>
    <cellStyle name="Normal 2 2 2 3 6" xfId="16342" xr:uid="{00000000-0005-0000-0000-0000D63F0000}"/>
    <cellStyle name="Normal 2 2 2 4" xfId="16343" xr:uid="{00000000-0005-0000-0000-0000D73F0000}"/>
    <cellStyle name="Normal 2 2 2 4 2" xfId="16344" xr:uid="{00000000-0005-0000-0000-0000D83F0000}"/>
    <cellStyle name="Normal 2 2 2 4 2 2" xfId="16345" xr:uid="{00000000-0005-0000-0000-0000D93F0000}"/>
    <cellStyle name="Normal 2 2 2 4 3" xfId="16346" xr:uid="{00000000-0005-0000-0000-0000DA3F0000}"/>
    <cellStyle name="Normal 2 2 2 5" xfId="16347" xr:uid="{00000000-0005-0000-0000-0000DB3F0000}"/>
    <cellStyle name="Normal 2 2 2 5 2" xfId="16348" xr:uid="{00000000-0005-0000-0000-0000DC3F0000}"/>
    <cellStyle name="Normal 2 2 2 5 2 2" xfId="16349" xr:uid="{00000000-0005-0000-0000-0000DD3F0000}"/>
    <cellStyle name="Normal 2 2 2 5 3" xfId="16350" xr:uid="{00000000-0005-0000-0000-0000DE3F0000}"/>
    <cellStyle name="Normal 2 2 2 6" xfId="16351" xr:uid="{00000000-0005-0000-0000-0000DF3F0000}"/>
    <cellStyle name="Normal 2 2 2 6 2" xfId="16352" xr:uid="{00000000-0005-0000-0000-0000E03F0000}"/>
    <cellStyle name="Normal 2 2 2 6 2 2" xfId="16353" xr:uid="{00000000-0005-0000-0000-0000E13F0000}"/>
    <cellStyle name="Normal 2 2 2 6 3" xfId="16354" xr:uid="{00000000-0005-0000-0000-0000E23F0000}"/>
    <cellStyle name="Normal 2 2 2 7" xfId="16355" xr:uid="{00000000-0005-0000-0000-0000E33F0000}"/>
    <cellStyle name="Normal 2 2 3" xfId="16356" xr:uid="{00000000-0005-0000-0000-0000E43F0000}"/>
    <cellStyle name="Normal 2 2 3 2" xfId="16357" xr:uid="{00000000-0005-0000-0000-0000E53F0000}"/>
    <cellStyle name="Normal 2 2 3 2 2" xfId="16358" xr:uid="{00000000-0005-0000-0000-0000E63F0000}"/>
    <cellStyle name="Normal 2 2 3 2 2 2" xfId="16359" xr:uid="{00000000-0005-0000-0000-0000E73F0000}"/>
    <cellStyle name="Normal 2 2 3 2 3" xfId="16360" xr:uid="{00000000-0005-0000-0000-0000E83F0000}"/>
    <cellStyle name="Normal 2 2 3 2 3 2" xfId="16361" xr:uid="{00000000-0005-0000-0000-0000E93F0000}"/>
    <cellStyle name="Normal 2 2 3 2 3 2 2" xfId="16362" xr:uid="{00000000-0005-0000-0000-0000EA3F0000}"/>
    <cellStyle name="Normal 2 2 3 2 3 3" xfId="16363" xr:uid="{00000000-0005-0000-0000-0000EB3F0000}"/>
    <cellStyle name="Normal 2 2 3 2 4" xfId="16364" xr:uid="{00000000-0005-0000-0000-0000EC3F0000}"/>
    <cellStyle name="Normal 2 2 3 2 4 2" xfId="16365" xr:uid="{00000000-0005-0000-0000-0000ED3F0000}"/>
    <cellStyle name="Normal 2 2 3 2 4 2 2" xfId="16366" xr:uid="{00000000-0005-0000-0000-0000EE3F0000}"/>
    <cellStyle name="Normal 2 2 3 2 4 3" xfId="16367" xr:uid="{00000000-0005-0000-0000-0000EF3F0000}"/>
    <cellStyle name="Normal 2 2 3 2 5" xfId="16368" xr:uid="{00000000-0005-0000-0000-0000F03F0000}"/>
    <cellStyle name="Normal 2 2 3 3" xfId="16369" xr:uid="{00000000-0005-0000-0000-0000F13F0000}"/>
    <cellStyle name="Normal 2 2 3 3 2" xfId="16370" xr:uid="{00000000-0005-0000-0000-0000F23F0000}"/>
    <cellStyle name="Normal 2 2 3 3 2 2" xfId="16371" xr:uid="{00000000-0005-0000-0000-0000F33F0000}"/>
    <cellStyle name="Normal 2 2 3 3 2 2 2" xfId="16372" xr:uid="{00000000-0005-0000-0000-0000F43F0000}"/>
    <cellStyle name="Normal 2 2 3 3 2 3" xfId="16373" xr:uid="{00000000-0005-0000-0000-0000F53F0000}"/>
    <cellStyle name="Normal 2 2 3 3 2 3 2" xfId="16374" xr:uid="{00000000-0005-0000-0000-0000F63F0000}"/>
    <cellStyle name="Normal 2 2 3 3 2 3 2 2" xfId="16375" xr:uid="{00000000-0005-0000-0000-0000F73F0000}"/>
    <cellStyle name="Normal 2 2 3 3 2 3 3" xfId="16376" xr:uid="{00000000-0005-0000-0000-0000F83F0000}"/>
    <cellStyle name="Normal 2 2 3 3 2 4" xfId="16377" xr:uid="{00000000-0005-0000-0000-0000F93F0000}"/>
    <cellStyle name="Normal 2 2 3 3 3" xfId="16378" xr:uid="{00000000-0005-0000-0000-0000FA3F0000}"/>
    <cellStyle name="Normal 2 2 3 4" xfId="16379" xr:uid="{00000000-0005-0000-0000-0000FB3F0000}"/>
    <cellStyle name="Normal 2 2 3 4 2" xfId="16380" xr:uid="{00000000-0005-0000-0000-0000FC3F0000}"/>
    <cellStyle name="Normal 2 2 3 4 2 2" xfId="16381" xr:uid="{00000000-0005-0000-0000-0000FD3F0000}"/>
    <cellStyle name="Normal 2 2 3 4 3" xfId="16382" xr:uid="{00000000-0005-0000-0000-0000FE3F0000}"/>
    <cellStyle name="Normal 2 2 3 5" xfId="16383" xr:uid="{00000000-0005-0000-0000-0000FF3F0000}"/>
    <cellStyle name="Normal 2 2 3 5 2" xfId="16384" xr:uid="{00000000-0005-0000-0000-000000400000}"/>
    <cellStyle name="Normal 2 2 3 5 2 2" xfId="16385" xr:uid="{00000000-0005-0000-0000-000001400000}"/>
    <cellStyle name="Normal 2 2 3 5 3" xfId="16386" xr:uid="{00000000-0005-0000-0000-000002400000}"/>
    <cellStyle name="Normal 2 2 3 6" xfId="16387" xr:uid="{00000000-0005-0000-0000-000003400000}"/>
    <cellStyle name="Normal 2 2 4" xfId="16388" xr:uid="{00000000-0005-0000-0000-000004400000}"/>
    <cellStyle name="Normal 2 2 4 2" xfId="16389" xr:uid="{00000000-0005-0000-0000-000005400000}"/>
    <cellStyle name="Normal 2 2 4 2 2" xfId="16390" xr:uid="{00000000-0005-0000-0000-000006400000}"/>
    <cellStyle name="Normal 2 2 4 2 2 2" xfId="16391" xr:uid="{00000000-0005-0000-0000-000007400000}"/>
    <cellStyle name="Normal 2 2 4 2 3" xfId="16392" xr:uid="{00000000-0005-0000-0000-000008400000}"/>
    <cellStyle name="Normal 2 2 4 2 3 2" xfId="16393" xr:uid="{00000000-0005-0000-0000-000009400000}"/>
    <cellStyle name="Normal 2 2 4 2 3 2 2" xfId="16394" xr:uid="{00000000-0005-0000-0000-00000A400000}"/>
    <cellStyle name="Normal 2 2 4 2 3 3" xfId="16395" xr:uid="{00000000-0005-0000-0000-00000B400000}"/>
    <cellStyle name="Normal 2 2 4 2 4" xfId="16396" xr:uid="{00000000-0005-0000-0000-00000C400000}"/>
    <cellStyle name="Normal 2 2 4 2 4 2" xfId="16397" xr:uid="{00000000-0005-0000-0000-00000D400000}"/>
    <cellStyle name="Normal 2 2 4 2 4 2 2" xfId="16398" xr:uid="{00000000-0005-0000-0000-00000E400000}"/>
    <cellStyle name="Normal 2 2 4 2 4 3" xfId="16399" xr:uid="{00000000-0005-0000-0000-00000F400000}"/>
    <cellStyle name="Normal 2 2 4 2 5" xfId="16400" xr:uid="{00000000-0005-0000-0000-000010400000}"/>
    <cellStyle name="Normal 2 2 4 3" xfId="16401" xr:uid="{00000000-0005-0000-0000-000011400000}"/>
    <cellStyle name="Normal 2 2 4 3 2" xfId="16402" xr:uid="{00000000-0005-0000-0000-000012400000}"/>
    <cellStyle name="Normal 2 2 4 3 2 2" xfId="16403" xr:uid="{00000000-0005-0000-0000-000013400000}"/>
    <cellStyle name="Normal 2 2 4 3 2 2 2" xfId="16404" xr:uid="{00000000-0005-0000-0000-000014400000}"/>
    <cellStyle name="Normal 2 2 4 3 2 3" xfId="16405" xr:uid="{00000000-0005-0000-0000-000015400000}"/>
    <cellStyle name="Normal 2 2 4 3 2 3 2" xfId="16406" xr:uid="{00000000-0005-0000-0000-000016400000}"/>
    <cellStyle name="Normal 2 2 4 3 2 3 2 2" xfId="16407" xr:uid="{00000000-0005-0000-0000-000017400000}"/>
    <cellStyle name="Normal 2 2 4 3 2 3 3" xfId="16408" xr:uid="{00000000-0005-0000-0000-000018400000}"/>
    <cellStyle name="Normal 2 2 4 3 2 4" xfId="16409" xr:uid="{00000000-0005-0000-0000-000019400000}"/>
    <cellStyle name="Normal 2 2 4 3 3" xfId="16410" xr:uid="{00000000-0005-0000-0000-00001A400000}"/>
    <cellStyle name="Normal 2 2 4 3 3 2" xfId="16411" xr:uid="{00000000-0005-0000-0000-00001B400000}"/>
    <cellStyle name="Normal 2 2 4 3 3 2 2" xfId="16412" xr:uid="{00000000-0005-0000-0000-00001C400000}"/>
    <cellStyle name="Normal 2 2 4 3 3 3" xfId="16413" xr:uid="{00000000-0005-0000-0000-00001D400000}"/>
    <cellStyle name="Normal 2 2 4 3 4" xfId="16414" xr:uid="{00000000-0005-0000-0000-00001E400000}"/>
    <cellStyle name="Normal 2 2 4 3 4 2" xfId="16415" xr:uid="{00000000-0005-0000-0000-00001F400000}"/>
    <cellStyle name="Normal 2 2 4 3 4 2 2" xfId="16416" xr:uid="{00000000-0005-0000-0000-000020400000}"/>
    <cellStyle name="Normal 2 2 4 3 4 3" xfId="16417" xr:uid="{00000000-0005-0000-0000-000021400000}"/>
    <cellStyle name="Normal 2 2 4 3 5" xfId="16418" xr:uid="{00000000-0005-0000-0000-000022400000}"/>
    <cellStyle name="Normal 2 2 4 3 5 2" xfId="16419" xr:uid="{00000000-0005-0000-0000-000023400000}"/>
    <cellStyle name="Normal 2 2 4 3 5 2 2" xfId="16420" xr:uid="{00000000-0005-0000-0000-000024400000}"/>
    <cellStyle name="Normal 2 2 4 3 5 3" xfId="16421" xr:uid="{00000000-0005-0000-0000-000025400000}"/>
    <cellStyle name="Normal 2 2 4 3 6" xfId="16422" xr:uid="{00000000-0005-0000-0000-000026400000}"/>
    <cellStyle name="Normal 2 2 4 4" xfId="16423" xr:uid="{00000000-0005-0000-0000-000027400000}"/>
    <cellStyle name="Normal 2 2 5" xfId="16424" xr:uid="{00000000-0005-0000-0000-000028400000}"/>
    <cellStyle name="Normal 2 2 5 2" xfId="16425" xr:uid="{00000000-0005-0000-0000-000029400000}"/>
    <cellStyle name="Normal 2 2 5 2 2" xfId="16426" xr:uid="{00000000-0005-0000-0000-00002A400000}"/>
    <cellStyle name="Normal 2 2 5 3" xfId="16427" xr:uid="{00000000-0005-0000-0000-00002B400000}"/>
    <cellStyle name="Normal 2 2 5 3 2" xfId="16428" xr:uid="{00000000-0005-0000-0000-00002C400000}"/>
    <cellStyle name="Normal 2 2 5 3 2 2" xfId="16429" xr:uid="{00000000-0005-0000-0000-00002D400000}"/>
    <cellStyle name="Normal 2 2 5 3 3" xfId="16430" xr:uid="{00000000-0005-0000-0000-00002E400000}"/>
    <cellStyle name="Normal 2 2 5 4" xfId="16431" xr:uid="{00000000-0005-0000-0000-00002F400000}"/>
    <cellStyle name="Normal 2 2 5 4 2" xfId="16432" xr:uid="{00000000-0005-0000-0000-000030400000}"/>
    <cellStyle name="Normal 2 2 5 4 2 2" xfId="16433" xr:uid="{00000000-0005-0000-0000-000031400000}"/>
    <cellStyle name="Normal 2 2 5 4 3" xfId="16434" xr:uid="{00000000-0005-0000-0000-000032400000}"/>
    <cellStyle name="Normal 2 2 5 5" xfId="16435" xr:uid="{00000000-0005-0000-0000-000033400000}"/>
    <cellStyle name="Normal 2 2 6" xfId="16436" xr:uid="{00000000-0005-0000-0000-000034400000}"/>
    <cellStyle name="Normal 2 2 6 2" xfId="16437" xr:uid="{00000000-0005-0000-0000-000035400000}"/>
    <cellStyle name="Normal 2 2 6 2 2" xfId="16438" xr:uid="{00000000-0005-0000-0000-000036400000}"/>
    <cellStyle name="Normal 2 2 6 2 2 2" xfId="16439" xr:uid="{00000000-0005-0000-0000-000037400000}"/>
    <cellStyle name="Normal 2 2 6 2 3" xfId="16440" xr:uid="{00000000-0005-0000-0000-000038400000}"/>
    <cellStyle name="Normal 2 2 6 2 3 2" xfId="16441" xr:uid="{00000000-0005-0000-0000-000039400000}"/>
    <cellStyle name="Normal 2 2 6 2 3 2 2" xfId="16442" xr:uid="{00000000-0005-0000-0000-00003A400000}"/>
    <cellStyle name="Normal 2 2 6 2 3 3" xfId="16443" xr:uid="{00000000-0005-0000-0000-00003B400000}"/>
    <cellStyle name="Normal 2 2 6 2 4" xfId="16444" xr:uid="{00000000-0005-0000-0000-00003C400000}"/>
    <cellStyle name="Normal 2 2 6 3" xfId="16445" xr:uid="{00000000-0005-0000-0000-00003D400000}"/>
    <cellStyle name="Normal 2 2 6 3 2" xfId="16446" xr:uid="{00000000-0005-0000-0000-00003E400000}"/>
    <cellStyle name="Normal 2 2 6 3 2 2" xfId="16447" xr:uid="{00000000-0005-0000-0000-00003F400000}"/>
    <cellStyle name="Normal 2 2 6 3 3" xfId="16448" xr:uid="{00000000-0005-0000-0000-000040400000}"/>
    <cellStyle name="Normal 2 2 6 4" xfId="16449" xr:uid="{00000000-0005-0000-0000-000041400000}"/>
    <cellStyle name="Normal 2 2 6 4 2" xfId="16450" xr:uid="{00000000-0005-0000-0000-000042400000}"/>
    <cellStyle name="Normal 2 2 6 4 2 2" xfId="16451" xr:uid="{00000000-0005-0000-0000-000043400000}"/>
    <cellStyle name="Normal 2 2 6 4 3" xfId="16452" xr:uid="{00000000-0005-0000-0000-000044400000}"/>
    <cellStyle name="Normal 2 2 6 5" xfId="16453" xr:uid="{00000000-0005-0000-0000-000045400000}"/>
    <cellStyle name="Normal 2 2 6 5 2" xfId="16454" xr:uid="{00000000-0005-0000-0000-000046400000}"/>
    <cellStyle name="Normal 2 2 6 5 2 2" xfId="16455" xr:uid="{00000000-0005-0000-0000-000047400000}"/>
    <cellStyle name="Normal 2 2 6 5 3" xfId="16456" xr:uid="{00000000-0005-0000-0000-000048400000}"/>
    <cellStyle name="Normal 2 2 6 6" xfId="16457" xr:uid="{00000000-0005-0000-0000-000049400000}"/>
    <cellStyle name="Normal 2 2 7" xfId="16458" xr:uid="{00000000-0005-0000-0000-00004A400000}"/>
    <cellStyle name="Normal 2 2 7 2" xfId="16459" xr:uid="{00000000-0005-0000-0000-00004B400000}"/>
    <cellStyle name="Normal 2 2 7 2 2" xfId="16460" xr:uid="{00000000-0005-0000-0000-00004C400000}"/>
    <cellStyle name="Normal 2 2 7 3" xfId="16461" xr:uid="{00000000-0005-0000-0000-00004D400000}"/>
    <cellStyle name="Normal 2 2 8" xfId="16462" xr:uid="{00000000-0005-0000-0000-00004E400000}"/>
    <cellStyle name="Normal 2 2 8 2" xfId="16463" xr:uid="{00000000-0005-0000-0000-00004F400000}"/>
    <cellStyle name="Normal 2 2 9" xfId="16464" xr:uid="{00000000-0005-0000-0000-000050400000}"/>
    <cellStyle name="Normal 2 3" xfId="16465" xr:uid="{00000000-0005-0000-0000-000051400000}"/>
    <cellStyle name="Normal 2 3 2" xfId="16466" xr:uid="{00000000-0005-0000-0000-000052400000}"/>
    <cellStyle name="Normal 2 3 2 2" xfId="16467" xr:uid="{00000000-0005-0000-0000-000053400000}"/>
    <cellStyle name="Normal 2 3 2 2 2" xfId="16468" xr:uid="{00000000-0005-0000-0000-000054400000}"/>
    <cellStyle name="Normal 2 3 2 3" xfId="16469" xr:uid="{00000000-0005-0000-0000-000055400000}"/>
    <cellStyle name="Normal 2 3 2 3 2" xfId="16470" xr:uid="{00000000-0005-0000-0000-000056400000}"/>
    <cellStyle name="Normal 2 3 2 3 2 2" xfId="16471" xr:uid="{00000000-0005-0000-0000-000057400000}"/>
    <cellStyle name="Normal 2 3 2 3 3" xfId="16472" xr:uid="{00000000-0005-0000-0000-000058400000}"/>
    <cellStyle name="Normal 2 3 2 4" xfId="16473" xr:uid="{00000000-0005-0000-0000-000059400000}"/>
    <cellStyle name="Normal 2 3 2 4 2" xfId="16474" xr:uid="{00000000-0005-0000-0000-00005A400000}"/>
    <cellStyle name="Normal 2 3 2 4 2 2" xfId="16475" xr:uid="{00000000-0005-0000-0000-00005B400000}"/>
    <cellStyle name="Normal 2 3 2 4 3" xfId="16476" xr:uid="{00000000-0005-0000-0000-00005C400000}"/>
    <cellStyle name="Normal 2 3 2 5" xfId="16477" xr:uid="{00000000-0005-0000-0000-00005D400000}"/>
    <cellStyle name="Normal 2 3 2 6" xfId="16478" xr:uid="{00000000-0005-0000-0000-00005E400000}"/>
    <cellStyle name="Normal 2 3 3" xfId="16479" xr:uid="{00000000-0005-0000-0000-00005F400000}"/>
    <cellStyle name="Normal 2 3 3 2" xfId="16480" xr:uid="{00000000-0005-0000-0000-000060400000}"/>
    <cellStyle name="Normal 2 3 3 2 2" xfId="16481" xr:uid="{00000000-0005-0000-0000-000061400000}"/>
    <cellStyle name="Normal 2 3 3 2 2 2" xfId="16482" xr:uid="{00000000-0005-0000-0000-000062400000}"/>
    <cellStyle name="Normal 2 3 3 2 3" xfId="16483" xr:uid="{00000000-0005-0000-0000-000063400000}"/>
    <cellStyle name="Normal 2 3 3 2 3 2" xfId="16484" xr:uid="{00000000-0005-0000-0000-000064400000}"/>
    <cellStyle name="Normal 2 3 3 2 3 2 2" xfId="16485" xr:uid="{00000000-0005-0000-0000-000065400000}"/>
    <cellStyle name="Normal 2 3 3 2 3 3" xfId="16486" xr:uid="{00000000-0005-0000-0000-000066400000}"/>
    <cellStyle name="Normal 2 3 3 2 4" xfId="16487" xr:uid="{00000000-0005-0000-0000-000067400000}"/>
    <cellStyle name="Normal 2 3 3 3" xfId="16488" xr:uid="{00000000-0005-0000-0000-000068400000}"/>
    <cellStyle name="Normal 2 3 3 3 2" xfId="16489" xr:uid="{00000000-0005-0000-0000-000069400000}"/>
    <cellStyle name="Normal 2 3 3 3 2 2" xfId="16490" xr:uid="{00000000-0005-0000-0000-00006A400000}"/>
    <cellStyle name="Normal 2 3 3 3 3" xfId="16491" xr:uid="{00000000-0005-0000-0000-00006B400000}"/>
    <cellStyle name="Normal 2 3 3 4" xfId="16492" xr:uid="{00000000-0005-0000-0000-00006C400000}"/>
    <cellStyle name="Normal 2 3 3 4 2" xfId="16493" xr:uid="{00000000-0005-0000-0000-00006D400000}"/>
    <cellStyle name="Normal 2 3 3 4 2 2" xfId="16494" xr:uid="{00000000-0005-0000-0000-00006E400000}"/>
    <cellStyle name="Normal 2 3 3 4 3" xfId="16495" xr:uid="{00000000-0005-0000-0000-00006F400000}"/>
    <cellStyle name="Normal 2 3 3 5" xfId="16496" xr:uid="{00000000-0005-0000-0000-000070400000}"/>
    <cellStyle name="Normal 2 3 3 5 2" xfId="16497" xr:uid="{00000000-0005-0000-0000-000071400000}"/>
    <cellStyle name="Normal 2 3 3 5 2 2" xfId="16498" xr:uid="{00000000-0005-0000-0000-000072400000}"/>
    <cellStyle name="Normal 2 3 3 5 3" xfId="16499" xr:uid="{00000000-0005-0000-0000-000073400000}"/>
    <cellStyle name="Normal 2 3 3 6" xfId="16500" xr:uid="{00000000-0005-0000-0000-000074400000}"/>
    <cellStyle name="Normal 2 3 4" xfId="16501" xr:uid="{00000000-0005-0000-0000-000075400000}"/>
    <cellStyle name="Normal 2 3 4 2" xfId="16502" xr:uid="{00000000-0005-0000-0000-000076400000}"/>
    <cellStyle name="Normal 2 3 4 2 2" xfId="16503" xr:uid="{00000000-0005-0000-0000-000077400000}"/>
    <cellStyle name="Normal 2 3 4 3" xfId="16504" xr:uid="{00000000-0005-0000-0000-000078400000}"/>
    <cellStyle name="Normal 2 3 5" xfId="16505" xr:uid="{00000000-0005-0000-0000-000079400000}"/>
    <cellStyle name="Normal 2 3 5 2" xfId="16506" xr:uid="{00000000-0005-0000-0000-00007A400000}"/>
    <cellStyle name="Normal 2 3 5 2 2" xfId="16507" xr:uid="{00000000-0005-0000-0000-00007B400000}"/>
    <cellStyle name="Normal 2 3 5 3" xfId="16508" xr:uid="{00000000-0005-0000-0000-00007C400000}"/>
    <cellStyle name="Normal 2 3 6" xfId="16509" xr:uid="{00000000-0005-0000-0000-00007D400000}"/>
    <cellStyle name="Normal 2 3 6 2" xfId="16510" xr:uid="{00000000-0005-0000-0000-00007E400000}"/>
    <cellStyle name="Normal 2 3 6 2 2" xfId="16511" xr:uid="{00000000-0005-0000-0000-00007F400000}"/>
    <cellStyle name="Normal 2 3 6 3" xfId="16512" xr:uid="{00000000-0005-0000-0000-000080400000}"/>
    <cellStyle name="Normal 2 3 7" xfId="16513" xr:uid="{00000000-0005-0000-0000-000081400000}"/>
    <cellStyle name="Normal 2 3 7 2" xfId="16514" xr:uid="{00000000-0005-0000-0000-000082400000}"/>
    <cellStyle name="Normal 2 3 8" xfId="16515" xr:uid="{00000000-0005-0000-0000-000083400000}"/>
    <cellStyle name="Normal 2 4" xfId="16516" xr:uid="{00000000-0005-0000-0000-000084400000}"/>
    <cellStyle name="Normal 2 4 2" xfId="16517" xr:uid="{00000000-0005-0000-0000-000085400000}"/>
    <cellStyle name="Normal 2 4 2 2" xfId="16518" xr:uid="{00000000-0005-0000-0000-000086400000}"/>
    <cellStyle name="Normal 2 4 2 2 2" xfId="16519" xr:uid="{00000000-0005-0000-0000-000087400000}"/>
    <cellStyle name="Normal 2 4 2 3" xfId="16520" xr:uid="{00000000-0005-0000-0000-000088400000}"/>
    <cellStyle name="Normal 2 4 2 3 2" xfId="16521" xr:uid="{00000000-0005-0000-0000-000089400000}"/>
    <cellStyle name="Normal 2 4 2 3 2 2" xfId="16522" xr:uid="{00000000-0005-0000-0000-00008A400000}"/>
    <cellStyle name="Normal 2 4 2 3 3" xfId="16523" xr:uid="{00000000-0005-0000-0000-00008B400000}"/>
    <cellStyle name="Normal 2 4 2 4" xfId="16524" xr:uid="{00000000-0005-0000-0000-00008C400000}"/>
    <cellStyle name="Normal 2 4 2 4 2" xfId="16525" xr:uid="{00000000-0005-0000-0000-00008D400000}"/>
    <cellStyle name="Normal 2 4 2 4 2 2" xfId="16526" xr:uid="{00000000-0005-0000-0000-00008E400000}"/>
    <cellStyle name="Normal 2 4 2 4 3" xfId="16527" xr:uid="{00000000-0005-0000-0000-00008F400000}"/>
    <cellStyle name="Normal 2 4 2 5" xfId="16528" xr:uid="{00000000-0005-0000-0000-000090400000}"/>
    <cellStyle name="Normal 2 4 2 6" xfId="16529" xr:uid="{00000000-0005-0000-0000-000091400000}"/>
    <cellStyle name="Normal 2 4 3" xfId="16530" xr:uid="{00000000-0005-0000-0000-000092400000}"/>
    <cellStyle name="Normal 2 4 3 2" xfId="16531" xr:uid="{00000000-0005-0000-0000-000093400000}"/>
    <cellStyle name="Normal 2 4 3 2 2" xfId="16532" xr:uid="{00000000-0005-0000-0000-000094400000}"/>
    <cellStyle name="Normal 2 4 3 2 2 2" xfId="16533" xr:uid="{00000000-0005-0000-0000-000095400000}"/>
    <cellStyle name="Normal 2 4 3 2 3" xfId="16534" xr:uid="{00000000-0005-0000-0000-000096400000}"/>
    <cellStyle name="Normal 2 4 3 2 3 2" xfId="16535" xr:uid="{00000000-0005-0000-0000-000097400000}"/>
    <cellStyle name="Normal 2 4 3 2 3 2 2" xfId="16536" xr:uid="{00000000-0005-0000-0000-000098400000}"/>
    <cellStyle name="Normal 2 4 3 2 3 3" xfId="16537" xr:uid="{00000000-0005-0000-0000-000099400000}"/>
    <cellStyle name="Normal 2 4 3 2 4" xfId="16538" xr:uid="{00000000-0005-0000-0000-00009A400000}"/>
    <cellStyle name="Normal 2 4 3 3" xfId="16539" xr:uid="{00000000-0005-0000-0000-00009B400000}"/>
    <cellStyle name="Normal 2 4 4" xfId="16540" xr:uid="{00000000-0005-0000-0000-00009C400000}"/>
    <cellStyle name="Normal 2 4 4 2" xfId="16541" xr:uid="{00000000-0005-0000-0000-00009D400000}"/>
    <cellStyle name="Normal 2 4 4 2 2" xfId="16542" xr:uid="{00000000-0005-0000-0000-00009E400000}"/>
    <cellStyle name="Normal 2 4 4 3" xfId="16543" xr:uid="{00000000-0005-0000-0000-00009F400000}"/>
    <cellStyle name="Normal 2 4 5" xfId="16544" xr:uid="{00000000-0005-0000-0000-0000A0400000}"/>
    <cellStyle name="Normal 2 4 5 2" xfId="16545" xr:uid="{00000000-0005-0000-0000-0000A1400000}"/>
    <cellStyle name="Normal 2 4 5 2 2" xfId="16546" xr:uid="{00000000-0005-0000-0000-0000A2400000}"/>
    <cellStyle name="Normal 2 4 5 3" xfId="16547" xr:uid="{00000000-0005-0000-0000-0000A3400000}"/>
    <cellStyle name="Normal 2 4 6" xfId="16548" xr:uid="{00000000-0005-0000-0000-0000A4400000}"/>
    <cellStyle name="Normal 2 4 7" xfId="16549" xr:uid="{00000000-0005-0000-0000-0000A5400000}"/>
    <cellStyle name="Normal 2 5" xfId="16550" xr:uid="{00000000-0005-0000-0000-0000A6400000}"/>
    <cellStyle name="Normal 2 5 2" xfId="16551" xr:uid="{00000000-0005-0000-0000-0000A7400000}"/>
    <cellStyle name="Normal 2 5 2 2" xfId="16552" xr:uid="{00000000-0005-0000-0000-0000A8400000}"/>
    <cellStyle name="Normal 2 5 2 2 2" xfId="16553" xr:uid="{00000000-0005-0000-0000-0000A9400000}"/>
    <cellStyle name="Normal 2 5 2 3" xfId="16554" xr:uid="{00000000-0005-0000-0000-0000AA400000}"/>
    <cellStyle name="Normal 2 5 2 3 2" xfId="16555" xr:uid="{00000000-0005-0000-0000-0000AB400000}"/>
    <cellStyle name="Normal 2 5 2 3 2 2" xfId="16556" xr:uid="{00000000-0005-0000-0000-0000AC400000}"/>
    <cellStyle name="Normal 2 5 2 3 3" xfId="16557" xr:uid="{00000000-0005-0000-0000-0000AD400000}"/>
    <cellStyle name="Normal 2 5 2 4" xfId="16558" xr:uid="{00000000-0005-0000-0000-0000AE400000}"/>
    <cellStyle name="Normal 2 5 2 4 2" xfId="16559" xr:uid="{00000000-0005-0000-0000-0000AF400000}"/>
    <cellStyle name="Normal 2 5 2 4 2 2" xfId="16560" xr:uid="{00000000-0005-0000-0000-0000B0400000}"/>
    <cellStyle name="Normal 2 5 2 4 3" xfId="16561" xr:uid="{00000000-0005-0000-0000-0000B1400000}"/>
    <cellStyle name="Normal 2 5 2 5" xfId="16562" xr:uid="{00000000-0005-0000-0000-0000B2400000}"/>
    <cellStyle name="Normal 2 5 3" xfId="16563" xr:uid="{00000000-0005-0000-0000-0000B3400000}"/>
    <cellStyle name="Normal 2 5 3 2" xfId="16564" xr:uid="{00000000-0005-0000-0000-0000B4400000}"/>
    <cellStyle name="Normal 2 5 3 2 2" xfId="16565" xr:uid="{00000000-0005-0000-0000-0000B5400000}"/>
    <cellStyle name="Normal 2 5 3 2 2 2" xfId="16566" xr:uid="{00000000-0005-0000-0000-0000B6400000}"/>
    <cellStyle name="Normal 2 5 3 2 3" xfId="16567" xr:uid="{00000000-0005-0000-0000-0000B7400000}"/>
    <cellStyle name="Normal 2 5 3 2 3 2" xfId="16568" xr:uid="{00000000-0005-0000-0000-0000B8400000}"/>
    <cellStyle name="Normal 2 5 3 2 3 2 2" xfId="16569" xr:uid="{00000000-0005-0000-0000-0000B9400000}"/>
    <cellStyle name="Normal 2 5 3 2 3 3" xfId="16570" xr:uid="{00000000-0005-0000-0000-0000BA400000}"/>
    <cellStyle name="Normal 2 5 3 2 4" xfId="16571" xr:uid="{00000000-0005-0000-0000-0000BB400000}"/>
    <cellStyle name="Normal 2 5 3 3" xfId="16572" xr:uid="{00000000-0005-0000-0000-0000BC400000}"/>
    <cellStyle name="Normal 2 5 4" xfId="16573" xr:uid="{00000000-0005-0000-0000-0000BD400000}"/>
    <cellStyle name="Normal 2 5 4 2" xfId="16574" xr:uid="{00000000-0005-0000-0000-0000BE400000}"/>
    <cellStyle name="Normal 2 5 4 2 2" xfId="16575" xr:uid="{00000000-0005-0000-0000-0000BF400000}"/>
    <cellStyle name="Normal 2 5 4 3" xfId="16576" xr:uid="{00000000-0005-0000-0000-0000C0400000}"/>
    <cellStyle name="Normal 2 5 5" xfId="16577" xr:uid="{00000000-0005-0000-0000-0000C1400000}"/>
    <cellStyle name="Normal 2 5 5 2" xfId="16578" xr:uid="{00000000-0005-0000-0000-0000C2400000}"/>
    <cellStyle name="Normal 2 5 5 2 2" xfId="16579" xr:uid="{00000000-0005-0000-0000-0000C3400000}"/>
    <cellStyle name="Normal 2 5 5 3" xfId="16580" xr:uid="{00000000-0005-0000-0000-0000C4400000}"/>
    <cellStyle name="Normal 2 5 6" xfId="16581" xr:uid="{00000000-0005-0000-0000-0000C5400000}"/>
    <cellStyle name="Normal 2 5 7" xfId="16582" xr:uid="{00000000-0005-0000-0000-0000C6400000}"/>
    <cellStyle name="Normal 2 6" xfId="16583" xr:uid="{00000000-0005-0000-0000-0000C7400000}"/>
    <cellStyle name="Normal 2 6 10" xfId="16584" xr:uid="{00000000-0005-0000-0000-0000C8400000}"/>
    <cellStyle name="Normal 2 6 10 2" xfId="16585" xr:uid="{00000000-0005-0000-0000-0000C9400000}"/>
    <cellStyle name="Normal 2 6 10 3" xfId="16586" xr:uid="{00000000-0005-0000-0000-0000CA400000}"/>
    <cellStyle name="Normal 2 6 10 4" xfId="16587" xr:uid="{00000000-0005-0000-0000-0000CB400000}"/>
    <cellStyle name="Normal 2 6 10 5" xfId="16588" xr:uid="{00000000-0005-0000-0000-0000CC400000}"/>
    <cellStyle name="Normal 2 6 11" xfId="16589" xr:uid="{00000000-0005-0000-0000-0000CD400000}"/>
    <cellStyle name="Normal 2 6 12" xfId="16590" xr:uid="{00000000-0005-0000-0000-0000CE400000}"/>
    <cellStyle name="Normal 2 6 13" xfId="16591" xr:uid="{00000000-0005-0000-0000-0000CF400000}"/>
    <cellStyle name="Normal 2 6 14" xfId="16592" xr:uid="{00000000-0005-0000-0000-0000D0400000}"/>
    <cellStyle name="Normal 2 6 15" xfId="16593" xr:uid="{00000000-0005-0000-0000-0000D1400000}"/>
    <cellStyle name="Normal 2 6 16" xfId="16594" xr:uid="{00000000-0005-0000-0000-0000D2400000}"/>
    <cellStyle name="Normal 2 6 17" xfId="16595" xr:uid="{00000000-0005-0000-0000-0000D3400000}"/>
    <cellStyle name="Normal 2 6 2" xfId="16596" xr:uid="{00000000-0005-0000-0000-0000D4400000}"/>
    <cellStyle name="Normal 2 6 2 10" xfId="16597" xr:uid="{00000000-0005-0000-0000-0000D5400000}"/>
    <cellStyle name="Normal 2 6 2 11" xfId="16598" xr:uid="{00000000-0005-0000-0000-0000D6400000}"/>
    <cellStyle name="Normal 2 6 2 12" xfId="16599" xr:uid="{00000000-0005-0000-0000-0000D7400000}"/>
    <cellStyle name="Normal 2 6 2 13" xfId="16600" xr:uid="{00000000-0005-0000-0000-0000D8400000}"/>
    <cellStyle name="Normal 2 6 2 14" xfId="16601" xr:uid="{00000000-0005-0000-0000-0000D9400000}"/>
    <cellStyle name="Normal 2 6 2 15" xfId="16602" xr:uid="{00000000-0005-0000-0000-0000DA400000}"/>
    <cellStyle name="Normal 2 6 2 2" xfId="16603" xr:uid="{00000000-0005-0000-0000-0000DB400000}"/>
    <cellStyle name="Normal 2 6 2 2 10" xfId="16604" xr:uid="{00000000-0005-0000-0000-0000DC400000}"/>
    <cellStyle name="Normal 2 6 2 2 11" xfId="16605" xr:uid="{00000000-0005-0000-0000-0000DD400000}"/>
    <cellStyle name="Normal 2 6 2 2 2" xfId="16606" xr:uid="{00000000-0005-0000-0000-0000DE400000}"/>
    <cellStyle name="Normal 2 6 2 2 2 2" xfId="16607" xr:uid="{00000000-0005-0000-0000-0000DF400000}"/>
    <cellStyle name="Normal 2 6 2 2 2 2 2" xfId="16608" xr:uid="{00000000-0005-0000-0000-0000E0400000}"/>
    <cellStyle name="Normal 2 6 2 2 2 2 3" xfId="16609" xr:uid="{00000000-0005-0000-0000-0000E1400000}"/>
    <cellStyle name="Normal 2 6 2 2 2 2 4" xfId="16610" xr:uid="{00000000-0005-0000-0000-0000E2400000}"/>
    <cellStyle name="Normal 2 6 2 2 2 2 5" xfId="16611" xr:uid="{00000000-0005-0000-0000-0000E3400000}"/>
    <cellStyle name="Normal 2 6 2 2 2 3" xfId="16612" xr:uid="{00000000-0005-0000-0000-0000E4400000}"/>
    <cellStyle name="Normal 2 6 2 2 2 3 2" xfId="16613" xr:uid="{00000000-0005-0000-0000-0000E5400000}"/>
    <cellStyle name="Normal 2 6 2 2 2 3 3" xfId="16614" xr:uid="{00000000-0005-0000-0000-0000E6400000}"/>
    <cellStyle name="Normal 2 6 2 2 2 3 4" xfId="16615" xr:uid="{00000000-0005-0000-0000-0000E7400000}"/>
    <cellStyle name="Normal 2 6 2 2 2 3 5" xfId="16616" xr:uid="{00000000-0005-0000-0000-0000E8400000}"/>
    <cellStyle name="Normal 2 6 2 2 2 4" xfId="16617" xr:uid="{00000000-0005-0000-0000-0000E9400000}"/>
    <cellStyle name="Normal 2 6 2 2 2 5" xfId="16618" xr:uid="{00000000-0005-0000-0000-0000EA400000}"/>
    <cellStyle name="Normal 2 6 2 2 2 6" xfId="16619" xr:uid="{00000000-0005-0000-0000-0000EB400000}"/>
    <cellStyle name="Normal 2 6 2 2 2 7" xfId="16620" xr:uid="{00000000-0005-0000-0000-0000EC400000}"/>
    <cellStyle name="Normal 2 6 2 2 2 8" xfId="16621" xr:uid="{00000000-0005-0000-0000-0000ED400000}"/>
    <cellStyle name="Normal 2 6 2 2 2 9" xfId="16622" xr:uid="{00000000-0005-0000-0000-0000EE400000}"/>
    <cellStyle name="Normal 2 6 2 2 3" xfId="16623" xr:uid="{00000000-0005-0000-0000-0000EF400000}"/>
    <cellStyle name="Normal 2 6 2 2 3 2" xfId="16624" xr:uid="{00000000-0005-0000-0000-0000F0400000}"/>
    <cellStyle name="Normal 2 6 2 2 3 3" xfId="16625" xr:uid="{00000000-0005-0000-0000-0000F1400000}"/>
    <cellStyle name="Normal 2 6 2 2 3 4" xfId="16626" xr:uid="{00000000-0005-0000-0000-0000F2400000}"/>
    <cellStyle name="Normal 2 6 2 2 3 5" xfId="16627" xr:uid="{00000000-0005-0000-0000-0000F3400000}"/>
    <cellStyle name="Normal 2 6 2 2 4" xfId="16628" xr:uid="{00000000-0005-0000-0000-0000F4400000}"/>
    <cellStyle name="Normal 2 6 2 2 4 2" xfId="16629" xr:uid="{00000000-0005-0000-0000-0000F5400000}"/>
    <cellStyle name="Normal 2 6 2 2 4 3" xfId="16630" xr:uid="{00000000-0005-0000-0000-0000F6400000}"/>
    <cellStyle name="Normal 2 6 2 2 4 4" xfId="16631" xr:uid="{00000000-0005-0000-0000-0000F7400000}"/>
    <cellStyle name="Normal 2 6 2 2 4 5" xfId="16632" xr:uid="{00000000-0005-0000-0000-0000F8400000}"/>
    <cellStyle name="Normal 2 6 2 2 5" xfId="16633" xr:uid="{00000000-0005-0000-0000-0000F9400000}"/>
    <cellStyle name="Normal 2 6 2 2 6" xfId="16634" xr:uid="{00000000-0005-0000-0000-0000FA400000}"/>
    <cellStyle name="Normal 2 6 2 2 7" xfId="16635" xr:uid="{00000000-0005-0000-0000-0000FB400000}"/>
    <cellStyle name="Normal 2 6 2 2 8" xfId="16636" xr:uid="{00000000-0005-0000-0000-0000FC400000}"/>
    <cellStyle name="Normal 2 6 2 2 9" xfId="16637" xr:uid="{00000000-0005-0000-0000-0000FD400000}"/>
    <cellStyle name="Normal 2 6 2 3" xfId="16638" xr:uid="{00000000-0005-0000-0000-0000FE400000}"/>
    <cellStyle name="Normal 2 6 2 3 10" xfId="16639" xr:uid="{00000000-0005-0000-0000-0000FF400000}"/>
    <cellStyle name="Normal 2 6 2 3 11" xfId="16640" xr:uid="{00000000-0005-0000-0000-000000410000}"/>
    <cellStyle name="Normal 2 6 2 3 2" xfId="16641" xr:uid="{00000000-0005-0000-0000-000001410000}"/>
    <cellStyle name="Normal 2 6 2 3 2 2" xfId="16642" xr:uid="{00000000-0005-0000-0000-000002410000}"/>
    <cellStyle name="Normal 2 6 2 3 2 2 2" xfId="16643" xr:uid="{00000000-0005-0000-0000-000003410000}"/>
    <cellStyle name="Normal 2 6 2 3 2 2 3" xfId="16644" xr:uid="{00000000-0005-0000-0000-000004410000}"/>
    <cellStyle name="Normal 2 6 2 3 2 2 4" xfId="16645" xr:uid="{00000000-0005-0000-0000-000005410000}"/>
    <cellStyle name="Normal 2 6 2 3 2 2 5" xfId="16646" xr:uid="{00000000-0005-0000-0000-000006410000}"/>
    <cellStyle name="Normal 2 6 2 3 2 3" xfId="16647" xr:uid="{00000000-0005-0000-0000-000007410000}"/>
    <cellStyle name="Normal 2 6 2 3 2 3 2" xfId="16648" xr:uid="{00000000-0005-0000-0000-000008410000}"/>
    <cellStyle name="Normal 2 6 2 3 2 3 3" xfId="16649" xr:uid="{00000000-0005-0000-0000-000009410000}"/>
    <cellStyle name="Normal 2 6 2 3 2 3 4" xfId="16650" xr:uid="{00000000-0005-0000-0000-00000A410000}"/>
    <cellStyle name="Normal 2 6 2 3 2 3 5" xfId="16651" xr:uid="{00000000-0005-0000-0000-00000B410000}"/>
    <cellStyle name="Normal 2 6 2 3 2 4" xfId="16652" xr:uid="{00000000-0005-0000-0000-00000C410000}"/>
    <cellStyle name="Normal 2 6 2 3 2 5" xfId="16653" xr:uid="{00000000-0005-0000-0000-00000D410000}"/>
    <cellStyle name="Normal 2 6 2 3 2 6" xfId="16654" xr:uid="{00000000-0005-0000-0000-00000E410000}"/>
    <cellStyle name="Normal 2 6 2 3 2 7" xfId="16655" xr:uid="{00000000-0005-0000-0000-00000F410000}"/>
    <cellStyle name="Normal 2 6 2 3 2 8" xfId="16656" xr:uid="{00000000-0005-0000-0000-000010410000}"/>
    <cellStyle name="Normal 2 6 2 3 2 9" xfId="16657" xr:uid="{00000000-0005-0000-0000-000011410000}"/>
    <cellStyle name="Normal 2 6 2 3 3" xfId="16658" xr:uid="{00000000-0005-0000-0000-000012410000}"/>
    <cellStyle name="Normal 2 6 2 3 3 2" xfId="16659" xr:uid="{00000000-0005-0000-0000-000013410000}"/>
    <cellStyle name="Normal 2 6 2 3 3 3" xfId="16660" xr:uid="{00000000-0005-0000-0000-000014410000}"/>
    <cellStyle name="Normal 2 6 2 3 3 4" xfId="16661" xr:uid="{00000000-0005-0000-0000-000015410000}"/>
    <cellStyle name="Normal 2 6 2 3 3 5" xfId="16662" xr:uid="{00000000-0005-0000-0000-000016410000}"/>
    <cellStyle name="Normal 2 6 2 3 4" xfId="16663" xr:uid="{00000000-0005-0000-0000-000017410000}"/>
    <cellStyle name="Normal 2 6 2 3 4 2" xfId="16664" xr:uid="{00000000-0005-0000-0000-000018410000}"/>
    <cellStyle name="Normal 2 6 2 3 4 3" xfId="16665" xr:uid="{00000000-0005-0000-0000-000019410000}"/>
    <cellStyle name="Normal 2 6 2 3 4 4" xfId="16666" xr:uid="{00000000-0005-0000-0000-00001A410000}"/>
    <cellStyle name="Normal 2 6 2 3 4 5" xfId="16667" xr:uid="{00000000-0005-0000-0000-00001B410000}"/>
    <cellStyle name="Normal 2 6 2 3 5" xfId="16668" xr:uid="{00000000-0005-0000-0000-00001C410000}"/>
    <cellStyle name="Normal 2 6 2 3 6" xfId="16669" xr:uid="{00000000-0005-0000-0000-00001D410000}"/>
    <cellStyle name="Normal 2 6 2 3 7" xfId="16670" xr:uid="{00000000-0005-0000-0000-00001E410000}"/>
    <cellStyle name="Normal 2 6 2 3 8" xfId="16671" xr:uid="{00000000-0005-0000-0000-00001F410000}"/>
    <cellStyle name="Normal 2 6 2 3 9" xfId="16672" xr:uid="{00000000-0005-0000-0000-000020410000}"/>
    <cellStyle name="Normal 2 6 2 4" xfId="16673" xr:uid="{00000000-0005-0000-0000-000021410000}"/>
    <cellStyle name="Normal 2 6 2 4 10" xfId="16674" xr:uid="{00000000-0005-0000-0000-000022410000}"/>
    <cellStyle name="Normal 2 6 2 4 11" xfId="16675" xr:uid="{00000000-0005-0000-0000-000023410000}"/>
    <cellStyle name="Normal 2 6 2 4 2" xfId="16676" xr:uid="{00000000-0005-0000-0000-000024410000}"/>
    <cellStyle name="Normal 2 6 2 4 2 2" xfId="16677" xr:uid="{00000000-0005-0000-0000-000025410000}"/>
    <cellStyle name="Normal 2 6 2 4 2 2 2" xfId="16678" xr:uid="{00000000-0005-0000-0000-000026410000}"/>
    <cellStyle name="Normal 2 6 2 4 2 2 3" xfId="16679" xr:uid="{00000000-0005-0000-0000-000027410000}"/>
    <cellStyle name="Normal 2 6 2 4 2 2 4" xfId="16680" xr:uid="{00000000-0005-0000-0000-000028410000}"/>
    <cellStyle name="Normal 2 6 2 4 2 2 5" xfId="16681" xr:uid="{00000000-0005-0000-0000-000029410000}"/>
    <cellStyle name="Normal 2 6 2 4 2 3" xfId="16682" xr:uid="{00000000-0005-0000-0000-00002A410000}"/>
    <cellStyle name="Normal 2 6 2 4 2 3 2" xfId="16683" xr:uid="{00000000-0005-0000-0000-00002B410000}"/>
    <cellStyle name="Normal 2 6 2 4 2 3 3" xfId="16684" xr:uid="{00000000-0005-0000-0000-00002C410000}"/>
    <cellStyle name="Normal 2 6 2 4 2 3 4" xfId="16685" xr:uid="{00000000-0005-0000-0000-00002D410000}"/>
    <cellStyle name="Normal 2 6 2 4 2 3 5" xfId="16686" xr:uid="{00000000-0005-0000-0000-00002E410000}"/>
    <cellStyle name="Normal 2 6 2 4 2 4" xfId="16687" xr:uid="{00000000-0005-0000-0000-00002F410000}"/>
    <cellStyle name="Normal 2 6 2 4 2 5" xfId="16688" xr:uid="{00000000-0005-0000-0000-000030410000}"/>
    <cellStyle name="Normal 2 6 2 4 2 6" xfId="16689" xr:uid="{00000000-0005-0000-0000-000031410000}"/>
    <cellStyle name="Normal 2 6 2 4 2 7" xfId="16690" xr:uid="{00000000-0005-0000-0000-000032410000}"/>
    <cellStyle name="Normal 2 6 2 4 2 8" xfId="16691" xr:uid="{00000000-0005-0000-0000-000033410000}"/>
    <cellStyle name="Normal 2 6 2 4 2 9" xfId="16692" xr:uid="{00000000-0005-0000-0000-000034410000}"/>
    <cellStyle name="Normal 2 6 2 4 3" xfId="16693" xr:uid="{00000000-0005-0000-0000-000035410000}"/>
    <cellStyle name="Normal 2 6 2 4 3 2" xfId="16694" xr:uid="{00000000-0005-0000-0000-000036410000}"/>
    <cellStyle name="Normal 2 6 2 4 3 3" xfId="16695" xr:uid="{00000000-0005-0000-0000-000037410000}"/>
    <cellStyle name="Normal 2 6 2 4 3 4" xfId="16696" xr:uid="{00000000-0005-0000-0000-000038410000}"/>
    <cellStyle name="Normal 2 6 2 4 3 5" xfId="16697" xr:uid="{00000000-0005-0000-0000-000039410000}"/>
    <cellStyle name="Normal 2 6 2 4 4" xfId="16698" xr:uid="{00000000-0005-0000-0000-00003A410000}"/>
    <cellStyle name="Normal 2 6 2 4 4 2" xfId="16699" xr:uid="{00000000-0005-0000-0000-00003B410000}"/>
    <cellStyle name="Normal 2 6 2 4 4 3" xfId="16700" xr:uid="{00000000-0005-0000-0000-00003C410000}"/>
    <cellStyle name="Normal 2 6 2 4 4 4" xfId="16701" xr:uid="{00000000-0005-0000-0000-00003D410000}"/>
    <cellStyle name="Normal 2 6 2 4 4 5" xfId="16702" xr:uid="{00000000-0005-0000-0000-00003E410000}"/>
    <cellStyle name="Normal 2 6 2 4 5" xfId="16703" xr:uid="{00000000-0005-0000-0000-00003F410000}"/>
    <cellStyle name="Normal 2 6 2 4 6" xfId="16704" xr:uid="{00000000-0005-0000-0000-000040410000}"/>
    <cellStyle name="Normal 2 6 2 4 7" xfId="16705" xr:uid="{00000000-0005-0000-0000-000041410000}"/>
    <cellStyle name="Normal 2 6 2 4 8" xfId="16706" xr:uid="{00000000-0005-0000-0000-000042410000}"/>
    <cellStyle name="Normal 2 6 2 4 9" xfId="16707" xr:uid="{00000000-0005-0000-0000-000043410000}"/>
    <cellStyle name="Normal 2 6 2 5" xfId="16708" xr:uid="{00000000-0005-0000-0000-000044410000}"/>
    <cellStyle name="Normal 2 6 2 5 2" xfId="16709" xr:uid="{00000000-0005-0000-0000-000045410000}"/>
    <cellStyle name="Normal 2 6 2 5 2 2" xfId="16710" xr:uid="{00000000-0005-0000-0000-000046410000}"/>
    <cellStyle name="Normal 2 6 2 5 2 3" xfId="16711" xr:uid="{00000000-0005-0000-0000-000047410000}"/>
    <cellStyle name="Normal 2 6 2 5 2 4" xfId="16712" xr:uid="{00000000-0005-0000-0000-000048410000}"/>
    <cellStyle name="Normal 2 6 2 5 2 5" xfId="16713" xr:uid="{00000000-0005-0000-0000-000049410000}"/>
    <cellStyle name="Normal 2 6 2 5 3" xfId="16714" xr:uid="{00000000-0005-0000-0000-00004A410000}"/>
    <cellStyle name="Normal 2 6 2 5 3 2" xfId="16715" xr:uid="{00000000-0005-0000-0000-00004B410000}"/>
    <cellStyle name="Normal 2 6 2 5 3 3" xfId="16716" xr:uid="{00000000-0005-0000-0000-00004C410000}"/>
    <cellStyle name="Normal 2 6 2 5 3 4" xfId="16717" xr:uid="{00000000-0005-0000-0000-00004D410000}"/>
    <cellStyle name="Normal 2 6 2 5 3 5" xfId="16718" xr:uid="{00000000-0005-0000-0000-00004E410000}"/>
    <cellStyle name="Normal 2 6 2 5 4" xfId="16719" xr:uid="{00000000-0005-0000-0000-00004F410000}"/>
    <cellStyle name="Normal 2 6 2 5 5" xfId="16720" xr:uid="{00000000-0005-0000-0000-000050410000}"/>
    <cellStyle name="Normal 2 6 2 5 6" xfId="16721" xr:uid="{00000000-0005-0000-0000-000051410000}"/>
    <cellStyle name="Normal 2 6 2 5 7" xfId="16722" xr:uid="{00000000-0005-0000-0000-000052410000}"/>
    <cellStyle name="Normal 2 6 2 5 8" xfId="16723" xr:uid="{00000000-0005-0000-0000-000053410000}"/>
    <cellStyle name="Normal 2 6 2 5 9" xfId="16724" xr:uid="{00000000-0005-0000-0000-000054410000}"/>
    <cellStyle name="Normal 2 6 2 6" xfId="16725" xr:uid="{00000000-0005-0000-0000-000055410000}"/>
    <cellStyle name="Normal 2 6 2 6 2" xfId="16726" xr:uid="{00000000-0005-0000-0000-000056410000}"/>
    <cellStyle name="Normal 2 6 2 6 2 2" xfId="16727" xr:uid="{00000000-0005-0000-0000-000057410000}"/>
    <cellStyle name="Normal 2 6 2 6 2 3" xfId="16728" xr:uid="{00000000-0005-0000-0000-000058410000}"/>
    <cellStyle name="Normal 2 6 2 6 2 4" xfId="16729" xr:uid="{00000000-0005-0000-0000-000059410000}"/>
    <cellStyle name="Normal 2 6 2 6 2 5" xfId="16730" xr:uid="{00000000-0005-0000-0000-00005A410000}"/>
    <cellStyle name="Normal 2 6 2 6 3" xfId="16731" xr:uid="{00000000-0005-0000-0000-00005B410000}"/>
    <cellStyle name="Normal 2 6 2 6 3 2" xfId="16732" xr:uid="{00000000-0005-0000-0000-00005C410000}"/>
    <cellStyle name="Normal 2 6 2 6 3 3" xfId="16733" xr:uid="{00000000-0005-0000-0000-00005D410000}"/>
    <cellStyle name="Normal 2 6 2 6 3 4" xfId="16734" xr:uid="{00000000-0005-0000-0000-00005E410000}"/>
    <cellStyle name="Normal 2 6 2 6 3 5" xfId="16735" xr:uid="{00000000-0005-0000-0000-00005F410000}"/>
    <cellStyle name="Normal 2 6 2 6 4" xfId="16736" xr:uid="{00000000-0005-0000-0000-000060410000}"/>
    <cellStyle name="Normal 2 6 2 6 5" xfId="16737" xr:uid="{00000000-0005-0000-0000-000061410000}"/>
    <cellStyle name="Normal 2 6 2 6 6" xfId="16738" xr:uid="{00000000-0005-0000-0000-000062410000}"/>
    <cellStyle name="Normal 2 6 2 6 7" xfId="16739" xr:uid="{00000000-0005-0000-0000-000063410000}"/>
    <cellStyle name="Normal 2 6 2 6 8" xfId="16740" xr:uid="{00000000-0005-0000-0000-000064410000}"/>
    <cellStyle name="Normal 2 6 2 6 9" xfId="16741" xr:uid="{00000000-0005-0000-0000-000065410000}"/>
    <cellStyle name="Normal 2 6 2 7" xfId="16742" xr:uid="{00000000-0005-0000-0000-000066410000}"/>
    <cellStyle name="Normal 2 6 2 7 2" xfId="16743" xr:uid="{00000000-0005-0000-0000-000067410000}"/>
    <cellStyle name="Normal 2 6 2 7 3" xfId="16744" xr:uid="{00000000-0005-0000-0000-000068410000}"/>
    <cellStyle name="Normal 2 6 2 7 4" xfId="16745" xr:uid="{00000000-0005-0000-0000-000069410000}"/>
    <cellStyle name="Normal 2 6 2 7 5" xfId="16746" xr:uid="{00000000-0005-0000-0000-00006A410000}"/>
    <cellStyle name="Normal 2 6 2 8" xfId="16747" xr:uid="{00000000-0005-0000-0000-00006B410000}"/>
    <cellStyle name="Normal 2 6 2 8 2" xfId="16748" xr:uid="{00000000-0005-0000-0000-00006C410000}"/>
    <cellStyle name="Normal 2 6 2 8 3" xfId="16749" xr:uid="{00000000-0005-0000-0000-00006D410000}"/>
    <cellStyle name="Normal 2 6 2 8 4" xfId="16750" xr:uid="{00000000-0005-0000-0000-00006E410000}"/>
    <cellStyle name="Normal 2 6 2 8 5" xfId="16751" xr:uid="{00000000-0005-0000-0000-00006F410000}"/>
    <cellStyle name="Normal 2 6 2 9" xfId="16752" xr:uid="{00000000-0005-0000-0000-000070410000}"/>
    <cellStyle name="Normal 2 6 3" xfId="16753" xr:uid="{00000000-0005-0000-0000-000071410000}"/>
    <cellStyle name="Normal 2 6 3 10" xfId="16754" xr:uid="{00000000-0005-0000-0000-000072410000}"/>
    <cellStyle name="Normal 2 6 3 11" xfId="16755" xr:uid="{00000000-0005-0000-0000-000073410000}"/>
    <cellStyle name="Normal 2 6 3 2" xfId="16756" xr:uid="{00000000-0005-0000-0000-000074410000}"/>
    <cellStyle name="Normal 2 6 3 2 10" xfId="16757" xr:uid="{00000000-0005-0000-0000-000075410000}"/>
    <cellStyle name="Normal 2 6 3 2 2" xfId="16758" xr:uid="{00000000-0005-0000-0000-000076410000}"/>
    <cellStyle name="Normal 2 6 3 2 2 2" xfId="16759" xr:uid="{00000000-0005-0000-0000-000077410000}"/>
    <cellStyle name="Normal 2 6 3 2 2 3" xfId="16760" xr:uid="{00000000-0005-0000-0000-000078410000}"/>
    <cellStyle name="Normal 2 6 3 2 2 4" xfId="16761" xr:uid="{00000000-0005-0000-0000-000079410000}"/>
    <cellStyle name="Normal 2 6 3 2 2 5" xfId="16762" xr:uid="{00000000-0005-0000-0000-00007A410000}"/>
    <cellStyle name="Normal 2 6 3 2 2 6" xfId="16763" xr:uid="{00000000-0005-0000-0000-00007B410000}"/>
    <cellStyle name="Normal 2 6 3 2 3" xfId="16764" xr:uid="{00000000-0005-0000-0000-00007C410000}"/>
    <cellStyle name="Normal 2 6 3 2 3 2" xfId="16765" xr:uid="{00000000-0005-0000-0000-00007D410000}"/>
    <cellStyle name="Normal 2 6 3 2 3 3" xfId="16766" xr:uid="{00000000-0005-0000-0000-00007E410000}"/>
    <cellStyle name="Normal 2 6 3 2 3 4" xfId="16767" xr:uid="{00000000-0005-0000-0000-00007F410000}"/>
    <cellStyle name="Normal 2 6 3 2 3 5" xfId="16768" xr:uid="{00000000-0005-0000-0000-000080410000}"/>
    <cellStyle name="Normal 2 6 3 2 4" xfId="16769" xr:uid="{00000000-0005-0000-0000-000081410000}"/>
    <cellStyle name="Normal 2 6 3 2 5" xfId="16770" xr:uid="{00000000-0005-0000-0000-000082410000}"/>
    <cellStyle name="Normal 2 6 3 2 6" xfId="16771" xr:uid="{00000000-0005-0000-0000-000083410000}"/>
    <cellStyle name="Normal 2 6 3 2 7" xfId="16772" xr:uid="{00000000-0005-0000-0000-000084410000}"/>
    <cellStyle name="Normal 2 6 3 2 8" xfId="16773" xr:uid="{00000000-0005-0000-0000-000085410000}"/>
    <cellStyle name="Normal 2 6 3 2 9" xfId="16774" xr:uid="{00000000-0005-0000-0000-000086410000}"/>
    <cellStyle name="Normal 2 6 3 3" xfId="16775" xr:uid="{00000000-0005-0000-0000-000087410000}"/>
    <cellStyle name="Normal 2 6 3 3 2" xfId="16776" xr:uid="{00000000-0005-0000-0000-000088410000}"/>
    <cellStyle name="Normal 2 6 3 3 3" xfId="16777" xr:uid="{00000000-0005-0000-0000-000089410000}"/>
    <cellStyle name="Normal 2 6 3 3 4" xfId="16778" xr:uid="{00000000-0005-0000-0000-00008A410000}"/>
    <cellStyle name="Normal 2 6 3 3 5" xfId="16779" xr:uid="{00000000-0005-0000-0000-00008B410000}"/>
    <cellStyle name="Normal 2 6 3 3 6" xfId="16780" xr:uid="{00000000-0005-0000-0000-00008C410000}"/>
    <cellStyle name="Normal 2 6 3 4" xfId="16781" xr:uid="{00000000-0005-0000-0000-00008D410000}"/>
    <cellStyle name="Normal 2 6 3 4 2" xfId="16782" xr:uid="{00000000-0005-0000-0000-00008E410000}"/>
    <cellStyle name="Normal 2 6 3 4 3" xfId="16783" xr:uid="{00000000-0005-0000-0000-00008F410000}"/>
    <cellStyle name="Normal 2 6 3 4 4" xfId="16784" xr:uid="{00000000-0005-0000-0000-000090410000}"/>
    <cellStyle name="Normal 2 6 3 4 5" xfId="16785" xr:uid="{00000000-0005-0000-0000-000091410000}"/>
    <cellStyle name="Normal 2 6 3 5" xfId="16786" xr:uid="{00000000-0005-0000-0000-000092410000}"/>
    <cellStyle name="Normal 2 6 3 6" xfId="16787" xr:uid="{00000000-0005-0000-0000-000093410000}"/>
    <cellStyle name="Normal 2 6 3 7" xfId="16788" xr:uid="{00000000-0005-0000-0000-000094410000}"/>
    <cellStyle name="Normal 2 6 3 8" xfId="16789" xr:uid="{00000000-0005-0000-0000-000095410000}"/>
    <cellStyle name="Normal 2 6 3 9" xfId="16790" xr:uid="{00000000-0005-0000-0000-000096410000}"/>
    <cellStyle name="Normal 2 6 4" xfId="16791" xr:uid="{00000000-0005-0000-0000-000097410000}"/>
    <cellStyle name="Normal 2 6 4 10" xfId="16792" xr:uid="{00000000-0005-0000-0000-000098410000}"/>
    <cellStyle name="Normal 2 6 4 11" xfId="16793" xr:uid="{00000000-0005-0000-0000-000099410000}"/>
    <cellStyle name="Normal 2 6 4 2" xfId="16794" xr:uid="{00000000-0005-0000-0000-00009A410000}"/>
    <cellStyle name="Normal 2 6 4 2 10" xfId="16795" xr:uid="{00000000-0005-0000-0000-00009B410000}"/>
    <cellStyle name="Normal 2 6 4 2 2" xfId="16796" xr:uid="{00000000-0005-0000-0000-00009C410000}"/>
    <cellStyle name="Normal 2 6 4 2 2 2" xfId="16797" xr:uid="{00000000-0005-0000-0000-00009D410000}"/>
    <cellStyle name="Normal 2 6 4 2 2 3" xfId="16798" xr:uid="{00000000-0005-0000-0000-00009E410000}"/>
    <cellStyle name="Normal 2 6 4 2 2 4" xfId="16799" xr:uid="{00000000-0005-0000-0000-00009F410000}"/>
    <cellStyle name="Normal 2 6 4 2 2 5" xfId="16800" xr:uid="{00000000-0005-0000-0000-0000A0410000}"/>
    <cellStyle name="Normal 2 6 4 2 2 6" xfId="16801" xr:uid="{00000000-0005-0000-0000-0000A1410000}"/>
    <cellStyle name="Normal 2 6 4 2 3" xfId="16802" xr:uid="{00000000-0005-0000-0000-0000A2410000}"/>
    <cellStyle name="Normal 2 6 4 2 3 2" xfId="16803" xr:uid="{00000000-0005-0000-0000-0000A3410000}"/>
    <cellStyle name="Normal 2 6 4 2 3 3" xfId="16804" xr:uid="{00000000-0005-0000-0000-0000A4410000}"/>
    <cellStyle name="Normal 2 6 4 2 3 4" xfId="16805" xr:uid="{00000000-0005-0000-0000-0000A5410000}"/>
    <cellStyle name="Normal 2 6 4 2 3 5" xfId="16806" xr:uid="{00000000-0005-0000-0000-0000A6410000}"/>
    <cellStyle name="Normal 2 6 4 2 4" xfId="16807" xr:uid="{00000000-0005-0000-0000-0000A7410000}"/>
    <cellStyle name="Normal 2 6 4 2 5" xfId="16808" xr:uid="{00000000-0005-0000-0000-0000A8410000}"/>
    <cellStyle name="Normal 2 6 4 2 6" xfId="16809" xr:uid="{00000000-0005-0000-0000-0000A9410000}"/>
    <cellStyle name="Normal 2 6 4 2 7" xfId="16810" xr:uid="{00000000-0005-0000-0000-0000AA410000}"/>
    <cellStyle name="Normal 2 6 4 2 8" xfId="16811" xr:uid="{00000000-0005-0000-0000-0000AB410000}"/>
    <cellStyle name="Normal 2 6 4 2 9" xfId="16812" xr:uid="{00000000-0005-0000-0000-0000AC410000}"/>
    <cellStyle name="Normal 2 6 4 3" xfId="16813" xr:uid="{00000000-0005-0000-0000-0000AD410000}"/>
    <cellStyle name="Normal 2 6 4 3 2" xfId="16814" xr:uid="{00000000-0005-0000-0000-0000AE410000}"/>
    <cellStyle name="Normal 2 6 4 3 3" xfId="16815" xr:uid="{00000000-0005-0000-0000-0000AF410000}"/>
    <cellStyle name="Normal 2 6 4 3 4" xfId="16816" xr:uid="{00000000-0005-0000-0000-0000B0410000}"/>
    <cellStyle name="Normal 2 6 4 3 5" xfId="16817" xr:uid="{00000000-0005-0000-0000-0000B1410000}"/>
    <cellStyle name="Normal 2 6 4 3 6" xfId="16818" xr:uid="{00000000-0005-0000-0000-0000B2410000}"/>
    <cellStyle name="Normal 2 6 4 4" xfId="16819" xr:uid="{00000000-0005-0000-0000-0000B3410000}"/>
    <cellStyle name="Normal 2 6 4 4 2" xfId="16820" xr:uid="{00000000-0005-0000-0000-0000B4410000}"/>
    <cellStyle name="Normal 2 6 4 4 3" xfId="16821" xr:uid="{00000000-0005-0000-0000-0000B5410000}"/>
    <cellStyle name="Normal 2 6 4 4 4" xfId="16822" xr:uid="{00000000-0005-0000-0000-0000B6410000}"/>
    <cellStyle name="Normal 2 6 4 4 5" xfId="16823" xr:uid="{00000000-0005-0000-0000-0000B7410000}"/>
    <cellStyle name="Normal 2 6 4 5" xfId="16824" xr:uid="{00000000-0005-0000-0000-0000B8410000}"/>
    <cellStyle name="Normal 2 6 4 6" xfId="16825" xr:uid="{00000000-0005-0000-0000-0000B9410000}"/>
    <cellStyle name="Normal 2 6 4 7" xfId="16826" xr:uid="{00000000-0005-0000-0000-0000BA410000}"/>
    <cellStyle name="Normal 2 6 4 8" xfId="16827" xr:uid="{00000000-0005-0000-0000-0000BB410000}"/>
    <cellStyle name="Normal 2 6 4 9" xfId="16828" xr:uid="{00000000-0005-0000-0000-0000BC410000}"/>
    <cellStyle name="Normal 2 6 5" xfId="16829" xr:uid="{00000000-0005-0000-0000-0000BD410000}"/>
    <cellStyle name="Normal 2 6 5 10" xfId="16830" xr:uid="{00000000-0005-0000-0000-0000BE410000}"/>
    <cellStyle name="Normal 2 6 5 11" xfId="16831" xr:uid="{00000000-0005-0000-0000-0000BF410000}"/>
    <cellStyle name="Normal 2 6 5 2" xfId="16832" xr:uid="{00000000-0005-0000-0000-0000C0410000}"/>
    <cellStyle name="Normal 2 6 5 2 2" xfId="16833" xr:uid="{00000000-0005-0000-0000-0000C1410000}"/>
    <cellStyle name="Normal 2 6 5 2 2 2" xfId="16834" xr:uid="{00000000-0005-0000-0000-0000C2410000}"/>
    <cellStyle name="Normal 2 6 5 2 2 3" xfId="16835" xr:uid="{00000000-0005-0000-0000-0000C3410000}"/>
    <cellStyle name="Normal 2 6 5 2 2 4" xfId="16836" xr:uid="{00000000-0005-0000-0000-0000C4410000}"/>
    <cellStyle name="Normal 2 6 5 2 2 5" xfId="16837" xr:uid="{00000000-0005-0000-0000-0000C5410000}"/>
    <cellStyle name="Normal 2 6 5 2 3" xfId="16838" xr:uid="{00000000-0005-0000-0000-0000C6410000}"/>
    <cellStyle name="Normal 2 6 5 2 3 2" xfId="16839" xr:uid="{00000000-0005-0000-0000-0000C7410000}"/>
    <cellStyle name="Normal 2 6 5 2 3 3" xfId="16840" xr:uid="{00000000-0005-0000-0000-0000C8410000}"/>
    <cellStyle name="Normal 2 6 5 2 3 4" xfId="16841" xr:uid="{00000000-0005-0000-0000-0000C9410000}"/>
    <cellStyle name="Normal 2 6 5 2 3 5" xfId="16842" xr:uid="{00000000-0005-0000-0000-0000CA410000}"/>
    <cellStyle name="Normal 2 6 5 2 4" xfId="16843" xr:uid="{00000000-0005-0000-0000-0000CB410000}"/>
    <cellStyle name="Normal 2 6 5 2 5" xfId="16844" xr:uid="{00000000-0005-0000-0000-0000CC410000}"/>
    <cellStyle name="Normal 2 6 5 2 6" xfId="16845" xr:uid="{00000000-0005-0000-0000-0000CD410000}"/>
    <cellStyle name="Normal 2 6 5 2 7" xfId="16846" xr:uid="{00000000-0005-0000-0000-0000CE410000}"/>
    <cellStyle name="Normal 2 6 5 2 8" xfId="16847" xr:uid="{00000000-0005-0000-0000-0000CF410000}"/>
    <cellStyle name="Normal 2 6 5 2 9" xfId="16848" xr:uid="{00000000-0005-0000-0000-0000D0410000}"/>
    <cellStyle name="Normal 2 6 5 3" xfId="16849" xr:uid="{00000000-0005-0000-0000-0000D1410000}"/>
    <cellStyle name="Normal 2 6 5 3 2" xfId="16850" xr:uid="{00000000-0005-0000-0000-0000D2410000}"/>
    <cellStyle name="Normal 2 6 5 3 3" xfId="16851" xr:uid="{00000000-0005-0000-0000-0000D3410000}"/>
    <cellStyle name="Normal 2 6 5 3 4" xfId="16852" xr:uid="{00000000-0005-0000-0000-0000D4410000}"/>
    <cellStyle name="Normal 2 6 5 3 5" xfId="16853" xr:uid="{00000000-0005-0000-0000-0000D5410000}"/>
    <cellStyle name="Normal 2 6 5 4" xfId="16854" xr:uid="{00000000-0005-0000-0000-0000D6410000}"/>
    <cellStyle name="Normal 2 6 5 4 2" xfId="16855" xr:uid="{00000000-0005-0000-0000-0000D7410000}"/>
    <cellStyle name="Normal 2 6 5 4 3" xfId="16856" xr:uid="{00000000-0005-0000-0000-0000D8410000}"/>
    <cellStyle name="Normal 2 6 5 4 4" xfId="16857" xr:uid="{00000000-0005-0000-0000-0000D9410000}"/>
    <cellStyle name="Normal 2 6 5 4 5" xfId="16858" xr:uid="{00000000-0005-0000-0000-0000DA410000}"/>
    <cellStyle name="Normal 2 6 5 5" xfId="16859" xr:uid="{00000000-0005-0000-0000-0000DB410000}"/>
    <cellStyle name="Normal 2 6 5 6" xfId="16860" xr:uid="{00000000-0005-0000-0000-0000DC410000}"/>
    <cellStyle name="Normal 2 6 5 7" xfId="16861" xr:uid="{00000000-0005-0000-0000-0000DD410000}"/>
    <cellStyle name="Normal 2 6 5 8" xfId="16862" xr:uid="{00000000-0005-0000-0000-0000DE410000}"/>
    <cellStyle name="Normal 2 6 5 9" xfId="16863" xr:uid="{00000000-0005-0000-0000-0000DF410000}"/>
    <cellStyle name="Normal 2 6 6" xfId="16864" xr:uid="{00000000-0005-0000-0000-0000E0410000}"/>
    <cellStyle name="Normal 2 6 6 10" xfId="16865" xr:uid="{00000000-0005-0000-0000-0000E1410000}"/>
    <cellStyle name="Normal 2 6 6 11" xfId="16866" xr:uid="{00000000-0005-0000-0000-0000E2410000}"/>
    <cellStyle name="Normal 2 6 6 2" xfId="16867" xr:uid="{00000000-0005-0000-0000-0000E3410000}"/>
    <cellStyle name="Normal 2 6 6 2 2" xfId="16868" xr:uid="{00000000-0005-0000-0000-0000E4410000}"/>
    <cellStyle name="Normal 2 6 6 2 2 2" xfId="16869" xr:uid="{00000000-0005-0000-0000-0000E5410000}"/>
    <cellStyle name="Normal 2 6 6 2 2 3" xfId="16870" xr:uid="{00000000-0005-0000-0000-0000E6410000}"/>
    <cellStyle name="Normal 2 6 6 2 2 4" xfId="16871" xr:uid="{00000000-0005-0000-0000-0000E7410000}"/>
    <cellStyle name="Normal 2 6 6 2 2 5" xfId="16872" xr:uid="{00000000-0005-0000-0000-0000E8410000}"/>
    <cellStyle name="Normal 2 6 6 2 3" xfId="16873" xr:uid="{00000000-0005-0000-0000-0000E9410000}"/>
    <cellStyle name="Normal 2 6 6 2 3 2" xfId="16874" xr:uid="{00000000-0005-0000-0000-0000EA410000}"/>
    <cellStyle name="Normal 2 6 6 2 3 3" xfId="16875" xr:uid="{00000000-0005-0000-0000-0000EB410000}"/>
    <cellStyle name="Normal 2 6 6 2 3 4" xfId="16876" xr:uid="{00000000-0005-0000-0000-0000EC410000}"/>
    <cellStyle name="Normal 2 6 6 2 3 5" xfId="16877" xr:uid="{00000000-0005-0000-0000-0000ED410000}"/>
    <cellStyle name="Normal 2 6 6 2 4" xfId="16878" xr:uid="{00000000-0005-0000-0000-0000EE410000}"/>
    <cellStyle name="Normal 2 6 6 2 5" xfId="16879" xr:uid="{00000000-0005-0000-0000-0000EF410000}"/>
    <cellStyle name="Normal 2 6 6 2 6" xfId="16880" xr:uid="{00000000-0005-0000-0000-0000F0410000}"/>
    <cellStyle name="Normal 2 6 6 2 7" xfId="16881" xr:uid="{00000000-0005-0000-0000-0000F1410000}"/>
    <cellStyle name="Normal 2 6 6 2 8" xfId="16882" xr:uid="{00000000-0005-0000-0000-0000F2410000}"/>
    <cellStyle name="Normal 2 6 6 2 9" xfId="16883" xr:uid="{00000000-0005-0000-0000-0000F3410000}"/>
    <cellStyle name="Normal 2 6 6 3" xfId="16884" xr:uid="{00000000-0005-0000-0000-0000F4410000}"/>
    <cellStyle name="Normal 2 6 6 3 2" xfId="16885" xr:uid="{00000000-0005-0000-0000-0000F5410000}"/>
    <cellStyle name="Normal 2 6 6 3 3" xfId="16886" xr:uid="{00000000-0005-0000-0000-0000F6410000}"/>
    <cellStyle name="Normal 2 6 6 3 4" xfId="16887" xr:uid="{00000000-0005-0000-0000-0000F7410000}"/>
    <cellStyle name="Normal 2 6 6 3 5" xfId="16888" xr:uid="{00000000-0005-0000-0000-0000F8410000}"/>
    <cellStyle name="Normal 2 6 6 4" xfId="16889" xr:uid="{00000000-0005-0000-0000-0000F9410000}"/>
    <cellStyle name="Normal 2 6 6 4 2" xfId="16890" xr:uid="{00000000-0005-0000-0000-0000FA410000}"/>
    <cellStyle name="Normal 2 6 6 4 3" xfId="16891" xr:uid="{00000000-0005-0000-0000-0000FB410000}"/>
    <cellStyle name="Normal 2 6 6 4 4" xfId="16892" xr:uid="{00000000-0005-0000-0000-0000FC410000}"/>
    <cellStyle name="Normal 2 6 6 4 5" xfId="16893" xr:uid="{00000000-0005-0000-0000-0000FD410000}"/>
    <cellStyle name="Normal 2 6 6 5" xfId="16894" xr:uid="{00000000-0005-0000-0000-0000FE410000}"/>
    <cellStyle name="Normal 2 6 6 6" xfId="16895" xr:uid="{00000000-0005-0000-0000-0000FF410000}"/>
    <cellStyle name="Normal 2 6 6 7" xfId="16896" xr:uid="{00000000-0005-0000-0000-000000420000}"/>
    <cellStyle name="Normal 2 6 6 8" xfId="16897" xr:uid="{00000000-0005-0000-0000-000001420000}"/>
    <cellStyle name="Normal 2 6 6 9" xfId="16898" xr:uid="{00000000-0005-0000-0000-000002420000}"/>
    <cellStyle name="Normal 2 6 7" xfId="16899" xr:uid="{00000000-0005-0000-0000-000003420000}"/>
    <cellStyle name="Normal 2 6 7 2" xfId="16900" xr:uid="{00000000-0005-0000-0000-000004420000}"/>
    <cellStyle name="Normal 2 6 7 2 2" xfId="16901" xr:uid="{00000000-0005-0000-0000-000005420000}"/>
    <cellStyle name="Normal 2 6 7 2 3" xfId="16902" xr:uid="{00000000-0005-0000-0000-000006420000}"/>
    <cellStyle name="Normal 2 6 7 2 4" xfId="16903" xr:uid="{00000000-0005-0000-0000-000007420000}"/>
    <cellStyle name="Normal 2 6 7 2 5" xfId="16904" xr:uid="{00000000-0005-0000-0000-000008420000}"/>
    <cellStyle name="Normal 2 6 7 3" xfId="16905" xr:uid="{00000000-0005-0000-0000-000009420000}"/>
    <cellStyle name="Normal 2 6 7 3 2" xfId="16906" xr:uid="{00000000-0005-0000-0000-00000A420000}"/>
    <cellStyle name="Normal 2 6 7 3 3" xfId="16907" xr:uid="{00000000-0005-0000-0000-00000B420000}"/>
    <cellStyle name="Normal 2 6 7 3 4" xfId="16908" xr:uid="{00000000-0005-0000-0000-00000C420000}"/>
    <cellStyle name="Normal 2 6 7 3 5" xfId="16909" xr:uid="{00000000-0005-0000-0000-00000D420000}"/>
    <cellStyle name="Normal 2 6 7 4" xfId="16910" xr:uid="{00000000-0005-0000-0000-00000E420000}"/>
    <cellStyle name="Normal 2 6 7 5" xfId="16911" xr:uid="{00000000-0005-0000-0000-00000F420000}"/>
    <cellStyle name="Normal 2 6 7 6" xfId="16912" xr:uid="{00000000-0005-0000-0000-000010420000}"/>
    <cellStyle name="Normal 2 6 7 7" xfId="16913" xr:uid="{00000000-0005-0000-0000-000011420000}"/>
    <cellStyle name="Normal 2 6 7 8" xfId="16914" xr:uid="{00000000-0005-0000-0000-000012420000}"/>
    <cellStyle name="Normal 2 6 7 9" xfId="16915" xr:uid="{00000000-0005-0000-0000-000013420000}"/>
    <cellStyle name="Normal 2 6 8" xfId="16916" xr:uid="{00000000-0005-0000-0000-000014420000}"/>
    <cellStyle name="Normal 2 6 8 2" xfId="16917" xr:uid="{00000000-0005-0000-0000-000015420000}"/>
    <cellStyle name="Normal 2 6 8 2 2" xfId="16918" xr:uid="{00000000-0005-0000-0000-000016420000}"/>
    <cellStyle name="Normal 2 6 8 2 3" xfId="16919" xr:uid="{00000000-0005-0000-0000-000017420000}"/>
    <cellStyle name="Normal 2 6 8 2 4" xfId="16920" xr:uid="{00000000-0005-0000-0000-000018420000}"/>
    <cellStyle name="Normal 2 6 8 2 5" xfId="16921" xr:uid="{00000000-0005-0000-0000-000019420000}"/>
    <cellStyle name="Normal 2 6 8 3" xfId="16922" xr:uid="{00000000-0005-0000-0000-00001A420000}"/>
    <cellStyle name="Normal 2 6 8 3 2" xfId="16923" xr:uid="{00000000-0005-0000-0000-00001B420000}"/>
    <cellStyle name="Normal 2 6 8 3 3" xfId="16924" xr:uid="{00000000-0005-0000-0000-00001C420000}"/>
    <cellStyle name="Normal 2 6 8 3 4" xfId="16925" xr:uid="{00000000-0005-0000-0000-00001D420000}"/>
    <cellStyle name="Normal 2 6 8 3 5" xfId="16926" xr:uid="{00000000-0005-0000-0000-00001E420000}"/>
    <cellStyle name="Normal 2 6 8 4" xfId="16927" xr:uid="{00000000-0005-0000-0000-00001F420000}"/>
    <cellStyle name="Normal 2 6 8 5" xfId="16928" xr:uid="{00000000-0005-0000-0000-000020420000}"/>
    <cellStyle name="Normal 2 6 8 6" xfId="16929" xr:uid="{00000000-0005-0000-0000-000021420000}"/>
    <cellStyle name="Normal 2 6 8 7" xfId="16930" xr:uid="{00000000-0005-0000-0000-000022420000}"/>
    <cellStyle name="Normal 2 6 8 8" xfId="16931" xr:uid="{00000000-0005-0000-0000-000023420000}"/>
    <cellStyle name="Normal 2 6 8 9" xfId="16932" xr:uid="{00000000-0005-0000-0000-000024420000}"/>
    <cellStyle name="Normal 2 6 9" xfId="16933" xr:uid="{00000000-0005-0000-0000-000025420000}"/>
    <cellStyle name="Normal 2 6 9 2" xfId="16934" xr:uid="{00000000-0005-0000-0000-000026420000}"/>
    <cellStyle name="Normal 2 6 9 3" xfId="16935" xr:uid="{00000000-0005-0000-0000-000027420000}"/>
    <cellStyle name="Normal 2 6 9 4" xfId="16936" xr:uid="{00000000-0005-0000-0000-000028420000}"/>
    <cellStyle name="Normal 2 6 9 5" xfId="16937" xr:uid="{00000000-0005-0000-0000-000029420000}"/>
    <cellStyle name="Normal 2 7" xfId="16938" xr:uid="{00000000-0005-0000-0000-00002A420000}"/>
    <cellStyle name="Normal 2 7 2" xfId="16939" xr:uid="{00000000-0005-0000-0000-00002B420000}"/>
    <cellStyle name="Normal 2 7 2 2" xfId="16940" xr:uid="{00000000-0005-0000-0000-00002C420000}"/>
    <cellStyle name="Normal 2 7 3" xfId="16941" xr:uid="{00000000-0005-0000-0000-00002D420000}"/>
    <cellStyle name="Normal 2 8" xfId="16942" xr:uid="{00000000-0005-0000-0000-00002E420000}"/>
    <cellStyle name="Normal 2 8 2" xfId="16943" xr:uid="{00000000-0005-0000-0000-00002F420000}"/>
    <cellStyle name="Normal 2 8 2 2" xfId="16944" xr:uid="{00000000-0005-0000-0000-000030420000}"/>
    <cellStyle name="Normal 2 8 3" xfId="16945" xr:uid="{00000000-0005-0000-0000-000031420000}"/>
    <cellStyle name="Normal 2 9" xfId="16946" xr:uid="{00000000-0005-0000-0000-000032420000}"/>
    <cellStyle name="Normal 2 9 2" xfId="16947" xr:uid="{00000000-0005-0000-0000-000033420000}"/>
    <cellStyle name="Normal 2_Action Item List 01.27.10" xfId="16948" xr:uid="{00000000-0005-0000-0000-000034420000}"/>
    <cellStyle name="Normal 20" xfId="16949" xr:uid="{00000000-0005-0000-0000-000035420000}"/>
    <cellStyle name="Normal 20 2" xfId="16950" xr:uid="{00000000-0005-0000-0000-000036420000}"/>
    <cellStyle name="Normal 20 2 2" xfId="16951" xr:uid="{00000000-0005-0000-0000-000037420000}"/>
    <cellStyle name="Normal 20 2 2 2" xfId="16952" xr:uid="{00000000-0005-0000-0000-000038420000}"/>
    <cellStyle name="Normal 20 2 2 2 2" xfId="16953" xr:uid="{00000000-0005-0000-0000-000039420000}"/>
    <cellStyle name="Normal 20 2 2 3" xfId="16954" xr:uid="{00000000-0005-0000-0000-00003A420000}"/>
    <cellStyle name="Normal 20 2 2 3 2" xfId="16955" xr:uid="{00000000-0005-0000-0000-00003B420000}"/>
    <cellStyle name="Normal 20 2 2 3 2 2" xfId="16956" xr:uid="{00000000-0005-0000-0000-00003C420000}"/>
    <cellStyle name="Normal 20 2 2 3 3" xfId="16957" xr:uid="{00000000-0005-0000-0000-00003D420000}"/>
    <cellStyle name="Normal 20 2 2 4" xfId="16958" xr:uid="{00000000-0005-0000-0000-00003E420000}"/>
    <cellStyle name="Normal 20 2 2 4 2" xfId="16959" xr:uid="{00000000-0005-0000-0000-00003F420000}"/>
    <cellStyle name="Normal 20 2 2 4 2 2" xfId="16960" xr:uid="{00000000-0005-0000-0000-000040420000}"/>
    <cellStyle name="Normal 20 2 2 4 3" xfId="16961" xr:uid="{00000000-0005-0000-0000-000041420000}"/>
    <cellStyle name="Normal 20 2 2 5" xfId="16962" xr:uid="{00000000-0005-0000-0000-000042420000}"/>
    <cellStyle name="Normal 20 2 3" xfId="16963" xr:uid="{00000000-0005-0000-0000-000043420000}"/>
    <cellStyle name="Normal 20 2 3 2" xfId="16964" xr:uid="{00000000-0005-0000-0000-000044420000}"/>
    <cellStyle name="Normal 20 2 3 2 2" xfId="16965" xr:uid="{00000000-0005-0000-0000-000045420000}"/>
    <cellStyle name="Normal 20 2 3 3" xfId="16966" xr:uid="{00000000-0005-0000-0000-000046420000}"/>
    <cellStyle name="Normal 20 2 4" xfId="16967" xr:uid="{00000000-0005-0000-0000-000047420000}"/>
    <cellStyle name="Normal 20 2 4 2" xfId="16968" xr:uid="{00000000-0005-0000-0000-000048420000}"/>
    <cellStyle name="Normal 20 2 4 2 2" xfId="16969" xr:uid="{00000000-0005-0000-0000-000049420000}"/>
    <cellStyle name="Normal 20 2 4 3" xfId="16970" xr:uid="{00000000-0005-0000-0000-00004A420000}"/>
    <cellStyle name="Normal 20 2 5" xfId="16971" xr:uid="{00000000-0005-0000-0000-00004B420000}"/>
    <cellStyle name="Normal 20 2 5 2" xfId="16972" xr:uid="{00000000-0005-0000-0000-00004C420000}"/>
    <cellStyle name="Normal 20 2 5 2 2" xfId="16973" xr:uid="{00000000-0005-0000-0000-00004D420000}"/>
    <cellStyle name="Normal 20 2 5 3" xfId="16974" xr:uid="{00000000-0005-0000-0000-00004E420000}"/>
    <cellStyle name="Normal 20 2 6" xfId="16975" xr:uid="{00000000-0005-0000-0000-00004F420000}"/>
    <cellStyle name="Normal 20 3" xfId="16976" xr:uid="{00000000-0005-0000-0000-000050420000}"/>
    <cellStyle name="Normal 20 3 2" xfId="16977" xr:uid="{00000000-0005-0000-0000-000051420000}"/>
    <cellStyle name="Normal 20 3 2 2" xfId="16978" xr:uid="{00000000-0005-0000-0000-000052420000}"/>
    <cellStyle name="Normal 20 3 3" xfId="16979" xr:uid="{00000000-0005-0000-0000-000053420000}"/>
    <cellStyle name="Normal 20 3 3 2" xfId="16980" xr:uid="{00000000-0005-0000-0000-000054420000}"/>
    <cellStyle name="Normal 20 3 3 2 2" xfId="16981" xr:uid="{00000000-0005-0000-0000-000055420000}"/>
    <cellStyle name="Normal 20 3 3 3" xfId="16982" xr:uid="{00000000-0005-0000-0000-000056420000}"/>
    <cellStyle name="Normal 20 3 4" xfId="16983" xr:uid="{00000000-0005-0000-0000-000057420000}"/>
    <cellStyle name="Normal 20 3 4 2" xfId="16984" xr:uid="{00000000-0005-0000-0000-000058420000}"/>
    <cellStyle name="Normal 20 3 4 2 2" xfId="16985" xr:uid="{00000000-0005-0000-0000-000059420000}"/>
    <cellStyle name="Normal 20 3 4 3" xfId="16986" xr:uid="{00000000-0005-0000-0000-00005A420000}"/>
    <cellStyle name="Normal 20 3 5" xfId="16987" xr:uid="{00000000-0005-0000-0000-00005B420000}"/>
    <cellStyle name="Normal 20 4" xfId="16988" xr:uid="{00000000-0005-0000-0000-00005C420000}"/>
    <cellStyle name="Normal 20 4 2" xfId="16989" xr:uid="{00000000-0005-0000-0000-00005D420000}"/>
    <cellStyle name="Normal 20 4 2 2" xfId="16990" xr:uid="{00000000-0005-0000-0000-00005E420000}"/>
    <cellStyle name="Normal 20 4 2 2 2" xfId="16991" xr:uid="{00000000-0005-0000-0000-00005F420000}"/>
    <cellStyle name="Normal 20 4 2 3" xfId="16992" xr:uid="{00000000-0005-0000-0000-000060420000}"/>
    <cellStyle name="Normal 20 4 2 3 2" xfId="16993" xr:uid="{00000000-0005-0000-0000-000061420000}"/>
    <cellStyle name="Normal 20 4 2 3 2 2" xfId="16994" xr:uid="{00000000-0005-0000-0000-000062420000}"/>
    <cellStyle name="Normal 20 4 2 3 3" xfId="16995" xr:uid="{00000000-0005-0000-0000-000063420000}"/>
    <cellStyle name="Normal 20 4 2 4" xfId="16996" xr:uid="{00000000-0005-0000-0000-000064420000}"/>
    <cellStyle name="Normal 20 4 3" xfId="16997" xr:uid="{00000000-0005-0000-0000-000065420000}"/>
    <cellStyle name="Normal 20 4 3 2" xfId="16998" xr:uid="{00000000-0005-0000-0000-000066420000}"/>
    <cellStyle name="Normal 20 4 3 2 2" xfId="16999" xr:uid="{00000000-0005-0000-0000-000067420000}"/>
    <cellStyle name="Normal 20 4 3 3" xfId="17000" xr:uid="{00000000-0005-0000-0000-000068420000}"/>
    <cellStyle name="Normal 20 4 4" xfId="17001" xr:uid="{00000000-0005-0000-0000-000069420000}"/>
    <cellStyle name="Normal 20 4 4 2" xfId="17002" xr:uid="{00000000-0005-0000-0000-00006A420000}"/>
    <cellStyle name="Normal 20 4 4 2 2" xfId="17003" xr:uid="{00000000-0005-0000-0000-00006B420000}"/>
    <cellStyle name="Normal 20 4 4 3" xfId="17004" xr:uid="{00000000-0005-0000-0000-00006C420000}"/>
    <cellStyle name="Normal 20 4 5" xfId="17005" xr:uid="{00000000-0005-0000-0000-00006D420000}"/>
    <cellStyle name="Normal 20 4 5 2" xfId="17006" xr:uid="{00000000-0005-0000-0000-00006E420000}"/>
    <cellStyle name="Normal 20 4 5 2 2" xfId="17007" xr:uid="{00000000-0005-0000-0000-00006F420000}"/>
    <cellStyle name="Normal 20 4 5 3" xfId="17008" xr:uid="{00000000-0005-0000-0000-000070420000}"/>
    <cellStyle name="Normal 20 4 6" xfId="17009" xr:uid="{00000000-0005-0000-0000-000071420000}"/>
    <cellStyle name="Normal 20 5" xfId="17010" xr:uid="{00000000-0005-0000-0000-000072420000}"/>
    <cellStyle name="Normal 200" xfId="17011" xr:uid="{00000000-0005-0000-0000-000073420000}"/>
    <cellStyle name="Normal 200 2" xfId="17012" xr:uid="{00000000-0005-0000-0000-000074420000}"/>
    <cellStyle name="Normal 200 2 2" xfId="17013" xr:uid="{00000000-0005-0000-0000-000075420000}"/>
    <cellStyle name="Normal 200 2 2 2" xfId="17014" xr:uid="{00000000-0005-0000-0000-000076420000}"/>
    <cellStyle name="Normal 200 2 2 2 2" xfId="17015" xr:uid="{00000000-0005-0000-0000-000077420000}"/>
    <cellStyle name="Normal 200 2 2 3" xfId="17016" xr:uid="{00000000-0005-0000-0000-000078420000}"/>
    <cellStyle name="Normal 200 2 2 3 2" xfId="17017" xr:uid="{00000000-0005-0000-0000-000079420000}"/>
    <cellStyle name="Normal 200 2 2 3 2 2" xfId="17018" xr:uid="{00000000-0005-0000-0000-00007A420000}"/>
    <cellStyle name="Normal 200 2 2 3 3" xfId="17019" xr:uid="{00000000-0005-0000-0000-00007B420000}"/>
    <cellStyle name="Normal 200 2 2 4" xfId="17020" xr:uid="{00000000-0005-0000-0000-00007C420000}"/>
    <cellStyle name="Normal 200 2 2 4 2" xfId="17021" xr:uid="{00000000-0005-0000-0000-00007D420000}"/>
    <cellStyle name="Normal 200 2 2 4 2 2" xfId="17022" xr:uid="{00000000-0005-0000-0000-00007E420000}"/>
    <cellStyle name="Normal 200 2 2 4 3" xfId="17023" xr:uid="{00000000-0005-0000-0000-00007F420000}"/>
    <cellStyle name="Normal 200 2 2 5" xfId="17024" xr:uid="{00000000-0005-0000-0000-000080420000}"/>
    <cellStyle name="Normal 200 2 3" xfId="17025" xr:uid="{00000000-0005-0000-0000-000081420000}"/>
    <cellStyle name="Normal 200 2 3 2" xfId="17026" xr:uid="{00000000-0005-0000-0000-000082420000}"/>
    <cellStyle name="Normal 200 2 3 2 2" xfId="17027" xr:uid="{00000000-0005-0000-0000-000083420000}"/>
    <cellStyle name="Normal 200 2 3 2 2 2" xfId="17028" xr:uid="{00000000-0005-0000-0000-000084420000}"/>
    <cellStyle name="Normal 200 2 3 2 3" xfId="17029" xr:uid="{00000000-0005-0000-0000-000085420000}"/>
    <cellStyle name="Normal 200 2 3 2 3 2" xfId="17030" xr:uid="{00000000-0005-0000-0000-000086420000}"/>
    <cellStyle name="Normal 200 2 3 2 3 2 2" xfId="17031" xr:uid="{00000000-0005-0000-0000-000087420000}"/>
    <cellStyle name="Normal 200 2 3 2 3 3" xfId="17032" xr:uid="{00000000-0005-0000-0000-000088420000}"/>
    <cellStyle name="Normal 200 2 3 2 4" xfId="17033" xr:uid="{00000000-0005-0000-0000-000089420000}"/>
    <cellStyle name="Normal 200 2 3 3" xfId="17034" xr:uid="{00000000-0005-0000-0000-00008A420000}"/>
    <cellStyle name="Normal 200 2 3 3 2" xfId="17035" xr:uid="{00000000-0005-0000-0000-00008B420000}"/>
    <cellStyle name="Normal 200 2 3 3 2 2" xfId="17036" xr:uid="{00000000-0005-0000-0000-00008C420000}"/>
    <cellStyle name="Normal 200 2 3 3 3" xfId="17037" xr:uid="{00000000-0005-0000-0000-00008D420000}"/>
    <cellStyle name="Normal 200 2 3 4" xfId="17038" xr:uid="{00000000-0005-0000-0000-00008E420000}"/>
    <cellStyle name="Normal 200 2 3 4 2" xfId="17039" xr:uid="{00000000-0005-0000-0000-00008F420000}"/>
    <cellStyle name="Normal 200 2 3 4 2 2" xfId="17040" xr:uid="{00000000-0005-0000-0000-000090420000}"/>
    <cellStyle name="Normal 200 2 3 4 3" xfId="17041" xr:uid="{00000000-0005-0000-0000-000091420000}"/>
    <cellStyle name="Normal 200 2 3 5" xfId="17042" xr:uid="{00000000-0005-0000-0000-000092420000}"/>
    <cellStyle name="Normal 200 2 3 5 2" xfId="17043" xr:uid="{00000000-0005-0000-0000-000093420000}"/>
    <cellStyle name="Normal 200 2 3 5 2 2" xfId="17044" xr:uid="{00000000-0005-0000-0000-000094420000}"/>
    <cellStyle name="Normal 200 2 3 5 3" xfId="17045" xr:uid="{00000000-0005-0000-0000-000095420000}"/>
    <cellStyle name="Normal 200 2 3 6" xfId="17046" xr:uid="{00000000-0005-0000-0000-000096420000}"/>
    <cellStyle name="Normal 200 2 4" xfId="17047" xr:uid="{00000000-0005-0000-0000-000097420000}"/>
    <cellStyle name="Normal 200 2 4 2" xfId="17048" xr:uid="{00000000-0005-0000-0000-000098420000}"/>
    <cellStyle name="Normal 200 2 4 2 2" xfId="17049" xr:uid="{00000000-0005-0000-0000-000099420000}"/>
    <cellStyle name="Normal 200 2 4 3" xfId="17050" xr:uid="{00000000-0005-0000-0000-00009A420000}"/>
    <cellStyle name="Normal 200 2 5" xfId="17051" xr:uid="{00000000-0005-0000-0000-00009B420000}"/>
    <cellStyle name="Normal 200 2 5 2" xfId="17052" xr:uid="{00000000-0005-0000-0000-00009C420000}"/>
    <cellStyle name="Normal 200 2 5 2 2" xfId="17053" xr:uid="{00000000-0005-0000-0000-00009D420000}"/>
    <cellStyle name="Normal 200 2 5 3" xfId="17054" xr:uid="{00000000-0005-0000-0000-00009E420000}"/>
    <cellStyle name="Normal 200 2 6" xfId="17055" xr:uid="{00000000-0005-0000-0000-00009F420000}"/>
    <cellStyle name="Normal 200 2 6 2" xfId="17056" xr:uid="{00000000-0005-0000-0000-0000A0420000}"/>
    <cellStyle name="Normal 200 2 6 2 2" xfId="17057" xr:uid="{00000000-0005-0000-0000-0000A1420000}"/>
    <cellStyle name="Normal 200 2 6 3" xfId="17058" xr:uid="{00000000-0005-0000-0000-0000A2420000}"/>
    <cellStyle name="Normal 200 2 7" xfId="17059" xr:uid="{00000000-0005-0000-0000-0000A3420000}"/>
    <cellStyle name="Normal 200 3" xfId="17060" xr:uid="{00000000-0005-0000-0000-0000A4420000}"/>
    <cellStyle name="Normal 200 3 2" xfId="17061" xr:uid="{00000000-0005-0000-0000-0000A5420000}"/>
    <cellStyle name="Normal 200 3 2 2" xfId="17062" xr:uid="{00000000-0005-0000-0000-0000A6420000}"/>
    <cellStyle name="Normal 200 3 3" xfId="17063" xr:uid="{00000000-0005-0000-0000-0000A7420000}"/>
    <cellStyle name="Normal 200 3 3 2" xfId="17064" xr:uid="{00000000-0005-0000-0000-0000A8420000}"/>
    <cellStyle name="Normal 200 3 3 2 2" xfId="17065" xr:uid="{00000000-0005-0000-0000-0000A9420000}"/>
    <cellStyle name="Normal 200 3 3 3" xfId="17066" xr:uid="{00000000-0005-0000-0000-0000AA420000}"/>
    <cellStyle name="Normal 200 3 4" xfId="17067" xr:uid="{00000000-0005-0000-0000-0000AB420000}"/>
    <cellStyle name="Normal 200 3 4 2" xfId="17068" xr:uid="{00000000-0005-0000-0000-0000AC420000}"/>
    <cellStyle name="Normal 200 3 4 2 2" xfId="17069" xr:uid="{00000000-0005-0000-0000-0000AD420000}"/>
    <cellStyle name="Normal 200 3 4 3" xfId="17070" xr:uid="{00000000-0005-0000-0000-0000AE420000}"/>
    <cellStyle name="Normal 200 3 5" xfId="17071" xr:uid="{00000000-0005-0000-0000-0000AF420000}"/>
    <cellStyle name="Normal 200 4" xfId="17072" xr:uid="{00000000-0005-0000-0000-0000B0420000}"/>
    <cellStyle name="Normal 200 4 2" xfId="17073" xr:uid="{00000000-0005-0000-0000-0000B1420000}"/>
    <cellStyle name="Normal 200 4 2 2" xfId="17074" xr:uid="{00000000-0005-0000-0000-0000B2420000}"/>
    <cellStyle name="Normal 200 4 2 2 2" xfId="17075" xr:uid="{00000000-0005-0000-0000-0000B3420000}"/>
    <cellStyle name="Normal 200 4 2 3" xfId="17076" xr:uid="{00000000-0005-0000-0000-0000B4420000}"/>
    <cellStyle name="Normal 200 4 2 3 2" xfId="17077" xr:uid="{00000000-0005-0000-0000-0000B5420000}"/>
    <cellStyle name="Normal 200 4 2 3 2 2" xfId="17078" xr:uid="{00000000-0005-0000-0000-0000B6420000}"/>
    <cellStyle name="Normal 200 4 2 3 3" xfId="17079" xr:uid="{00000000-0005-0000-0000-0000B7420000}"/>
    <cellStyle name="Normal 200 4 2 4" xfId="17080" xr:uid="{00000000-0005-0000-0000-0000B8420000}"/>
    <cellStyle name="Normal 200 4 3" xfId="17081" xr:uid="{00000000-0005-0000-0000-0000B9420000}"/>
    <cellStyle name="Normal 200 4 3 2" xfId="17082" xr:uid="{00000000-0005-0000-0000-0000BA420000}"/>
    <cellStyle name="Normal 200 4 3 2 2" xfId="17083" xr:uid="{00000000-0005-0000-0000-0000BB420000}"/>
    <cellStyle name="Normal 200 4 3 3" xfId="17084" xr:uid="{00000000-0005-0000-0000-0000BC420000}"/>
    <cellStyle name="Normal 200 4 4" xfId="17085" xr:uid="{00000000-0005-0000-0000-0000BD420000}"/>
    <cellStyle name="Normal 200 4 4 2" xfId="17086" xr:uid="{00000000-0005-0000-0000-0000BE420000}"/>
    <cellStyle name="Normal 200 4 4 2 2" xfId="17087" xr:uid="{00000000-0005-0000-0000-0000BF420000}"/>
    <cellStyle name="Normal 200 4 4 3" xfId="17088" xr:uid="{00000000-0005-0000-0000-0000C0420000}"/>
    <cellStyle name="Normal 200 4 5" xfId="17089" xr:uid="{00000000-0005-0000-0000-0000C1420000}"/>
    <cellStyle name="Normal 200 4 5 2" xfId="17090" xr:uid="{00000000-0005-0000-0000-0000C2420000}"/>
    <cellStyle name="Normal 200 4 5 2 2" xfId="17091" xr:uid="{00000000-0005-0000-0000-0000C3420000}"/>
    <cellStyle name="Normal 200 4 5 3" xfId="17092" xr:uid="{00000000-0005-0000-0000-0000C4420000}"/>
    <cellStyle name="Normal 200 4 6" xfId="17093" xr:uid="{00000000-0005-0000-0000-0000C5420000}"/>
    <cellStyle name="Normal 200 5" xfId="17094" xr:uid="{00000000-0005-0000-0000-0000C6420000}"/>
    <cellStyle name="Normal 200 5 2" xfId="17095" xr:uid="{00000000-0005-0000-0000-0000C7420000}"/>
    <cellStyle name="Normal 200 5 2 2" xfId="17096" xr:uid="{00000000-0005-0000-0000-0000C8420000}"/>
    <cellStyle name="Normal 200 5 3" xfId="17097" xr:uid="{00000000-0005-0000-0000-0000C9420000}"/>
    <cellStyle name="Normal 200 6" xfId="17098" xr:uid="{00000000-0005-0000-0000-0000CA420000}"/>
    <cellStyle name="Normal 200 6 2" xfId="17099" xr:uid="{00000000-0005-0000-0000-0000CB420000}"/>
    <cellStyle name="Normal 200 6 2 2" xfId="17100" xr:uid="{00000000-0005-0000-0000-0000CC420000}"/>
    <cellStyle name="Normal 200 6 3" xfId="17101" xr:uid="{00000000-0005-0000-0000-0000CD420000}"/>
    <cellStyle name="Normal 200 7" xfId="17102" xr:uid="{00000000-0005-0000-0000-0000CE420000}"/>
    <cellStyle name="Normal 200 7 2" xfId="17103" xr:uid="{00000000-0005-0000-0000-0000CF420000}"/>
    <cellStyle name="Normal 200 7 2 2" xfId="17104" xr:uid="{00000000-0005-0000-0000-0000D0420000}"/>
    <cellStyle name="Normal 200 7 3" xfId="17105" xr:uid="{00000000-0005-0000-0000-0000D1420000}"/>
    <cellStyle name="Normal 200 8" xfId="17106" xr:uid="{00000000-0005-0000-0000-0000D2420000}"/>
    <cellStyle name="Normal 201" xfId="17107" xr:uid="{00000000-0005-0000-0000-0000D3420000}"/>
    <cellStyle name="Normal 201 2" xfId="17108" xr:uid="{00000000-0005-0000-0000-0000D4420000}"/>
    <cellStyle name="Normal 201 2 2" xfId="17109" xr:uid="{00000000-0005-0000-0000-0000D5420000}"/>
    <cellStyle name="Normal 201 2 2 2" xfId="17110" xr:uid="{00000000-0005-0000-0000-0000D6420000}"/>
    <cellStyle name="Normal 201 2 2 2 2" xfId="17111" xr:uid="{00000000-0005-0000-0000-0000D7420000}"/>
    <cellStyle name="Normal 201 2 2 3" xfId="17112" xr:uid="{00000000-0005-0000-0000-0000D8420000}"/>
    <cellStyle name="Normal 201 2 2 3 2" xfId="17113" xr:uid="{00000000-0005-0000-0000-0000D9420000}"/>
    <cellStyle name="Normal 201 2 2 3 2 2" xfId="17114" xr:uid="{00000000-0005-0000-0000-0000DA420000}"/>
    <cellStyle name="Normal 201 2 2 3 3" xfId="17115" xr:uid="{00000000-0005-0000-0000-0000DB420000}"/>
    <cellStyle name="Normal 201 2 2 4" xfId="17116" xr:uid="{00000000-0005-0000-0000-0000DC420000}"/>
    <cellStyle name="Normal 201 2 2 4 2" xfId="17117" xr:uid="{00000000-0005-0000-0000-0000DD420000}"/>
    <cellStyle name="Normal 201 2 2 4 2 2" xfId="17118" xr:uid="{00000000-0005-0000-0000-0000DE420000}"/>
    <cellStyle name="Normal 201 2 2 4 3" xfId="17119" xr:uid="{00000000-0005-0000-0000-0000DF420000}"/>
    <cellStyle name="Normal 201 2 2 5" xfId="17120" xr:uid="{00000000-0005-0000-0000-0000E0420000}"/>
    <cellStyle name="Normal 201 2 3" xfId="17121" xr:uid="{00000000-0005-0000-0000-0000E1420000}"/>
    <cellStyle name="Normal 201 2 3 2" xfId="17122" xr:uid="{00000000-0005-0000-0000-0000E2420000}"/>
    <cellStyle name="Normal 201 2 3 2 2" xfId="17123" xr:uid="{00000000-0005-0000-0000-0000E3420000}"/>
    <cellStyle name="Normal 201 2 3 2 2 2" xfId="17124" xr:uid="{00000000-0005-0000-0000-0000E4420000}"/>
    <cellStyle name="Normal 201 2 3 2 3" xfId="17125" xr:uid="{00000000-0005-0000-0000-0000E5420000}"/>
    <cellStyle name="Normal 201 2 3 2 3 2" xfId="17126" xr:uid="{00000000-0005-0000-0000-0000E6420000}"/>
    <cellStyle name="Normal 201 2 3 2 3 2 2" xfId="17127" xr:uid="{00000000-0005-0000-0000-0000E7420000}"/>
    <cellStyle name="Normal 201 2 3 2 3 3" xfId="17128" xr:uid="{00000000-0005-0000-0000-0000E8420000}"/>
    <cellStyle name="Normal 201 2 3 2 4" xfId="17129" xr:uid="{00000000-0005-0000-0000-0000E9420000}"/>
    <cellStyle name="Normal 201 2 3 3" xfId="17130" xr:uid="{00000000-0005-0000-0000-0000EA420000}"/>
    <cellStyle name="Normal 201 2 3 3 2" xfId="17131" xr:uid="{00000000-0005-0000-0000-0000EB420000}"/>
    <cellStyle name="Normal 201 2 3 3 2 2" xfId="17132" xr:uid="{00000000-0005-0000-0000-0000EC420000}"/>
    <cellStyle name="Normal 201 2 3 3 3" xfId="17133" xr:uid="{00000000-0005-0000-0000-0000ED420000}"/>
    <cellStyle name="Normal 201 2 3 4" xfId="17134" xr:uid="{00000000-0005-0000-0000-0000EE420000}"/>
    <cellStyle name="Normal 201 2 3 4 2" xfId="17135" xr:uid="{00000000-0005-0000-0000-0000EF420000}"/>
    <cellStyle name="Normal 201 2 3 4 2 2" xfId="17136" xr:uid="{00000000-0005-0000-0000-0000F0420000}"/>
    <cellStyle name="Normal 201 2 3 4 3" xfId="17137" xr:uid="{00000000-0005-0000-0000-0000F1420000}"/>
    <cellStyle name="Normal 201 2 3 5" xfId="17138" xr:uid="{00000000-0005-0000-0000-0000F2420000}"/>
    <cellStyle name="Normal 201 2 3 5 2" xfId="17139" xr:uid="{00000000-0005-0000-0000-0000F3420000}"/>
    <cellStyle name="Normal 201 2 3 5 2 2" xfId="17140" xr:uid="{00000000-0005-0000-0000-0000F4420000}"/>
    <cellStyle name="Normal 201 2 3 5 3" xfId="17141" xr:uid="{00000000-0005-0000-0000-0000F5420000}"/>
    <cellStyle name="Normal 201 2 3 6" xfId="17142" xr:uid="{00000000-0005-0000-0000-0000F6420000}"/>
    <cellStyle name="Normal 201 2 4" xfId="17143" xr:uid="{00000000-0005-0000-0000-0000F7420000}"/>
    <cellStyle name="Normal 201 2 4 2" xfId="17144" xr:uid="{00000000-0005-0000-0000-0000F8420000}"/>
    <cellStyle name="Normal 201 2 4 2 2" xfId="17145" xr:uid="{00000000-0005-0000-0000-0000F9420000}"/>
    <cellStyle name="Normal 201 2 4 3" xfId="17146" xr:uid="{00000000-0005-0000-0000-0000FA420000}"/>
    <cellStyle name="Normal 201 2 5" xfId="17147" xr:uid="{00000000-0005-0000-0000-0000FB420000}"/>
    <cellStyle name="Normal 201 2 5 2" xfId="17148" xr:uid="{00000000-0005-0000-0000-0000FC420000}"/>
    <cellStyle name="Normal 201 2 5 2 2" xfId="17149" xr:uid="{00000000-0005-0000-0000-0000FD420000}"/>
    <cellStyle name="Normal 201 2 5 3" xfId="17150" xr:uid="{00000000-0005-0000-0000-0000FE420000}"/>
    <cellStyle name="Normal 201 2 6" xfId="17151" xr:uid="{00000000-0005-0000-0000-0000FF420000}"/>
    <cellStyle name="Normal 201 2 6 2" xfId="17152" xr:uid="{00000000-0005-0000-0000-000000430000}"/>
    <cellStyle name="Normal 201 2 6 2 2" xfId="17153" xr:uid="{00000000-0005-0000-0000-000001430000}"/>
    <cellStyle name="Normal 201 2 6 3" xfId="17154" xr:uid="{00000000-0005-0000-0000-000002430000}"/>
    <cellStyle name="Normal 201 2 7" xfId="17155" xr:uid="{00000000-0005-0000-0000-000003430000}"/>
    <cellStyle name="Normal 201 3" xfId="17156" xr:uid="{00000000-0005-0000-0000-000004430000}"/>
    <cellStyle name="Normal 201 3 2" xfId="17157" xr:uid="{00000000-0005-0000-0000-000005430000}"/>
    <cellStyle name="Normal 201 3 2 2" xfId="17158" xr:uid="{00000000-0005-0000-0000-000006430000}"/>
    <cellStyle name="Normal 201 3 3" xfId="17159" xr:uid="{00000000-0005-0000-0000-000007430000}"/>
    <cellStyle name="Normal 201 3 3 2" xfId="17160" xr:uid="{00000000-0005-0000-0000-000008430000}"/>
    <cellStyle name="Normal 201 3 3 2 2" xfId="17161" xr:uid="{00000000-0005-0000-0000-000009430000}"/>
    <cellStyle name="Normal 201 3 3 3" xfId="17162" xr:uid="{00000000-0005-0000-0000-00000A430000}"/>
    <cellStyle name="Normal 201 3 4" xfId="17163" xr:uid="{00000000-0005-0000-0000-00000B430000}"/>
    <cellStyle name="Normal 201 3 4 2" xfId="17164" xr:uid="{00000000-0005-0000-0000-00000C430000}"/>
    <cellStyle name="Normal 201 3 4 2 2" xfId="17165" xr:uid="{00000000-0005-0000-0000-00000D430000}"/>
    <cellStyle name="Normal 201 3 4 3" xfId="17166" xr:uid="{00000000-0005-0000-0000-00000E430000}"/>
    <cellStyle name="Normal 201 3 5" xfId="17167" xr:uid="{00000000-0005-0000-0000-00000F430000}"/>
    <cellStyle name="Normal 201 4" xfId="17168" xr:uid="{00000000-0005-0000-0000-000010430000}"/>
    <cellStyle name="Normal 201 4 2" xfId="17169" xr:uid="{00000000-0005-0000-0000-000011430000}"/>
    <cellStyle name="Normal 201 4 2 2" xfId="17170" xr:uid="{00000000-0005-0000-0000-000012430000}"/>
    <cellStyle name="Normal 201 4 2 2 2" xfId="17171" xr:uid="{00000000-0005-0000-0000-000013430000}"/>
    <cellStyle name="Normal 201 4 2 3" xfId="17172" xr:uid="{00000000-0005-0000-0000-000014430000}"/>
    <cellStyle name="Normal 201 4 2 3 2" xfId="17173" xr:uid="{00000000-0005-0000-0000-000015430000}"/>
    <cellStyle name="Normal 201 4 2 3 2 2" xfId="17174" xr:uid="{00000000-0005-0000-0000-000016430000}"/>
    <cellStyle name="Normal 201 4 2 3 3" xfId="17175" xr:uid="{00000000-0005-0000-0000-000017430000}"/>
    <cellStyle name="Normal 201 4 2 4" xfId="17176" xr:uid="{00000000-0005-0000-0000-000018430000}"/>
    <cellStyle name="Normal 201 4 3" xfId="17177" xr:uid="{00000000-0005-0000-0000-000019430000}"/>
    <cellStyle name="Normal 201 4 3 2" xfId="17178" xr:uid="{00000000-0005-0000-0000-00001A430000}"/>
    <cellStyle name="Normal 201 4 3 2 2" xfId="17179" xr:uid="{00000000-0005-0000-0000-00001B430000}"/>
    <cellStyle name="Normal 201 4 3 3" xfId="17180" xr:uid="{00000000-0005-0000-0000-00001C430000}"/>
    <cellStyle name="Normal 201 4 4" xfId="17181" xr:uid="{00000000-0005-0000-0000-00001D430000}"/>
    <cellStyle name="Normal 201 4 4 2" xfId="17182" xr:uid="{00000000-0005-0000-0000-00001E430000}"/>
    <cellStyle name="Normal 201 4 4 2 2" xfId="17183" xr:uid="{00000000-0005-0000-0000-00001F430000}"/>
    <cellStyle name="Normal 201 4 4 3" xfId="17184" xr:uid="{00000000-0005-0000-0000-000020430000}"/>
    <cellStyle name="Normal 201 4 5" xfId="17185" xr:uid="{00000000-0005-0000-0000-000021430000}"/>
    <cellStyle name="Normal 201 4 5 2" xfId="17186" xr:uid="{00000000-0005-0000-0000-000022430000}"/>
    <cellStyle name="Normal 201 4 5 2 2" xfId="17187" xr:uid="{00000000-0005-0000-0000-000023430000}"/>
    <cellStyle name="Normal 201 4 5 3" xfId="17188" xr:uid="{00000000-0005-0000-0000-000024430000}"/>
    <cellStyle name="Normal 201 4 6" xfId="17189" xr:uid="{00000000-0005-0000-0000-000025430000}"/>
    <cellStyle name="Normal 201 5" xfId="17190" xr:uid="{00000000-0005-0000-0000-000026430000}"/>
    <cellStyle name="Normal 201 5 2" xfId="17191" xr:uid="{00000000-0005-0000-0000-000027430000}"/>
    <cellStyle name="Normal 201 5 2 2" xfId="17192" xr:uid="{00000000-0005-0000-0000-000028430000}"/>
    <cellStyle name="Normal 201 5 3" xfId="17193" xr:uid="{00000000-0005-0000-0000-000029430000}"/>
    <cellStyle name="Normal 201 6" xfId="17194" xr:uid="{00000000-0005-0000-0000-00002A430000}"/>
    <cellStyle name="Normal 201 6 2" xfId="17195" xr:uid="{00000000-0005-0000-0000-00002B430000}"/>
    <cellStyle name="Normal 201 6 2 2" xfId="17196" xr:uid="{00000000-0005-0000-0000-00002C430000}"/>
    <cellStyle name="Normal 201 6 3" xfId="17197" xr:uid="{00000000-0005-0000-0000-00002D430000}"/>
    <cellStyle name="Normal 201 7" xfId="17198" xr:uid="{00000000-0005-0000-0000-00002E430000}"/>
    <cellStyle name="Normal 201 7 2" xfId="17199" xr:uid="{00000000-0005-0000-0000-00002F430000}"/>
    <cellStyle name="Normal 201 7 2 2" xfId="17200" xr:uid="{00000000-0005-0000-0000-000030430000}"/>
    <cellStyle name="Normal 201 7 3" xfId="17201" xr:uid="{00000000-0005-0000-0000-000031430000}"/>
    <cellStyle name="Normal 201 8" xfId="17202" xr:uid="{00000000-0005-0000-0000-000032430000}"/>
    <cellStyle name="Normal 202" xfId="17203" xr:uid="{00000000-0005-0000-0000-000033430000}"/>
    <cellStyle name="Normal 202 2" xfId="17204" xr:uid="{00000000-0005-0000-0000-000034430000}"/>
    <cellStyle name="Normal 202 2 2" xfId="17205" xr:uid="{00000000-0005-0000-0000-000035430000}"/>
    <cellStyle name="Normal 202 2 2 2" xfId="17206" xr:uid="{00000000-0005-0000-0000-000036430000}"/>
    <cellStyle name="Normal 202 2 2 2 2" xfId="17207" xr:uid="{00000000-0005-0000-0000-000037430000}"/>
    <cellStyle name="Normal 202 2 2 3" xfId="17208" xr:uid="{00000000-0005-0000-0000-000038430000}"/>
    <cellStyle name="Normal 202 2 2 3 2" xfId="17209" xr:uid="{00000000-0005-0000-0000-000039430000}"/>
    <cellStyle name="Normal 202 2 2 3 2 2" xfId="17210" xr:uid="{00000000-0005-0000-0000-00003A430000}"/>
    <cellStyle name="Normal 202 2 2 3 3" xfId="17211" xr:uid="{00000000-0005-0000-0000-00003B430000}"/>
    <cellStyle name="Normal 202 2 2 4" xfId="17212" xr:uid="{00000000-0005-0000-0000-00003C430000}"/>
    <cellStyle name="Normal 202 2 2 4 2" xfId="17213" xr:uid="{00000000-0005-0000-0000-00003D430000}"/>
    <cellStyle name="Normal 202 2 2 4 2 2" xfId="17214" xr:uid="{00000000-0005-0000-0000-00003E430000}"/>
    <cellStyle name="Normal 202 2 2 4 3" xfId="17215" xr:uid="{00000000-0005-0000-0000-00003F430000}"/>
    <cellStyle name="Normal 202 2 2 5" xfId="17216" xr:uid="{00000000-0005-0000-0000-000040430000}"/>
    <cellStyle name="Normal 202 2 3" xfId="17217" xr:uid="{00000000-0005-0000-0000-000041430000}"/>
    <cellStyle name="Normal 202 2 3 2" xfId="17218" xr:uid="{00000000-0005-0000-0000-000042430000}"/>
    <cellStyle name="Normal 202 2 3 2 2" xfId="17219" xr:uid="{00000000-0005-0000-0000-000043430000}"/>
    <cellStyle name="Normal 202 2 3 2 2 2" xfId="17220" xr:uid="{00000000-0005-0000-0000-000044430000}"/>
    <cellStyle name="Normal 202 2 3 2 3" xfId="17221" xr:uid="{00000000-0005-0000-0000-000045430000}"/>
    <cellStyle name="Normal 202 2 3 2 3 2" xfId="17222" xr:uid="{00000000-0005-0000-0000-000046430000}"/>
    <cellStyle name="Normal 202 2 3 2 3 2 2" xfId="17223" xr:uid="{00000000-0005-0000-0000-000047430000}"/>
    <cellStyle name="Normal 202 2 3 2 3 3" xfId="17224" xr:uid="{00000000-0005-0000-0000-000048430000}"/>
    <cellStyle name="Normal 202 2 3 2 4" xfId="17225" xr:uid="{00000000-0005-0000-0000-000049430000}"/>
    <cellStyle name="Normal 202 2 3 3" xfId="17226" xr:uid="{00000000-0005-0000-0000-00004A430000}"/>
    <cellStyle name="Normal 202 2 3 3 2" xfId="17227" xr:uid="{00000000-0005-0000-0000-00004B430000}"/>
    <cellStyle name="Normal 202 2 3 3 2 2" xfId="17228" xr:uid="{00000000-0005-0000-0000-00004C430000}"/>
    <cellStyle name="Normal 202 2 3 3 3" xfId="17229" xr:uid="{00000000-0005-0000-0000-00004D430000}"/>
    <cellStyle name="Normal 202 2 3 4" xfId="17230" xr:uid="{00000000-0005-0000-0000-00004E430000}"/>
    <cellStyle name="Normal 202 2 3 4 2" xfId="17231" xr:uid="{00000000-0005-0000-0000-00004F430000}"/>
    <cellStyle name="Normal 202 2 3 4 2 2" xfId="17232" xr:uid="{00000000-0005-0000-0000-000050430000}"/>
    <cellStyle name="Normal 202 2 3 4 3" xfId="17233" xr:uid="{00000000-0005-0000-0000-000051430000}"/>
    <cellStyle name="Normal 202 2 3 5" xfId="17234" xr:uid="{00000000-0005-0000-0000-000052430000}"/>
    <cellStyle name="Normal 202 2 3 5 2" xfId="17235" xr:uid="{00000000-0005-0000-0000-000053430000}"/>
    <cellStyle name="Normal 202 2 3 5 2 2" xfId="17236" xr:uid="{00000000-0005-0000-0000-000054430000}"/>
    <cellStyle name="Normal 202 2 3 5 3" xfId="17237" xr:uid="{00000000-0005-0000-0000-000055430000}"/>
    <cellStyle name="Normal 202 2 3 6" xfId="17238" xr:uid="{00000000-0005-0000-0000-000056430000}"/>
    <cellStyle name="Normal 202 2 4" xfId="17239" xr:uid="{00000000-0005-0000-0000-000057430000}"/>
    <cellStyle name="Normal 202 2 4 2" xfId="17240" xr:uid="{00000000-0005-0000-0000-000058430000}"/>
    <cellStyle name="Normal 202 2 4 2 2" xfId="17241" xr:uid="{00000000-0005-0000-0000-000059430000}"/>
    <cellStyle name="Normal 202 2 4 3" xfId="17242" xr:uid="{00000000-0005-0000-0000-00005A430000}"/>
    <cellStyle name="Normal 202 2 5" xfId="17243" xr:uid="{00000000-0005-0000-0000-00005B430000}"/>
    <cellStyle name="Normal 202 2 5 2" xfId="17244" xr:uid="{00000000-0005-0000-0000-00005C430000}"/>
    <cellStyle name="Normal 202 2 5 2 2" xfId="17245" xr:uid="{00000000-0005-0000-0000-00005D430000}"/>
    <cellStyle name="Normal 202 2 5 3" xfId="17246" xr:uid="{00000000-0005-0000-0000-00005E430000}"/>
    <cellStyle name="Normal 202 2 6" xfId="17247" xr:uid="{00000000-0005-0000-0000-00005F430000}"/>
    <cellStyle name="Normal 202 2 6 2" xfId="17248" xr:uid="{00000000-0005-0000-0000-000060430000}"/>
    <cellStyle name="Normal 202 2 6 2 2" xfId="17249" xr:uid="{00000000-0005-0000-0000-000061430000}"/>
    <cellStyle name="Normal 202 2 6 3" xfId="17250" xr:uid="{00000000-0005-0000-0000-000062430000}"/>
    <cellStyle name="Normal 202 2 7" xfId="17251" xr:uid="{00000000-0005-0000-0000-000063430000}"/>
    <cellStyle name="Normal 202 3" xfId="17252" xr:uid="{00000000-0005-0000-0000-000064430000}"/>
    <cellStyle name="Normal 202 3 2" xfId="17253" xr:uid="{00000000-0005-0000-0000-000065430000}"/>
    <cellStyle name="Normal 202 3 2 2" xfId="17254" xr:uid="{00000000-0005-0000-0000-000066430000}"/>
    <cellStyle name="Normal 202 3 3" xfId="17255" xr:uid="{00000000-0005-0000-0000-000067430000}"/>
    <cellStyle name="Normal 202 3 3 2" xfId="17256" xr:uid="{00000000-0005-0000-0000-000068430000}"/>
    <cellStyle name="Normal 202 3 3 2 2" xfId="17257" xr:uid="{00000000-0005-0000-0000-000069430000}"/>
    <cellStyle name="Normal 202 3 3 3" xfId="17258" xr:uid="{00000000-0005-0000-0000-00006A430000}"/>
    <cellStyle name="Normal 202 3 4" xfId="17259" xr:uid="{00000000-0005-0000-0000-00006B430000}"/>
    <cellStyle name="Normal 202 3 4 2" xfId="17260" xr:uid="{00000000-0005-0000-0000-00006C430000}"/>
    <cellStyle name="Normal 202 3 4 2 2" xfId="17261" xr:uid="{00000000-0005-0000-0000-00006D430000}"/>
    <cellStyle name="Normal 202 3 4 3" xfId="17262" xr:uid="{00000000-0005-0000-0000-00006E430000}"/>
    <cellStyle name="Normal 202 3 5" xfId="17263" xr:uid="{00000000-0005-0000-0000-00006F430000}"/>
    <cellStyle name="Normal 202 4" xfId="17264" xr:uid="{00000000-0005-0000-0000-000070430000}"/>
    <cellStyle name="Normal 202 4 2" xfId="17265" xr:uid="{00000000-0005-0000-0000-000071430000}"/>
    <cellStyle name="Normal 202 4 2 2" xfId="17266" xr:uid="{00000000-0005-0000-0000-000072430000}"/>
    <cellStyle name="Normal 202 4 2 2 2" xfId="17267" xr:uid="{00000000-0005-0000-0000-000073430000}"/>
    <cellStyle name="Normal 202 4 2 3" xfId="17268" xr:uid="{00000000-0005-0000-0000-000074430000}"/>
    <cellStyle name="Normal 202 4 2 3 2" xfId="17269" xr:uid="{00000000-0005-0000-0000-000075430000}"/>
    <cellStyle name="Normal 202 4 2 3 2 2" xfId="17270" xr:uid="{00000000-0005-0000-0000-000076430000}"/>
    <cellStyle name="Normal 202 4 2 3 3" xfId="17271" xr:uid="{00000000-0005-0000-0000-000077430000}"/>
    <cellStyle name="Normal 202 4 2 4" xfId="17272" xr:uid="{00000000-0005-0000-0000-000078430000}"/>
    <cellStyle name="Normal 202 4 3" xfId="17273" xr:uid="{00000000-0005-0000-0000-000079430000}"/>
    <cellStyle name="Normal 202 4 3 2" xfId="17274" xr:uid="{00000000-0005-0000-0000-00007A430000}"/>
    <cellStyle name="Normal 202 4 3 2 2" xfId="17275" xr:uid="{00000000-0005-0000-0000-00007B430000}"/>
    <cellStyle name="Normal 202 4 3 3" xfId="17276" xr:uid="{00000000-0005-0000-0000-00007C430000}"/>
    <cellStyle name="Normal 202 4 4" xfId="17277" xr:uid="{00000000-0005-0000-0000-00007D430000}"/>
    <cellStyle name="Normal 202 4 4 2" xfId="17278" xr:uid="{00000000-0005-0000-0000-00007E430000}"/>
    <cellStyle name="Normal 202 4 4 2 2" xfId="17279" xr:uid="{00000000-0005-0000-0000-00007F430000}"/>
    <cellStyle name="Normal 202 4 4 3" xfId="17280" xr:uid="{00000000-0005-0000-0000-000080430000}"/>
    <cellStyle name="Normal 202 4 5" xfId="17281" xr:uid="{00000000-0005-0000-0000-000081430000}"/>
    <cellStyle name="Normal 202 4 5 2" xfId="17282" xr:uid="{00000000-0005-0000-0000-000082430000}"/>
    <cellStyle name="Normal 202 4 5 2 2" xfId="17283" xr:uid="{00000000-0005-0000-0000-000083430000}"/>
    <cellStyle name="Normal 202 4 5 3" xfId="17284" xr:uid="{00000000-0005-0000-0000-000084430000}"/>
    <cellStyle name="Normal 202 4 6" xfId="17285" xr:uid="{00000000-0005-0000-0000-000085430000}"/>
    <cellStyle name="Normal 202 5" xfId="17286" xr:uid="{00000000-0005-0000-0000-000086430000}"/>
    <cellStyle name="Normal 202 5 2" xfId="17287" xr:uid="{00000000-0005-0000-0000-000087430000}"/>
    <cellStyle name="Normal 202 5 2 2" xfId="17288" xr:uid="{00000000-0005-0000-0000-000088430000}"/>
    <cellStyle name="Normal 202 5 3" xfId="17289" xr:uid="{00000000-0005-0000-0000-000089430000}"/>
    <cellStyle name="Normal 202 6" xfId="17290" xr:uid="{00000000-0005-0000-0000-00008A430000}"/>
    <cellStyle name="Normal 202 6 2" xfId="17291" xr:uid="{00000000-0005-0000-0000-00008B430000}"/>
    <cellStyle name="Normal 202 6 2 2" xfId="17292" xr:uid="{00000000-0005-0000-0000-00008C430000}"/>
    <cellStyle name="Normal 202 6 3" xfId="17293" xr:uid="{00000000-0005-0000-0000-00008D430000}"/>
    <cellStyle name="Normal 202 7" xfId="17294" xr:uid="{00000000-0005-0000-0000-00008E430000}"/>
    <cellStyle name="Normal 202 7 2" xfId="17295" xr:uid="{00000000-0005-0000-0000-00008F430000}"/>
    <cellStyle name="Normal 202 7 2 2" xfId="17296" xr:uid="{00000000-0005-0000-0000-000090430000}"/>
    <cellStyle name="Normal 202 7 3" xfId="17297" xr:uid="{00000000-0005-0000-0000-000091430000}"/>
    <cellStyle name="Normal 202 8" xfId="17298" xr:uid="{00000000-0005-0000-0000-000092430000}"/>
    <cellStyle name="Normal 203" xfId="17299" xr:uid="{00000000-0005-0000-0000-000093430000}"/>
    <cellStyle name="Normal 203 2" xfId="17300" xr:uid="{00000000-0005-0000-0000-000094430000}"/>
    <cellStyle name="Normal 203 2 2" xfId="17301" xr:uid="{00000000-0005-0000-0000-000095430000}"/>
    <cellStyle name="Normal 203 2 2 2" xfId="17302" xr:uid="{00000000-0005-0000-0000-000096430000}"/>
    <cellStyle name="Normal 203 2 2 2 2" xfId="17303" xr:uid="{00000000-0005-0000-0000-000097430000}"/>
    <cellStyle name="Normal 203 2 2 3" xfId="17304" xr:uid="{00000000-0005-0000-0000-000098430000}"/>
    <cellStyle name="Normal 203 2 2 3 2" xfId="17305" xr:uid="{00000000-0005-0000-0000-000099430000}"/>
    <cellStyle name="Normal 203 2 2 3 2 2" xfId="17306" xr:uid="{00000000-0005-0000-0000-00009A430000}"/>
    <cellStyle name="Normal 203 2 2 3 3" xfId="17307" xr:uid="{00000000-0005-0000-0000-00009B430000}"/>
    <cellStyle name="Normal 203 2 2 4" xfId="17308" xr:uid="{00000000-0005-0000-0000-00009C430000}"/>
    <cellStyle name="Normal 203 2 2 4 2" xfId="17309" xr:uid="{00000000-0005-0000-0000-00009D430000}"/>
    <cellStyle name="Normal 203 2 2 4 2 2" xfId="17310" xr:uid="{00000000-0005-0000-0000-00009E430000}"/>
    <cellStyle name="Normal 203 2 2 4 3" xfId="17311" xr:uid="{00000000-0005-0000-0000-00009F430000}"/>
    <cellStyle name="Normal 203 2 2 5" xfId="17312" xr:uid="{00000000-0005-0000-0000-0000A0430000}"/>
    <cellStyle name="Normal 203 2 3" xfId="17313" xr:uid="{00000000-0005-0000-0000-0000A1430000}"/>
    <cellStyle name="Normal 203 2 3 2" xfId="17314" xr:uid="{00000000-0005-0000-0000-0000A2430000}"/>
    <cellStyle name="Normal 203 2 3 2 2" xfId="17315" xr:uid="{00000000-0005-0000-0000-0000A3430000}"/>
    <cellStyle name="Normal 203 2 3 2 2 2" xfId="17316" xr:uid="{00000000-0005-0000-0000-0000A4430000}"/>
    <cellStyle name="Normal 203 2 3 2 3" xfId="17317" xr:uid="{00000000-0005-0000-0000-0000A5430000}"/>
    <cellStyle name="Normal 203 2 3 2 3 2" xfId="17318" xr:uid="{00000000-0005-0000-0000-0000A6430000}"/>
    <cellStyle name="Normal 203 2 3 2 3 2 2" xfId="17319" xr:uid="{00000000-0005-0000-0000-0000A7430000}"/>
    <cellStyle name="Normal 203 2 3 2 3 3" xfId="17320" xr:uid="{00000000-0005-0000-0000-0000A8430000}"/>
    <cellStyle name="Normal 203 2 3 2 4" xfId="17321" xr:uid="{00000000-0005-0000-0000-0000A9430000}"/>
    <cellStyle name="Normal 203 2 3 3" xfId="17322" xr:uid="{00000000-0005-0000-0000-0000AA430000}"/>
    <cellStyle name="Normal 203 2 3 3 2" xfId="17323" xr:uid="{00000000-0005-0000-0000-0000AB430000}"/>
    <cellStyle name="Normal 203 2 3 3 2 2" xfId="17324" xr:uid="{00000000-0005-0000-0000-0000AC430000}"/>
    <cellStyle name="Normal 203 2 3 3 3" xfId="17325" xr:uid="{00000000-0005-0000-0000-0000AD430000}"/>
    <cellStyle name="Normal 203 2 3 4" xfId="17326" xr:uid="{00000000-0005-0000-0000-0000AE430000}"/>
    <cellStyle name="Normal 203 2 3 4 2" xfId="17327" xr:uid="{00000000-0005-0000-0000-0000AF430000}"/>
    <cellStyle name="Normal 203 2 3 4 2 2" xfId="17328" xr:uid="{00000000-0005-0000-0000-0000B0430000}"/>
    <cellStyle name="Normal 203 2 3 4 3" xfId="17329" xr:uid="{00000000-0005-0000-0000-0000B1430000}"/>
    <cellStyle name="Normal 203 2 3 5" xfId="17330" xr:uid="{00000000-0005-0000-0000-0000B2430000}"/>
    <cellStyle name="Normal 203 2 3 5 2" xfId="17331" xr:uid="{00000000-0005-0000-0000-0000B3430000}"/>
    <cellStyle name="Normal 203 2 3 5 2 2" xfId="17332" xr:uid="{00000000-0005-0000-0000-0000B4430000}"/>
    <cellStyle name="Normal 203 2 3 5 3" xfId="17333" xr:uid="{00000000-0005-0000-0000-0000B5430000}"/>
    <cellStyle name="Normal 203 2 3 6" xfId="17334" xr:uid="{00000000-0005-0000-0000-0000B6430000}"/>
    <cellStyle name="Normal 203 2 4" xfId="17335" xr:uid="{00000000-0005-0000-0000-0000B7430000}"/>
    <cellStyle name="Normal 203 2 4 2" xfId="17336" xr:uid="{00000000-0005-0000-0000-0000B8430000}"/>
    <cellStyle name="Normal 203 2 4 2 2" xfId="17337" xr:uid="{00000000-0005-0000-0000-0000B9430000}"/>
    <cellStyle name="Normal 203 2 4 3" xfId="17338" xr:uid="{00000000-0005-0000-0000-0000BA430000}"/>
    <cellStyle name="Normal 203 2 5" xfId="17339" xr:uid="{00000000-0005-0000-0000-0000BB430000}"/>
    <cellStyle name="Normal 203 2 5 2" xfId="17340" xr:uid="{00000000-0005-0000-0000-0000BC430000}"/>
    <cellStyle name="Normal 203 2 5 2 2" xfId="17341" xr:uid="{00000000-0005-0000-0000-0000BD430000}"/>
    <cellStyle name="Normal 203 2 5 3" xfId="17342" xr:uid="{00000000-0005-0000-0000-0000BE430000}"/>
    <cellStyle name="Normal 203 2 6" xfId="17343" xr:uid="{00000000-0005-0000-0000-0000BF430000}"/>
    <cellStyle name="Normal 203 2 6 2" xfId="17344" xr:uid="{00000000-0005-0000-0000-0000C0430000}"/>
    <cellStyle name="Normal 203 2 6 2 2" xfId="17345" xr:uid="{00000000-0005-0000-0000-0000C1430000}"/>
    <cellStyle name="Normal 203 2 6 3" xfId="17346" xr:uid="{00000000-0005-0000-0000-0000C2430000}"/>
    <cellStyle name="Normal 203 2 7" xfId="17347" xr:uid="{00000000-0005-0000-0000-0000C3430000}"/>
    <cellStyle name="Normal 203 3" xfId="17348" xr:uid="{00000000-0005-0000-0000-0000C4430000}"/>
    <cellStyle name="Normal 203 3 2" xfId="17349" xr:uid="{00000000-0005-0000-0000-0000C5430000}"/>
    <cellStyle name="Normal 203 3 2 2" xfId="17350" xr:uid="{00000000-0005-0000-0000-0000C6430000}"/>
    <cellStyle name="Normal 203 3 3" xfId="17351" xr:uid="{00000000-0005-0000-0000-0000C7430000}"/>
    <cellStyle name="Normal 203 3 3 2" xfId="17352" xr:uid="{00000000-0005-0000-0000-0000C8430000}"/>
    <cellStyle name="Normal 203 3 3 2 2" xfId="17353" xr:uid="{00000000-0005-0000-0000-0000C9430000}"/>
    <cellStyle name="Normal 203 3 3 3" xfId="17354" xr:uid="{00000000-0005-0000-0000-0000CA430000}"/>
    <cellStyle name="Normal 203 3 4" xfId="17355" xr:uid="{00000000-0005-0000-0000-0000CB430000}"/>
    <cellStyle name="Normal 203 3 4 2" xfId="17356" xr:uid="{00000000-0005-0000-0000-0000CC430000}"/>
    <cellStyle name="Normal 203 3 4 2 2" xfId="17357" xr:uid="{00000000-0005-0000-0000-0000CD430000}"/>
    <cellStyle name="Normal 203 3 4 3" xfId="17358" xr:uid="{00000000-0005-0000-0000-0000CE430000}"/>
    <cellStyle name="Normal 203 3 5" xfId="17359" xr:uid="{00000000-0005-0000-0000-0000CF430000}"/>
    <cellStyle name="Normal 203 4" xfId="17360" xr:uid="{00000000-0005-0000-0000-0000D0430000}"/>
    <cellStyle name="Normal 203 4 2" xfId="17361" xr:uid="{00000000-0005-0000-0000-0000D1430000}"/>
    <cellStyle name="Normal 203 4 2 2" xfId="17362" xr:uid="{00000000-0005-0000-0000-0000D2430000}"/>
    <cellStyle name="Normal 203 4 2 2 2" xfId="17363" xr:uid="{00000000-0005-0000-0000-0000D3430000}"/>
    <cellStyle name="Normal 203 4 2 3" xfId="17364" xr:uid="{00000000-0005-0000-0000-0000D4430000}"/>
    <cellStyle name="Normal 203 4 2 3 2" xfId="17365" xr:uid="{00000000-0005-0000-0000-0000D5430000}"/>
    <cellStyle name="Normal 203 4 2 3 2 2" xfId="17366" xr:uid="{00000000-0005-0000-0000-0000D6430000}"/>
    <cellStyle name="Normal 203 4 2 3 3" xfId="17367" xr:uid="{00000000-0005-0000-0000-0000D7430000}"/>
    <cellStyle name="Normal 203 4 2 4" xfId="17368" xr:uid="{00000000-0005-0000-0000-0000D8430000}"/>
    <cellStyle name="Normal 203 4 3" xfId="17369" xr:uid="{00000000-0005-0000-0000-0000D9430000}"/>
    <cellStyle name="Normal 203 4 3 2" xfId="17370" xr:uid="{00000000-0005-0000-0000-0000DA430000}"/>
    <cellStyle name="Normal 203 4 3 2 2" xfId="17371" xr:uid="{00000000-0005-0000-0000-0000DB430000}"/>
    <cellStyle name="Normal 203 4 3 3" xfId="17372" xr:uid="{00000000-0005-0000-0000-0000DC430000}"/>
    <cellStyle name="Normal 203 4 4" xfId="17373" xr:uid="{00000000-0005-0000-0000-0000DD430000}"/>
    <cellStyle name="Normal 203 4 4 2" xfId="17374" xr:uid="{00000000-0005-0000-0000-0000DE430000}"/>
    <cellStyle name="Normal 203 4 4 2 2" xfId="17375" xr:uid="{00000000-0005-0000-0000-0000DF430000}"/>
    <cellStyle name="Normal 203 4 4 3" xfId="17376" xr:uid="{00000000-0005-0000-0000-0000E0430000}"/>
    <cellStyle name="Normal 203 4 5" xfId="17377" xr:uid="{00000000-0005-0000-0000-0000E1430000}"/>
    <cellStyle name="Normal 203 4 5 2" xfId="17378" xr:uid="{00000000-0005-0000-0000-0000E2430000}"/>
    <cellStyle name="Normal 203 4 5 2 2" xfId="17379" xr:uid="{00000000-0005-0000-0000-0000E3430000}"/>
    <cellStyle name="Normal 203 4 5 3" xfId="17380" xr:uid="{00000000-0005-0000-0000-0000E4430000}"/>
    <cellStyle name="Normal 203 4 6" xfId="17381" xr:uid="{00000000-0005-0000-0000-0000E5430000}"/>
    <cellStyle name="Normal 203 5" xfId="17382" xr:uid="{00000000-0005-0000-0000-0000E6430000}"/>
    <cellStyle name="Normal 203 5 2" xfId="17383" xr:uid="{00000000-0005-0000-0000-0000E7430000}"/>
    <cellStyle name="Normal 203 5 2 2" xfId="17384" xr:uid="{00000000-0005-0000-0000-0000E8430000}"/>
    <cellStyle name="Normal 203 5 3" xfId="17385" xr:uid="{00000000-0005-0000-0000-0000E9430000}"/>
    <cellStyle name="Normal 203 6" xfId="17386" xr:uid="{00000000-0005-0000-0000-0000EA430000}"/>
    <cellStyle name="Normal 203 6 2" xfId="17387" xr:uid="{00000000-0005-0000-0000-0000EB430000}"/>
    <cellStyle name="Normal 203 6 2 2" xfId="17388" xr:uid="{00000000-0005-0000-0000-0000EC430000}"/>
    <cellStyle name="Normal 203 6 3" xfId="17389" xr:uid="{00000000-0005-0000-0000-0000ED430000}"/>
    <cellStyle name="Normal 203 7" xfId="17390" xr:uid="{00000000-0005-0000-0000-0000EE430000}"/>
    <cellStyle name="Normal 203 7 2" xfId="17391" xr:uid="{00000000-0005-0000-0000-0000EF430000}"/>
    <cellStyle name="Normal 203 7 2 2" xfId="17392" xr:uid="{00000000-0005-0000-0000-0000F0430000}"/>
    <cellStyle name="Normal 203 7 3" xfId="17393" xr:uid="{00000000-0005-0000-0000-0000F1430000}"/>
    <cellStyle name="Normal 203 8" xfId="17394" xr:uid="{00000000-0005-0000-0000-0000F2430000}"/>
    <cellStyle name="Normal 204" xfId="17395" xr:uid="{00000000-0005-0000-0000-0000F3430000}"/>
    <cellStyle name="Normal 204 2" xfId="17396" xr:uid="{00000000-0005-0000-0000-0000F4430000}"/>
    <cellStyle name="Normal 204 2 2" xfId="17397" xr:uid="{00000000-0005-0000-0000-0000F5430000}"/>
    <cellStyle name="Normal 204 2 2 2" xfId="17398" xr:uid="{00000000-0005-0000-0000-0000F6430000}"/>
    <cellStyle name="Normal 204 2 3" xfId="17399" xr:uid="{00000000-0005-0000-0000-0000F7430000}"/>
    <cellStyle name="Normal 204 2 3 2" xfId="17400" xr:uid="{00000000-0005-0000-0000-0000F8430000}"/>
    <cellStyle name="Normal 204 2 3 2 2" xfId="17401" xr:uid="{00000000-0005-0000-0000-0000F9430000}"/>
    <cellStyle name="Normal 204 2 3 3" xfId="17402" xr:uid="{00000000-0005-0000-0000-0000FA430000}"/>
    <cellStyle name="Normal 204 2 4" xfId="17403" xr:uid="{00000000-0005-0000-0000-0000FB430000}"/>
    <cellStyle name="Normal 204 2 4 2" xfId="17404" xr:uid="{00000000-0005-0000-0000-0000FC430000}"/>
    <cellStyle name="Normal 204 2 4 2 2" xfId="17405" xr:uid="{00000000-0005-0000-0000-0000FD430000}"/>
    <cellStyle name="Normal 204 2 4 3" xfId="17406" xr:uid="{00000000-0005-0000-0000-0000FE430000}"/>
    <cellStyle name="Normal 204 2 5" xfId="17407" xr:uid="{00000000-0005-0000-0000-0000FF430000}"/>
    <cellStyle name="Normal 204 3" xfId="17408" xr:uid="{00000000-0005-0000-0000-000000440000}"/>
    <cellStyle name="Normal 204 3 2" xfId="17409" xr:uid="{00000000-0005-0000-0000-000001440000}"/>
    <cellStyle name="Normal 204 3 2 2" xfId="17410" xr:uid="{00000000-0005-0000-0000-000002440000}"/>
    <cellStyle name="Normal 204 3 2 2 2" xfId="17411" xr:uid="{00000000-0005-0000-0000-000003440000}"/>
    <cellStyle name="Normal 204 3 2 3" xfId="17412" xr:uid="{00000000-0005-0000-0000-000004440000}"/>
    <cellStyle name="Normal 204 3 2 3 2" xfId="17413" xr:uid="{00000000-0005-0000-0000-000005440000}"/>
    <cellStyle name="Normal 204 3 2 3 2 2" xfId="17414" xr:uid="{00000000-0005-0000-0000-000006440000}"/>
    <cellStyle name="Normal 204 3 2 3 3" xfId="17415" xr:uid="{00000000-0005-0000-0000-000007440000}"/>
    <cellStyle name="Normal 204 3 2 4" xfId="17416" xr:uid="{00000000-0005-0000-0000-000008440000}"/>
    <cellStyle name="Normal 204 3 3" xfId="17417" xr:uid="{00000000-0005-0000-0000-000009440000}"/>
    <cellStyle name="Normal 204 3 3 2" xfId="17418" xr:uid="{00000000-0005-0000-0000-00000A440000}"/>
    <cellStyle name="Normal 204 3 3 2 2" xfId="17419" xr:uid="{00000000-0005-0000-0000-00000B440000}"/>
    <cellStyle name="Normal 204 3 3 3" xfId="17420" xr:uid="{00000000-0005-0000-0000-00000C440000}"/>
    <cellStyle name="Normal 204 3 4" xfId="17421" xr:uid="{00000000-0005-0000-0000-00000D440000}"/>
    <cellStyle name="Normal 204 3 4 2" xfId="17422" xr:uid="{00000000-0005-0000-0000-00000E440000}"/>
    <cellStyle name="Normal 204 3 4 2 2" xfId="17423" xr:uid="{00000000-0005-0000-0000-00000F440000}"/>
    <cellStyle name="Normal 204 3 4 3" xfId="17424" xr:uid="{00000000-0005-0000-0000-000010440000}"/>
    <cellStyle name="Normal 204 3 5" xfId="17425" xr:uid="{00000000-0005-0000-0000-000011440000}"/>
    <cellStyle name="Normal 204 3 5 2" xfId="17426" xr:uid="{00000000-0005-0000-0000-000012440000}"/>
    <cellStyle name="Normal 204 3 5 2 2" xfId="17427" xr:uid="{00000000-0005-0000-0000-000013440000}"/>
    <cellStyle name="Normal 204 3 5 3" xfId="17428" xr:uid="{00000000-0005-0000-0000-000014440000}"/>
    <cellStyle name="Normal 204 3 6" xfId="17429" xr:uid="{00000000-0005-0000-0000-000015440000}"/>
    <cellStyle name="Normal 204 4" xfId="17430" xr:uid="{00000000-0005-0000-0000-000016440000}"/>
    <cellStyle name="Normal 204 4 2" xfId="17431" xr:uid="{00000000-0005-0000-0000-000017440000}"/>
    <cellStyle name="Normal 204 4 2 2" xfId="17432" xr:uid="{00000000-0005-0000-0000-000018440000}"/>
    <cellStyle name="Normal 204 4 3" xfId="17433" xr:uid="{00000000-0005-0000-0000-000019440000}"/>
    <cellStyle name="Normal 204 5" xfId="17434" xr:uid="{00000000-0005-0000-0000-00001A440000}"/>
    <cellStyle name="Normal 204 5 2" xfId="17435" xr:uid="{00000000-0005-0000-0000-00001B440000}"/>
    <cellStyle name="Normal 204 5 2 2" xfId="17436" xr:uid="{00000000-0005-0000-0000-00001C440000}"/>
    <cellStyle name="Normal 204 5 3" xfId="17437" xr:uid="{00000000-0005-0000-0000-00001D440000}"/>
    <cellStyle name="Normal 204 6" xfId="17438" xr:uid="{00000000-0005-0000-0000-00001E440000}"/>
    <cellStyle name="Normal 204 6 2" xfId="17439" xr:uid="{00000000-0005-0000-0000-00001F440000}"/>
    <cellStyle name="Normal 204 6 2 2" xfId="17440" xr:uid="{00000000-0005-0000-0000-000020440000}"/>
    <cellStyle name="Normal 204 6 3" xfId="17441" xr:uid="{00000000-0005-0000-0000-000021440000}"/>
    <cellStyle name="Normal 204 7" xfId="17442" xr:uid="{00000000-0005-0000-0000-000022440000}"/>
    <cellStyle name="Normal 205" xfId="17443" xr:uid="{00000000-0005-0000-0000-000023440000}"/>
    <cellStyle name="Normal 205 2" xfId="17444" xr:uid="{00000000-0005-0000-0000-000024440000}"/>
    <cellStyle name="Normal 205 2 2" xfId="17445" xr:uid="{00000000-0005-0000-0000-000025440000}"/>
    <cellStyle name="Normal 205 2 2 2" xfId="17446" xr:uid="{00000000-0005-0000-0000-000026440000}"/>
    <cellStyle name="Normal 205 2 3" xfId="17447" xr:uid="{00000000-0005-0000-0000-000027440000}"/>
    <cellStyle name="Normal 205 2 3 2" xfId="17448" xr:uid="{00000000-0005-0000-0000-000028440000}"/>
    <cellStyle name="Normal 205 2 3 2 2" xfId="17449" xr:uid="{00000000-0005-0000-0000-000029440000}"/>
    <cellStyle name="Normal 205 2 3 3" xfId="17450" xr:uid="{00000000-0005-0000-0000-00002A440000}"/>
    <cellStyle name="Normal 205 2 4" xfId="17451" xr:uid="{00000000-0005-0000-0000-00002B440000}"/>
    <cellStyle name="Normal 205 2 4 2" xfId="17452" xr:uid="{00000000-0005-0000-0000-00002C440000}"/>
    <cellStyle name="Normal 205 2 4 2 2" xfId="17453" xr:uid="{00000000-0005-0000-0000-00002D440000}"/>
    <cellStyle name="Normal 205 2 4 3" xfId="17454" xr:uid="{00000000-0005-0000-0000-00002E440000}"/>
    <cellStyle name="Normal 205 2 5" xfId="17455" xr:uid="{00000000-0005-0000-0000-00002F440000}"/>
    <cellStyle name="Normal 205 3" xfId="17456" xr:uid="{00000000-0005-0000-0000-000030440000}"/>
    <cellStyle name="Normal 205 3 2" xfId="17457" xr:uid="{00000000-0005-0000-0000-000031440000}"/>
    <cellStyle name="Normal 205 3 2 2" xfId="17458" xr:uid="{00000000-0005-0000-0000-000032440000}"/>
    <cellStyle name="Normal 205 3 2 2 2" xfId="17459" xr:uid="{00000000-0005-0000-0000-000033440000}"/>
    <cellStyle name="Normal 205 3 2 3" xfId="17460" xr:uid="{00000000-0005-0000-0000-000034440000}"/>
    <cellStyle name="Normal 205 3 2 3 2" xfId="17461" xr:uid="{00000000-0005-0000-0000-000035440000}"/>
    <cellStyle name="Normal 205 3 2 3 2 2" xfId="17462" xr:uid="{00000000-0005-0000-0000-000036440000}"/>
    <cellStyle name="Normal 205 3 2 3 3" xfId="17463" xr:uid="{00000000-0005-0000-0000-000037440000}"/>
    <cellStyle name="Normal 205 3 2 4" xfId="17464" xr:uid="{00000000-0005-0000-0000-000038440000}"/>
    <cellStyle name="Normal 205 3 3" xfId="17465" xr:uid="{00000000-0005-0000-0000-000039440000}"/>
    <cellStyle name="Normal 205 3 3 2" xfId="17466" xr:uid="{00000000-0005-0000-0000-00003A440000}"/>
    <cellStyle name="Normal 205 3 3 2 2" xfId="17467" xr:uid="{00000000-0005-0000-0000-00003B440000}"/>
    <cellStyle name="Normal 205 3 3 3" xfId="17468" xr:uid="{00000000-0005-0000-0000-00003C440000}"/>
    <cellStyle name="Normal 205 3 4" xfId="17469" xr:uid="{00000000-0005-0000-0000-00003D440000}"/>
    <cellStyle name="Normal 205 3 4 2" xfId="17470" xr:uid="{00000000-0005-0000-0000-00003E440000}"/>
    <cellStyle name="Normal 205 3 4 2 2" xfId="17471" xr:uid="{00000000-0005-0000-0000-00003F440000}"/>
    <cellStyle name="Normal 205 3 4 3" xfId="17472" xr:uid="{00000000-0005-0000-0000-000040440000}"/>
    <cellStyle name="Normal 205 3 5" xfId="17473" xr:uid="{00000000-0005-0000-0000-000041440000}"/>
    <cellStyle name="Normal 205 3 5 2" xfId="17474" xr:uid="{00000000-0005-0000-0000-000042440000}"/>
    <cellStyle name="Normal 205 3 5 2 2" xfId="17475" xr:uid="{00000000-0005-0000-0000-000043440000}"/>
    <cellStyle name="Normal 205 3 5 3" xfId="17476" xr:uid="{00000000-0005-0000-0000-000044440000}"/>
    <cellStyle name="Normal 205 3 6" xfId="17477" xr:uid="{00000000-0005-0000-0000-000045440000}"/>
    <cellStyle name="Normal 205 4" xfId="17478" xr:uid="{00000000-0005-0000-0000-000046440000}"/>
    <cellStyle name="Normal 205 4 2" xfId="17479" xr:uid="{00000000-0005-0000-0000-000047440000}"/>
    <cellStyle name="Normal 205 4 2 2" xfId="17480" xr:uid="{00000000-0005-0000-0000-000048440000}"/>
    <cellStyle name="Normal 205 4 3" xfId="17481" xr:uid="{00000000-0005-0000-0000-000049440000}"/>
    <cellStyle name="Normal 205 5" xfId="17482" xr:uid="{00000000-0005-0000-0000-00004A440000}"/>
    <cellStyle name="Normal 205 5 2" xfId="17483" xr:uid="{00000000-0005-0000-0000-00004B440000}"/>
    <cellStyle name="Normal 205 5 2 2" xfId="17484" xr:uid="{00000000-0005-0000-0000-00004C440000}"/>
    <cellStyle name="Normal 205 5 3" xfId="17485" xr:uid="{00000000-0005-0000-0000-00004D440000}"/>
    <cellStyle name="Normal 205 6" xfId="17486" xr:uid="{00000000-0005-0000-0000-00004E440000}"/>
    <cellStyle name="Normal 205 6 2" xfId="17487" xr:uid="{00000000-0005-0000-0000-00004F440000}"/>
    <cellStyle name="Normal 205 6 2 2" xfId="17488" xr:uid="{00000000-0005-0000-0000-000050440000}"/>
    <cellStyle name="Normal 205 6 3" xfId="17489" xr:uid="{00000000-0005-0000-0000-000051440000}"/>
    <cellStyle name="Normal 205 7" xfId="17490" xr:uid="{00000000-0005-0000-0000-000052440000}"/>
    <cellStyle name="Normal 206" xfId="17491" xr:uid="{00000000-0005-0000-0000-000053440000}"/>
    <cellStyle name="Normal 206 2" xfId="17492" xr:uid="{00000000-0005-0000-0000-000054440000}"/>
    <cellStyle name="Normal 206 2 2" xfId="17493" xr:uid="{00000000-0005-0000-0000-000055440000}"/>
    <cellStyle name="Normal 206 2 2 2" xfId="17494" xr:uid="{00000000-0005-0000-0000-000056440000}"/>
    <cellStyle name="Normal 206 2 3" xfId="17495" xr:uid="{00000000-0005-0000-0000-000057440000}"/>
    <cellStyle name="Normal 206 2 3 2" xfId="17496" xr:uid="{00000000-0005-0000-0000-000058440000}"/>
    <cellStyle name="Normal 206 2 3 2 2" xfId="17497" xr:uid="{00000000-0005-0000-0000-000059440000}"/>
    <cellStyle name="Normal 206 2 3 3" xfId="17498" xr:uid="{00000000-0005-0000-0000-00005A440000}"/>
    <cellStyle name="Normal 206 2 4" xfId="17499" xr:uid="{00000000-0005-0000-0000-00005B440000}"/>
    <cellStyle name="Normal 206 2 4 2" xfId="17500" xr:uid="{00000000-0005-0000-0000-00005C440000}"/>
    <cellStyle name="Normal 206 2 4 2 2" xfId="17501" xr:uid="{00000000-0005-0000-0000-00005D440000}"/>
    <cellStyle name="Normal 206 2 4 3" xfId="17502" xr:uid="{00000000-0005-0000-0000-00005E440000}"/>
    <cellStyle name="Normal 206 2 5" xfId="17503" xr:uid="{00000000-0005-0000-0000-00005F440000}"/>
    <cellStyle name="Normal 206 3" xfId="17504" xr:uid="{00000000-0005-0000-0000-000060440000}"/>
    <cellStyle name="Normal 206 3 2" xfId="17505" xr:uid="{00000000-0005-0000-0000-000061440000}"/>
    <cellStyle name="Normal 206 3 2 2" xfId="17506" xr:uid="{00000000-0005-0000-0000-000062440000}"/>
    <cellStyle name="Normal 206 3 2 2 2" xfId="17507" xr:uid="{00000000-0005-0000-0000-000063440000}"/>
    <cellStyle name="Normal 206 3 2 3" xfId="17508" xr:uid="{00000000-0005-0000-0000-000064440000}"/>
    <cellStyle name="Normal 206 3 2 3 2" xfId="17509" xr:uid="{00000000-0005-0000-0000-000065440000}"/>
    <cellStyle name="Normal 206 3 2 3 2 2" xfId="17510" xr:uid="{00000000-0005-0000-0000-000066440000}"/>
    <cellStyle name="Normal 206 3 2 3 3" xfId="17511" xr:uid="{00000000-0005-0000-0000-000067440000}"/>
    <cellStyle name="Normal 206 3 2 4" xfId="17512" xr:uid="{00000000-0005-0000-0000-000068440000}"/>
    <cellStyle name="Normal 206 3 3" xfId="17513" xr:uid="{00000000-0005-0000-0000-000069440000}"/>
    <cellStyle name="Normal 206 3 3 2" xfId="17514" xr:uid="{00000000-0005-0000-0000-00006A440000}"/>
    <cellStyle name="Normal 206 3 3 2 2" xfId="17515" xr:uid="{00000000-0005-0000-0000-00006B440000}"/>
    <cellStyle name="Normal 206 3 3 3" xfId="17516" xr:uid="{00000000-0005-0000-0000-00006C440000}"/>
    <cellStyle name="Normal 206 3 4" xfId="17517" xr:uid="{00000000-0005-0000-0000-00006D440000}"/>
    <cellStyle name="Normal 206 3 4 2" xfId="17518" xr:uid="{00000000-0005-0000-0000-00006E440000}"/>
    <cellStyle name="Normal 206 3 4 2 2" xfId="17519" xr:uid="{00000000-0005-0000-0000-00006F440000}"/>
    <cellStyle name="Normal 206 3 4 3" xfId="17520" xr:uid="{00000000-0005-0000-0000-000070440000}"/>
    <cellStyle name="Normal 206 3 5" xfId="17521" xr:uid="{00000000-0005-0000-0000-000071440000}"/>
    <cellStyle name="Normal 206 3 5 2" xfId="17522" xr:uid="{00000000-0005-0000-0000-000072440000}"/>
    <cellStyle name="Normal 206 3 5 2 2" xfId="17523" xr:uid="{00000000-0005-0000-0000-000073440000}"/>
    <cellStyle name="Normal 206 3 5 3" xfId="17524" xr:uid="{00000000-0005-0000-0000-000074440000}"/>
    <cellStyle name="Normal 206 3 6" xfId="17525" xr:uid="{00000000-0005-0000-0000-000075440000}"/>
    <cellStyle name="Normal 206 4" xfId="17526" xr:uid="{00000000-0005-0000-0000-000076440000}"/>
    <cellStyle name="Normal 206 4 2" xfId="17527" xr:uid="{00000000-0005-0000-0000-000077440000}"/>
    <cellStyle name="Normal 206 4 2 2" xfId="17528" xr:uid="{00000000-0005-0000-0000-000078440000}"/>
    <cellStyle name="Normal 206 4 3" xfId="17529" xr:uid="{00000000-0005-0000-0000-000079440000}"/>
    <cellStyle name="Normal 206 5" xfId="17530" xr:uid="{00000000-0005-0000-0000-00007A440000}"/>
    <cellStyle name="Normal 206 5 2" xfId="17531" xr:uid="{00000000-0005-0000-0000-00007B440000}"/>
    <cellStyle name="Normal 206 5 2 2" xfId="17532" xr:uid="{00000000-0005-0000-0000-00007C440000}"/>
    <cellStyle name="Normal 206 5 3" xfId="17533" xr:uid="{00000000-0005-0000-0000-00007D440000}"/>
    <cellStyle name="Normal 206 6" xfId="17534" xr:uid="{00000000-0005-0000-0000-00007E440000}"/>
    <cellStyle name="Normal 206 6 2" xfId="17535" xr:uid="{00000000-0005-0000-0000-00007F440000}"/>
    <cellStyle name="Normal 206 6 2 2" xfId="17536" xr:uid="{00000000-0005-0000-0000-000080440000}"/>
    <cellStyle name="Normal 206 6 3" xfId="17537" xr:uid="{00000000-0005-0000-0000-000081440000}"/>
    <cellStyle name="Normal 206 7" xfId="17538" xr:uid="{00000000-0005-0000-0000-000082440000}"/>
    <cellStyle name="Normal 207" xfId="17539" xr:uid="{00000000-0005-0000-0000-000083440000}"/>
    <cellStyle name="Normal 207 2" xfId="17540" xr:uid="{00000000-0005-0000-0000-000084440000}"/>
    <cellStyle name="Normal 207 2 2" xfId="17541" xr:uid="{00000000-0005-0000-0000-000085440000}"/>
    <cellStyle name="Normal 207 2 2 2" xfId="17542" xr:uid="{00000000-0005-0000-0000-000086440000}"/>
    <cellStyle name="Normal 207 2 3" xfId="17543" xr:uid="{00000000-0005-0000-0000-000087440000}"/>
    <cellStyle name="Normal 207 2 3 2" xfId="17544" xr:uid="{00000000-0005-0000-0000-000088440000}"/>
    <cellStyle name="Normal 207 2 3 2 2" xfId="17545" xr:uid="{00000000-0005-0000-0000-000089440000}"/>
    <cellStyle name="Normal 207 2 3 3" xfId="17546" xr:uid="{00000000-0005-0000-0000-00008A440000}"/>
    <cellStyle name="Normal 207 2 4" xfId="17547" xr:uid="{00000000-0005-0000-0000-00008B440000}"/>
    <cellStyle name="Normal 207 2 4 2" xfId="17548" xr:uid="{00000000-0005-0000-0000-00008C440000}"/>
    <cellStyle name="Normal 207 2 4 2 2" xfId="17549" xr:uid="{00000000-0005-0000-0000-00008D440000}"/>
    <cellStyle name="Normal 207 2 4 3" xfId="17550" xr:uid="{00000000-0005-0000-0000-00008E440000}"/>
    <cellStyle name="Normal 207 2 5" xfId="17551" xr:uid="{00000000-0005-0000-0000-00008F440000}"/>
    <cellStyle name="Normal 207 3" xfId="17552" xr:uid="{00000000-0005-0000-0000-000090440000}"/>
    <cellStyle name="Normal 207 3 2" xfId="17553" xr:uid="{00000000-0005-0000-0000-000091440000}"/>
    <cellStyle name="Normal 207 3 2 2" xfId="17554" xr:uid="{00000000-0005-0000-0000-000092440000}"/>
    <cellStyle name="Normal 207 3 2 2 2" xfId="17555" xr:uid="{00000000-0005-0000-0000-000093440000}"/>
    <cellStyle name="Normal 207 3 2 3" xfId="17556" xr:uid="{00000000-0005-0000-0000-000094440000}"/>
    <cellStyle name="Normal 207 3 2 3 2" xfId="17557" xr:uid="{00000000-0005-0000-0000-000095440000}"/>
    <cellStyle name="Normal 207 3 2 3 2 2" xfId="17558" xr:uid="{00000000-0005-0000-0000-000096440000}"/>
    <cellStyle name="Normal 207 3 2 3 3" xfId="17559" xr:uid="{00000000-0005-0000-0000-000097440000}"/>
    <cellStyle name="Normal 207 3 2 4" xfId="17560" xr:uid="{00000000-0005-0000-0000-000098440000}"/>
    <cellStyle name="Normal 207 3 3" xfId="17561" xr:uid="{00000000-0005-0000-0000-000099440000}"/>
    <cellStyle name="Normal 207 3 3 2" xfId="17562" xr:uid="{00000000-0005-0000-0000-00009A440000}"/>
    <cellStyle name="Normal 207 3 3 2 2" xfId="17563" xr:uid="{00000000-0005-0000-0000-00009B440000}"/>
    <cellStyle name="Normal 207 3 3 3" xfId="17564" xr:uid="{00000000-0005-0000-0000-00009C440000}"/>
    <cellStyle name="Normal 207 3 4" xfId="17565" xr:uid="{00000000-0005-0000-0000-00009D440000}"/>
    <cellStyle name="Normal 207 3 4 2" xfId="17566" xr:uid="{00000000-0005-0000-0000-00009E440000}"/>
    <cellStyle name="Normal 207 3 4 2 2" xfId="17567" xr:uid="{00000000-0005-0000-0000-00009F440000}"/>
    <cellStyle name="Normal 207 3 4 3" xfId="17568" xr:uid="{00000000-0005-0000-0000-0000A0440000}"/>
    <cellStyle name="Normal 207 3 5" xfId="17569" xr:uid="{00000000-0005-0000-0000-0000A1440000}"/>
    <cellStyle name="Normal 207 3 5 2" xfId="17570" xr:uid="{00000000-0005-0000-0000-0000A2440000}"/>
    <cellStyle name="Normal 207 3 5 2 2" xfId="17571" xr:uid="{00000000-0005-0000-0000-0000A3440000}"/>
    <cellStyle name="Normal 207 3 5 3" xfId="17572" xr:uid="{00000000-0005-0000-0000-0000A4440000}"/>
    <cellStyle name="Normal 207 3 6" xfId="17573" xr:uid="{00000000-0005-0000-0000-0000A5440000}"/>
    <cellStyle name="Normal 207 4" xfId="17574" xr:uid="{00000000-0005-0000-0000-0000A6440000}"/>
    <cellStyle name="Normal 207 4 2" xfId="17575" xr:uid="{00000000-0005-0000-0000-0000A7440000}"/>
    <cellStyle name="Normal 207 4 2 2" xfId="17576" xr:uid="{00000000-0005-0000-0000-0000A8440000}"/>
    <cellStyle name="Normal 207 4 3" xfId="17577" xr:uid="{00000000-0005-0000-0000-0000A9440000}"/>
    <cellStyle name="Normal 207 5" xfId="17578" xr:uid="{00000000-0005-0000-0000-0000AA440000}"/>
    <cellStyle name="Normal 207 5 2" xfId="17579" xr:uid="{00000000-0005-0000-0000-0000AB440000}"/>
    <cellStyle name="Normal 207 5 2 2" xfId="17580" xr:uid="{00000000-0005-0000-0000-0000AC440000}"/>
    <cellStyle name="Normal 207 5 3" xfId="17581" xr:uid="{00000000-0005-0000-0000-0000AD440000}"/>
    <cellStyle name="Normal 207 6" xfId="17582" xr:uid="{00000000-0005-0000-0000-0000AE440000}"/>
    <cellStyle name="Normal 207 6 2" xfId="17583" xr:uid="{00000000-0005-0000-0000-0000AF440000}"/>
    <cellStyle name="Normal 207 6 2 2" xfId="17584" xr:uid="{00000000-0005-0000-0000-0000B0440000}"/>
    <cellStyle name="Normal 207 6 3" xfId="17585" xr:uid="{00000000-0005-0000-0000-0000B1440000}"/>
    <cellStyle name="Normal 207 7" xfId="17586" xr:uid="{00000000-0005-0000-0000-0000B2440000}"/>
    <cellStyle name="Normal 208" xfId="17587" xr:uid="{00000000-0005-0000-0000-0000B3440000}"/>
    <cellStyle name="Normal 208 2" xfId="17588" xr:uid="{00000000-0005-0000-0000-0000B4440000}"/>
    <cellStyle name="Normal 208 2 2" xfId="17589" xr:uid="{00000000-0005-0000-0000-0000B5440000}"/>
    <cellStyle name="Normal 208 2 2 2" xfId="17590" xr:uid="{00000000-0005-0000-0000-0000B6440000}"/>
    <cellStyle name="Normal 208 2 3" xfId="17591" xr:uid="{00000000-0005-0000-0000-0000B7440000}"/>
    <cellStyle name="Normal 208 2 3 2" xfId="17592" xr:uid="{00000000-0005-0000-0000-0000B8440000}"/>
    <cellStyle name="Normal 208 2 3 2 2" xfId="17593" xr:uid="{00000000-0005-0000-0000-0000B9440000}"/>
    <cellStyle name="Normal 208 2 3 3" xfId="17594" xr:uid="{00000000-0005-0000-0000-0000BA440000}"/>
    <cellStyle name="Normal 208 2 4" xfId="17595" xr:uid="{00000000-0005-0000-0000-0000BB440000}"/>
    <cellStyle name="Normal 208 2 4 2" xfId="17596" xr:uid="{00000000-0005-0000-0000-0000BC440000}"/>
    <cellStyle name="Normal 208 2 4 2 2" xfId="17597" xr:uid="{00000000-0005-0000-0000-0000BD440000}"/>
    <cellStyle name="Normal 208 2 4 3" xfId="17598" xr:uid="{00000000-0005-0000-0000-0000BE440000}"/>
    <cellStyle name="Normal 208 2 5" xfId="17599" xr:uid="{00000000-0005-0000-0000-0000BF440000}"/>
    <cellStyle name="Normal 208 3" xfId="17600" xr:uid="{00000000-0005-0000-0000-0000C0440000}"/>
    <cellStyle name="Normal 208 3 2" xfId="17601" xr:uid="{00000000-0005-0000-0000-0000C1440000}"/>
    <cellStyle name="Normal 208 3 2 2" xfId="17602" xr:uid="{00000000-0005-0000-0000-0000C2440000}"/>
    <cellStyle name="Normal 208 3 2 2 2" xfId="17603" xr:uid="{00000000-0005-0000-0000-0000C3440000}"/>
    <cellStyle name="Normal 208 3 2 3" xfId="17604" xr:uid="{00000000-0005-0000-0000-0000C4440000}"/>
    <cellStyle name="Normal 208 3 2 3 2" xfId="17605" xr:uid="{00000000-0005-0000-0000-0000C5440000}"/>
    <cellStyle name="Normal 208 3 2 3 2 2" xfId="17606" xr:uid="{00000000-0005-0000-0000-0000C6440000}"/>
    <cellStyle name="Normal 208 3 2 3 3" xfId="17607" xr:uid="{00000000-0005-0000-0000-0000C7440000}"/>
    <cellStyle name="Normal 208 3 2 4" xfId="17608" xr:uid="{00000000-0005-0000-0000-0000C8440000}"/>
    <cellStyle name="Normal 208 3 3" xfId="17609" xr:uid="{00000000-0005-0000-0000-0000C9440000}"/>
    <cellStyle name="Normal 208 3 3 2" xfId="17610" xr:uid="{00000000-0005-0000-0000-0000CA440000}"/>
    <cellStyle name="Normal 208 3 3 2 2" xfId="17611" xr:uid="{00000000-0005-0000-0000-0000CB440000}"/>
    <cellStyle name="Normal 208 3 3 3" xfId="17612" xr:uid="{00000000-0005-0000-0000-0000CC440000}"/>
    <cellStyle name="Normal 208 3 4" xfId="17613" xr:uid="{00000000-0005-0000-0000-0000CD440000}"/>
    <cellStyle name="Normal 208 3 4 2" xfId="17614" xr:uid="{00000000-0005-0000-0000-0000CE440000}"/>
    <cellStyle name="Normal 208 3 4 2 2" xfId="17615" xr:uid="{00000000-0005-0000-0000-0000CF440000}"/>
    <cellStyle name="Normal 208 3 4 3" xfId="17616" xr:uid="{00000000-0005-0000-0000-0000D0440000}"/>
    <cellStyle name="Normal 208 3 5" xfId="17617" xr:uid="{00000000-0005-0000-0000-0000D1440000}"/>
    <cellStyle name="Normal 208 3 5 2" xfId="17618" xr:uid="{00000000-0005-0000-0000-0000D2440000}"/>
    <cellStyle name="Normal 208 3 5 2 2" xfId="17619" xr:uid="{00000000-0005-0000-0000-0000D3440000}"/>
    <cellStyle name="Normal 208 3 5 3" xfId="17620" xr:uid="{00000000-0005-0000-0000-0000D4440000}"/>
    <cellStyle name="Normal 208 3 6" xfId="17621" xr:uid="{00000000-0005-0000-0000-0000D5440000}"/>
    <cellStyle name="Normal 208 4" xfId="17622" xr:uid="{00000000-0005-0000-0000-0000D6440000}"/>
    <cellStyle name="Normal 208 4 2" xfId="17623" xr:uid="{00000000-0005-0000-0000-0000D7440000}"/>
    <cellStyle name="Normal 208 4 2 2" xfId="17624" xr:uid="{00000000-0005-0000-0000-0000D8440000}"/>
    <cellStyle name="Normal 208 4 3" xfId="17625" xr:uid="{00000000-0005-0000-0000-0000D9440000}"/>
    <cellStyle name="Normal 208 5" xfId="17626" xr:uid="{00000000-0005-0000-0000-0000DA440000}"/>
    <cellStyle name="Normal 208 5 2" xfId="17627" xr:uid="{00000000-0005-0000-0000-0000DB440000}"/>
    <cellStyle name="Normal 208 5 2 2" xfId="17628" xr:uid="{00000000-0005-0000-0000-0000DC440000}"/>
    <cellStyle name="Normal 208 5 3" xfId="17629" xr:uid="{00000000-0005-0000-0000-0000DD440000}"/>
    <cellStyle name="Normal 208 6" xfId="17630" xr:uid="{00000000-0005-0000-0000-0000DE440000}"/>
    <cellStyle name="Normal 208 6 2" xfId="17631" xr:uid="{00000000-0005-0000-0000-0000DF440000}"/>
    <cellStyle name="Normal 208 6 2 2" xfId="17632" xr:uid="{00000000-0005-0000-0000-0000E0440000}"/>
    <cellStyle name="Normal 208 6 3" xfId="17633" xr:uid="{00000000-0005-0000-0000-0000E1440000}"/>
    <cellStyle name="Normal 208 7" xfId="17634" xr:uid="{00000000-0005-0000-0000-0000E2440000}"/>
    <cellStyle name="Normal 209" xfId="17635" xr:uid="{00000000-0005-0000-0000-0000E3440000}"/>
    <cellStyle name="Normal 209 2" xfId="17636" xr:uid="{00000000-0005-0000-0000-0000E4440000}"/>
    <cellStyle name="Normal 209 2 2" xfId="17637" xr:uid="{00000000-0005-0000-0000-0000E5440000}"/>
    <cellStyle name="Normal 209 2 2 2" xfId="17638" xr:uid="{00000000-0005-0000-0000-0000E6440000}"/>
    <cellStyle name="Normal 209 2 3" xfId="17639" xr:uid="{00000000-0005-0000-0000-0000E7440000}"/>
    <cellStyle name="Normal 209 2 3 2" xfId="17640" xr:uid="{00000000-0005-0000-0000-0000E8440000}"/>
    <cellStyle name="Normal 209 2 3 2 2" xfId="17641" xr:uid="{00000000-0005-0000-0000-0000E9440000}"/>
    <cellStyle name="Normal 209 2 3 3" xfId="17642" xr:uid="{00000000-0005-0000-0000-0000EA440000}"/>
    <cellStyle name="Normal 209 2 4" xfId="17643" xr:uid="{00000000-0005-0000-0000-0000EB440000}"/>
    <cellStyle name="Normal 209 2 4 2" xfId="17644" xr:uid="{00000000-0005-0000-0000-0000EC440000}"/>
    <cellStyle name="Normal 209 2 4 2 2" xfId="17645" xr:uid="{00000000-0005-0000-0000-0000ED440000}"/>
    <cellStyle name="Normal 209 2 4 3" xfId="17646" xr:uid="{00000000-0005-0000-0000-0000EE440000}"/>
    <cellStyle name="Normal 209 2 5" xfId="17647" xr:uid="{00000000-0005-0000-0000-0000EF440000}"/>
    <cellStyle name="Normal 209 3" xfId="17648" xr:uid="{00000000-0005-0000-0000-0000F0440000}"/>
    <cellStyle name="Normal 209 3 2" xfId="17649" xr:uid="{00000000-0005-0000-0000-0000F1440000}"/>
    <cellStyle name="Normal 209 3 2 2" xfId="17650" xr:uid="{00000000-0005-0000-0000-0000F2440000}"/>
    <cellStyle name="Normal 209 3 2 2 2" xfId="17651" xr:uid="{00000000-0005-0000-0000-0000F3440000}"/>
    <cellStyle name="Normal 209 3 2 3" xfId="17652" xr:uid="{00000000-0005-0000-0000-0000F4440000}"/>
    <cellStyle name="Normal 209 3 2 3 2" xfId="17653" xr:uid="{00000000-0005-0000-0000-0000F5440000}"/>
    <cellStyle name="Normal 209 3 2 3 2 2" xfId="17654" xr:uid="{00000000-0005-0000-0000-0000F6440000}"/>
    <cellStyle name="Normal 209 3 2 3 3" xfId="17655" xr:uid="{00000000-0005-0000-0000-0000F7440000}"/>
    <cellStyle name="Normal 209 3 2 4" xfId="17656" xr:uid="{00000000-0005-0000-0000-0000F8440000}"/>
    <cellStyle name="Normal 209 3 3" xfId="17657" xr:uid="{00000000-0005-0000-0000-0000F9440000}"/>
    <cellStyle name="Normal 209 3 3 2" xfId="17658" xr:uid="{00000000-0005-0000-0000-0000FA440000}"/>
    <cellStyle name="Normal 209 3 3 2 2" xfId="17659" xr:uid="{00000000-0005-0000-0000-0000FB440000}"/>
    <cellStyle name="Normal 209 3 3 3" xfId="17660" xr:uid="{00000000-0005-0000-0000-0000FC440000}"/>
    <cellStyle name="Normal 209 3 4" xfId="17661" xr:uid="{00000000-0005-0000-0000-0000FD440000}"/>
    <cellStyle name="Normal 209 3 4 2" xfId="17662" xr:uid="{00000000-0005-0000-0000-0000FE440000}"/>
    <cellStyle name="Normal 209 3 4 2 2" xfId="17663" xr:uid="{00000000-0005-0000-0000-0000FF440000}"/>
    <cellStyle name="Normal 209 3 4 3" xfId="17664" xr:uid="{00000000-0005-0000-0000-000000450000}"/>
    <cellStyle name="Normal 209 3 5" xfId="17665" xr:uid="{00000000-0005-0000-0000-000001450000}"/>
    <cellStyle name="Normal 209 3 5 2" xfId="17666" xr:uid="{00000000-0005-0000-0000-000002450000}"/>
    <cellStyle name="Normal 209 3 5 2 2" xfId="17667" xr:uid="{00000000-0005-0000-0000-000003450000}"/>
    <cellStyle name="Normal 209 3 5 3" xfId="17668" xr:uid="{00000000-0005-0000-0000-000004450000}"/>
    <cellStyle name="Normal 209 3 6" xfId="17669" xr:uid="{00000000-0005-0000-0000-000005450000}"/>
    <cellStyle name="Normal 209 4" xfId="17670" xr:uid="{00000000-0005-0000-0000-000006450000}"/>
    <cellStyle name="Normal 209 4 2" xfId="17671" xr:uid="{00000000-0005-0000-0000-000007450000}"/>
    <cellStyle name="Normal 209 4 2 2" xfId="17672" xr:uid="{00000000-0005-0000-0000-000008450000}"/>
    <cellStyle name="Normal 209 4 3" xfId="17673" xr:uid="{00000000-0005-0000-0000-000009450000}"/>
    <cellStyle name="Normal 209 5" xfId="17674" xr:uid="{00000000-0005-0000-0000-00000A450000}"/>
    <cellStyle name="Normal 209 5 2" xfId="17675" xr:uid="{00000000-0005-0000-0000-00000B450000}"/>
    <cellStyle name="Normal 209 5 2 2" xfId="17676" xr:uid="{00000000-0005-0000-0000-00000C450000}"/>
    <cellStyle name="Normal 209 5 3" xfId="17677" xr:uid="{00000000-0005-0000-0000-00000D450000}"/>
    <cellStyle name="Normal 209 6" xfId="17678" xr:uid="{00000000-0005-0000-0000-00000E450000}"/>
    <cellStyle name="Normal 209 6 2" xfId="17679" xr:uid="{00000000-0005-0000-0000-00000F450000}"/>
    <cellStyle name="Normal 209 6 2 2" xfId="17680" xr:uid="{00000000-0005-0000-0000-000010450000}"/>
    <cellStyle name="Normal 209 6 3" xfId="17681" xr:uid="{00000000-0005-0000-0000-000011450000}"/>
    <cellStyle name="Normal 209 7" xfId="17682" xr:uid="{00000000-0005-0000-0000-000012450000}"/>
    <cellStyle name="Normal 21" xfId="17683" xr:uid="{00000000-0005-0000-0000-000013450000}"/>
    <cellStyle name="Normal 21 2" xfId="17684" xr:uid="{00000000-0005-0000-0000-000014450000}"/>
    <cellStyle name="Normal 21 2 2" xfId="17685" xr:uid="{00000000-0005-0000-0000-000015450000}"/>
    <cellStyle name="Normal 21 2 2 2" xfId="17686" xr:uid="{00000000-0005-0000-0000-000016450000}"/>
    <cellStyle name="Normal 21 2 2 2 2" xfId="17687" xr:uid="{00000000-0005-0000-0000-000017450000}"/>
    <cellStyle name="Normal 21 2 2 3" xfId="17688" xr:uid="{00000000-0005-0000-0000-000018450000}"/>
    <cellStyle name="Normal 21 2 2 3 2" xfId="17689" xr:uid="{00000000-0005-0000-0000-000019450000}"/>
    <cellStyle name="Normal 21 2 2 3 2 2" xfId="17690" xr:uid="{00000000-0005-0000-0000-00001A450000}"/>
    <cellStyle name="Normal 21 2 2 3 3" xfId="17691" xr:uid="{00000000-0005-0000-0000-00001B450000}"/>
    <cellStyle name="Normal 21 2 2 4" xfId="17692" xr:uid="{00000000-0005-0000-0000-00001C450000}"/>
    <cellStyle name="Normal 21 2 2 4 2" xfId="17693" xr:uid="{00000000-0005-0000-0000-00001D450000}"/>
    <cellStyle name="Normal 21 2 2 4 2 2" xfId="17694" xr:uid="{00000000-0005-0000-0000-00001E450000}"/>
    <cellStyle name="Normal 21 2 2 4 3" xfId="17695" xr:uid="{00000000-0005-0000-0000-00001F450000}"/>
    <cellStyle name="Normal 21 2 2 5" xfId="17696" xr:uid="{00000000-0005-0000-0000-000020450000}"/>
    <cellStyle name="Normal 21 2 3" xfId="17697" xr:uid="{00000000-0005-0000-0000-000021450000}"/>
    <cellStyle name="Normal 21 2 3 2" xfId="17698" xr:uid="{00000000-0005-0000-0000-000022450000}"/>
    <cellStyle name="Normal 21 2 3 2 2" xfId="17699" xr:uid="{00000000-0005-0000-0000-000023450000}"/>
    <cellStyle name="Normal 21 2 3 3" xfId="17700" xr:uid="{00000000-0005-0000-0000-000024450000}"/>
    <cellStyle name="Normal 21 2 4" xfId="17701" xr:uid="{00000000-0005-0000-0000-000025450000}"/>
    <cellStyle name="Normal 21 2 4 2" xfId="17702" xr:uid="{00000000-0005-0000-0000-000026450000}"/>
    <cellStyle name="Normal 21 2 4 2 2" xfId="17703" xr:uid="{00000000-0005-0000-0000-000027450000}"/>
    <cellStyle name="Normal 21 2 4 3" xfId="17704" xr:uid="{00000000-0005-0000-0000-000028450000}"/>
    <cellStyle name="Normal 21 2 5" xfId="17705" xr:uid="{00000000-0005-0000-0000-000029450000}"/>
    <cellStyle name="Normal 21 2 5 2" xfId="17706" xr:uid="{00000000-0005-0000-0000-00002A450000}"/>
    <cellStyle name="Normal 21 2 5 2 2" xfId="17707" xr:uid="{00000000-0005-0000-0000-00002B450000}"/>
    <cellStyle name="Normal 21 2 5 3" xfId="17708" xr:uid="{00000000-0005-0000-0000-00002C450000}"/>
    <cellStyle name="Normal 21 2 6" xfId="17709" xr:uid="{00000000-0005-0000-0000-00002D450000}"/>
    <cellStyle name="Normal 21 3" xfId="17710" xr:uid="{00000000-0005-0000-0000-00002E450000}"/>
    <cellStyle name="Normal 21 3 2" xfId="17711" xr:uid="{00000000-0005-0000-0000-00002F450000}"/>
    <cellStyle name="Normal 21 3 2 2" xfId="17712" xr:uid="{00000000-0005-0000-0000-000030450000}"/>
    <cellStyle name="Normal 21 3 3" xfId="17713" xr:uid="{00000000-0005-0000-0000-000031450000}"/>
    <cellStyle name="Normal 21 3 3 2" xfId="17714" xr:uid="{00000000-0005-0000-0000-000032450000}"/>
    <cellStyle name="Normal 21 3 3 2 2" xfId="17715" xr:uid="{00000000-0005-0000-0000-000033450000}"/>
    <cellStyle name="Normal 21 3 3 3" xfId="17716" xr:uid="{00000000-0005-0000-0000-000034450000}"/>
    <cellStyle name="Normal 21 3 4" xfId="17717" xr:uid="{00000000-0005-0000-0000-000035450000}"/>
    <cellStyle name="Normal 21 3 4 2" xfId="17718" xr:uid="{00000000-0005-0000-0000-000036450000}"/>
    <cellStyle name="Normal 21 3 4 2 2" xfId="17719" xr:uid="{00000000-0005-0000-0000-000037450000}"/>
    <cellStyle name="Normal 21 3 4 3" xfId="17720" xr:uid="{00000000-0005-0000-0000-000038450000}"/>
    <cellStyle name="Normal 21 3 5" xfId="17721" xr:uid="{00000000-0005-0000-0000-000039450000}"/>
    <cellStyle name="Normal 21 4" xfId="17722" xr:uid="{00000000-0005-0000-0000-00003A450000}"/>
    <cellStyle name="Normal 21 4 2" xfId="17723" xr:uid="{00000000-0005-0000-0000-00003B450000}"/>
    <cellStyle name="Normal 21 4 2 2" xfId="17724" xr:uid="{00000000-0005-0000-0000-00003C450000}"/>
    <cellStyle name="Normal 21 4 2 2 2" xfId="17725" xr:uid="{00000000-0005-0000-0000-00003D450000}"/>
    <cellStyle name="Normal 21 4 2 3" xfId="17726" xr:uid="{00000000-0005-0000-0000-00003E450000}"/>
    <cellStyle name="Normal 21 4 2 3 2" xfId="17727" xr:uid="{00000000-0005-0000-0000-00003F450000}"/>
    <cellStyle name="Normal 21 4 2 3 2 2" xfId="17728" xr:uid="{00000000-0005-0000-0000-000040450000}"/>
    <cellStyle name="Normal 21 4 2 3 3" xfId="17729" xr:uid="{00000000-0005-0000-0000-000041450000}"/>
    <cellStyle name="Normal 21 4 2 4" xfId="17730" xr:uid="{00000000-0005-0000-0000-000042450000}"/>
    <cellStyle name="Normal 21 4 3" xfId="17731" xr:uid="{00000000-0005-0000-0000-000043450000}"/>
    <cellStyle name="Normal 21 4 3 2" xfId="17732" xr:uid="{00000000-0005-0000-0000-000044450000}"/>
    <cellStyle name="Normal 21 4 3 2 2" xfId="17733" xr:uid="{00000000-0005-0000-0000-000045450000}"/>
    <cellStyle name="Normal 21 4 3 3" xfId="17734" xr:uid="{00000000-0005-0000-0000-000046450000}"/>
    <cellStyle name="Normal 21 4 4" xfId="17735" xr:uid="{00000000-0005-0000-0000-000047450000}"/>
    <cellStyle name="Normal 21 4 4 2" xfId="17736" xr:uid="{00000000-0005-0000-0000-000048450000}"/>
    <cellStyle name="Normal 21 4 4 2 2" xfId="17737" xr:uid="{00000000-0005-0000-0000-000049450000}"/>
    <cellStyle name="Normal 21 4 4 3" xfId="17738" xr:uid="{00000000-0005-0000-0000-00004A450000}"/>
    <cellStyle name="Normal 21 4 5" xfId="17739" xr:uid="{00000000-0005-0000-0000-00004B450000}"/>
    <cellStyle name="Normal 21 4 5 2" xfId="17740" xr:uid="{00000000-0005-0000-0000-00004C450000}"/>
    <cellStyle name="Normal 21 4 5 2 2" xfId="17741" xr:uid="{00000000-0005-0000-0000-00004D450000}"/>
    <cellStyle name="Normal 21 4 5 3" xfId="17742" xr:uid="{00000000-0005-0000-0000-00004E450000}"/>
    <cellStyle name="Normal 21 4 6" xfId="17743" xr:uid="{00000000-0005-0000-0000-00004F450000}"/>
    <cellStyle name="Normal 21 5" xfId="17744" xr:uid="{00000000-0005-0000-0000-000050450000}"/>
    <cellStyle name="Normal 210" xfId="17745" xr:uid="{00000000-0005-0000-0000-000051450000}"/>
    <cellStyle name="Normal 210 2" xfId="17746" xr:uid="{00000000-0005-0000-0000-000052450000}"/>
    <cellStyle name="Normal 210 2 2" xfId="17747" xr:uid="{00000000-0005-0000-0000-000053450000}"/>
    <cellStyle name="Normal 210 2 2 2" xfId="17748" xr:uid="{00000000-0005-0000-0000-000054450000}"/>
    <cellStyle name="Normal 210 2 3" xfId="17749" xr:uid="{00000000-0005-0000-0000-000055450000}"/>
    <cellStyle name="Normal 210 2 3 2" xfId="17750" xr:uid="{00000000-0005-0000-0000-000056450000}"/>
    <cellStyle name="Normal 210 2 3 2 2" xfId="17751" xr:uid="{00000000-0005-0000-0000-000057450000}"/>
    <cellStyle name="Normal 210 2 3 3" xfId="17752" xr:uid="{00000000-0005-0000-0000-000058450000}"/>
    <cellStyle name="Normal 210 2 4" xfId="17753" xr:uid="{00000000-0005-0000-0000-000059450000}"/>
    <cellStyle name="Normal 210 2 4 2" xfId="17754" xr:uid="{00000000-0005-0000-0000-00005A450000}"/>
    <cellStyle name="Normal 210 2 4 2 2" xfId="17755" xr:uid="{00000000-0005-0000-0000-00005B450000}"/>
    <cellStyle name="Normal 210 2 4 3" xfId="17756" xr:uid="{00000000-0005-0000-0000-00005C450000}"/>
    <cellStyle name="Normal 210 2 5" xfId="17757" xr:uid="{00000000-0005-0000-0000-00005D450000}"/>
    <cellStyle name="Normal 210 3" xfId="17758" xr:uid="{00000000-0005-0000-0000-00005E450000}"/>
    <cellStyle name="Normal 210 3 2" xfId="17759" xr:uid="{00000000-0005-0000-0000-00005F450000}"/>
    <cellStyle name="Normal 210 3 2 2" xfId="17760" xr:uid="{00000000-0005-0000-0000-000060450000}"/>
    <cellStyle name="Normal 210 3 2 2 2" xfId="17761" xr:uid="{00000000-0005-0000-0000-000061450000}"/>
    <cellStyle name="Normal 210 3 2 3" xfId="17762" xr:uid="{00000000-0005-0000-0000-000062450000}"/>
    <cellStyle name="Normal 210 3 2 3 2" xfId="17763" xr:uid="{00000000-0005-0000-0000-000063450000}"/>
    <cellStyle name="Normal 210 3 2 3 2 2" xfId="17764" xr:uid="{00000000-0005-0000-0000-000064450000}"/>
    <cellStyle name="Normal 210 3 2 3 3" xfId="17765" xr:uid="{00000000-0005-0000-0000-000065450000}"/>
    <cellStyle name="Normal 210 3 2 4" xfId="17766" xr:uid="{00000000-0005-0000-0000-000066450000}"/>
    <cellStyle name="Normal 210 3 3" xfId="17767" xr:uid="{00000000-0005-0000-0000-000067450000}"/>
    <cellStyle name="Normal 210 3 3 2" xfId="17768" xr:uid="{00000000-0005-0000-0000-000068450000}"/>
    <cellStyle name="Normal 210 3 3 2 2" xfId="17769" xr:uid="{00000000-0005-0000-0000-000069450000}"/>
    <cellStyle name="Normal 210 3 3 3" xfId="17770" xr:uid="{00000000-0005-0000-0000-00006A450000}"/>
    <cellStyle name="Normal 210 3 4" xfId="17771" xr:uid="{00000000-0005-0000-0000-00006B450000}"/>
    <cellStyle name="Normal 210 3 4 2" xfId="17772" xr:uid="{00000000-0005-0000-0000-00006C450000}"/>
    <cellStyle name="Normal 210 3 4 2 2" xfId="17773" xr:uid="{00000000-0005-0000-0000-00006D450000}"/>
    <cellStyle name="Normal 210 3 4 3" xfId="17774" xr:uid="{00000000-0005-0000-0000-00006E450000}"/>
    <cellStyle name="Normal 210 3 5" xfId="17775" xr:uid="{00000000-0005-0000-0000-00006F450000}"/>
    <cellStyle name="Normal 210 3 5 2" xfId="17776" xr:uid="{00000000-0005-0000-0000-000070450000}"/>
    <cellStyle name="Normal 210 3 5 2 2" xfId="17777" xr:uid="{00000000-0005-0000-0000-000071450000}"/>
    <cellStyle name="Normal 210 3 5 3" xfId="17778" xr:uid="{00000000-0005-0000-0000-000072450000}"/>
    <cellStyle name="Normal 210 3 6" xfId="17779" xr:uid="{00000000-0005-0000-0000-000073450000}"/>
    <cellStyle name="Normal 210 4" xfId="17780" xr:uid="{00000000-0005-0000-0000-000074450000}"/>
    <cellStyle name="Normal 210 4 2" xfId="17781" xr:uid="{00000000-0005-0000-0000-000075450000}"/>
    <cellStyle name="Normal 210 4 2 2" xfId="17782" xr:uid="{00000000-0005-0000-0000-000076450000}"/>
    <cellStyle name="Normal 210 4 3" xfId="17783" xr:uid="{00000000-0005-0000-0000-000077450000}"/>
    <cellStyle name="Normal 210 5" xfId="17784" xr:uid="{00000000-0005-0000-0000-000078450000}"/>
    <cellStyle name="Normal 210 5 2" xfId="17785" xr:uid="{00000000-0005-0000-0000-000079450000}"/>
    <cellStyle name="Normal 210 5 2 2" xfId="17786" xr:uid="{00000000-0005-0000-0000-00007A450000}"/>
    <cellStyle name="Normal 210 5 3" xfId="17787" xr:uid="{00000000-0005-0000-0000-00007B450000}"/>
    <cellStyle name="Normal 210 6" xfId="17788" xr:uid="{00000000-0005-0000-0000-00007C450000}"/>
    <cellStyle name="Normal 210 6 2" xfId="17789" xr:uid="{00000000-0005-0000-0000-00007D450000}"/>
    <cellStyle name="Normal 210 6 2 2" xfId="17790" xr:uid="{00000000-0005-0000-0000-00007E450000}"/>
    <cellStyle name="Normal 210 6 3" xfId="17791" xr:uid="{00000000-0005-0000-0000-00007F450000}"/>
    <cellStyle name="Normal 210 7" xfId="17792" xr:uid="{00000000-0005-0000-0000-000080450000}"/>
    <cellStyle name="Normal 211" xfId="17793" xr:uid="{00000000-0005-0000-0000-000081450000}"/>
    <cellStyle name="Normal 211 2" xfId="17794" xr:uid="{00000000-0005-0000-0000-000082450000}"/>
    <cellStyle name="Normal 211 2 2" xfId="17795" xr:uid="{00000000-0005-0000-0000-000083450000}"/>
    <cellStyle name="Normal 211 2 2 2" xfId="17796" xr:uid="{00000000-0005-0000-0000-000084450000}"/>
    <cellStyle name="Normal 211 2 3" xfId="17797" xr:uid="{00000000-0005-0000-0000-000085450000}"/>
    <cellStyle name="Normal 211 2 3 2" xfId="17798" xr:uid="{00000000-0005-0000-0000-000086450000}"/>
    <cellStyle name="Normal 211 2 3 2 2" xfId="17799" xr:uid="{00000000-0005-0000-0000-000087450000}"/>
    <cellStyle name="Normal 211 2 3 3" xfId="17800" xr:uid="{00000000-0005-0000-0000-000088450000}"/>
    <cellStyle name="Normal 211 2 4" xfId="17801" xr:uid="{00000000-0005-0000-0000-000089450000}"/>
    <cellStyle name="Normal 211 2 4 2" xfId="17802" xr:uid="{00000000-0005-0000-0000-00008A450000}"/>
    <cellStyle name="Normal 211 2 4 2 2" xfId="17803" xr:uid="{00000000-0005-0000-0000-00008B450000}"/>
    <cellStyle name="Normal 211 2 4 3" xfId="17804" xr:uid="{00000000-0005-0000-0000-00008C450000}"/>
    <cellStyle name="Normal 211 2 5" xfId="17805" xr:uid="{00000000-0005-0000-0000-00008D450000}"/>
    <cellStyle name="Normal 211 3" xfId="17806" xr:uid="{00000000-0005-0000-0000-00008E450000}"/>
    <cellStyle name="Normal 211 3 2" xfId="17807" xr:uid="{00000000-0005-0000-0000-00008F450000}"/>
    <cellStyle name="Normal 211 3 2 2" xfId="17808" xr:uid="{00000000-0005-0000-0000-000090450000}"/>
    <cellStyle name="Normal 211 3 2 2 2" xfId="17809" xr:uid="{00000000-0005-0000-0000-000091450000}"/>
    <cellStyle name="Normal 211 3 2 3" xfId="17810" xr:uid="{00000000-0005-0000-0000-000092450000}"/>
    <cellStyle name="Normal 211 3 2 3 2" xfId="17811" xr:uid="{00000000-0005-0000-0000-000093450000}"/>
    <cellStyle name="Normal 211 3 2 3 2 2" xfId="17812" xr:uid="{00000000-0005-0000-0000-000094450000}"/>
    <cellStyle name="Normal 211 3 2 3 3" xfId="17813" xr:uid="{00000000-0005-0000-0000-000095450000}"/>
    <cellStyle name="Normal 211 3 2 4" xfId="17814" xr:uid="{00000000-0005-0000-0000-000096450000}"/>
    <cellStyle name="Normal 211 3 3" xfId="17815" xr:uid="{00000000-0005-0000-0000-000097450000}"/>
    <cellStyle name="Normal 211 3 3 2" xfId="17816" xr:uid="{00000000-0005-0000-0000-000098450000}"/>
    <cellStyle name="Normal 211 3 3 2 2" xfId="17817" xr:uid="{00000000-0005-0000-0000-000099450000}"/>
    <cellStyle name="Normal 211 3 3 3" xfId="17818" xr:uid="{00000000-0005-0000-0000-00009A450000}"/>
    <cellStyle name="Normal 211 3 4" xfId="17819" xr:uid="{00000000-0005-0000-0000-00009B450000}"/>
    <cellStyle name="Normal 211 3 4 2" xfId="17820" xr:uid="{00000000-0005-0000-0000-00009C450000}"/>
    <cellStyle name="Normal 211 3 4 2 2" xfId="17821" xr:uid="{00000000-0005-0000-0000-00009D450000}"/>
    <cellStyle name="Normal 211 3 4 3" xfId="17822" xr:uid="{00000000-0005-0000-0000-00009E450000}"/>
    <cellStyle name="Normal 211 3 5" xfId="17823" xr:uid="{00000000-0005-0000-0000-00009F450000}"/>
    <cellStyle name="Normal 211 3 5 2" xfId="17824" xr:uid="{00000000-0005-0000-0000-0000A0450000}"/>
    <cellStyle name="Normal 211 3 5 2 2" xfId="17825" xr:uid="{00000000-0005-0000-0000-0000A1450000}"/>
    <cellStyle name="Normal 211 3 5 3" xfId="17826" xr:uid="{00000000-0005-0000-0000-0000A2450000}"/>
    <cellStyle name="Normal 211 3 6" xfId="17827" xr:uid="{00000000-0005-0000-0000-0000A3450000}"/>
    <cellStyle name="Normal 211 4" xfId="17828" xr:uid="{00000000-0005-0000-0000-0000A4450000}"/>
    <cellStyle name="Normal 211 4 2" xfId="17829" xr:uid="{00000000-0005-0000-0000-0000A5450000}"/>
    <cellStyle name="Normal 211 4 2 2" xfId="17830" xr:uid="{00000000-0005-0000-0000-0000A6450000}"/>
    <cellStyle name="Normal 211 4 3" xfId="17831" xr:uid="{00000000-0005-0000-0000-0000A7450000}"/>
    <cellStyle name="Normal 211 5" xfId="17832" xr:uid="{00000000-0005-0000-0000-0000A8450000}"/>
    <cellStyle name="Normal 211 5 2" xfId="17833" xr:uid="{00000000-0005-0000-0000-0000A9450000}"/>
    <cellStyle name="Normal 211 5 2 2" xfId="17834" xr:uid="{00000000-0005-0000-0000-0000AA450000}"/>
    <cellStyle name="Normal 211 5 3" xfId="17835" xr:uid="{00000000-0005-0000-0000-0000AB450000}"/>
    <cellStyle name="Normal 211 6" xfId="17836" xr:uid="{00000000-0005-0000-0000-0000AC450000}"/>
    <cellStyle name="Normal 211 6 2" xfId="17837" xr:uid="{00000000-0005-0000-0000-0000AD450000}"/>
    <cellStyle name="Normal 211 6 2 2" xfId="17838" xr:uid="{00000000-0005-0000-0000-0000AE450000}"/>
    <cellStyle name="Normal 211 6 3" xfId="17839" xr:uid="{00000000-0005-0000-0000-0000AF450000}"/>
    <cellStyle name="Normal 211 7" xfId="17840" xr:uid="{00000000-0005-0000-0000-0000B0450000}"/>
    <cellStyle name="Normal 212" xfId="17841" xr:uid="{00000000-0005-0000-0000-0000B1450000}"/>
    <cellStyle name="Normal 212 2" xfId="17842" xr:uid="{00000000-0005-0000-0000-0000B2450000}"/>
    <cellStyle name="Normal 212 2 2" xfId="17843" xr:uid="{00000000-0005-0000-0000-0000B3450000}"/>
    <cellStyle name="Normal 212 2 2 2" xfId="17844" xr:uid="{00000000-0005-0000-0000-0000B4450000}"/>
    <cellStyle name="Normal 212 2 3" xfId="17845" xr:uid="{00000000-0005-0000-0000-0000B5450000}"/>
    <cellStyle name="Normal 212 2 3 2" xfId="17846" xr:uid="{00000000-0005-0000-0000-0000B6450000}"/>
    <cellStyle name="Normal 212 2 3 2 2" xfId="17847" xr:uid="{00000000-0005-0000-0000-0000B7450000}"/>
    <cellStyle name="Normal 212 2 3 3" xfId="17848" xr:uid="{00000000-0005-0000-0000-0000B8450000}"/>
    <cellStyle name="Normal 212 2 4" xfId="17849" xr:uid="{00000000-0005-0000-0000-0000B9450000}"/>
    <cellStyle name="Normal 212 2 4 2" xfId="17850" xr:uid="{00000000-0005-0000-0000-0000BA450000}"/>
    <cellStyle name="Normal 212 2 4 2 2" xfId="17851" xr:uid="{00000000-0005-0000-0000-0000BB450000}"/>
    <cellStyle name="Normal 212 2 4 3" xfId="17852" xr:uid="{00000000-0005-0000-0000-0000BC450000}"/>
    <cellStyle name="Normal 212 2 5" xfId="17853" xr:uid="{00000000-0005-0000-0000-0000BD450000}"/>
    <cellStyle name="Normal 212 3" xfId="17854" xr:uid="{00000000-0005-0000-0000-0000BE450000}"/>
    <cellStyle name="Normal 212 3 2" xfId="17855" xr:uid="{00000000-0005-0000-0000-0000BF450000}"/>
    <cellStyle name="Normal 212 3 2 2" xfId="17856" xr:uid="{00000000-0005-0000-0000-0000C0450000}"/>
    <cellStyle name="Normal 212 3 2 2 2" xfId="17857" xr:uid="{00000000-0005-0000-0000-0000C1450000}"/>
    <cellStyle name="Normal 212 3 2 3" xfId="17858" xr:uid="{00000000-0005-0000-0000-0000C2450000}"/>
    <cellStyle name="Normal 212 3 2 3 2" xfId="17859" xr:uid="{00000000-0005-0000-0000-0000C3450000}"/>
    <cellStyle name="Normal 212 3 2 3 2 2" xfId="17860" xr:uid="{00000000-0005-0000-0000-0000C4450000}"/>
    <cellStyle name="Normal 212 3 2 3 3" xfId="17861" xr:uid="{00000000-0005-0000-0000-0000C5450000}"/>
    <cellStyle name="Normal 212 3 2 4" xfId="17862" xr:uid="{00000000-0005-0000-0000-0000C6450000}"/>
    <cellStyle name="Normal 212 3 3" xfId="17863" xr:uid="{00000000-0005-0000-0000-0000C7450000}"/>
    <cellStyle name="Normal 212 3 3 2" xfId="17864" xr:uid="{00000000-0005-0000-0000-0000C8450000}"/>
    <cellStyle name="Normal 212 3 3 2 2" xfId="17865" xr:uid="{00000000-0005-0000-0000-0000C9450000}"/>
    <cellStyle name="Normal 212 3 3 3" xfId="17866" xr:uid="{00000000-0005-0000-0000-0000CA450000}"/>
    <cellStyle name="Normal 212 3 4" xfId="17867" xr:uid="{00000000-0005-0000-0000-0000CB450000}"/>
    <cellStyle name="Normal 212 3 4 2" xfId="17868" xr:uid="{00000000-0005-0000-0000-0000CC450000}"/>
    <cellStyle name="Normal 212 3 4 2 2" xfId="17869" xr:uid="{00000000-0005-0000-0000-0000CD450000}"/>
    <cellStyle name="Normal 212 3 4 3" xfId="17870" xr:uid="{00000000-0005-0000-0000-0000CE450000}"/>
    <cellStyle name="Normal 212 3 5" xfId="17871" xr:uid="{00000000-0005-0000-0000-0000CF450000}"/>
    <cellStyle name="Normal 212 3 5 2" xfId="17872" xr:uid="{00000000-0005-0000-0000-0000D0450000}"/>
    <cellStyle name="Normal 212 3 5 2 2" xfId="17873" xr:uid="{00000000-0005-0000-0000-0000D1450000}"/>
    <cellStyle name="Normal 212 3 5 3" xfId="17874" xr:uid="{00000000-0005-0000-0000-0000D2450000}"/>
    <cellStyle name="Normal 212 3 6" xfId="17875" xr:uid="{00000000-0005-0000-0000-0000D3450000}"/>
    <cellStyle name="Normal 212 4" xfId="17876" xr:uid="{00000000-0005-0000-0000-0000D4450000}"/>
    <cellStyle name="Normal 212 4 2" xfId="17877" xr:uid="{00000000-0005-0000-0000-0000D5450000}"/>
    <cellStyle name="Normal 212 4 2 2" xfId="17878" xr:uid="{00000000-0005-0000-0000-0000D6450000}"/>
    <cellStyle name="Normal 212 4 3" xfId="17879" xr:uid="{00000000-0005-0000-0000-0000D7450000}"/>
    <cellStyle name="Normal 212 5" xfId="17880" xr:uid="{00000000-0005-0000-0000-0000D8450000}"/>
    <cellStyle name="Normal 212 5 2" xfId="17881" xr:uid="{00000000-0005-0000-0000-0000D9450000}"/>
    <cellStyle name="Normal 212 5 2 2" xfId="17882" xr:uid="{00000000-0005-0000-0000-0000DA450000}"/>
    <cellStyle name="Normal 212 5 3" xfId="17883" xr:uid="{00000000-0005-0000-0000-0000DB450000}"/>
    <cellStyle name="Normal 212 6" xfId="17884" xr:uid="{00000000-0005-0000-0000-0000DC450000}"/>
    <cellStyle name="Normal 212 6 2" xfId="17885" xr:uid="{00000000-0005-0000-0000-0000DD450000}"/>
    <cellStyle name="Normal 212 6 2 2" xfId="17886" xr:uid="{00000000-0005-0000-0000-0000DE450000}"/>
    <cellStyle name="Normal 212 6 3" xfId="17887" xr:uid="{00000000-0005-0000-0000-0000DF450000}"/>
    <cellStyle name="Normal 212 7" xfId="17888" xr:uid="{00000000-0005-0000-0000-0000E0450000}"/>
    <cellStyle name="Normal 213" xfId="17889" xr:uid="{00000000-0005-0000-0000-0000E1450000}"/>
    <cellStyle name="Normal 213 2" xfId="17890" xr:uid="{00000000-0005-0000-0000-0000E2450000}"/>
    <cellStyle name="Normal 213 2 2" xfId="17891" xr:uid="{00000000-0005-0000-0000-0000E3450000}"/>
    <cellStyle name="Normal 213 2 2 2" xfId="17892" xr:uid="{00000000-0005-0000-0000-0000E4450000}"/>
    <cellStyle name="Normal 213 2 3" xfId="17893" xr:uid="{00000000-0005-0000-0000-0000E5450000}"/>
    <cellStyle name="Normal 213 2 3 2" xfId="17894" xr:uid="{00000000-0005-0000-0000-0000E6450000}"/>
    <cellStyle name="Normal 213 2 3 2 2" xfId="17895" xr:uid="{00000000-0005-0000-0000-0000E7450000}"/>
    <cellStyle name="Normal 213 2 3 3" xfId="17896" xr:uid="{00000000-0005-0000-0000-0000E8450000}"/>
    <cellStyle name="Normal 213 2 4" xfId="17897" xr:uid="{00000000-0005-0000-0000-0000E9450000}"/>
    <cellStyle name="Normal 213 2 4 2" xfId="17898" xr:uid="{00000000-0005-0000-0000-0000EA450000}"/>
    <cellStyle name="Normal 213 2 4 2 2" xfId="17899" xr:uid="{00000000-0005-0000-0000-0000EB450000}"/>
    <cellStyle name="Normal 213 2 4 3" xfId="17900" xr:uid="{00000000-0005-0000-0000-0000EC450000}"/>
    <cellStyle name="Normal 213 2 5" xfId="17901" xr:uid="{00000000-0005-0000-0000-0000ED450000}"/>
    <cellStyle name="Normal 213 3" xfId="17902" xr:uid="{00000000-0005-0000-0000-0000EE450000}"/>
    <cellStyle name="Normal 213 3 2" xfId="17903" xr:uid="{00000000-0005-0000-0000-0000EF450000}"/>
    <cellStyle name="Normal 213 3 2 2" xfId="17904" xr:uid="{00000000-0005-0000-0000-0000F0450000}"/>
    <cellStyle name="Normal 213 3 2 2 2" xfId="17905" xr:uid="{00000000-0005-0000-0000-0000F1450000}"/>
    <cellStyle name="Normal 213 3 2 3" xfId="17906" xr:uid="{00000000-0005-0000-0000-0000F2450000}"/>
    <cellStyle name="Normal 213 3 2 3 2" xfId="17907" xr:uid="{00000000-0005-0000-0000-0000F3450000}"/>
    <cellStyle name="Normal 213 3 2 3 2 2" xfId="17908" xr:uid="{00000000-0005-0000-0000-0000F4450000}"/>
    <cellStyle name="Normal 213 3 2 3 3" xfId="17909" xr:uid="{00000000-0005-0000-0000-0000F5450000}"/>
    <cellStyle name="Normal 213 3 2 4" xfId="17910" xr:uid="{00000000-0005-0000-0000-0000F6450000}"/>
    <cellStyle name="Normal 213 3 3" xfId="17911" xr:uid="{00000000-0005-0000-0000-0000F7450000}"/>
    <cellStyle name="Normal 213 3 3 2" xfId="17912" xr:uid="{00000000-0005-0000-0000-0000F8450000}"/>
    <cellStyle name="Normal 213 3 3 2 2" xfId="17913" xr:uid="{00000000-0005-0000-0000-0000F9450000}"/>
    <cellStyle name="Normal 213 3 3 3" xfId="17914" xr:uid="{00000000-0005-0000-0000-0000FA450000}"/>
    <cellStyle name="Normal 213 3 4" xfId="17915" xr:uid="{00000000-0005-0000-0000-0000FB450000}"/>
    <cellStyle name="Normal 213 3 4 2" xfId="17916" xr:uid="{00000000-0005-0000-0000-0000FC450000}"/>
    <cellStyle name="Normal 213 3 4 2 2" xfId="17917" xr:uid="{00000000-0005-0000-0000-0000FD450000}"/>
    <cellStyle name="Normal 213 3 4 3" xfId="17918" xr:uid="{00000000-0005-0000-0000-0000FE450000}"/>
    <cellStyle name="Normal 213 3 5" xfId="17919" xr:uid="{00000000-0005-0000-0000-0000FF450000}"/>
    <cellStyle name="Normal 213 3 5 2" xfId="17920" xr:uid="{00000000-0005-0000-0000-000000460000}"/>
    <cellStyle name="Normal 213 3 5 2 2" xfId="17921" xr:uid="{00000000-0005-0000-0000-000001460000}"/>
    <cellStyle name="Normal 213 3 5 3" xfId="17922" xr:uid="{00000000-0005-0000-0000-000002460000}"/>
    <cellStyle name="Normal 213 3 6" xfId="17923" xr:uid="{00000000-0005-0000-0000-000003460000}"/>
    <cellStyle name="Normal 213 4" xfId="17924" xr:uid="{00000000-0005-0000-0000-000004460000}"/>
    <cellStyle name="Normal 213 4 2" xfId="17925" xr:uid="{00000000-0005-0000-0000-000005460000}"/>
    <cellStyle name="Normal 213 4 2 2" xfId="17926" xr:uid="{00000000-0005-0000-0000-000006460000}"/>
    <cellStyle name="Normal 213 4 3" xfId="17927" xr:uid="{00000000-0005-0000-0000-000007460000}"/>
    <cellStyle name="Normal 213 5" xfId="17928" xr:uid="{00000000-0005-0000-0000-000008460000}"/>
    <cellStyle name="Normal 213 5 2" xfId="17929" xr:uid="{00000000-0005-0000-0000-000009460000}"/>
    <cellStyle name="Normal 213 5 2 2" xfId="17930" xr:uid="{00000000-0005-0000-0000-00000A460000}"/>
    <cellStyle name="Normal 213 5 3" xfId="17931" xr:uid="{00000000-0005-0000-0000-00000B460000}"/>
    <cellStyle name="Normal 213 6" xfId="17932" xr:uid="{00000000-0005-0000-0000-00000C460000}"/>
    <cellStyle name="Normal 213 6 2" xfId="17933" xr:uid="{00000000-0005-0000-0000-00000D460000}"/>
    <cellStyle name="Normal 213 6 2 2" xfId="17934" xr:uid="{00000000-0005-0000-0000-00000E460000}"/>
    <cellStyle name="Normal 213 6 3" xfId="17935" xr:uid="{00000000-0005-0000-0000-00000F460000}"/>
    <cellStyle name="Normal 213 7" xfId="17936" xr:uid="{00000000-0005-0000-0000-000010460000}"/>
    <cellStyle name="Normal 214" xfId="17937" xr:uid="{00000000-0005-0000-0000-000011460000}"/>
    <cellStyle name="Normal 214 2" xfId="17938" xr:uid="{00000000-0005-0000-0000-000012460000}"/>
    <cellStyle name="Normal 214 2 2" xfId="17939" xr:uid="{00000000-0005-0000-0000-000013460000}"/>
    <cellStyle name="Normal 214 2 2 2" xfId="17940" xr:uid="{00000000-0005-0000-0000-000014460000}"/>
    <cellStyle name="Normal 214 2 3" xfId="17941" xr:uid="{00000000-0005-0000-0000-000015460000}"/>
    <cellStyle name="Normal 214 2 3 2" xfId="17942" xr:uid="{00000000-0005-0000-0000-000016460000}"/>
    <cellStyle name="Normal 214 2 3 2 2" xfId="17943" xr:uid="{00000000-0005-0000-0000-000017460000}"/>
    <cellStyle name="Normal 214 2 3 3" xfId="17944" xr:uid="{00000000-0005-0000-0000-000018460000}"/>
    <cellStyle name="Normal 214 2 4" xfId="17945" xr:uid="{00000000-0005-0000-0000-000019460000}"/>
    <cellStyle name="Normal 214 2 4 2" xfId="17946" xr:uid="{00000000-0005-0000-0000-00001A460000}"/>
    <cellStyle name="Normal 214 2 4 2 2" xfId="17947" xr:uid="{00000000-0005-0000-0000-00001B460000}"/>
    <cellStyle name="Normal 214 2 4 3" xfId="17948" xr:uid="{00000000-0005-0000-0000-00001C460000}"/>
    <cellStyle name="Normal 214 2 5" xfId="17949" xr:uid="{00000000-0005-0000-0000-00001D460000}"/>
    <cellStyle name="Normal 214 3" xfId="17950" xr:uid="{00000000-0005-0000-0000-00001E460000}"/>
    <cellStyle name="Normal 214 3 2" xfId="17951" xr:uid="{00000000-0005-0000-0000-00001F460000}"/>
    <cellStyle name="Normal 214 3 2 2" xfId="17952" xr:uid="{00000000-0005-0000-0000-000020460000}"/>
    <cellStyle name="Normal 214 3 2 2 2" xfId="17953" xr:uid="{00000000-0005-0000-0000-000021460000}"/>
    <cellStyle name="Normal 214 3 2 3" xfId="17954" xr:uid="{00000000-0005-0000-0000-000022460000}"/>
    <cellStyle name="Normal 214 3 2 3 2" xfId="17955" xr:uid="{00000000-0005-0000-0000-000023460000}"/>
    <cellStyle name="Normal 214 3 2 3 2 2" xfId="17956" xr:uid="{00000000-0005-0000-0000-000024460000}"/>
    <cellStyle name="Normal 214 3 2 3 3" xfId="17957" xr:uid="{00000000-0005-0000-0000-000025460000}"/>
    <cellStyle name="Normal 214 3 2 4" xfId="17958" xr:uid="{00000000-0005-0000-0000-000026460000}"/>
    <cellStyle name="Normal 214 3 3" xfId="17959" xr:uid="{00000000-0005-0000-0000-000027460000}"/>
    <cellStyle name="Normal 214 3 3 2" xfId="17960" xr:uid="{00000000-0005-0000-0000-000028460000}"/>
    <cellStyle name="Normal 214 3 3 2 2" xfId="17961" xr:uid="{00000000-0005-0000-0000-000029460000}"/>
    <cellStyle name="Normal 214 3 3 3" xfId="17962" xr:uid="{00000000-0005-0000-0000-00002A460000}"/>
    <cellStyle name="Normal 214 3 4" xfId="17963" xr:uid="{00000000-0005-0000-0000-00002B460000}"/>
    <cellStyle name="Normal 214 3 4 2" xfId="17964" xr:uid="{00000000-0005-0000-0000-00002C460000}"/>
    <cellStyle name="Normal 214 3 4 2 2" xfId="17965" xr:uid="{00000000-0005-0000-0000-00002D460000}"/>
    <cellStyle name="Normal 214 3 4 3" xfId="17966" xr:uid="{00000000-0005-0000-0000-00002E460000}"/>
    <cellStyle name="Normal 214 3 5" xfId="17967" xr:uid="{00000000-0005-0000-0000-00002F460000}"/>
    <cellStyle name="Normal 214 3 5 2" xfId="17968" xr:uid="{00000000-0005-0000-0000-000030460000}"/>
    <cellStyle name="Normal 214 3 5 2 2" xfId="17969" xr:uid="{00000000-0005-0000-0000-000031460000}"/>
    <cellStyle name="Normal 214 3 5 3" xfId="17970" xr:uid="{00000000-0005-0000-0000-000032460000}"/>
    <cellStyle name="Normal 214 3 6" xfId="17971" xr:uid="{00000000-0005-0000-0000-000033460000}"/>
    <cellStyle name="Normal 214 4" xfId="17972" xr:uid="{00000000-0005-0000-0000-000034460000}"/>
    <cellStyle name="Normal 214 4 2" xfId="17973" xr:uid="{00000000-0005-0000-0000-000035460000}"/>
    <cellStyle name="Normal 214 4 2 2" xfId="17974" xr:uid="{00000000-0005-0000-0000-000036460000}"/>
    <cellStyle name="Normal 214 4 3" xfId="17975" xr:uid="{00000000-0005-0000-0000-000037460000}"/>
    <cellStyle name="Normal 214 5" xfId="17976" xr:uid="{00000000-0005-0000-0000-000038460000}"/>
    <cellStyle name="Normal 214 5 2" xfId="17977" xr:uid="{00000000-0005-0000-0000-000039460000}"/>
    <cellStyle name="Normal 214 5 2 2" xfId="17978" xr:uid="{00000000-0005-0000-0000-00003A460000}"/>
    <cellStyle name="Normal 214 5 3" xfId="17979" xr:uid="{00000000-0005-0000-0000-00003B460000}"/>
    <cellStyle name="Normal 214 6" xfId="17980" xr:uid="{00000000-0005-0000-0000-00003C460000}"/>
    <cellStyle name="Normal 214 6 2" xfId="17981" xr:uid="{00000000-0005-0000-0000-00003D460000}"/>
    <cellStyle name="Normal 214 6 2 2" xfId="17982" xr:uid="{00000000-0005-0000-0000-00003E460000}"/>
    <cellStyle name="Normal 214 6 3" xfId="17983" xr:uid="{00000000-0005-0000-0000-00003F460000}"/>
    <cellStyle name="Normal 214 7" xfId="17984" xr:uid="{00000000-0005-0000-0000-000040460000}"/>
    <cellStyle name="Normal 215" xfId="17985" xr:uid="{00000000-0005-0000-0000-000041460000}"/>
    <cellStyle name="Normal 215 2" xfId="17986" xr:uid="{00000000-0005-0000-0000-000042460000}"/>
    <cellStyle name="Normal 215 2 2" xfId="17987" xr:uid="{00000000-0005-0000-0000-000043460000}"/>
    <cellStyle name="Normal 215 2 2 2" xfId="17988" xr:uid="{00000000-0005-0000-0000-000044460000}"/>
    <cellStyle name="Normal 215 2 3" xfId="17989" xr:uid="{00000000-0005-0000-0000-000045460000}"/>
    <cellStyle name="Normal 215 2 3 2" xfId="17990" xr:uid="{00000000-0005-0000-0000-000046460000}"/>
    <cellStyle name="Normal 215 2 3 2 2" xfId="17991" xr:uid="{00000000-0005-0000-0000-000047460000}"/>
    <cellStyle name="Normal 215 2 3 3" xfId="17992" xr:uid="{00000000-0005-0000-0000-000048460000}"/>
    <cellStyle name="Normal 215 2 4" xfId="17993" xr:uid="{00000000-0005-0000-0000-000049460000}"/>
    <cellStyle name="Normal 215 2 4 2" xfId="17994" xr:uid="{00000000-0005-0000-0000-00004A460000}"/>
    <cellStyle name="Normal 215 2 4 2 2" xfId="17995" xr:uid="{00000000-0005-0000-0000-00004B460000}"/>
    <cellStyle name="Normal 215 2 4 3" xfId="17996" xr:uid="{00000000-0005-0000-0000-00004C460000}"/>
    <cellStyle name="Normal 215 2 5" xfId="17997" xr:uid="{00000000-0005-0000-0000-00004D460000}"/>
    <cellStyle name="Normal 215 3" xfId="17998" xr:uid="{00000000-0005-0000-0000-00004E460000}"/>
    <cellStyle name="Normal 215 3 2" xfId="17999" xr:uid="{00000000-0005-0000-0000-00004F460000}"/>
    <cellStyle name="Normal 215 3 2 2" xfId="18000" xr:uid="{00000000-0005-0000-0000-000050460000}"/>
    <cellStyle name="Normal 215 3 2 2 2" xfId="18001" xr:uid="{00000000-0005-0000-0000-000051460000}"/>
    <cellStyle name="Normal 215 3 2 3" xfId="18002" xr:uid="{00000000-0005-0000-0000-000052460000}"/>
    <cellStyle name="Normal 215 3 2 3 2" xfId="18003" xr:uid="{00000000-0005-0000-0000-000053460000}"/>
    <cellStyle name="Normal 215 3 2 3 2 2" xfId="18004" xr:uid="{00000000-0005-0000-0000-000054460000}"/>
    <cellStyle name="Normal 215 3 2 3 3" xfId="18005" xr:uid="{00000000-0005-0000-0000-000055460000}"/>
    <cellStyle name="Normal 215 3 2 4" xfId="18006" xr:uid="{00000000-0005-0000-0000-000056460000}"/>
    <cellStyle name="Normal 215 3 3" xfId="18007" xr:uid="{00000000-0005-0000-0000-000057460000}"/>
    <cellStyle name="Normal 215 3 3 2" xfId="18008" xr:uid="{00000000-0005-0000-0000-000058460000}"/>
    <cellStyle name="Normal 215 3 3 2 2" xfId="18009" xr:uid="{00000000-0005-0000-0000-000059460000}"/>
    <cellStyle name="Normal 215 3 3 3" xfId="18010" xr:uid="{00000000-0005-0000-0000-00005A460000}"/>
    <cellStyle name="Normal 215 3 4" xfId="18011" xr:uid="{00000000-0005-0000-0000-00005B460000}"/>
    <cellStyle name="Normal 215 3 4 2" xfId="18012" xr:uid="{00000000-0005-0000-0000-00005C460000}"/>
    <cellStyle name="Normal 215 3 4 2 2" xfId="18013" xr:uid="{00000000-0005-0000-0000-00005D460000}"/>
    <cellStyle name="Normal 215 3 4 3" xfId="18014" xr:uid="{00000000-0005-0000-0000-00005E460000}"/>
    <cellStyle name="Normal 215 3 5" xfId="18015" xr:uid="{00000000-0005-0000-0000-00005F460000}"/>
    <cellStyle name="Normal 215 3 5 2" xfId="18016" xr:uid="{00000000-0005-0000-0000-000060460000}"/>
    <cellStyle name="Normal 215 3 5 2 2" xfId="18017" xr:uid="{00000000-0005-0000-0000-000061460000}"/>
    <cellStyle name="Normal 215 3 5 3" xfId="18018" xr:uid="{00000000-0005-0000-0000-000062460000}"/>
    <cellStyle name="Normal 215 3 6" xfId="18019" xr:uid="{00000000-0005-0000-0000-000063460000}"/>
    <cellStyle name="Normal 215 4" xfId="18020" xr:uid="{00000000-0005-0000-0000-000064460000}"/>
    <cellStyle name="Normal 215 4 2" xfId="18021" xr:uid="{00000000-0005-0000-0000-000065460000}"/>
    <cellStyle name="Normal 215 4 2 2" xfId="18022" xr:uid="{00000000-0005-0000-0000-000066460000}"/>
    <cellStyle name="Normal 215 4 3" xfId="18023" xr:uid="{00000000-0005-0000-0000-000067460000}"/>
    <cellStyle name="Normal 215 5" xfId="18024" xr:uid="{00000000-0005-0000-0000-000068460000}"/>
    <cellStyle name="Normal 215 5 2" xfId="18025" xr:uid="{00000000-0005-0000-0000-000069460000}"/>
    <cellStyle name="Normal 215 5 2 2" xfId="18026" xr:uid="{00000000-0005-0000-0000-00006A460000}"/>
    <cellStyle name="Normal 215 5 3" xfId="18027" xr:uid="{00000000-0005-0000-0000-00006B460000}"/>
    <cellStyle name="Normal 215 6" xfId="18028" xr:uid="{00000000-0005-0000-0000-00006C460000}"/>
    <cellStyle name="Normal 215 6 2" xfId="18029" xr:uid="{00000000-0005-0000-0000-00006D460000}"/>
    <cellStyle name="Normal 215 6 2 2" xfId="18030" xr:uid="{00000000-0005-0000-0000-00006E460000}"/>
    <cellStyle name="Normal 215 6 3" xfId="18031" xr:uid="{00000000-0005-0000-0000-00006F460000}"/>
    <cellStyle name="Normal 215 7" xfId="18032" xr:uid="{00000000-0005-0000-0000-000070460000}"/>
    <cellStyle name="Normal 216" xfId="18033" xr:uid="{00000000-0005-0000-0000-000071460000}"/>
    <cellStyle name="Normal 216 2" xfId="18034" xr:uid="{00000000-0005-0000-0000-000072460000}"/>
    <cellStyle name="Normal 216 2 2" xfId="18035" xr:uid="{00000000-0005-0000-0000-000073460000}"/>
    <cellStyle name="Normal 216 2 2 2" xfId="18036" xr:uid="{00000000-0005-0000-0000-000074460000}"/>
    <cellStyle name="Normal 216 2 3" xfId="18037" xr:uid="{00000000-0005-0000-0000-000075460000}"/>
    <cellStyle name="Normal 216 2 3 2" xfId="18038" xr:uid="{00000000-0005-0000-0000-000076460000}"/>
    <cellStyle name="Normal 216 2 3 2 2" xfId="18039" xr:uid="{00000000-0005-0000-0000-000077460000}"/>
    <cellStyle name="Normal 216 2 3 3" xfId="18040" xr:uid="{00000000-0005-0000-0000-000078460000}"/>
    <cellStyle name="Normal 216 2 4" xfId="18041" xr:uid="{00000000-0005-0000-0000-000079460000}"/>
    <cellStyle name="Normal 216 2 4 2" xfId="18042" xr:uid="{00000000-0005-0000-0000-00007A460000}"/>
    <cellStyle name="Normal 216 2 4 2 2" xfId="18043" xr:uid="{00000000-0005-0000-0000-00007B460000}"/>
    <cellStyle name="Normal 216 2 4 3" xfId="18044" xr:uid="{00000000-0005-0000-0000-00007C460000}"/>
    <cellStyle name="Normal 216 2 5" xfId="18045" xr:uid="{00000000-0005-0000-0000-00007D460000}"/>
    <cellStyle name="Normal 216 3" xfId="18046" xr:uid="{00000000-0005-0000-0000-00007E460000}"/>
    <cellStyle name="Normal 216 3 2" xfId="18047" xr:uid="{00000000-0005-0000-0000-00007F460000}"/>
    <cellStyle name="Normal 216 3 2 2" xfId="18048" xr:uid="{00000000-0005-0000-0000-000080460000}"/>
    <cellStyle name="Normal 216 3 2 2 2" xfId="18049" xr:uid="{00000000-0005-0000-0000-000081460000}"/>
    <cellStyle name="Normal 216 3 2 3" xfId="18050" xr:uid="{00000000-0005-0000-0000-000082460000}"/>
    <cellStyle name="Normal 216 3 2 3 2" xfId="18051" xr:uid="{00000000-0005-0000-0000-000083460000}"/>
    <cellStyle name="Normal 216 3 2 3 2 2" xfId="18052" xr:uid="{00000000-0005-0000-0000-000084460000}"/>
    <cellStyle name="Normal 216 3 2 3 3" xfId="18053" xr:uid="{00000000-0005-0000-0000-000085460000}"/>
    <cellStyle name="Normal 216 3 2 4" xfId="18054" xr:uid="{00000000-0005-0000-0000-000086460000}"/>
    <cellStyle name="Normal 216 3 3" xfId="18055" xr:uid="{00000000-0005-0000-0000-000087460000}"/>
    <cellStyle name="Normal 216 3 3 2" xfId="18056" xr:uid="{00000000-0005-0000-0000-000088460000}"/>
    <cellStyle name="Normal 216 3 3 2 2" xfId="18057" xr:uid="{00000000-0005-0000-0000-000089460000}"/>
    <cellStyle name="Normal 216 3 3 3" xfId="18058" xr:uid="{00000000-0005-0000-0000-00008A460000}"/>
    <cellStyle name="Normal 216 3 4" xfId="18059" xr:uid="{00000000-0005-0000-0000-00008B460000}"/>
    <cellStyle name="Normal 216 3 4 2" xfId="18060" xr:uid="{00000000-0005-0000-0000-00008C460000}"/>
    <cellStyle name="Normal 216 3 4 2 2" xfId="18061" xr:uid="{00000000-0005-0000-0000-00008D460000}"/>
    <cellStyle name="Normal 216 3 4 3" xfId="18062" xr:uid="{00000000-0005-0000-0000-00008E460000}"/>
    <cellStyle name="Normal 216 3 5" xfId="18063" xr:uid="{00000000-0005-0000-0000-00008F460000}"/>
    <cellStyle name="Normal 216 3 5 2" xfId="18064" xr:uid="{00000000-0005-0000-0000-000090460000}"/>
    <cellStyle name="Normal 216 3 5 2 2" xfId="18065" xr:uid="{00000000-0005-0000-0000-000091460000}"/>
    <cellStyle name="Normal 216 3 5 3" xfId="18066" xr:uid="{00000000-0005-0000-0000-000092460000}"/>
    <cellStyle name="Normal 216 3 6" xfId="18067" xr:uid="{00000000-0005-0000-0000-000093460000}"/>
    <cellStyle name="Normal 216 4" xfId="18068" xr:uid="{00000000-0005-0000-0000-000094460000}"/>
    <cellStyle name="Normal 216 4 2" xfId="18069" xr:uid="{00000000-0005-0000-0000-000095460000}"/>
    <cellStyle name="Normal 216 4 2 2" xfId="18070" xr:uid="{00000000-0005-0000-0000-000096460000}"/>
    <cellStyle name="Normal 216 4 3" xfId="18071" xr:uid="{00000000-0005-0000-0000-000097460000}"/>
    <cellStyle name="Normal 216 5" xfId="18072" xr:uid="{00000000-0005-0000-0000-000098460000}"/>
    <cellStyle name="Normal 216 5 2" xfId="18073" xr:uid="{00000000-0005-0000-0000-000099460000}"/>
    <cellStyle name="Normal 216 5 2 2" xfId="18074" xr:uid="{00000000-0005-0000-0000-00009A460000}"/>
    <cellStyle name="Normal 216 5 3" xfId="18075" xr:uid="{00000000-0005-0000-0000-00009B460000}"/>
    <cellStyle name="Normal 216 6" xfId="18076" xr:uid="{00000000-0005-0000-0000-00009C460000}"/>
    <cellStyle name="Normal 216 6 2" xfId="18077" xr:uid="{00000000-0005-0000-0000-00009D460000}"/>
    <cellStyle name="Normal 216 6 2 2" xfId="18078" xr:uid="{00000000-0005-0000-0000-00009E460000}"/>
    <cellStyle name="Normal 216 6 3" xfId="18079" xr:uid="{00000000-0005-0000-0000-00009F460000}"/>
    <cellStyle name="Normal 216 7" xfId="18080" xr:uid="{00000000-0005-0000-0000-0000A0460000}"/>
    <cellStyle name="Normal 217" xfId="18081" xr:uid="{00000000-0005-0000-0000-0000A1460000}"/>
    <cellStyle name="Normal 217 2" xfId="18082" xr:uid="{00000000-0005-0000-0000-0000A2460000}"/>
    <cellStyle name="Normal 217 2 2" xfId="18083" xr:uid="{00000000-0005-0000-0000-0000A3460000}"/>
    <cellStyle name="Normal 217 2 2 2" xfId="18084" xr:uid="{00000000-0005-0000-0000-0000A4460000}"/>
    <cellStyle name="Normal 217 2 2 2 2" xfId="18085" xr:uid="{00000000-0005-0000-0000-0000A5460000}"/>
    <cellStyle name="Normal 217 2 2 3" xfId="18086" xr:uid="{00000000-0005-0000-0000-0000A6460000}"/>
    <cellStyle name="Normal 217 2 2 3 2" xfId="18087" xr:uid="{00000000-0005-0000-0000-0000A7460000}"/>
    <cellStyle name="Normal 217 2 2 3 2 2" xfId="18088" xr:uid="{00000000-0005-0000-0000-0000A8460000}"/>
    <cellStyle name="Normal 217 2 2 3 3" xfId="18089" xr:uid="{00000000-0005-0000-0000-0000A9460000}"/>
    <cellStyle name="Normal 217 2 2 4" xfId="18090" xr:uid="{00000000-0005-0000-0000-0000AA460000}"/>
    <cellStyle name="Normal 217 2 2 4 2" xfId="18091" xr:uid="{00000000-0005-0000-0000-0000AB460000}"/>
    <cellStyle name="Normal 217 2 2 4 2 2" xfId="18092" xr:uid="{00000000-0005-0000-0000-0000AC460000}"/>
    <cellStyle name="Normal 217 2 2 4 3" xfId="18093" xr:uid="{00000000-0005-0000-0000-0000AD460000}"/>
    <cellStyle name="Normal 217 2 2 5" xfId="18094" xr:uid="{00000000-0005-0000-0000-0000AE460000}"/>
    <cellStyle name="Normal 217 2 3" xfId="18095" xr:uid="{00000000-0005-0000-0000-0000AF460000}"/>
    <cellStyle name="Normal 217 2 3 2" xfId="18096" xr:uid="{00000000-0005-0000-0000-0000B0460000}"/>
    <cellStyle name="Normal 217 2 3 2 2" xfId="18097" xr:uid="{00000000-0005-0000-0000-0000B1460000}"/>
    <cellStyle name="Normal 217 2 3 2 2 2" xfId="18098" xr:uid="{00000000-0005-0000-0000-0000B2460000}"/>
    <cellStyle name="Normal 217 2 3 2 3" xfId="18099" xr:uid="{00000000-0005-0000-0000-0000B3460000}"/>
    <cellStyle name="Normal 217 2 3 2 3 2" xfId="18100" xr:uid="{00000000-0005-0000-0000-0000B4460000}"/>
    <cellStyle name="Normal 217 2 3 2 3 2 2" xfId="18101" xr:uid="{00000000-0005-0000-0000-0000B5460000}"/>
    <cellStyle name="Normal 217 2 3 2 3 3" xfId="18102" xr:uid="{00000000-0005-0000-0000-0000B6460000}"/>
    <cellStyle name="Normal 217 2 3 2 4" xfId="18103" xr:uid="{00000000-0005-0000-0000-0000B7460000}"/>
    <cellStyle name="Normal 217 2 3 3" xfId="18104" xr:uid="{00000000-0005-0000-0000-0000B8460000}"/>
    <cellStyle name="Normal 217 2 3 3 2" xfId="18105" xr:uid="{00000000-0005-0000-0000-0000B9460000}"/>
    <cellStyle name="Normal 217 2 3 3 2 2" xfId="18106" xr:uid="{00000000-0005-0000-0000-0000BA460000}"/>
    <cellStyle name="Normal 217 2 3 3 3" xfId="18107" xr:uid="{00000000-0005-0000-0000-0000BB460000}"/>
    <cellStyle name="Normal 217 2 3 4" xfId="18108" xr:uid="{00000000-0005-0000-0000-0000BC460000}"/>
    <cellStyle name="Normal 217 2 3 4 2" xfId="18109" xr:uid="{00000000-0005-0000-0000-0000BD460000}"/>
    <cellStyle name="Normal 217 2 3 4 2 2" xfId="18110" xr:uid="{00000000-0005-0000-0000-0000BE460000}"/>
    <cellStyle name="Normal 217 2 3 4 3" xfId="18111" xr:uid="{00000000-0005-0000-0000-0000BF460000}"/>
    <cellStyle name="Normal 217 2 3 5" xfId="18112" xr:uid="{00000000-0005-0000-0000-0000C0460000}"/>
    <cellStyle name="Normal 217 2 3 5 2" xfId="18113" xr:uid="{00000000-0005-0000-0000-0000C1460000}"/>
    <cellStyle name="Normal 217 2 3 5 2 2" xfId="18114" xr:uid="{00000000-0005-0000-0000-0000C2460000}"/>
    <cellStyle name="Normal 217 2 3 5 3" xfId="18115" xr:uid="{00000000-0005-0000-0000-0000C3460000}"/>
    <cellStyle name="Normal 217 2 3 6" xfId="18116" xr:uid="{00000000-0005-0000-0000-0000C4460000}"/>
    <cellStyle name="Normal 217 2 4" xfId="18117" xr:uid="{00000000-0005-0000-0000-0000C5460000}"/>
    <cellStyle name="Normal 217 2 4 2" xfId="18118" xr:uid="{00000000-0005-0000-0000-0000C6460000}"/>
    <cellStyle name="Normal 217 2 4 2 2" xfId="18119" xr:uid="{00000000-0005-0000-0000-0000C7460000}"/>
    <cellStyle name="Normal 217 2 4 3" xfId="18120" xr:uid="{00000000-0005-0000-0000-0000C8460000}"/>
    <cellStyle name="Normal 217 2 5" xfId="18121" xr:uid="{00000000-0005-0000-0000-0000C9460000}"/>
    <cellStyle name="Normal 217 2 5 2" xfId="18122" xr:uid="{00000000-0005-0000-0000-0000CA460000}"/>
    <cellStyle name="Normal 217 2 5 2 2" xfId="18123" xr:uid="{00000000-0005-0000-0000-0000CB460000}"/>
    <cellStyle name="Normal 217 2 5 3" xfId="18124" xr:uid="{00000000-0005-0000-0000-0000CC460000}"/>
    <cellStyle name="Normal 217 2 6" xfId="18125" xr:uid="{00000000-0005-0000-0000-0000CD460000}"/>
    <cellStyle name="Normal 217 2 6 2" xfId="18126" xr:uid="{00000000-0005-0000-0000-0000CE460000}"/>
    <cellStyle name="Normal 217 2 6 2 2" xfId="18127" xr:uid="{00000000-0005-0000-0000-0000CF460000}"/>
    <cellStyle name="Normal 217 2 6 3" xfId="18128" xr:uid="{00000000-0005-0000-0000-0000D0460000}"/>
    <cellStyle name="Normal 217 2 7" xfId="18129" xr:uid="{00000000-0005-0000-0000-0000D1460000}"/>
    <cellStyle name="Normal 217 3" xfId="18130" xr:uid="{00000000-0005-0000-0000-0000D2460000}"/>
    <cellStyle name="Normal 217 3 2" xfId="18131" xr:uid="{00000000-0005-0000-0000-0000D3460000}"/>
    <cellStyle name="Normal 217 3 2 2" xfId="18132" xr:uid="{00000000-0005-0000-0000-0000D4460000}"/>
    <cellStyle name="Normal 217 3 3" xfId="18133" xr:uid="{00000000-0005-0000-0000-0000D5460000}"/>
    <cellStyle name="Normal 217 3 3 2" xfId="18134" xr:uid="{00000000-0005-0000-0000-0000D6460000}"/>
    <cellStyle name="Normal 217 3 3 2 2" xfId="18135" xr:uid="{00000000-0005-0000-0000-0000D7460000}"/>
    <cellStyle name="Normal 217 3 3 3" xfId="18136" xr:uid="{00000000-0005-0000-0000-0000D8460000}"/>
    <cellStyle name="Normal 217 3 4" xfId="18137" xr:uid="{00000000-0005-0000-0000-0000D9460000}"/>
    <cellStyle name="Normal 217 3 4 2" xfId="18138" xr:uid="{00000000-0005-0000-0000-0000DA460000}"/>
    <cellStyle name="Normal 217 3 4 2 2" xfId="18139" xr:uid="{00000000-0005-0000-0000-0000DB460000}"/>
    <cellStyle name="Normal 217 3 4 3" xfId="18140" xr:uid="{00000000-0005-0000-0000-0000DC460000}"/>
    <cellStyle name="Normal 217 3 5" xfId="18141" xr:uid="{00000000-0005-0000-0000-0000DD460000}"/>
    <cellStyle name="Normal 217 4" xfId="18142" xr:uid="{00000000-0005-0000-0000-0000DE460000}"/>
    <cellStyle name="Normal 217 4 2" xfId="18143" xr:uid="{00000000-0005-0000-0000-0000DF460000}"/>
    <cellStyle name="Normal 217 4 2 2" xfId="18144" xr:uid="{00000000-0005-0000-0000-0000E0460000}"/>
    <cellStyle name="Normal 217 4 2 2 2" xfId="18145" xr:uid="{00000000-0005-0000-0000-0000E1460000}"/>
    <cellStyle name="Normal 217 4 2 3" xfId="18146" xr:uid="{00000000-0005-0000-0000-0000E2460000}"/>
    <cellStyle name="Normal 217 4 2 3 2" xfId="18147" xr:uid="{00000000-0005-0000-0000-0000E3460000}"/>
    <cellStyle name="Normal 217 4 2 3 2 2" xfId="18148" xr:uid="{00000000-0005-0000-0000-0000E4460000}"/>
    <cellStyle name="Normal 217 4 2 3 3" xfId="18149" xr:uid="{00000000-0005-0000-0000-0000E5460000}"/>
    <cellStyle name="Normal 217 4 2 4" xfId="18150" xr:uid="{00000000-0005-0000-0000-0000E6460000}"/>
    <cellStyle name="Normal 217 4 3" xfId="18151" xr:uid="{00000000-0005-0000-0000-0000E7460000}"/>
    <cellStyle name="Normal 217 4 3 2" xfId="18152" xr:uid="{00000000-0005-0000-0000-0000E8460000}"/>
    <cellStyle name="Normal 217 4 3 2 2" xfId="18153" xr:uid="{00000000-0005-0000-0000-0000E9460000}"/>
    <cellStyle name="Normal 217 4 3 3" xfId="18154" xr:uid="{00000000-0005-0000-0000-0000EA460000}"/>
    <cellStyle name="Normal 217 4 4" xfId="18155" xr:uid="{00000000-0005-0000-0000-0000EB460000}"/>
    <cellStyle name="Normal 217 4 4 2" xfId="18156" xr:uid="{00000000-0005-0000-0000-0000EC460000}"/>
    <cellStyle name="Normal 217 4 4 2 2" xfId="18157" xr:uid="{00000000-0005-0000-0000-0000ED460000}"/>
    <cellStyle name="Normal 217 4 4 3" xfId="18158" xr:uid="{00000000-0005-0000-0000-0000EE460000}"/>
    <cellStyle name="Normal 217 4 5" xfId="18159" xr:uid="{00000000-0005-0000-0000-0000EF460000}"/>
    <cellStyle name="Normal 217 4 5 2" xfId="18160" xr:uid="{00000000-0005-0000-0000-0000F0460000}"/>
    <cellStyle name="Normal 217 4 5 2 2" xfId="18161" xr:uid="{00000000-0005-0000-0000-0000F1460000}"/>
    <cellStyle name="Normal 217 4 5 3" xfId="18162" xr:uid="{00000000-0005-0000-0000-0000F2460000}"/>
    <cellStyle name="Normal 217 4 6" xfId="18163" xr:uid="{00000000-0005-0000-0000-0000F3460000}"/>
    <cellStyle name="Normal 217 5" xfId="18164" xr:uid="{00000000-0005-0000-0000-0000F4460000}"/>
    <cellStyle name="Normal 217 5 2" xfId="18165" xr:uid="{00000000-0005-0000-0000-0000F5460000}"/>
    <cellStyle name="Normal 217 5 2 2" xfId="18166" xr:uid="{00000000-0005-0000-0000-0000F6460000}"/>
    <cellStyle name="Normal 217 5 3" xfId="18167" xr:uid="{00000000-0005-0000-0000-0000F7460000}"/>
    <cellStyle name="Normal 217 6" xfId="18168" xr:uid="{00000000-0005-0000-0000-0000F8460000}"/>
    <cellStyle name="Normal 217 6 2" xfId="18169" xr:uid="{00000000-0005-0000-0000-0000F9460000}"/>
    <cellStyle name="Normal 217 6 2 2" xfId="18170" xr:uid="{00000000-0005-0000-0000-0000FA460000}"/>
    <cellStyle name="Normal 217 6 3" xfId="18171" xr:uid="{00000000-0005-0000-0000-0000FB460000}"/>
    <cellStyle name="Normal 217 7" xfId="18172" xr:uid="{00000000-0005-0000-0000-0000FC460000}"/>
    <cellStyle name="Normal 217 7 2" xfId="18173" xr:uid="{00000000-0005-0000-0000-0000FD460000}"/>
    <cellStyle name="Normal 217 7 2 2" xfId="18174" xr:uid="{00000000-0005-0000-0000-0000FE460000}"/>
    <cellStyle name="Normal 217 7 3" xfId="18175" xr:uid="{00000000-0005-0000-0000-0000FF460000}"/>
    <cellStyle name="Normal 217 8" xfId="18176" xr:uid="{00000000-0005-0000-0000-000000470000}"/>
    <cellStyle name="Normal 218" xfId="18177" xr:uid="{00000000-0005-0000-0000-000001470000}"/>
    <cellStyle name="Normal 218 2" xfId="18178" xr:uid="{00000000-0005-0000-0000-000002470000}"/>
    <cellStyle name="Normal 218 2 2" xfId="18179" xr:uid="{00000000-0005-0000-0000-000003470000}"/>
    <cellStyle name="Normal 218 2 2 2" xfId="18180" xr:uid="{00000000-0005-0000-0000-000004470000}"/>
    <cellStyle name="Normal 218 2 2 2 2" xfId="18181" xr:uid="{00000000-0005-0000-0000-000005470000}"/>
    <cellStyle name="Normal 218 2 2 3" xfId="18182" xr:uid="{00000000-0005-0000-0000-000006470000}"/>
    <cellStyle name="Normal 218 2 2 3 2" xfId="18183" xr:uid="{00000000-0005-0000-0000-000007470000}"/>
    <cellStyle name="Normal 218 2 2 3 2 2" xfId="18184" xr:uid="{00000000-0005-0000-0000-000008470000}"/>
    <cellStyle name="Normal 218 2 2 3 3" xfId="18185" xr:uid="{00000000-0005-0000-0000-000009470000}"/>
    <cellStyle name="Normal 218 2 2 4" xfId="18186" xr:uid="{00000000-0005-0000-0000-00000A470000}"/>
    <cellStyle name="Normal 218 2 2 4 2" xfId="18187" xr:uid="{00000000-0005-0000-0000-00000B470000}"/>
    <cellStyle name="Normal 218 2 2 4 2 2" xfId="18188" xr:uid="{00000000-0005-0000-0000-00000C470000}"/>
    <cellStyle name="Normal 218 2 2 4 3" xfId="18189" xr:uid="{00000000-0005-0000-0000-00000D470000}"/>
    <cellStyle name="Normal 218 2 2 5" xfId="18190" xr:uid="{00000000-0005-0000-0000-00000E470000}"/>
    <cellStyle name="Normal 218 2 3" xfId="18191" xr:uid="{00000000-0005-0000-0000-00000F470000}"/>
    <cellStyle name="Normal 218 2 3 2" xfId="18192" xr:uid="{00000000-0005-0000-0000-000010470000}"/>
    <cellStyle name="Normal 218 2 3 2 2" xfId="18193" xr:uid="{00000000-0005-0000-0000-000011470000}"/>
    <cellStyle name="Normal 218 2 3 2 2 2" xfId="18194" xr:uid="{00000000-0005-0000-0000-000012470000}"/>
    <cellStyle name="Normal 218 2 3 2 3" xfId="18195" xr:uid="{00000000-0005-0000-0000-000013470000}"/>
    <cellStyle name="Normal 218 2 3 2 3 2" xfId="18196" xr:uid="{00000000-0005-0000-0000-000014470000}"/>
    <cellStyle name="Normal 218 2 3 2 3 2 2" xfId="18197" xr:uid="{00000000-0005-0000-0000-000015470000}"/>
    <cellStyle name="Normal 218 2 3 2 3 3" xfId="18198" xr:uid="{00000000-0005-0000-0000-000016470000}"/>
    <cellStyle name="Normal 218 2 3 2 4" xfId="18199" xr:uid="{00000000-0005-0000-0000-000017470000}"/>
    <cellStyle name="Normal 218 2 3 3" xfId="18200" xr:uid="{00000000-0005-0000-0000-000018470000}"/>
    <cellStyle name="Normal 218 2 3 3 2" xfId="18201" xr:uid="{00000000-0005-0000-0000-000019470000}"/>
    <cellStyle name="Normal 218 2 3 3 2 2" xfId="18202" xr:uid="{00000000-0005-0000-0000-00001A470000}"/>
    <cellStyle name="Normal 218 2 3 3 3" xfId="18203" xr:uid="{00000000-0005-0000-0000-00001B470000}"/>
    <cellStyle name="Normal 218 2 3 4" xfId="18204" xr:uid="{00000000-0005-0000-0000-00001C470000}"/>
    <cellStyle name="Normal 218 2 3 4 2" xfId="18205" xr:uid="{00000000-0005-0000-0000-00001D470000}"/>
    <cellStyle name="Normal 218 2 3 4 2 2" xfId="18206" xr:uid="{00000000-0005-0000-0000-00001E470000}"/>
    <cellStyle name="Normal 218 2 3 4 3" xfId="18207" xr:uid="{00000000-0005-0000-0000-00001F470000}"/>
    <cellStyle name="Normal 218 2 3 5" xfId="18208" xr:uid="{00000000-0005-0000-0000-000020470000}"/>
    <cellStyle name="Normal 218 2 3 5 2" xfId="18209" xr:uid="{00000000-0005-0000-0000-000021470000}"/>
    <cellStyle name="Normal 218 2 3 5 2 2" xfId="18210" xr:uid="{00000000-0005-0000-0000-000022470000}"/>
    <cellStyle name="Normal 218 2 3 5 3" xfId="18211" xr:uid="{00000000-0005-0000-0000-000023470000}"/>
    <cellStyle name="Normal 218 2 3 6" xfId="18212" xr:uid="{00000000-0005-0000-0000-000024470000}"/>
    <cellStyle name="Normal 218 2 4" xfId="18213" xr:uid="{00000000-0005-0000-0000-000025470000}"/>
    <cellStyle name="Normal 218 2 4 2" xfId="18214" xr:uid="{00000000-0005-0000-0000-000026470000}"/>
    <cellStyle name="Normal 218 2 4 2 2" xfId="18215" xr:uid="{00000000-0005-0000-0000-000027470000}"/>
    <cellStyle name="Normal 218 2 4 3" xfId="18216" xr:uid="{00000000-0005-0000-0000-000028470000}"/>
    <cellStyle name="Normal 218 2 5" xfId="18217" xr:uid="{00000000-0005-0000-0000-000029470000}"/>
    <cellStyle name="Normal 218 2 5 2" xfId="18218" xr:uid="{00000000-0005-0000-0000-00002A470000}"/>
    <cellStyle name="Normal 218 2 5 2 2" xfId="18219" xr:uid="{00000000-0005-0000-0000-00002B470000}"/>
    <cellStyle name="Normal 218 2 5 3" xfId="18220" xr:uid="{00000000-0005-0000-0000-00002C470000}"/>
    <cellStyle name="Normal 218 2 6" xfId="18221" xr:uid="{00000000-0005-0000-0000-00002D470000}"/>
    <cellStyle name="Normal 218 2 6 2" xfId="18222" xr:uid="{00000000-0005-0000-0000-00002E470000}"/>
    <cellStyle name="Normal 218 2 6 2 2" xfId="18223" xr:uid="{00000000-0005-0000-0000-00002F470000}"/>
    <cellStyle name="Normal 218 2 6 3" xfId="18224" xr:uid="{00000000-0005-0000-0000-000030470000}"/>
    <cellStyle name="Normal 218 2 7" xfId="18225" xr:uid="{00000000-0005-0000-0000-000031470000}"/>
    <cellStyle name="Normal 218 3" xfId="18226" xr:uid="{00000000-0005-0000-0000-000032470000}"/>
    <cellStyle name="Normal 218 3 2" xfId="18227" xr:uid="{00000000-0005-0000-0000-000033470000}"/>
    <cellStyle name="Normal 218 3 2 2" xfId="18228" xr:uid="{00000000-0005-0000-0000-000034470000}"/>
    <cellStyle name="Normal 218 3 3" xfId="18229" xr:uid="{00000000-0005-0000-0000-000035470000}"/>
    <cellStyle name="Normal 218 3 3 2" xfId="18230" xr:uid="{00000000-0005-0000-0000-000036470000}"/>
    <cellStyle name="Normal 218 3 3 2 2" xfId="18231" xr:uid="{00000000-0005-0000-0000-000037470000}"/>
    <cellStyle name="Normal 218 3 3 3" xfId="18232" xr:uid="{00000000-0005-0000-0000-000038470000}"/>
    <cellStyle name="Normal 218 3 4" xfId="18233" xr:uid="{00000000-0005-0000-0000-000039470000}"/>
    <cellStyle name="Normal 218 3 4 2" xfId="18234" xr:uid="{00000000-0005-0000-0000-00003A470000}"/>
    <cellStyle name="Normal 218 3 4 2 2" xfId="18235" xr:uid="{00000000-0005-0000-0000-00003B470000}"/>
    <cellStyle name="Normal 218 3 4 3" xfId="18236" xr:uid="{00000000-0005-0000-0000-00003C470000}"/>
    <cellStyle name="Normal 218 3 5" xfId="18237" xr:uid="{00000000-0005-0000-0000-00003D470000}"/>
    <cellStyle name="Normal 218 4" xfId="18238" xr:uid="{00000000-0005-0000-0000-00003E470000}"/>
    <cellStyle name="Normal 218 4 2" xfId="18239" xr:uid="{00000000-0005-0000-0000-00003F470000}"/>
    <cellStyle name="Normal 218 4 2 2" xfId="18240" xr:uid="{00000000-0005-0000-0000-000040470000}"/>
    <cellStyle name="Normal 218 4 2 2 2" xfId="18241" xr:uid="{00000000-0005-0000-0000-000041470000}"/>
    <cellStyle name="Normal 218 4 2 3" xfId="18242" xr:uid="{00000000-0005-0000-0000-000042470000}"/>
    <cellStyle name="Normal 218 4 2 3 2" xfId="18243" xr:uid="{00000000-0005-0000-0000-000043470000}"/>
    <cellStyle name="Normal 218 4 2 3 2 2" xfId="18244" xr:uid="{00000000-0005-0000-0000-000044470000}"/>
    <cellStyle name="Normal 218 4 2 3 3" xfId="18245" xr:uid="{00000000-0005-0000-0000-000045470000}"/>
    <cellStyle name="Normal 218 4 2 4" xfId="18246" xr:uid="{00000000-0005-0000-0000-000046470000}"/>
    <cellStyle name="Normal 218 4 3" xfId="18247" xr:uid="{00000000-0005-0000-0000-000047470000}"/>
    <cellStyle name="Normal 218 4 3 2" xfId="18248" xr:uid="{00000000-0005-0000-0000-000048470000}"/>
    <cellStyle name="Normal 218 4 3 2 2" xfId="18249" xr:uid="{00000000-0005-0000-0000-000049470000}"/>
    <cellStyle name="Normal 218 4 3 3" xfId="18250" xr:uid="{00000000-0005-0000-0000-00004A470000}"/>
    <cellStyle name="Normal 218 4 4" xfId="18251" xr:uid="{00000000-0005-0000-0000-00004B470000}"/>
    <cellStyle name="Normal 218 4 4 2" xfId="18252" xr:uid="{00000000-0005-0000-0000-00004C470000}"/>
    <cellStyle name="Normal 218 4 4 2 2" xfId="18253" xr:uid="{00000000-0005-0000-0000-00004D470000}"/>
    <cellStyle name="Normal 218 4 4 3" xfId="18254" xr:uid="{00000000-0005-0000-0000-00004E470000}"/>
    <cellStyle name="Normal 218 4 5" xfId="18255" xr:uid="{00000000-0005-0000-0000-00004F470000}"/>
    <cellStyle name="Normal 218 4 5 2" xfId="18256" xr:uid="{00000000-0005-0000-0000-000050470000}"/>
    <cellStyle name="Normal 218 4 5 2 2" xfId="18257" xr:uid="{00000000-0005-0000-0000-000051470000}"/>
    <cellStyle name="Normal 218 4 5 3" xfId="18258" xr:uid="{00000000-0005-0000-0000-000052470000}"/>
    <cellStyle name="Normal 218 4 6" xfId="18259" xr:uid="{00000000-0005-0000-0000-000053470000}"/>
    <cellStyle name="Normal 218 5" xfId="18260" xr:uid="{00000000-0005-0000-0000-000054470000}"/>
    <cellStyle name="Normal 218 5 2" xfId="18261" xr:uid="{00000000-0005-0000-0000-000055470000}"/>
    <cellStyle name="Normal 218 5 2 2" xfId="18262" xr:uid="{00000000-0005-0000-0000-000056470000}"/>
    <cellStyle name="Normal 218 5 3" xfId="18263" xr:uid="{00000000-0005-0000-0000-000057470000}"/>
    <cellStyle name="Normal 218 6" xfId="18264" xr:uid="{00000000-0005-0000-0000-000058470000}"/>
    <cellStyle name="Normal 218 6 2" xfId="18265" xr:uid="{00000000-0005-0000-0000-000059470000}"/>
    <cellStyle name="Normal 218 6 2 2" xfId="18266" xr:uid="{00000000-0005-0000-0000-00005A470000}"/>
    <cellStyle name="Normal 218 6 3" xfId="18267" xr:uid="{00000000-0005-0000-0000-00005B470000}"/>
    <cellStyle name="Normal 218 7" xfId="18268" xr:uid="{00000000-0005-0000-0000-00005C470000}"/>
    <cellStyle name="Normal 218 7 2" xfId="18269" xr:uid="{00000000-0005-0000-0000-00005D470000}"/>
    <cellStyle name="Normal 218 7 2 2" xfId="18270" xr:uid="{00000000-0005-0000-0000-00005E470000}"/>
    <cellStyle name="Normal 218 7 3" xfId="18271" xr:uid="{00000000-0005-0000-0000-00005F470000}"/>
    <cellStyle name="Normal 218 8" xfId="18272" xr:uid="{00000000-0005-0000-0000-000060470000}"/>
    <cellStyle name="Normal 219" xfId="18273" xr:uid="{00000000-0005-0000-0000-000061470000}"/>
    <cellStyle name="Normal 219 2" xfId="18274" xr:uid="{00000000-0005-0000-0000-000062470000}"/>
    <cellStyle name="Normal 219 2 2" xfId="18275" xr:uid="{00000000-0005-0000-0000-000063470000}"/>
    <cellStyle name="Normal 219 2 2 2" xfId="18276" xr:uid="{00000000-0005-0000-0000-000064470000}"/>
    <cellStyle name="Normal 219 2 2 2 2" xfId="18277" xr:uid="{00000000-0005-0000-0000-000065470000}"/>
    <cellStyle name="Normal 219 2 2 3" xfId="18278" xr:uid="{00000000-0005-0000-0000-000066470000}"/>
    <cellStyle name="Normal 219 2 2 3 2" xfId="18279" xr:uid="{00000000-0005-0000-0000-000067470000}"/>
    <cellStyle name="Normal 219 2 2 3 2 2" xfId="18280" xr:uid="{00000000-0005-0000-0000-000068470000}"/>
    <cellStyle name="Normal 219 2 2 3 3" xfId="18281" xr:uid="{00000000-0005-0000-0000-000069470000}"/>
    <cellStyle name="Normal 219 2 2 4" xfId="18282" xr:uid="{00000000-0005-0000-0000-00006A470000}"/>
    <cellStyle name="Normal 219 2 2 4 2" xfId="18283" xr:uid="{00000000-0005-0000-0000-00006B470000}"/>
    <cellStyle name="Normal 219 2 2 4 2 2" xfId="18284" xr:uid="{00000000-0005-0000-0000-00006C470000}"/>
    <cellStyle name="Normal 219 2 2 4 3" xfId="18285" xr:uid="{00000000-0005-0000-0000-00006D470000}"/>
    <cellStyle name="Normal 219 2 2 5" xfId="18286" xr:uid="{00000000-0005-0000-0000-00006E470000}"/>
    <cellStyle name="Normal 219 2 3" xfId="18287" xr:uid="{00000000-0005-0000-0000-00006F470000}"/>
    <cellStyle name="Normal 219 2 3 2" xfId="18288" xr:uid="{00000000-0005-0000-0000-000070470000}"/>
    <cellStyle name="Normal 219 2 3 2 2" xfId="18289" xr:uid="{00000000-0005-0000-0000-000071470000}"/>
    <cellStyle name="Normal 219 2 3 2 2 2" xfId="18290" xr:uid="{00000000-0005-0000-0000-000072470000}"/>
    <cellStyle name="Normal 219 2 3 2 3" xfId="18291" xr:uid="{00000000-0005-0000-0000-000073470000}"/>
    <cellStyle name="Normal 219 2 3 2 3 2" xfId="18292" xr:uid="{00000000-0005-0000-0000-000074470000}"/>
    <cellStyle name="Normal 219 2 3 2 3 2 2" xfId="18293" xr:uid="{00000000-0005-0000-0000-000075470000}"/>
    <cellStyle name="Normal 219 2 3 2 3 3" xfId="18294" xr:uid="{00000000-0005-0000-0000-000076470000}"/>
    <cellStyle name="Normal 219 2 3 2 4" xfId="18295" xr:uid="{00000000-0005-0000-0000-000077470000}"/>
    <cellStyle name="Normal 219 2 3 3" xfId="18296" xr:uid="{00000000-0005-0000-0000-000078470000}"/>
    <cellStyle name="Normal 219 2 3 3 2" xfId="18297" xr:uid="{00000000-0005-0000-0000-000079470000}"/>
    <cellStyle name="Normal 219 2 3 3 2 2" xfId="18298" xr:uid="{00000000-0005-0000-0000-00007A470000}"/>
    <cellStyle name="Normal 219 2 3 3 3" xfId="18299" xr:uid="{00000000-0005-0000-0000-00007B470000}"/>
    <cellStyle name="Normal 219 2 3 4" xfId="18300" xr:uid="{00000000-0005-0000-0000-00007C470000}"/>
    <cellStyle name="Normal 219 2 3 4 2" xfId="18301" xr:uid="{00000000-0005-0000-0000-00007D470000}"/>
    <cellStyle name="Normal 219 2 3 4 2 2" xfId="18302" xr:uid="{00000000-0005-0000-0000-00007E470000}"/>
    <cellStyle name="Normal 219 2 3 4 3" xfId="18303" xr:uid="{00000000-0005-0000-0000-00007F470000}"/>
    <cellStyle name="Normal 219 2 3 5" xfId="18304" xr:uid="{00000000-0005-0000-0000-000080470000}"/>
    <cellStyle name="Normal 219 2 3 5 2" xfId="18305" xr:uid="{00000000-0005-0000-0000-000081470000}"/>
    <cellStyle name="Normal 219 2 3 5 2 2" xfId="18306" xr:uid="{00000000-0005-0000-0000-000082470000}"/>
    <cellStyle name="Normal 219 2 3 5 3" xfId="18307" xr:uid="{00000000-0005-0000-0000-000083470000}"/>
    <cellStyle name="Normal 219 2 3 6" xfId="18308" xr:uid="{00000000-0005-0000-0000-000084470000}"/>
    <cellStyle name="Normal 219 2 4" xfId="18309" xr:uid="{00000000-0005-0000-0000-000085470000}"/>
    <cellStyle name="Normal 219 2 4 2" xfId="18310" xr:uid="{00000000-0005-0000-0000-000086470000}"/>
    <cellStyle name="Normal 219 2 4 2 2" xfId="18311" xr:uid="{00000000-0005-0000-0000-000087470000}"/>
    <cellStyle name="Normal 219 2 4 3" xfId="18312" xr:uid="{00000000-0005-0000-0000-000088470000}"/>
    <cellStyle name="Normal 219 2 5" xfId="18313" xr:uid="{00000000-0005-0000-0000-000089470000}"/>
    <cellStyle name="Normal 219 2 5 2" xfId="18314" xr:uid="{00000000-0005-0000-0000-00008A470000}"/>
    <cellStyle name="Normal 219 2 5 2 2" xfId="18315" xr:uid="{00000000-0005-0000-0000-00008B470000}"/>
    <cellStyle name="Normal 219 2 5 3" xfId="18316" xr:uid="{00000000-0005-0000-0000-00008C470000}"/>
    <cellStyle name="Normal 219 2 6" xfId="18317" xr:uid="{00000000-0005-0000-0000-00008D470000}"/>
    <cellStyle name="Normal 219 2 6 2" xfId="18318" xr:uid="{00000000-0005-0000-0000-00008E470000}"/>
    <cellStyle name="Normal 219 2 6 2 2" xfId="18319" xr:uid="{00000000-0005-0000-0000-00008F470000}"/>
    <cellStyle name="Normal 219 2 6 3" xfId="18320" xr:uid="{00000000-0005-0000-0000-000090470000}"/>
    <cellStyle name="Normal 219 2 7" xfId="18321" xr:uid="{00000000-0005-0000-0000-000091470000}"/>
    <cellStyle name="Normal 219 3" xfId="18322" xr:uid="{00000000-0005-0000-0000-000092470000}"/>
    <cellStyle name="Normal 219 3 2" xfId="18323" xr:uid="{00000000-0005-0000-0000-000093470000}"/>
    <cellStyle name="Normal 219 3 2 2" xfId="18324" xr:uid="{00000000-0005-0000-0000-000094470000}"/>
    <cellStyle name="Normal 219 3 3" xfId="18325" xr:uid="{00000000-0005-0000-0000-000095470000}"/>
    <cellStyle name="Normal 219 3 3 2" xfId="18326" xr:uid="{00000000-0005-0000-0000-000096470000}"/>
    <cellStyle name="Normal 219 3 3 2 2" xfId="18327" xr:uid="{00000000-0005-0000-0000-000097470000}"/>
    <cellStyle name="Normal 219 3 3 3" xfId="18328" xr:uid="{00000000-0005-0000-0000-000098470000}"/>
    <cellStyle name="Normal 219 3 4" xfId="18329" xr:uid="{00000000-0005-0000-0000-000099470000}"/>
    <cellStyle name="Normal 219 3 4 2" xfId="18330" xr:uid="{00000000-0005-0000-0000-00009A470000}"/>
    <cellStyle name="Normal 219 3 4 2 2" xfId="18331" xr:uid="{00000000-0005-0000-0000-00009B470000}"/>
    <cellStyle name="Normal 219 3 4 3" xfId="18332" xr:uid="{00000000-0005-0000-0000-00009C470000}"/>
    <cellStyle name="Normal 219 3 5" xfId="18333" xr:uid="{00000000-0005-0000-0000-00009D470000}"/>
    <cellStyle name="Normal 219 4" xfId="18334" xr:uid="{00000000-0005-0000-0000-00009E470000}"/>
    <cellStyle name="Normal 219 4 2" xfId="18335" xr:uid="{00000000-0005-0000-0000-00009F470000}"/>
    <cellStyle name="Normal 219 4 2 2" xfId="18336" xr:uid="{00000000-0005-0000-0000-0000A0470000}"/>
    <cellStyle name="Normal 219 4 2 2 2" xfId="18337" xr:uid="{00000000-0005-0000-0000-0000A1470000}"/>
    <cellStyle name="Normal 219 4 2 3" xfId="18338" xr:uid="{00000000-0005-0000-0000-0000A2470000}"/>
    <cellStyle name="Normal 219 4 2 3 2" xfId="18339" xr:uid="{00000000-0005-0000-0000-0000A3470000}"/>
    <cellStyle name="Normal 219 4 2 3 2 2" xfId="18340" xr:uid="{00000000-0005-0000-0000-0000A4470000}"/>
    <cellStyle name="Normal 219 4 2 3 3" xfId="18341" xr:uid="{00000000-0005-0000-0000-0000A5470000}"/>
    <cellStyle name="Normal 219 4 2 4" xfId="18342" xr:uid="{00000000-0005-0000-0000-0000A6470000}"/>
    <cellStyle name="Normal 219 4 3" xfId="18343" xr:uid="{00000000-0005-0000-0000-0000A7470000}"/>
    <cellStyle name="Normal 219 4 3 2" xfId="18344" xr:uid="{00000000-0005-0000-0000-0000A8470000}"/>
    <cellStyle name="Normal 219 4 3 2 2" xfId="18345" xr:uid="{00000000-0005-0000-0000-0000A9470000}"/>
    <cellStyle name="Normal 219 4 3 3" xfId="18346" xr:uid="{00000000-0005-0000-0000-0000AA470000}"/>
    <cellStyle name="Normal 219 4 4" xfId="18347" xr:uid="{00000000-0005-0000-0000-0000AB470000}"/>
    <cellStyle name="Normal 219 4 4 2" xfId="18348" xr:uid="{00000000-0005-0000-0000-0000AC470000}"/>
    <cellStyle name="Normal 219 4 4 2 2" xfId="18349" xr:uid="{00000000-0005-0000-0000-0000AD470000}"/>
    <cellStyle name="Normal 219 4 4 3" xfId="18350" xr:uid="{00000000-0005-0000-0000-0000AE470000}"/>
    <cellStyle name="Normal 219 4 5" xfId="18351" xr:uid="{00000000-0005-0000-0000-0000AF470000}"/>
    <cellStyle name="Normal 219 4 5 2" xfId="18352" xr:uid="{00000000-0005-0000-0000-0000B0470000}"/>
    <cellStyle name="Normal 219 4 5 2 2" xfId="18353" xr:uid="{00000000-0005-0000-0000-0000B1470000}"/>
    <cellStyle name="Normal 219 4 5 3" xfId="18354" xr:uid="{00000000-0005-0000-0000-0000B2470000}"/>
    <cellStyle name="Normal 219 4 6" xfId="18355" xr:uid="{00000000-0005-0000-0000-0000B3470000}"/>
    <cellStyle name="Normal 219 5" xfId="18356" xr:uid="{00000000-0005-0000-0000-0000B4470000}"/>
    <cellStyle name="Normal 219 5 2" xfId="18357" xr:uid="{00000000-0005-0000-0000-0000B5470000}"/>
    <cellStyle name="Normal 219 5 2 2" xfId="18358" xr:uid="{00000000-0005-0000-0000-0000B6470000}"/>
    <cellStyle name="Normal 219 5 3" xfId="18359" xr:uid="{00000000-0005-0000-0000-0000B7470000}"/>
    <cellStyle name="Normal 219 6" xfId="18360" xr:uid="{00000000-0005-0000-0000-0000B8470000}"/>
    <cellStyle name="Normal 219 6 2" xfId="18361" xr:uid="{00000000-0005-0000-0000-0000B9470000}"/>
    <cellStyle name="Normal 219 6 2 2" xfId="18362" xr:uid="{00000000-0005-0000-0000-0000BA470000}"/>
    <cellStyle name="Normal 219 6 3" xfId="18363" xr:uid="{00000000-0005-0000-0000-0000BB470000}"/>
    <cellStyle name="Normal 219 7" xfId="18364" xr:uid="{00000000-0005-0000-0000-0000BC470000}"/>
    <cellStyle name="Normal 219 7 2" xfId="18365" xr:uid="{00000000-0005-0000-0000-0000BD470000}"/>
    <cellStyle name="Normal 219 7 2 2" xfId="18366" xr:uid="{00000000-0005-0000-0000-0000BE470000}"/>
    <cellStyle name="Normal 219 7 3" xfId="18367" xr:uid="{00000000-0005-0000-0000-0000BF470000}"/>
    <cellStyle name="Normal 219 8" xfId="18368" xr:uid="{00000000-0005-0000-0000-0000C0470000}"/>
    <cellStyle name="Normal 22" xfId="18369" xr:uid="{00000000-0005-0000-0000-0000C1470000}"/>
    <cellStyle name="Normal 22 2" xfId="18370" xr:uid="{00000000-0005-0000-0000-0000C2470000}"/>
    <cellStyle name="Normal 22 2 2" xfId="18371" xr:uid="{00000000-0005-0000-0000-0000C3470000}"/>
    <cellStyle name="Normal 22 2 2 2" xfId="18372" xr:uid="{00000000-0005-0000-0000-0000C4470000}"/>
    <cellStyle name="Normal 22 2 2 2 2" xfId="18373" xr:uid="{00000000-0005-0000-0000-0000C5470000}"/>
    <cellStyle name="Normal 22 2 2 3" xfId="18374" xr:uid="{00000000-0005-0000-0000-0000C6470000}"/>
    <cellStyle name="Normal 22 2 2 3 2" xfId="18375" xr:uid="{00000000-0005-0000-0000-0000C7470000}"/>
    <cellStyle name="Normal 22 2 2 3 2 2" xfId="18376" xr:uid="{00000000-0005-0000-0000-0000C8470000}"/>
    <cellStyle name="Normal 22 2 2 3 3" xfId="18377" xr:uid="{00000000-0005-0000-0000-0000C9470000}"/>
    <cellStyle name="Normal 22 2 2 4" xfId="18378" xr:uid="{00000000-0005-0000-0000-0000CA470000}"/>
    <cellStyle name="Normal 22 2 2 4 2" xfId="18379" xr:uid="{00000000-0005-0000-0000-0000CB470000}"/>
    <cellStyle name="Normal 22 2 2 4 2 2" xfId="18380" xr:uid="{00000000-0005-0000-0000-0000CC470000}"/>
    <cellStyle name="Normal 22 2 2 4 3" xfId="18381" xr:uid="{00000000-0005-0000-0000-0000CD470000}"/>
    <cellStyle name="Normal 22 2 2 5" xfId="18382" xr:uid="{00000000-0005-0000-0000-0000CE470000}"/>
    <cellStyle name="Normal 22 2 3" xfId="18383" xr:uid="{00000000-0005-0000-0000-0000CF470000}"/>
    <cellStyle name="Normal 22 2 3 2" xfId="18384" xr:uid="{00000000-0005-0000-0000-0000D0470000}"/>
    <cellStyle name="Normal 22 2 3 2 2" xfId="18385" xr:uid="{00000000-0005-0000-0000-0000D1470000}"/>
    <cellStyle name="Normal 22 2 3 3" xfId="18386" xr:uid="{00000000-0005-0000-0000-0000D2470000}"/>
    <cellStyle name="Normal 22 2 4" xfId="18387" xr:uid="{00000000-0005-0000-0000-0000D3470000}"/>
    <cellStyle name="Normal 22 2 4 2" xfId="18388" xr:uid="{00000000-0005-0000-0000-0000D4470000}"/>
    <cellStyle name="Normal 22 2 4 2 2" xfId="18389" xr:uid="{00000000-0005-0000-0000-0000D5470000}"/>
    <cellStyle name="Normal 22 2 4 3" xfId="18390" xr:uid="{00000000-0005-0000-0000-0000D6470000}"/>
    <cellStyle name="Normal 22 2 5" xfId="18391" xr:uid="{00000000-0005-0000-0000-0000D7470000}"/>
    <cellStyle name="Normal 22 2 5 2" xfId="18392" xr:uid="{00000000-0005-0000-0000-0000D8470000}"/>
    <cellStyle name="Normal 22 2 5 2 2" xfId="18393" xr:uid="{00000000-0005-0000-0000-0000D9470000}"/>
    <cellStyle name="Normal 22 2 5 3" xfId="18394" xr:uid="{00000000-0005-0000-0000-0000DA470000}"/>
    <cellStyle name="Normal 22 2 6" xfId="18395" xr:uid="{00000000-0005-0000-0000-0000DB470000}"/>
    <cellStyle name="Normal 22 3" xfId="18396" xr:uid="{00000000-0005-0000-0000-0000DC470000}"/>
    <cellStyle name="Normal 22 3 2" xfId="18397" xr:uid="{00000000-0005-0000-0000-0000DD470000}"/>
    <cellStyle name="Normal 22 3 2 2" xfId="18398" xr:uid="{00000000-0005-0000-0000-0000DE470000}"/>
    <cellStyle name="Normal 22 3 3" xfId="18399" xr:uid="{00000000-0005-0000-0000-0000DF470000}"/>
    <cellStyle name="Normal 22 3 3 2" xfId="18400" xr:uid="{00000000-0005-0000-0000-0000E0470000}"/>
    <cellStyle name="Normal 22 3 3 2 2" xfId="18401" xr:uid="{00000000-0005-0000-0000-0000E1470000}"/>
    <cellStyle name="Normal 22 3 3 3" xfId="18402" xr:uid="{00000000-0005-0000-0000-0000E2470000}"/>
    <cellStyle name="Normal 22 3 4" xfId="18403" xr:uid="{00000000-0005-0000-0000-0000E3470000}"/>
    <cellStyle name="Normal 22 3 4 2" xfId="18404" xr:uid="{00000000-0005-0000-0000-0000E4470000}"/>
    <cellStyle name="Normal 22 3 4 2 2" xfId="18405" xr:uid="{00000000-0005-0000-0000-0000E5470000}"/>
    <cellStyle name="Normal 22 3 4 3" xfId="18406" xr:uid="{00000000-0005-0000-0000-0000E6470000}"/>
    <cellStyle name="Normal 22 3 5" xfId="18407" xr:uid="{00000000-0005-0000-0000-0000E7470000}"/>
    <cellStyle name="Normal 22 4" xfId="18408" xr:uid="{00000000-0005-0000-0000-0000E8470000}"/>
    <cellStyle name="Normal 22 4 2" xfId="18409" xr:uid="{00000000-0005-0000-0000-0000E9470000}"/>
    <cellStyle name="Normal 22 4 2 2" xfId="18410" xr:uid="{00000000-0005-0000-0000-0000EA470000}"/>
    <cellStyle name="Normal 22 4 2 2 2" xfId="18411" xr:uid="{00000000-0005-0000-0000-0000EB470000}"/>
    <cellStyle name="Normal 22 4 2 3" xfId="18412" xr:uid="{00000000-0005-0000-0000-0000EC470000}"/>
    <cellStyle name="Normal 22 4 2 3 2" xfId="18413" xr:uid="{00000000-0005-0000-0000-0000ED470000}"/>
    <cellStyle name="Normal 22 4 2 3 2 2" xfId="18414" xr:uid="{00000000-0005-0000-0000-0000EE470000}"/>
    <cellStyle name="Normal 22 4 2 3 3" xfId="18415" xr:uid="{00000000-0005-0000-0000-0000EF470000}"/>
    <cellStyle name="Normal 22 4 2 4" xfId="18416" xr:uid="{00000000-0005-0000-0000-0000F0470000}"/>
    <cellStyle name="Normal 22 4 3" xfId="18417" xr:uid="{00000000-0005-0000-0000-0000F1470000}"/>
    <cellStyle name="Normal 22 4 3 2" xfId="18418" xr:uid="{00000000-0005-0000-0000-0000F2470000}"/>
    <cellStyle name="Normal 22 4 3 2 2" xfId="18419" xr:uid="{00000000-0005-0000-0000-0000F3470000}"/>
    <cellStyle name="Normal 22 4 3 3" xfId="18420" xr:uid="{00000000-0005-0000-0000-0000F4470000}"/>
    <cellStyle name="Normal 22 4 4" xfId="18421" xr:uid="{00000000-0005-0000-0000-0000F5470000}"/>
    <cellStyle name="Normal 22 4 4 2" xfId="18422" xr:uid="{00000000-0005-0000-0000-0000F6470000}"/>
    <cellStyle name="Normal 22 4 4 2 2" xfId="18423" xr:uid="{00000000-0005-0000-0000-0000F7470000}"/>
    <cellStyle name="Normal 22 4 4 3" xfId="18424" xr:uid="{00000000-0005-0000-0000-0000F8470000}"/>
    <cellStyle name="Normal 22 4 5" xfId="18425" xr:uid="{00000000-0005-0000-0000-0000F9470000}"/>
    <cellStyle name="Normal 22 4 5 2" xfId="18426" xr:uid="{00000000-0005-0000-0000-0000FA470000}"/>
    <cellStyle name="Normal 22 4 5 2 2" xfId="18427" xr:uid="{00000000-0005-0000-0000-0000FB470000}"/>
    <cellStyle name="Normal 22 4 5 3" xfId="18428" xr:uid="{00000000-0005-0000-0000-0000FC470000}"/>
    <cellStyle name="Normal 22 4 6" xfId="18429" xr:uid="{00000000-0005-0000-0000-0000FD470000}"/>
    <cellStyle name="Normal 22 5" xfId="18430" xr:uid="{00000000-0005-0000-0000-0000FE470000}"/>
    <cellStyle name="Normal 220" xfId="18431" xr:uid="{00000000-0005-0000-0000-0000FF470000}"/>
    <cellStyle name="Normal 220 2" xfId="18432" xr:uid="{00000000-0005-0000-0000-000000480000}"/>
    <cellStyle name="Normal 220 2 2" xfId="18433" xr:uid="{00000000-0005-0000-0000-000001480000}"/>
    <cellStyle name="Normal 220 2 2 2" xfId="18434" xr:uid="{00000000-0005-0000-0000-000002480000}"/>
    <cellStyle name="Normal 220 2 2 2 2" xfId="18435" xr:uid="{00000000-0005-0000-0000-000003480000}"/>
    <cellStyle name="Normal 220 2 2 3" xfId="18436" xr:uid="{00000000-0005-0000-0000-000004480000}"/>
    <cellStyle name="Normal 220 2 2 3 2" xfId="18437" xr:uid="{00000000-0005-0000-0000-000005480000}"/>
    <cellStyle name="Normal 220 2 2 3 2 2" xfId="18438" xr:uid="{00000000-0005-0000-0000-000006480000}"/>
    <cellStyle name="Normal 220 2 2 3 3" xfId="18439" xr:uid="{00000000-0005-0000-0000-000007480000}"/>
    <cellStyle name="Normal 220 2 2 4" xfId="18440" xr:uid="{00000000-0005-0000-0000-000008480000}"/>
    <cellStyle name="Normal 220 2 2 4 2" xfId="18441" xr:uid="{00000000-0005-0000-0000-000009480000}"/>
    <cellStyle name="Normal 220 2 2 4 2 2" xfId="18442" xr:uid="{00000000-0005-0000-0000-00000A480000}"/>
    <cellStyle name="Normal 220 2 2 4 3" xfId="18443" xr:uid="{00000000-0005-0000-0000-00000B480000}"/>
    <cellStyle name="Normal 220 2 2 5" xfId="18444" xr:uid="{00000000-0005-0000-0000-00000C480000}"/>
    <cellStyle name="Normal 220 2 3" xfId="18445" xr:uid="{00000000-0005-0000-0000-00000D480000}"/>
    <cellStyle name="Normal 220 2 3 2" xfId="18446" xr:uid="{00000000-0005-0000-0000-00000E480000}"/>
    <cellStyle name="Normal 220 2 3 2 2" xfId="18447" xr:uid="{00000000-0005-0000-0000-00000F480000}"/>
    <cellStyle name="Normal 220 2 3 2 2 2" xfId="18448" xr:uid="{00000000-0005-0000-0000-000010480000}"/>
    <cellStyle name="Normal 220 2 3 2 3" xfId="18449" xr:uid="{00000000-0005-0000-0000-000011480000}"/>
    <cellStyle name="Normal 220 2 3 2 3 2" xfId="18450" xr:uid="{00000000-0005-0000-0000-000012480000}"/>
    <cellStyle name="Normal 220 2 3 2 3 2 2" xfId="18451" xr:uid="{00000000-0005-0000-0000-000013480000}"/>
    <cellStyle name="Normal 220 2 3 2 3 3" xfId="18452" xr:uid="{00000000-0005-0000-0000-000014480000}"/>
    <cellStyle name="Normal 220 2 3 2 4" xfId="18453" xr:uid="{00000000-0005-0000-0000-000015480000}"/>
    <cellStyle name="Normal 220 2 3 3" xfId="18454" xr:uid="{00000000-0005-0000-0000-000016480000}"/>
    <cellStyle name="Normal 220 2 3 3 2" xfId="18455" xr:uid="{00000000-0005-0000-0000-000017480000}"/>
    <cellStyle name="Normal 220 2 3 3 2 2" xfId="18456" xr:uid="{00000000-0005-0000-0000-000018480000}"/>
    <cellStyle name="Normal 220 2 3 3 3" xfId="18457" xr:uid="{00000000-0005-0000-0000-000019480000}"/>
    <cellStyle name="Normal 220 2 3 4" xfId="18458" xr:uid="{00000000-0005-0000-0000-00001A480000}"/>
    <cellStyle name="Normal 220 2 3 4 2" xfId="18459" xr:uid="{00000000-0005-0000-0000-00001B480000}"/>
    <cellStyle name="Normal 220 2 3 4 2 2" xfId="18460" xr:uid="{00000000-0005-0000-0000-00001C480000}"/>
    <cellStyle name="Normal 220 2 3 4 3" xfId="18461" xr:uid="{00000000-0005-0000-0000-00001D480000}"/>
    <cellStyle name="Normal 220 2 3 5" xfId="18462" xr:uid="{00000000-0005-0000-0000-00001E480000}"/>
    <cellStyle name="Normal 220 2 3 5 2" xfId="18463" xr:uid="{00000000-0005-0000-0000-00001F480000}"/>
    <cellStyle name="Normal 220 2 3 5 2 2" xfId="18464" xr:uid="{00000000-0005-0000-0000-000020480000}"/>
    <cellStyle name="Normal 220 2 3 5 3" xfId="18465" xr:uid="{00000000-0005-0000-0000-000021480000}"/>
    <cellStyle name="Normal 220 2 3 6" xfId="18466" xr:uid="{00000000-0005-0000-0000-000022480000}"/>
    <cellStyle name="Normal 220 2 4" xfId="18467" xr:uid="{00000000-0005-0000-0000-000023480000}"/>
    <cellStyle name="Normal 220 2 4 2" xfId="18468" xr:uid="{00000000-0005-0000-0000-000024480000}"/>
    <cellStyle name="Normal 220 2 4 2 2" xfId="18469" xr:uid="{00000000-0005-0000-0000-000025480000}"/>
    <cellStyle name="Normal 220 2 4 3" xfId="18470" xr:uid="{00000000-0005-0000-0000-000026480000}"/>
    <cellStyle name="Normal 220 2 5" xfId="18471" xr:uid="{00000000-0005-0000-0000-000027480000}"/>
    <cellStyle name="Normal 220 2 5 2" xfId="18472" xr:uid="{00000000-0005-0000-0000-000028480000}"/>
    <cellStyle name="Normal 220 2 5 2 2" xfId="18473" xr:uid="{00000000-0005-0000-0000-000029480000}"/>
    <cellStyle name="Normal 220 2 5 3" xfId="18474" xr:uid="{00000000-0005-0000-0000-00002A480000}"/>
    <cellStyle name="Normal 220 2 6" xfId="18475" xr:uid="{00000000-0005-0000-0000-00002B480000}"/>
    <cellStyle name="Normal 220 2 6 2" xfId="18476" xr:uid="{00000000-0005-0000-0000-00002C480000}"/>
    <cellStyle name="Normal 220 2 6 2 2" xfId="18477" xr:uid="{00000000-0005-0000-0000-00002D480000}"/>
    <cellStyle name="Normal 220 2 6 3" xfId="18478" xr:uid="{00000000-0005-0000-0000-00002E480000}"/>
    <cellStyle name="Normal 220 2 7" xfId="18479" xr:uid="{00000000-0005-0000-0000-00002F480000}"/>
    <cellStyle name="Normal 220 3" xfId="18480" xr:uid="{00000000-0005-0000-0000-000030480000}"/>
    <cellStyle name="Normal 220 3 2" xfId="18481" xr:uid="{00000000-0005-0000-0000-000031480000}"/>
    <cellStyle name="Normal 220 3 2 2" xfId="18482" xr:uid="{00000000-0005-0000-0000-000032480000}"/>
    <cellStyle name="Normal 220 3 3" xfId="18483" xr:uid="{00000000-0005-0000-0000-000033480000}"/>
    <cellStyle name="Normal 220 3 3 2" xfId="18484" xr:uid="{00000000-0005-0000-0000-000034480000}"/>
    <cellStyle name="Normal 220 3 3 2 2" xfId="18485" xr:uid="{00000000-0005-0000-0000-000035480000}"/>
    <cellStyle name="Normal 220 3 3 3" xfId="18486" xr:uid="{00000000-0005-0000-0000-000036480000}"/>
    <cellStyle name="Normal 220 3 4" xfId="18487" xr:uid="{00000000-0005-0000-0000-000037480000}"/>
    <cellStyle name="Normal 220 3 4 2" xfId="18488" xr:uid="{00000000-0005-0000-0000-000038480000}"/>
    <cellStyle name="Normal 220 3 4 2 2" xfId="18489" xr:uid="{00000000-0005-0000-0000-000039480000}"/>
    <cellStyle name="Normal 220 3 4 3" xfId="18490" xr:uid="{00000000-0005-0000-0000-00003A480000}"/>
    <cellStyle name="Normal 220 3 5" xfId="18491" xr:uid="{00000000-0005-0000-0000-00003B480000}"/>
    <cellStyle name="Normal 220 4" xfId="18492" xr:uid="{00000000-0005-0000-0000-00003C480000}"/>
    <cellStyle name="Normal 220 4 2" xfId="18493" xr:uid="{00000000-0005-0000-0000-00003D480000}"/>
    <cellStyle name="Normal 220 4 2 2" xfId="18494" xr:uid="{00000000-0005-0000-0000-00003E480000}"/>
    <cellStyle name="Normal 220 4 2 2 2" xfId="18495" xr:uid="{00000000-0005-0000-0000-00003F480000}"/>
    <cellStyle name="Normal 220 4 2 3" xfId="18496" xr:uid="{00000000-0005-0000-0000-000040480000}"/>
    <cellStyle name="Normal 220 4 2 3 2" xfId="18497" xr:uid="{00000000-0005-0000-0000-000041480000}"/>
    <cellStyle name="Normal 220 4 2 3 2 2" xfId="18498" xr:uid="{00000000-0005-0000-0000-000042480000}"/>
    <cellStyle name="Normal 220 4 2 3 3" xfId="18499" xr:uid="{00000000-0005-0000-0000-000043480000}"/>
    <cellStyle name="Normal 220 4 2 4" xfId="18500" xr:uid="{00000000-0005-0000-0000-000044480000}"/>
    <cellStyle name="Normal 220 4 3" xfId="18501" xr:uid="{00000000-0005-0000-0000-000045480000}"/>
    <cellStyle name="Normal 220 4 3 2" xfId="18502" xr:uid="{00000000-0005-0000-0000-000046480000}"/>
    <cellStyle name="Normal 220 4 3 2 2" xfId="18503" xr:uid="{00000000-0005-0000-0000-000047480000}"/>
    <cellStyle name="Normal 220 4 3 3" xfId="18504" xr:uid="{00000000-0005-0000-0000-000048480000}"/>
    <cellStyle name="Normal 220 4 4" xfId="18505" xr:uid="{00000000-0005-0000-0000-000049480000}"/>
    <cellStyle name="Normal 220 4 4 2" xfId="18506" xr:uid="{00000000-0005-0000-0000-00004A480000}"/>
    <cellStyle name="Normal 220 4 4 2 2" xfId="18507" xr:uid="{00000000-0005-0000-0000-00004B480000}"/>
    <cellStyle name="Normal 220 4 4 3" xfId="18508" xr:uid="{00000000-0005-0000-0000-00004C480000}"/>
    <cellStyle name="Normal 220 4 5" xfId="18509" xr:uid="{00000000-0005-0000-0000-00004D480000}"/>
    <cellStyle name="Normal 220 4 5 2" xfId="18510" xr:uid="{00000000-0005-0000-0000-00004E480000}"/>
    <cellStyle name="Normal 220 4 5 2 2" xfId="18511" xr:uid="{00000000-0005-0000-0000-00004F480000}"/>
    <cellStyle name="Normal 220 4 5 3" xfId="18512" xr:uid="{00000000-0005-0000-0000-000050480000}"/>
    <cellStyle name="Normal 220 4 6" xfId="18513" xr:uid="{00000000-0005-0000-0000-000051480000}"/>
    <cellStyle name="Normal 220 5" xfId="18514" xr:uid="{00000000-0005-0000-0000-000052480000}"/>
    <cellStyle name="Normal 220 5 2" xfId="18515" xr:uid="{00000000-0005-0000-0000-000053480000}"/>
    <cellStyle name="Normal 220 5 2 2" xfId="18516" xr:uid="{00000000-0005-0000-0000-000054480000}"/>
    <cellStyle name="Normal 220 5 3" xfId="18517" xr:uid="{00000000-0005-0000-0000-000055480000}"/>
    <cellStyle name="Normal 220 6" xfId="18518" xr:uid="{00000000-0005-0000-0000-000056480000}"/>
    <cellStyle name="Normal 220 6 2" xfId="18519" xr:uid="{00000000-0005-0000-0000-000057480000}"/>
    <cellStyle name="Normal 220 6 2 2" xfId="18520" xr:uid="{00000000-0005-0000-0000-000058480000}"/>
    <cellStyle name="Normal 220 6 3" xfId="18521" xr:uid="{00000000-0005-0000-0000-000059480000}"/>
    <cellStyle name="Normal 220 7" xfId="18522" xr:uid="{00000000-0005-0000-0000-00005A480000}"/>
    <cellStyle name="Normal 220 7 2" xfId="18523" xr:uid="{00000000-0005-0000-0000-00005B480000}"/>
    <cellStyle name="Normal 220 7 2 2" xfId="18524" xr:uid="{00000000-0005-0000-0000-00005C480000}"/>
    <cellStyle name="Normal 220 7 3" xfId="18525" xr:uid="{00000000-0005-0000-0000-00005D480000}"/>
    <cellStyle name="Normal 220 8" xfId="18526" xr:uid="{00000000-0005-0000-0000-00005E480000}"/>
    <cellStyle name="Normal 221" xfId="18527" xr:uid="{00000000-0005-0000-0000-00005F480000}"/>
    <cellStyle name="Normal 221 2" xfId="18528" xr:uid="{00000000-0005-0000-0000-000060480000}"/>
    <cellStyle name="Normal 221 2 2" xfId="18529" xr:uid="{00000000-0005-0000-0000-000061480000}"/>
    <cellStyle name="Normal 221 2 2 2" xfId="18530" xr:uid="{00000000-0005-0000-0000-000062480000}"/>
    <cellStyle name="Normal 221 2 2 2 2" xfId="18531" xr:uid="{00000000-0005-0000-0000-000063480000}"/>
    <cellStyle name="Normal 221 2 2 3" xfId="18532" xr:uid="{00000000-0005-0000-0000-000064480000}"/>
    <cellStyle name="Normal 221 2 2 3 2" xfId="18533" xr:uid="{00000000-0005-0000-0000-000065480000}"/>
    <cellStyle name="Normal 221 2 2 3 2 2" xfId="18534" xr:uid="{00000000-0005-0000-0000-000066480000}"/>
    <cellStyle name="Normal 221 2 2 3 3" xfId="18535" xr:uid="{00000000-0005-0000-0000-000067480000}"/>
    <cellStyle name="Normal 221 2 2 4" xfId="18536" xr:uid="{00000000-0005-0000-0000-000068480000}"/>
    <cellStyle name="Normal 221 2 2 4 2" xfId="18537" xr:uid="{00000000-0005-0000-0000-000069480000}"/>
    <cellStyle name="Normal 221 2 2 4 2 2" xfId="18538" xr:uid="{00000000-0005-0000-0000-00006A480000}"/>
    <cellStyle name="Normal 221 2 2 4 3" xfId="18539" xr:uid="{00000000-0005-0000-0000-00006B480000}"/>
    <cellStyle name="Normal 221 2 2 5" xfId="18540" xr:uid="{00000000-0005-0000-0000-00006C480000}"/>
    <cellStyle name="Normal 221 2 3" xfId="18541" xr:uid="{00000000-0005-0000-0000-00006D480000}"/>
    <cellStyle name="Normal 221 2 3 2" xfId="18542" xr:uid="{00000000-0005-0000-0000-00006E480000}"/>
    <cellStyle name="Normal 221 2 3 2 2" xfId="18543" xr:uid="{00000000-0005-0000-0000-00006F480000}"/>
    <cellStyle name="Normal 221 2 3 2 2 2" xfId="18544" xr:uid="{00000000-0005-0000-0000-000070480000}"/>
    <cellStyle name="Normal 221 2 3 2 3" xfId="18545" xr:uid="{00000000-0005-0000-0000-000071480000}"/>
    <cellStyle name="Normal 221 2 3 2 3 2" xfId="18546" xr:uid="{00000000-0005-0000-0000-000072480000}"/>
    <cellStyle name="Normal 221 2 3 2 3 2 2" xfId="18547" xr:uid="{00000000-0005-0000-0000-000073480000}"/>
    <cellStyle name="Normal 221 2 3 2 3 3" xfId="18548" xr:uid="{00000000-0005-0000-0000-000074480000}"/>
    <cellStyle name="Normal 221 2 3 2 4" xfId="18549" xr:uid="{00000000-0005-0000-0000-000075480000}"/>
    <cellStyle name="Normal 221 2 3 3" xfId="18550" xr:uid="{00000000-0005-0000-0000-000076480000}"/>
    <cellStyle name="Normal 221 2 3 3 2" xfId="18551" xr:uid="{00000000-0005-0000-0000-000077480000}"/>
    <cellStyle name="Normal 221 2 3 3 2 2" xfId="18552" xr:uid="{00000000-0005-0000-0000-000078480000}"/>
    <cellStyle name="Normal 221 2 3 3 3" xfId="18553" xr:uid="{00000000-0005-0000-0000-000079480000}"/>
    <cellStyle name="Normal 221 2 3 4" xfId="18554" xr:uid="{00000000-0005-0000-0000-00007A480000}"/>
    <cellStyle name="Normal 221 2 3 4 2" xfId="18555" xr:uid="{00000000-0005-0000-0000-00007B480000}"/>
    <cellStyle name="Normal 221 2 3 4 2 2" xfId="18556" xr:uid="{00000000-0005-0000-0000-00007C480000}"/>
    <cellStyle name="Normal 221 2 3 4 3" xfId="18557" xr:uid="{00000000-0005-0000-0000-00007D480000}"/>
    <cellStyle name="Normal 221 2 3 5" xfId="18558" xr:uid="{00000000-0005-0000-0000-00007E480000}"/>
    <cellStyle name="Normal 221 2 3 5 2" xfId="18559" xr:uid="{00000000-0005-0000-0000-00007F480000}"/>
    <cellStyle name="Normal 221 2 3 5 2 2" xfId="18560" xr:uid="{00000000-0005-0000-0000-000080480000}"/>
    <cellStyle name="Normal 221 2 3 5 3" xfId="18561" xr:uid="{00000000-0005-0000-0000-000081480000}"/>
    <cellStyle name="Normal 221 2 3 6" xfId="18562" xr:uid="{00000000-0005-0000-0000-000082480000}"/>
    <cellStyle name="Normal 221 2 4" xfId="18563" xr:uid="{00000000-0005-0000-0000-000083480000}"/>
    <cellStyle name="Normal 221 2 4 2" xfId="18564" xr:uid="{00000000-0005-0000-0000-000084480000}"/>
    <cellStyle name="Normal 221 2 4 2 2" xfId="18565" xr:uid="{00000000-0005-0000-0000-000085480000}"/>
    <cellStyle name="Normal 221 2 4 3" xfId="18566" xr:uid="{00000000-0005-0000-0000-000086480000}"/>
    <cellStyle name="Normal 221 2 5" xfId="18567" xr:uid="{00000000-0005-0000-0000-000087480000}"/>
    <cellStyle name="Normal 221 2 5 2" xfId="18568" xr:uid="{00000000-0005-0000-0000-000088480000}"/>
    <cellStyle name="Normal 221 2 5 2 2" xfId="18569" xr:uid="{00000000-0005-0000-0000-000089480000}"/>
    <cellStyle name="Normal 221 2 5 3" xfId="18570" xr:uid="{00000000-0005-0000-0000-00008A480000}"/>
    <cellStyle name="Normal 221 2 6" xfId="18571" xr:uid="{00000000-0005-0000-0000-00008B480000}"/>
    <cellStyle name="Normal 221 2 6 2" xfId="18572" xr:uid="{00000000-0005-0000-0000-00008C480000}"/>
    <cellStyle name="Normal 221 2 6 2 2" xfId="18573" xr:uid="{00000000-0005-0000-0000-00008D480000}"/>
    <cellStyle name="Normal 221 2 6 3" xfId="18574" xr:uid="{00000000-0005-0000-0000-00008E480000}"/>
    <cellStyle name="Normal 221 2 7" xfId="18575" xr:uid="{00000000-0005-0000-0000-00008F480000}"/>
    <cellStyle name="Normal 221 3" xfId="18576" xr:uid="{00000000-0005-0000-0000-000090480000}"/>
    <cellStyle name="Normal 221 3 2" xfId="18577" xr:uid="{00000000-0005-0000-0000-000091480000}"/>
    <cellStyle name="Normal 221 3 2 2" xfId="18578" xr:uid="{00000000-0005-0000-0000-000092480000}"/>
    <cellStyle name="Normal 221 3 3" xfId="18579" xr:uid="{00000000-0005-0000-0000-000093480000}"/>
    <cellStyle name="Normal 221 3 3 2" xfId="18580" xr:uid="{00000000-0005-0000-0000-000094480000}"/>
    <cellStyle name="Normal 221 3 3 2 2" xfId="18581" xr:uid="{00000000-0005-0000-0000-000095480000}"/>
    <cellStyle name="Normal 221 3 3 3" xfId="18582" xr:uid="{00000000-0005-0000-0000-000096480000}"/>
    <cellStyle name="Normal 221 3 4" xfId="18583" xr:uid="{00000000-0005-0000-0000-000097480000}"/>
    <cellStyle name="Normal 221 3 4 2" xfId="18584" xr:uid="{00000000-0005-0000-0000-000098480000}"/>
    <cellStyle name="Normal 221 3 4 2 2" xfId="18585" xr:uid="{00000000-0005-0000-0000-000099480000}"/>
    <cellStyle name="Normal 221 3 4 3" xfId="18586" xr:uid="{00000000-0005-0000-0000-00009A480000}"/>
    <cellStyle name="Normal 221 3 5" xfId="18587" xr:uid="{00000000-0005-0000-0000-00009B480000}"/>
    <cellStyle name="Normal 221 4" xfId="18588" xr:uid="{00000000-0005-0000-0000-00009C480000}"/>
    <cellStyle name="Normal 221 4 2" xfId="18589" xr:uid="{00000000-0005-0000-0000-00009D480000}"/>
    <cellStyle name="Normal 221 4 2 2" xfId="18590" xr:uid="{00000000-0005-0000-0000-00009E480000}"/>
    <cellStyle name="Normal 221 4 2 2 2" xfId="18591" xr:uid="{00000000-0005-0000-0000-00009F480000}"/>
    <cellStyle name="Normal 221 4 2 3" xfId="18592" xr:uid="{00000000-0005-0000-0000-0000A0480000}"/>
    <cellStyle name="Normal 221 4 2 3 2" xfId="18593" xr:uid="{00000000-0005-0000-0000-0000A1480000}"/>
    <cellStyle name="Normal 221 4 2 3 2 2" xfId="18594" xr:uid="{00000000-0005-0000-0000-0000A2480000}"/>
    <cellStyle name="Normal 221 4 2 3 3" xfId="18595" xr:uid="{00000000-0005-0000-0000-0000A3480000}"/>
    <cellStyle name="Normal 221 4 2 4" xfId="18596" xr:uid="{00000000-0005-0000-0000-0000A4480000}"/>
    <cellStyle name="Normal 221 4 3" xfId="18597" xr:uid="{00000000-0005-0000-0000-0000A5480000}"/>
    <cellStyle name="Normal 221 4 3 2" xfId="18598" xr:uid="{00000000-0005-0000-0000-0000A6480000}"/>
    <cellStyle name="Normal 221 4 3 2 2" xfId="18599" xr:uid="{00000000-0005-0000-0000-0000A7480000}"/>
    <cellStyle name="Normal 221 4 3 3" xfId="18600" xr:uid="{00000000-0005-0000-0000-0000A8480000}"/>
    <cellStyle name="Normal 221 4 4" xfId="18601" xr:uid="{00000000-0005-0000-0000-0000A9480000}"/>
    <cellStyle name="Normal 221 4 4 2" xfId="18602" xr:uid="{00000000-0005-0000-0000-0000AA480000}"/>
    <cellStyle name="Normal 221 4 4 2 2" xfId="18603" xr:uid="{00000000-0005-0000-0000-0000AB480000}"/>
    <cellStyle name="Normal 221 4 4 3" xfId="18604" xr:uid="{00000000-0005-0000-0000-0000AC480000}"/>
    <cellStyle name="Normal 221 4 5" xfId="18605" xr:uid="{00000000-0005-0000-0000-0000AD480000}"/>
    <cellStyle name="Normal 221 4 5 2" xfId="18606" xr:uid="{00000000-0005-0000-0000-0000AE480000}"/>
    <cellStyle name="Normal 221 4 5 2 2" xfId="18607" xr:uid="{00000000-0005-0000-0000-0000AF480000}"/>
    <cellStyle name="Normal 221 4 5 3" xfId="18608" xr:uid="{00000000-0005-0000-0000-0000B0480000}"/>
    <cellStyle name="Normal 221 4 6" xfId="18609" xr:uid="{00000000-0005-0000-0000-0000B1480000}"/>
    <cellStyle name="Normal 221 5" xfId="18610" xr:uid="{00000000-0005-0000-0000-0000B2480000}"/>
    <cellStyle name="Normal 221 5 2" xfId="18611" xr:uid="{00000000-0005-0000-0000-0000B3480000}"/>
    <cellStyle name="Normal 221 5 2 2" xfId="18612" xr:uid="{00000000-0005-0000-0000-0000B4480000}"/>
    <cellStyle name="Normal 221 5 3" xfId="18613" xr:uid="{00000000-0005-0000-0000-0000B5480000}"/>
    <cellStyle name="Normal 221 6" xfId="18614" xr:uid="{00000000-0005-0000-0000-0000B6480000}"/>
    <cellStyle name="Normal 221 6 2" xfId="18615" xr:uid="{00000000-0005-0000-0000-0000B7480000}"/>
    <cellStyle name="Normal 221 6 2 2" xfId="18616" xr:uid="{00000000-0005-0000-0000-0000B8480000}"/>
    <cellStyle name="Normal 221 6 3" xfId="18617" xr:uid="{00000000-0005-0000-0000-0000B9480000}"/>
    <cellStyle name="Normal 221 7" xfId="18618" xr:uid="{00000000-0005-0000-0000-0000BA480000}"/>
    <cellStyle name="Normal 221 7 2" xfId="18619" xr:uid="{00000000-0005-0000-0000-0000BB480000}"/>
    <cellStyle name="Normal 221 7 2 2" xfId="18620" xr:uid="{00000000-0005-0000-0000-0000BC480000}"/>
    <cellStyle name="Normal 221 7 3" xfId="18621" xr:uid="{00000000-0005-0000-0000-0000BD480000}"/>
    <cellStyle name="Normal 221 8" xfId="18622" xr:uid="{00000000-0005-0000-0000-0000BE480000}"/>
    <cellStyle name="Normal 222" xfId="18623" xr:uid="{00000000-0005-0000-0000-0000BF480000}"/>
    <cellStyle name="Normal 222 2" xfId="18624" xr:uid="{00000000-0005-0000-0000-0000C0480000}"/>
    <cellStyle name="Normal 222 2 2" xfId="18625" xr:uid="{00000000-0005-0000-0000-0000C1480000}"/>
    <cellStyle name="Normal 222 2 2 2" xfId="18626" xr:uid="{00000000-0005-0000-0000-0000C2480000}"/>
    <cellStyle name="Normal 222 2 2 2 2" xfId="18627" xr:uid="{00000000-0005-0000-0000-0000C3480000}"/>
    <cellStyle name="Normal 222 2 2 3" xfId="18628" xr:uid="{00000000-0005-0000-0000-0000C4480000}"/>
    <cellStyle name="Normal 222 2 2 3 2" xfId="18629" xr:uid="{00000000-0005-0000-0000-0000C5480000}"/>
    <cellStyle name="Normal 222 2 2 3 2 2" xfId="18630" xr:uid="{00000000-0005-0000-0000-0000C6480000}"/>
    <cellStyle name="Normal 222 2 2 3 3" xfId="18631" xr:uid="{00000000-0005-0000-0000-0000C7480000}"/>
    <cellStyle name="Normal 222 2 2 4" xfId="18632" xr:uid="{00000000-0005-0000-0000-0000C8480000}"/>
    <cellStyle name="Normal 222 2 2 4 2" xfId="18633" xr:uid="{00000000-0005-0000-0000-0000C9480000}"/>
    <cellStyle name="Normal 222 2 2 4 2 2" xfId="18634" xr:uid="{00000000-0005-0000-0000-0000CA480000}"/>
    <cellStyle name="Normal 222 2 2 4 3" xfId="18635" xr:uid="{00000000-0005-0000-0000-0000CB480000}"/>
    <cellStyle name="Normal 222 2 2 5" xfId="18636" xr:uid="{00000000-0005-0000-0000-0000CC480000}"/>
    <cellStyle name="Normal 222 2 3" xfId="18637" xr:uid="{00000000-0005-0000-0000-0000CD480000}"/>
    <cellStyle name="Normal 222 2 3 2" xfId="18638" xr:uid="{00000000-0005-0000-0000-0000CE480000}"/>
    <cellStyle name="Normal 222 2 3 2 2" xfId="18639" xr:uid="{00000000-0005-0000-0000-0000CF480000}"/>
    <cellStyle name="Normal 222 2 3 2 2 2" xfId="18640" xr:uid="{00000000-0005-0000-0000-0000D0480000}"/>
    <cellStyle name="Normal 222 2 3 2 3" xfId="18641" xr:uid="{00000000-0005-0000-0000-0000D1480000}"/>
    <cellStyle name="Normal 222 2 3 2 3 2" xfId="18642" xr:uid="{00000000-0005-0000-0000-0000D2480000}"/>
    <cellStyle name="Normal 222 2 3 2 3 2 2" xfId="18643" xr:uid="{00000000-0005-0000-0000-0000D3480000}"/>
    <cellStyle name="Normal 222 2 3 2 3 3" xfId="18644" xr:uid="{00000000-0005-0000-0000-0000D4480000}"/>
    <cellStyle name="Normal 222 2 3 2 4" xfId="18645" xr:uid="{00000000-0005-0000-0000-0000D5480000}"/>
    <cellStyle name="Normal 222 2 3 3" xfId="18646" xr:uid="{00000000-0005-0000-0000-0000D6480000}"/>
    <cellStyle name="Normal 222 2 3 3 2" xfId="18647" xr:uid="{00000000-0005-0000-0000-0000D7480000}"/>
    <cellStyle name="Normal 222 2 3 3 2 2" xfId="18648" xr:uid="{00000000-0005-0000-0000-0000D8480000}"/>
    <cellStyle name="Normal 222 2 3 3 3" xfId="18649" xr:uid="{00000000-0005-0000-0000-0000D9480000}"/>
    <cellStyle name="Normal 222 2 3 4" xfId="18650" xr:uid="{00000000-0005-0000-0000-0000DA480000}"/>
    <cellStyle name="Normal 222 2 3 4 2" xfId="18651" xr:uid="{00000000-0005-0000-0000-0000DB480000}"/>
    <cellStyle name="Normal 222 2 3 4 2 2" xfId="18652" xr:uid="{00000000-0005-0000-0000-0000DC480000}"/>
    <cellStyle name="Normal 222 2 3 4 3" xfId="18653" xr:uid="{00000000-0005-0000-0000-0000DD480000}"/>
    <cellStyle name="Normal 222 2 3 5" xfId="18654" xr:uid="{00000000-0005-0000-0000-0000DE480000}"/>
    <cellStyle name="Normal 222 2 3 5 2" xfId="18655" xr:uid="{00000000-0005-0000-0000-0000DF480000}"/>
    <cellStyle name="Normal 222 2 3 5 2 2" xfId="18656" xr:uid="{00000000-0005-0000-0000-0000E0480000}"/>
    <cellStyle name="Normal 222 2 3 5 3" xfId="18657" xr:uid="{00000000-0005-0000-0000-0000E1480000}"/>
    <cellStyle name="Normal 222 2 3 6" xfId="18658" xr:uid="{00000000-0005-0000-0000-0000E2480000}"/>
    <cellStyle name="Normal 222 2 4" xfId="18659" xr:uid="{00000000-0005-0000-0000-0000E3480000}"/>
    <cellStyle name="Normal 222 2 4 2" xfId="18660" xr:uid="{00000000-0005-0000-0000-0000E4480000}"/>
    <cellStyle name="Normal 222 2 4 2 2" xfId="18661" xr:uid="{00000000-0005-0000-0000-0000E5480000}"/>
    <cellStyle name="Normal 222 2 4 3" xfId="18662" xr:uid="{00000000-0005-0000-0000-0000E6480000}"/>
    <cellStyle name="Normal 222 2 5" xfId="18663" xr:uid="{00000000-0005-0000-0000-0000E7480000}"/>
    <cellStyle name="Normal 222 2 5 2" xfId="18664" xr:uid="{00000000-0005-0000-0000-0000E8480000}"/>
    <cellStyle name="Normal 222 2 5 2 2" xfId="18665" xr:uid="{00000000-0005-0000-0000-0000E9480000}"/>
    <cellStyle name="Normal 222 2 5 3" xfId="18666" xr:uid="{00000000-0005-0000-0000-0000EA480000}"/>
    <cellStyle name="Normal 222 2 6" xfId="18667" xr:uid="{00000000-0005-0000-0000-0000EB480000}"/>
    <cellStyle name="Normal 222 2 6 2" xfId="18668" xr:uid="{00000000-0005-0000-0000-0000EC480000}"/>
    <cellStyle name="Normal 222 2 6 2 2" xfId="18669" xr:uid="{00000000-0005-0000-0000-0000ED480000}"/>
    <cellStyle name="Normal 222 2 6 3" xfId="18670" xr:uid="{00000000-0005-0000-0000-0000EE480000}"/>
    <cellStyle name="Normal 222 2 7" xfId="18671" xr:uid="{00000000-0005-0000-0000-0000EF480000}"/>
    <cellStyle name="Normal 222 3" xfId="18672" xr:uid="{00000000-0005-0000-0000-0000F0480000}"/>
    <cellStyle name="Normal 222 3 2" xfId="18673" xr:uid="{00000000-0005-0000-0000-0000F1480000}"/>
    <cellStyle name="Normal 222 3 2 2" xfId="18674" xr:uid="{00000000-0005-0000-0000-0000F2480000}"/>
    <cellStyle name="Normal 222 3 3" xfId="18675" xr:uid="{00000000-0005-0000-0000-0000F3480000}"/>
    <cellStyle name="Normal 222 3 3 2" xfId="18676" xr:uid="{00000000-0005-0000-0000-0000F4480000}"/>
    <cellStyle name="Normal 222 3 3 2 2" xfId="18677" xr:uid="{00000000-0005-0000-0000-0000F5480000}"/>
    <cellStyle name="Normal 222 3 3 3" xfId="18678" xr:uid="{00000000-0005-0000-0000-0000F6480000}"/>
    <cellStyle name="Normal 222 3 4" xfId="18679" xr:uid="{00000000-0005-0000-0000-0000F7480000}"/>
    <cellStyle name="Normal 222 3 4 2" xfId="18680" xr:uid="{00000000-0005-0000-0000-0000F8480000}"/>
    <cellStyle name="Normal 222 3 4 2 2" xfId="18681" xr:uid="{00000000-0005-0000-0000-0000F9480000}"/>
    <cellStyle name="Normal 222 3 4 3" xfId="18682" xr:uid="{00000000-0005-0000-0000-0000FA480000}"/>
    <cellStyle name="Normal 222 3 5" xfId="18683" xr:uid="{00000000-0005-0000-0000-0000FB480000}"/>
    <cellStyle name="Normal 222 4" xfId="18684" xr:uid="{00000000-0005-0000-0000-0000FC480000}"/>
    <cellStyle name="Normal 222 4 2" xfId="18685" xr:uid="{00000000-0005-0000-0000-0000FD480000}"/>
    <cellStyle name="Normal 222 4 2 2" xfId="18686" xr:uid="{00000000-0005-0000-0000-0000FE480000}"/>
    <cellStyle name="Normal 222 4 2 2 2" xfId="18687" xr:uid="{00000000-0005-0000-0000-0000FF480000}"/>
    <cellStyle name="Normal 222 4 2 3" xfId="18688" xr:uid="{00000000-0005-0000-0000-000000490000}"/>
    <cellStyle name="Normal 222 4 2 3 2" xfId="18689" xr:uid="{00000000-0005-0000-0000-000001490000}"/>
    <cellStyle name="Normal 222 4 2 3 2 2" xfId="18690" xr:uid="{00000000-0005-0000-0000-000002490000}"/>
    <cellStyle name="Normal 222 4 2 3 3" xfId="18691" xr:uid="{00000000-0005-0000-0000-000003490000}"/>
    <cellStyle name="Normal 222 4 2 4" xfId="18692" xr:uid="{00000000-0005-0000-0000-000004490000}"/>
    <cellStyle name="Normal 222 4 3" xfId="18693" xr:uid="{00000000-0005-0000-0000-000005490000}"/>
    <cellStyle name="Normal 222 4 3 2" xfId="18694" xr:uid="{00000000-0005-0000-0000-000006490000}"/>
    <cellStyle name="Normal 222 4 3 2 2" xfId="18695" xr:uid="{00000000-0005-0000-0000-000007490000}"/>
    <cellStyle name="Normal 222 4 3 3" xfId="18696" xr:uid="{00000000-0005-0000-0000-000008490000}"/>
    <cellStyle name="Normal 222 4 4" xfId="18697" xr:uid="{00000000-0005-0000-0000-000009490000}"/>
    <cellStyle name="Normal 222 4 4 2" xfId="18698" xr:uid="{00000000-0005-0000-0000-00000A490000}"/>
    <cellStyle name="Normal 222 4 4 2 2" xfId="18699" xr:uid="{00000000-0005-0000-0000-00000B490000}"/>
    <cellStyle name="Normal 222 4 4 3" xfId="18700" xr:uid="{00000000-0005-0000-0000-00000C490000}"/>
    <cellStyle name="Normal 222 4 5" xfId="18701" xr:uid="{00000000-0005-0000-0000-00000D490000}"/>
    <cellStyle name="Normal 222 4 5 2" xfId="18702" xr:uid="{00000000-0005-0000-0000-00000E490000}"/>
    <cellStyle name="Normal 222 4 5 2 2" xfId="18703" xr:uid="{00000000-0005-0000-0000-00000F490000}"/>
    <cellStyle name="Normal 222 4 5 3" xfId="18704" xr:uid="{00000000-0005-0000-0000-000010490000}"/>
    <cellStyle name="Normal 222 4 6" xfId="18705" xr:uid="{00000000-0005-0000-0000-000011490000}"/>
    <cellStyle name="Normal 222 5" xfId="18706" xr:uid="{00000000-0005-0000-0000-000012490000}"/>
    <cellStyle name="Normal 222 5 2" xfId="18707" xr:uid="{00000000-0005-0000-0000-000013490000}"/>
    <cellStyle name="Normal 222 5 2 2" xfId="18708" xr:uid="{00000000-0005-0000-0000-000014490000}"/>
    <cellStyle name="Normal 222 5 3" xfId="18709" xr:uid="{00000000-0005-0000-0000-000015490000}"/>
    <cellStyle name="Normal 222 6" xfId="18710" xr:uid="{00000000-0005-0000-0000-000016490000}"/>
    <cellStyle name="Normal 222 6 2" xfId="18711" xr:uid="{00000000-0005-0000-0000-000017490000}"/>
    <cellStyle name="Normal 222 6 2 2" xfId="18712" xr:uid="{00000000-0005-0000-0000-000018490000}"/>
    <cellStyle name="Normal 222 6 3" xfId="18713" xr:uid="{00000000-0005-0000-0000-000019490000}"/>
    <cellStyle name="Normal 222 7" xfId="18714" xr:uid="{00000000-0005-0000-0000-00001A490000}"/>
    <cellStyle name="Normal 222 7 2" xfId="18715" xr:uid="{00000000-0005-0000-0000-00001B490000}"/>
    <cellStyle name="Normal 222 7 2 2" xfId="18716" xr:uid="{00000000-0005-0000-0000-00001C490000}"/>
    <cellStyle name="Normal 222 7 3" xfId="18717" xr:uid="{00000000-0005-0000-0000-00001D490000}"/>
    <cellStyle name="Normal 222 8" xfId="18718" xr:uid="{00000000-0005-0000-0000-00001E490000}"/>
    <cellStyle name="Normal 223" xfId="18719" xr:uid="{00000000-0005-0000-0000-00001F490000}"/>
    <cellStyle name="Normal 223 2" xfId="18720" xr:uid="{00000000-0005-0000-0000-000020490000}"/>
    <cellStyle name="Normal 223 2 2" xfId="18721" xr:uid="{00000000-0005-0000-0000-000021490000}"/>
    <cellStyle name="Normal 223 2 2 2" xfId="18722" xr:uid="{00000000-0005-0000-0000-000022490000}"/>
    <cellStyle name="Normal 223 2 2 2 2" xfId="18723" xr:uid="{00000000-0005-0000-0000-000023490000}"/>
    <cellStyle name="Normal 223 2 2 3" xfId="18724" xr:uid="{00000000-0005-0000-0000-000024490000}"/>
    <cellStyle name="Normal 223 2 2 3 2" xfId="18725" xr:uid="{00000000-0005-0000-0000-000025490000}"/>
    <cellStyle name="Normal 223 2 2 3 2 2" xfId="18726" xr:uid="{00000000-0005-0000-0000-000026490000}"/>
    <cellStyle name="Normal 223 2 2 3 3" xfId="18727" xr:uid="{00000000-0005-0000-0000-000027490000}"/>
    <cellStyle name="Normal 223 2 2 4" xfId="18728" xr:uid="{00000000-0005-0000-0000-000028490000}"/>
    <cellStyle name="Normal 223 2 2 4 2" xfId="18729" xr:uid="{00000000-0005-0000-0000-000029490000}"/>
    <cellStyle name="Normal 223 2 2 4 2 2" xfId="18730" xr:uid="{00000000-0005-0000-0000-00002A490000}"/>
    <cellStyle name="Normal 223 2 2 4 3" xfId="18731" xr:uid="{00000000-0005-0000-0000-00002B490000}"/>
    <cellStyle name="Normal 223 2 2 5" xfId="18732" xr:uid="{00000000-0005-0000-0000-00002C490000}"/>
    <cellStyle name="Normal 223 2 3" xfId="18733" xr:uid="{00000000-0005-0000-0000-00002D490000}"/>
    <cellStyle name="Normal 223 2 3 2" xfId="18734" xr:uid="{00000000-0005-0000-0000-00002E490000}"/>
    <cellStyle name="Normal 223 2 3 2 2" xfId="18735" xr:uid="{00000000-0005-0000-0000-00002F490000}"/>
    <cellStyle name="Normal 223 2 3 2 2 2" xfId="18736" xr:uid="{00000000-0005-0000-0000-000030490000}"/>
    <cellStyle name="Normal 223 2 3 2 3" xfId="18737" xr:uid="{00000000-0005-0000-0000-000031490000}"/>
    <cellStyle name="Normal 223 2 3 2 3 2" xfId="18738" xr:uid="{00000000-0005-0000-0000-000032490000}"/>
    <cellStyle name="Normal 223 2 3 2 3 2 2" xfId="18739" xr:uid="{00000000-0005-0000-0000-000033490000}"/>
    <cellStyle name="Normal 223 2 3 2 3 3" xfId="18740" xr:uid="{00000000-0005-0000-0000-000034490000}"/>
    <cellStyle name="Normal 223 2 3 2 4" xfId="18741" xr:uid="{00000000-0005-0000-0000-000035490000}"/>
    <cellStyle name="Normal 223 2 3 3" xfId="18742" xr:uid="{00000000-0005-0000-0000-000036490000}"/>
    <cellStyle name="Normal 223 2 3 3 2" xfId="18743" xr:uid="{00000000-0005-0000-0000-000037490000}"/>
    <cellStyle name="Normal 223 2 3 3 2 2" xfId="18744" xr:uid="{00000000-0005-0000-0000-000038490000}"/>
    <cellStyle name="Normal 223 2 3 3 3" xfId="18745" xr:uid="{00000000-0005-0000-0000-000039490000}"/>
    <cellStyle name="Normal 223 2 3 4" xfId="18746" xr:uid="{00000000-0005-0000-0000-00003A490000}"/>
    <cellStyle name="Normal 223 2 3 4 2" xfId="18747" xr:uid="{00000000-0005-0000-0000-00003B490000}"/>
    <cellStyle name="Normal 223 2 3 4 2 2" xfId="18748" xr:uid="{00000000-0005-0000-0000-00003C490000}"/>
    <cellStyle name="Normal 223 2 3 4 3" xfId="18749" xr:uid="{00000000-0005-0000-0000-00003D490000}"/>
    <cellStyle name="Normal 223 2 3 5" xfId="18750" xr:uid="{00000000-0005-0000-0000-00003E490000}"/>
    <cellStyle name="Normal 223 2 3 5 2" xfId="18751" xr:uid="{00000000-0005-0000-0000-00003F490000}"/>
    <cellStyle name="Normal 223 2 3 5 2 2" xfId="18752" xr:uid="{00000000-0005-0000-0000-000040490000}"/>
    <cellStyle name="Normal 223 2 3 5 3" xfId="18753" xr:uid="{00000000-0005-0000-0000-000041490000}"/>
    <cellStyle name="Normal 223 2 3 6" xfId="18754" xr:uid="{00000000-0005-0000-0000-000042490000}"/>
    <cellStyle name="Normal 223 2 4" xfId="18755" xr:uid="{00000000-0005-0000-0000-000043490000}"/>
    <cellStyle name="Normal 223 2 4 2" xfId="18756" xr:uid="{00000000-0005-0000-0000-000044490000}"/>
    <cellStyle name="Normal 223 2 4 2 2" xfId="18757" xr:uid="{00000000-0005-0000-0000-000045490000}"/>
    <cellStyle name="Normal 223 2 4 3" xfId="18758" xr:uid="{00000000-0005-0000-0000-000046490000}"/>
    <cellStyle name="Normal 223 2 5" xfId="18759" xr:uid="{00000000-0005-0000-0000-000047490000}"/>
    <cellStyle name="Normal 223 2 5 2" xfId="18760" xr:uid="{00000000-0005-0000-0000-000048490000}"/>
    <cellStyle name="Normal 223 2 5 2 2" xfId="18761" xr:uid="{00000000-0005-0000-0000-000049490000}"/>
    <cellStyle name="Normal 223 2 5 3" xfId="18762" xr:uid="{00000000-0005-0000-0000-00004A490000}"/>
    <cellStyle name="Normal 223 2 6" xfId="18763" xr:uid="{00000000-0005-0000-0000-00004B490000}"/>
    <cellStyle name="Normal 223 2 6 2" xfId="18764" xr:uid="{00000000-0005-0000-0000-00004C490000}"/>
    <cellStyle name="Normal 223 2 6 2 2" xfId="18765" xr:uid="{00000000-0005-0000-0000-00004D490000}"/>
    <cellStyle name="Normal 223 2 6 3" xfId="18766" xr:uid="{00000000-0005-0000-0000-00004E490000}"/>
    <cellStyle name="Normal 223 2 7" xfId="18767" xr:uid="{00000000-0005-0000-0000-00004F490000}"/>
    <cellStyle name="Normal 223 3" xfId="18768" xr:uid="{00000000-0005-0000-0000-000050490000}"/>
    <cellStyle name="Normal 223 3 2" xfId="18769" xr:uid="{00000000-0005-0000-0000-000051490000}"/>
    <cellStyle name="Normal 223 3 2 2" xfId="18770" xr:uid="{00000000-0005-0000-0000-000052490000}"/>
    <cellStyle name="Normal 223 3 3" xfId="18771" xr:uid="{00000000-0005-0000-0000-000053490000}"/>
    <cellStyle name="Normal 223 3 3 2" xfId="18772" xr:uid="{00000000-0005-0000-0000-000054490000}"/>
    <cellStyle name="Normal 223 3 3 2 2" xfId="18773" xr:uid="{00000000-0005-0000-0000-000055490000}"/>
    <cellStyle name="Normal 223 3 3 3" xfId="18774" xr:uid="{00000000-0005-0000-0000-000056490000}"/>
    <cellStyle name="Normal 223 3 4" xfId="18775" xr:uid="{00000000-0005-0000-0000-000057490000}"/>
    <cellStyle name="Normal 223 3 4 2" xfId="18776" xr:uid="{00000000-0005-0000-0000-000058490000}"/>
    <cellStyle name="Normal 223 3 4 2 2" xfId="18777" xr:uid="{00000000-0005-0000-0000-000059490000}"/>
    <cellStyle name="Normal 223 3 4 3" xfId="18778" xr:uid="{00000000-0005-0000-0000-00005A490000}"/>
    <cellStyle name="Normal 223 3 5" xfId="18779" xr:uid="{00000000-0005-0000-0000-00005B490000}"/>
    <cellStyle name="Normal 223 4" xfId="18780" xr:uid="{00000000-0005-0000-0000-00005C490000}"/>
    <cellStyle name="Normal 223 4 2" xfId="18781" xr:uid="{00000000-0005-0000-0000-00005D490000}"/>
    <cellStyle name="Normal 223 4 2 2" xfId="18782" xr:uid="{00000000-0005-0000-0000-00005E490000}"/>
    <cellStyle name="Normal 223 4 2 2 2" xfId="18783" xr:uid="{00000000-0005-0000-0000-00005F490000}"/>
    <cellStyle name="Normal 223 4 2 3" xfId="18784" xr:uid="{00000000-0005-0000-0000-000060490000}"/>
    <cellStyle name="Normal 223 4 2 3 2" xfId="18785" xr:uid="{00000000-0005-0000-0000-000061490000}"/>
    <cellStyle name="Normal 223 4 2 3 2 2" xfId="18786" xr:uid="{00000000-0005-0000-0000-000062490000}"/>
    <cellStyle name="Normal 223 4 2 3 3" xfId="18787" xr:uid="{00000000-0005-0000-0000-000063490000}"/>
    <cellStyle name="Normal 223 4 2 4" xfId="18788" xr:uid="{00000000-0005-0000-0000-000064490000}"/>
    <cellStyle name="Normal 223 4 3" xfId="18789" xr:uid="{00000000-0005-0000-0000-000065490000}"/>
    <cellStyle name="Normal 223 4 3 2" xfId="18790" xr:uid="{00000000-0005-0000-0000-000066490000}"/>
    <cellStyle name="Normal 223 4 3 2 2" xfId="18791" xr:uid="{00000000-0005-0000-0000-000067490000}"/>
    <cellStyle name="Normal 223 4 3 3" xfId="18792" xr:uid="{00000000-0005-0000-0000-000068490000}"/>
    <cellStyle name="Normal 223 4 4" xfId="18793" xr:uid="{00000000-0005-0000-0000-000069490000}"/>
    <cellStyle name="Normal 223 4 4 2" xfId="18794" xr:uid="{00000000-0005-0000-0000-00006A490000}"/>
    <cellStyle name="Normal 223 4 4 2 2" xfId="18795" xr:uid="{00000000-0005-0000-0000-00006B490000}"/>
    <cellStyle name="Normal 223 4 4 3" xfId="18796" xr:uid="{00000000-0005-0000-0000-00006C490000}"/>
    <cellStyle name="Normal 223 4 5" xfId="18797" xr:uid="{00000000-0005-0000-0000-00006D490000}"/>
    <cellStyle name="Normal 223 4 5 2" xfId="18798" xr:uid="{00000000-0005-0000-0000-00006E490000}"/>
    <cellStyle name="Normal 223 4 5 2 2" xfId="18799" xr:uid="{00000000-0005-0000-0000-00006F490000}"/>
    <cellStyle name="Normal 223 4 5 3" xfId="18800" xr:uid="{00000000-0005-0000-0000-000070490000}"/>
    <cellStyle name="Normal 223 4 6" xfId="18801" xr:uid="{00000000-0005-0000-0000-000071490000}"/>
    <cellStyle name="Normal 223 5" xfId="18802" xr:uid="{00000000-0005-0000-0000-000072490000}"/>
    <cellStyle name="Normal 223 5 2" xfId="18803" xr:uid="{00000000-0005-0000-0000-000073490000}"/>
    <cellStyle name="Normal 223 5 2 2" xfId="18804" xr:uid="{00000000-0005-0000-0000-000074490000}"/>
    <cellStyle name="Normal 223 5 3" xfId="18805" xr:uid="{00000000-0005-0000-0000-000075490000}"/>
    <cellStyle name="Normal 223 6" xfId="18806" xr:uid="{00000000-0005-0000-0000-000076490000}"/>
    <cellStyle name="Normal 223 6 2" xfId="18807" xr:uid="{00000000-0005-0000-0000-000077490000}"/>
    <cellStyle name="Normal 223 6 2 2" xfId="18808" xr:uid="{00000000-0005-0000-0000-000078490000}"/>
    <cellStyle name="Normal 223 6 3" xfId="18809" xr:uid="{00000000-0005-0000-0000-000079490000}"/>
    <cellStyle name="Normal 223 7" xfId="18810" xr:uid="{00000000-0005-0000-0000-00007A490000}"/>
    <cellStyle name="Normal 223 7 2" xfId="18811" xr:uid="{00000000-0005-0000-0000-00007B490000}"/>
    <cellStyle name="Normal 223 7 2 2" xfId="18812" xr:uid="{00000000-0005-0000-0000-00007C490000}"/>
    <cellStyle name="Normal 223 7 3" xfId="18813" xr:uid="{00000000-0005-0000-0000-00007D490000}"/>
    <cellStyle name="Normal 223 8" xfId="18814" xr:uid="{00000000-0005-0000-0000-00007E490000}"/>
    <cellStyle name="Normal 224" xfId="18815" xr:uid="{00000000-0005-0000-0000-00007F490000}"/>
    <cellStyle name="Normal 224 2" xfId="18816" xr:uid="{00000000-0005-0000-0000-000080490000}"/>
    <cellStyle name="Normal 224 2 2" xfId="18817" xr:uid="{00000000-0005-0000-0000-000081490000}"/>
    <cellStyle name="Normal 224 2 2 2" xfId="18818" xr:uid="{00000000-0005-0000-0000-000082490000}"/>
    <cellStyle name="Normal 224 2 2 2 2" xfId="18819" xr:uid="{00000000-0005-0000-0000-000083490000}"/>
    <cellStyle name="Normal 224 2 2 3" xfId="18820" xr:uid="{00000000-0005-0000-0000-000084490000}"/>
    <cellStyle name="Normal 224 2 2 3 2" xfId="18821" xr:uid="{00000000-0005-0000-0000-000085490000}"/>
    <cellStyle name="Normal 224 2 2 3 2 2" xfId="18822" xr:uid="{00000000-0005-0000-0000-000086490000}"/>
    <cellStyle name="Normal 224 2 2 3 3" xfId="18823" xr:uid="{00000000-0005-0000-0000-000087490000}"/>
    <cellStyle name="Normal 224 2 2 4" xfId="18824" xr:uid="{00000000-0005-0000-0000-000088490000}"/>
    <cellStyle name="Normal 224 2 2 4 2" xfId="18825" xr:uid="{00000000-0005-0000-0000-000089490000}"/>
    <cellStyle name="Normal 224 2 2 4 2 2" xfId="18826" xr:uid="{00000000-0005-0000-0000-00008A490000}"/>
    <cellStyle name="Normal 224 2 2 4 3" xfId="18827" xr:uid="{00000000-0005-0000-0000-00008B490000}"/>
    <cellStyle name="Normal 224 2 2 5" xfId="18828" xr:uid="{00000000-0005-0000-0000-00008C490000}"/>
    <cellStyle name="Normal 224 2 3" xfId="18829" xr:uid="{00000000-0005-0000-0000-00008D490000}"/>
    <cellStyle name="Normal 224 2 3 2" xfId="18830" xr:uid="{00000000-0005-0000-0000-00008E490000}"/>
    <cellStyle name="Normal 224 2 3 2 2" xfId="18831" xr:uid="{00000000-0005-0000-0000-00008F490000}"/>
    <cellStyle name="Normal 224 2 3 2 2 2" xfId="18832" xr:uid="{00000000-0005-0000-0000-000090490000}"/>
    <cellStyle name="Normal 224 2 3 2 3" xfId="18833" xr:uid="{00000000-0005-0000-0000-000091490000}"/>
    <cellStyle name="Normal 224 2 3 2 3 2" xfId="18834" xr:uid="{00000000-0005-0000-0000-000092490000}"/>
    <cellStyle name="Normal 224 2 3 2 3 2 2" xfId="18835" xr:uid="{00000000-0005-0000-0000-000093490000}"/>
    <cellStyle name="Normal 224 2 3 2 3 3" xfId="18836" xr:uid="{00000000-0005-0000-0000-000094490000}"/>
    <cellStyle name="Normal 224 2 3 2 4" xfId="18837" xr:uid="{00000000-0005-0000-0000-000095490000}"/>
    <cellStyle name="Normal 224 2 3 3" xfId="18838" xr:uid="{00000000-0005-0000-0000-000096490000}"/>
    <cellStyle name="Normal 224 2 3 3 2" xfId="18839" xr:uid="{00000000-0005-0000-0000-000097490000}"/>
    <cellStyle name="Normal 224 2 3 3 2 2" xfId="18840" xr:uid="{00000000-0005-0000-0000-000098490000}"/>
    <cellStyle name="Normal 224 2 3 3 3" xfId="18841" xr:uid="{00000000-0005-0000-0000-000099490000}"/>
    <cellStyle name="Normal 224 2 3 4" xfId="18842" xr:uid="{00000000-0005-0000-0000-00009A490000}"/>
    <cellStyle name="Normal 224 2 3 4 2" xfId="18843" xr:uid="{00000000-0005-0000-0000-00009B490000}"/>
    <cellStyle name="Normal 224 2 3 4 2 2" xfId="18844" xr:uid="{00000000-0005-0000-0000-00009C490000}"/>
    <cellStyle name="Normal 224 2 3 4 3" xfId="18845" xr:uid="{00000000-0005-0000-0000-00009D490000}"/>
    <cellStyle name="Normal 224 2 3 5" xfId="18846" xr:uid="{00000000-0005-0000-0000-00009E490000}"/>
    <cellStyle name="Normal 224 2 3 5 2" xfId="18847" xr:uid="{00000000-0005-0000-0000-00009F490000}"/>
    <cellStyle name="Normal 224 2 3 5 2 2" xfId="18848" xr:uid="{00000000-0005-0000-0000-0000A0490000}"/>
    <cellStyle name="Normal 224 2 3 5 3" xfId="18849" xr:uid="{00000000-0005-0000-0000-0000A1490000}"/>
    <cellStyle name="Normal 224 2 3 6" xfId="18850" xr:uid="{00000000-0005-0000-0000-0000A2490000}"/>
    <cellStyle name="Normal 224 2 4" xfId="18851" xr:uid="{00000000-0005-0000-0000-0000A3490000}"/>
    <cellStyle name="Normal 224 2 4 2" xfId="18852" xr:uid="{00000000-0005-0000-0000-0000A4490000}"/>
    <cellStyle name="Normal 224 2 4 2 2" xfId="18853" xr:uid="{00000000-0005-0000-0000-0000A5490000}"/>
    <cellStyle name="Normal 224 2 4 3" xfId="18854" xr:uid="{00000000-0005-0000-0000-0000A6490000}"/>
    <cellStyle name="Normal 224 2 5" xfId="18855" xr:uid="{00000000-0005-0000-0000-0000A7490000}"/>
    <cellStyle name="Normal 224 2 5 2" xfId="18856" xr:uid="{00000000-0005-0000-0000-0000A8490000}"/>
    <cellStyle name="Normal 224 2 5 2 2" xfId="18857" xr:uid="{00000000-0005-0000-0000-0000A9490000}"/>
    <cellStyle name="Normal 224 2 5 3" xfId="18858" xr:uid="{00000000-0005-0000-0000-0000AA490000}"/>
    <cellStyle name="Normal 224 2 6" xfId="18859" xr:uid="{00000000-0005-0000-0000-0000AB490000}"/>
    <cellStyle name="Normal 224 2 6 2" xfId="18860" xr:uid="{00000000-0005-0000-0000-0000AC490000}"/>
    <cellStyle name="Normal 224 2 6 2 2" xfId="18861" xr:uid="{00000000-0005-0000-0000-0000AD490000}"/>
    <cellStyle name="Normal 224 2 6 3" xfId="18862" xr:uid="{00000000-0005-0000-0000-0000AE490000}"/>
    <cellStyle name="Normal 224 2 7" xfId="18863" xr:uid="{00000000-0005-0000-0000-0000AF490000}"/>
    <cellStyle name="Normal 224 3" xfId="18864" xr:uid="{00000000-0005-0000-0000-0000B0490000}"/>
    <cellStyle name="Normal 224 3 2" xfId="18865" xr:uid="{00000000-0005-0000-0000-0000B1490000}"/>
    <cellStyle name="Normal 224 3 2 2" xfId="18866" xr:uid="{00000000-0005-0000-0000-0000B2490000}"/>
    <cellStyle name="Normal 224 3 3" xfId="18867" xr:uid="{00000000-0005-0000-0000-0000B3490000}"/>
    <cellStyle name="Normal 224 3 3 2" xfId="18868" xr:uid="{00000000-0005-0000-0000-0000B4490000}"/>
    <cellStyle name="Normal 224 3 3 2 2" xfId="18869" xr:uid="{00000000-0005-0000-0000-0000B5490000}"/>
    <cellStyle name="Normal 224 3 3 3" xfId="18870" xr:uid="{00000000-0005-0000-0000-0000B6490000}"/>
    <cellStyle name="Normal 224 3 4" xfId="18871" xr:uid="{00000000-0005-0000-0000-0000B7490000}"/>
    <cellStyle name="Normal 224 3 4 2" xfId="18872" xr:uid="{00000000-0005-0000-0000-0000B8490000}"/>
    <cellStyle name="Normal 224 3 4 2 2" xfId="18873" xr:uid="{00000000-0005-0000-0000-0000B9490000}"/>
    <cellStyle name="Normal 224 3 4 3" xfId="18874" xr:uid="{00000000-0005-0000-0000-0000BA490000}"/>
    <cellStyle name="Normal 224 3 5" xfId="18875" xr:uid="{00000000-0005-0000-0000-0000BB490000}"/>
    <cellStyle name="Normal 224 4" xfId="18876" xr:uid="{00000000-0005-0000-0000-0000BC490000}"/>
    <cellStyle name="Normal 224 4 2" xfId="18877" xr:uid="{00000000-0005-0000-0000-0000BD490000}"/>
    <cellStyle name="Normal 224 4 2 2" xfId="18878" xr:uid="{00000000-0005-0000-0000-0000BE490000}"/>
    <cellStyle name="Normal 224 4 2 2 2" xfId="18879" xr:uid="{00000000-0005-0000-0000-0000BF490000}"/>
    <cellStyle name="Normal 224 4 2 3" xfId="18880" xr:uid="{00000000-0005-0000-0000-0000C0490000}"/>
    <cellStyle name="Normal 224 4 2 3 2" xfId="18881" xr:uid="{00000000-0005-0000-0000-0000C1490000}"/>
    <cellStyle name="Normal 224 4 2 3 2 2" xfId="18882" xr:uid="{00000000-0005-0000-0000-0000C2490000}"/>
    <cellStyle name="Normal 224 4 2 3 3" xfId="18883" xr:uid="{00000000-0005-0000-0000-0000C3490000}"/>
    <cellStyle name="Normal 224 4 2 4" xfId="18884" xr:uid="{00000000-0005-0000-0000-0000C4490000}"/>
    <cellStyle name="Normal 224 4 3" xfId="18885" xr:uid="{00000000-0005-0000-0000-0000C5490000}"/>
    <cellStyle name="Normal 224 4 3 2" xfId="18886" xr:uid="{00000000-0005-0000-0000-0000C6490000}"/>
    <cellStyle name="Normal 224 4 3 2 2" xfId="18887" xr:uid="{00000000-0005-0000-0000-0000C7490000}"/>
    <cellStyle name="Normal 224 4 3 3" xfId="18888" xr:uid="{00000000-0005-0000-0000-0000C8490000}"/>
    <cellStyle name="Normal 224 4 4" xfId="18889" xr:uid="{00000000-0005-0000-0000-0000C9490000}"/>
    <cellStyle name="Normal 224 4 4 2" xfId="18890" xr:uid="{00000000-0005-0000-0000-0000CA490000}"/>
    <cellStyle name="Normal 224 4 4 2 2" xfId="18891" xr:uid="{00000000-0005-0000-0000-0000CB490000}"/>
    <cellStyle name="Normal 224 4 4 3" xfId="18892" xr:uid="{00000000-0005-0000-0000-0000CC490000}"/>
    <cellStyle name="Normal 224 4 5" xfId="18893" xr:uid="{00000000-0005-0000-0000-0000CD490000}"/>
    <cellStyle name="Normal 224 4 5 2" xfId="18894" xr:uid="{00000000-0005-0000-0000-0000CE490000}"/>
    <cellStyle name="Normal 224 4 5 2 2" xfId="18895" xr:uid="{00000000-0005-0000-0000-0000CF490000}"/>
    <cellStyle name="Normal 224 4 5 3" xfId="18896" xr:uid="{00000000-0005-0000-0000-0000D0490000}"/>
    <cellStyle name="Normal 224 4 6" xfId="18897" xr:uid="{00000000-0005-0000-0000-0000D1490000}"/>
    <cellStyle name="Normal 224 5" xfId="18898" xr:uid="{00000000-0005-0000-0000-0000D2490000}"/>
    <cellStyle name="Normal 224 5 2" xfId="18899" xr:uid="{00000000-0005-0000-0000-0000D3490000}"/>
    <cellStyle name="Normal 224 5 2 2" xfId="18900" xr:uid="{00000000-0005-0000-0000-0000D4490000}"/>
    <cellStyle name="Normal 224 5 3" xfId="18901" xr:uid="{00000000-0005-0000-0000-0000D5490000}"/>
    <cellStyle name="Normal 224 6" xfId="18902" xr:uid="{00000000-0005-0000-0000-0000D6490000}"/>
    <cellStyle name="Normal 224 6 2" xfId="18903" xr:uid="{00000000-0005-0000-0000-0000D7490000}"/>
    <cellStyle name="Normal 224 6 2 2" xfId="18904" xr:uid="{00000000-0005-0000-0000-0000D8490000}"/>
    <cellStyle name="Normal 224 6 3" xfId="18905" xr:uid="{00000000-0005-0000-0000-0000D9490000}"/>
    <cellStyle name="Normal 224 7" xfId="18906" xr:uid="{00000000-0005-0000-0000-0000DA490000}"/>
    <cellStyle name="Normal 224 7 2" xfId="18907" xr:uid="{00000000-0005-0000-0000-0000DB490000}"/>
    <cellStyle name="Normal 224 7 2 2" xfId="18908" xr:uid="{00000000-0005-0000-0000-0000DC490000}"/>
    <cellStyle name="Normal 224 7 3" xfId="18909" xr:uid="{00000000-0005-0000-0000-0000DD490000}"/>
    <cellStyle name="Normal 224 8" xfId="18910" xr:uid="{00000000-0005-0000-0000-0000DE490000}"/>
    <cellStyle name="Normal 225" xfId="18911" xr:uid="{00000000-0005-0000-0000-0000DF490000}"/>
    <cellStyle name="Normal 225 2" xfId="18912" xr:uid="{00000000-0005-0000-0000-0000E0490000}"/>
    <cellStyle name="Normal 225 2 2" xfId="18913" xr:uid="{00000000-0005-0000-0000-0000E1490000}"/>
    <cellStyle name="Normal 225 2 2 2" xfId="18914" xr:uid="{00000000-0005-0000-0000-0000E2490000}"/>
    <cellStyle name="Normal 225 2 2 2 2" xfId="18915" xr:uid="{00000000-0005-0000-0000-0000E3490000}"/>
    <cellStyle name="Normal 225 2 2 3" xfId="18916" xr:uid="{00000000-0005-0000-0000-0000E4490000}"/>
    <cellStyle name="Normal 225 2 2 3 2" xfId="18917" xr:uid="{00000000-0005-0000-0000-0000E5490000}"/>
    <cellStyle name="Normal 225 2 2 3 2 2" xfId="18918" xr:uid="{00000000-0005-0000-0000-0000E6490000}"/>
    <cellStyle name="Normal 225 2 2 3 3" xfId="18919" xr:uid="{00000000-0005-0000-0000-0000E7490000}"/>
    <cellStyle name="Normal 225 2 2 4" xfId="18920" xr:uid="{00000000-0005-0000-0000-0000E8490000}"/>
    <cellStyle name="Normal 225 2 2 4 2" xfId="18921" xr:uid="{00000000-0005-0000-0000-0000E9490000}"/>
    <cellStyle name="Normal 225 2 2 4 2 2" xfId="18922" xr:uid="{00000000-0005-0000-0000-0000EA490000}"/>
    <cellStyle name="Normal 225 2 2 4 3" xfId="18923" xr:uid="{00000000-0005-0000-0000-0000EB490000}"/>
    <cellStyle name="Normal 225 2 2 5" xfId="18924" xr:uid="{00000000-0005-0000-0000-0000EC490000}"/>
    <cellStyle name="Normal 225 2 3" xfId="18925" xr:uid="{00000000-0005-0000-0000-0000ED490000}"/>
    <cellStyle name="Normal 225 2 3 2" xfId="18926" xr:uid="{00000000-0005-0000-0000-0000EE490000}"/>
    <cellStyle name="Normal 225 2 3 2 2" xfId="18927" xr:uid="{00000000-0005-0000-0000-0000EF490000}"/>
    <cellStyle name="Normal 225 2 3 2 2 2" xfId="18928" xr:uid="{00000000-0005-0000-0000-0000F0490000}"/>
    <cellStyle name="Normal 225 2 3 2 3" xfId="18929" xr:uid="{00000000-0005-0000-0000-0000F1490000}"/>
    <cellStyle name="Normal 225 2 3 2 3 2" xfId="18930" xr:uid="{00000000-0005-0000-0000-0000F2490000}"/>
    <cellStyle name="Normal 225 2 3 2 3 2 2" xfId="18931" xr:uid="{00000000-0005-0000-0000-0000F3490000}"/>
    <cellStyle name="Normal 225 2 3 2 3 3" xfId="18932" xr:uid="{00000000-0005-0000-0000-0000F4490000}"/>
    <cellStyle name="Normal 225 2 3 2 4" xfId="18933" xr:uid="{00000000-0005-0000-0000-0000F5490000}"/>
    <cellStyle name="Normal 225 2 3 3" xfId="18934" xr:uid="{00000000-0005-0000-0000-0000F6490000}"/>
    <cellStyle name="Normal 225 2 3 3 2" xfId="18935" xr:uid="{00000000-0005-0000-0000-0000F7490000}"/>
    <cellStyle name="Normal 225 2 3 3 2 2" xfId="18936" xr:uid="{00000000-0005-0000-0000-0000F8490000}"/>
    <cellStyle name="Normal 225 2 3 3 3" xfId="18937" xr:uid="{00000000-0005-0000-0000-0000F9490000}"/>
    <cellStyle name="Normal 225 2 3 4" xfId="18938" xr:uid="{00000000-0005-0000-0000-0000FA490000}"/>
    <cellStyle name="Normal 225 2 3 4 2" xfId="18939" xr:uid="{00000000-0005-0000-0000-0000FB490000}"/>
    <cellStyle name="Normal 225 2 3 4 2 2" xfId="18940" xr:uid="{00000000-0005-0000-0000-0000FC490000}"/>
    <cellStyle name="Normal 225 2 3 4 3" xfId="18941" xr:uid="{00000000-0005-0000-0000-0000FD490000}"/>
    <cellStyle name="Normal 225 2 3 5" xfId="18942" xr:uid="{00000000-0005-0000-0000-0000FE490000}"/>
    <cellStyle name="Normal 225 2 3 5 2" xfId="18943" xr:uid="{00000000-0005-0000-0000-0000FF490000}"/>
    <cellStyle name="Normal 225 2 3 5 2 2" xfId="18944" xr:uid="{00000000-0005-0000-0000-0000004A0000}"/>
    <cellStyle name="Normal 225 2 3 5 3" xfId="18945" xr:uid="{00000000-0005-0000-0000-0000014A0000}"/>
    <cellStyle name="Normal 225 2 3 6" xfId="18946" xr:uid="{00000000-0005-0000-0000-0000024A0000}"/>
    <cellStyle name="Normal 225 2 4" xfId="18947" xr:uid="{00000000-0005-0000-0000-0000034A0000}"/>
    <cellStyle name="Normal 225 2 4 2" xfId="18948" xr:uid="{00000000-0005-0000-0000-0000044A0000}"/>
    <cellStyle name="Normal 225 2 4 2 2" xfId="18949" xr:uid="{00000000-0005-0000-0000-0000054A0000}"/>
    <cellStyle name="Normal 225 2 4 3" xfId="18950" xr:uid="{00000000-0005-0000-0000-0000064A0000}"/>
    <cellStyle name="Normal 225 2 5" xfId="18951" xr:uid="{00000000-0005-0000-0000-0000074A0000}"/>
    <cellStyle name="Normal 225 2 5 2" xfId="18952" xr:uid="{00000000-0005-0000-0000-0000084A0000}"/>
    <cellStyle name="Normal 225 2 5 2 2" xfId="18953" xr:uid="{00000000-0005-0000-0000-0000094A0000}"/>
    <cellStyle name="Normal 225 2 5 3" xfId="18954" xr:uid="{00000000-0005-0000-0000-00000A4A0000}"/>
    <cellStyle name="Normal 225 2 6" xfId="18955" xr:uid="{00000000-0005-0000-0000-00000B4A0000}"/>
    <cellStyle name="Normal 225 2 6 2" xfId="18956" xr:uid="{00000000-0005-0000-0000-00000C4A0000}"/>
    <cellStyle name="Normal 225 2 6 2 2" xfId="18957" xr:uid="{00000000-0005-0000-0000-00000D4A0000}"/>
    <cellStyle name="Normal 225 2 6 3" xfId="18958" xr:uid="{00000000-0005-0000-0000-00000E4A0000}"/>
    <cellStyle name="Normal 225 2 7" xfId="18959" xr:uid="{00000000-0005-0000-0000-00000F4A0000}"/>
    <cellStyle name="Normal 225 3" xfId="18960" xr:uid="{00000000-0005-0000-0000-0000104A0000}"/>
    <cellStyle name="Normal 225 3 2" xfId="18961" xr:uid="{00000000-0005-0000-0000-0000114A0000}"/>
    <cellStyle name="Normal 225 3 2 2" xfId="18962" xr:uid="{00000000-0005-0000-0000-0000124A0000}"/>
    <cellStyle name="Normal 225 3 3" xfId="18963" xr:uid="{00000000-0005-0000-0000-0000134A0000}"/>
    <cellStyle name="Normal 225 3 3 2" xfId="18964" xr:uid="{00000000-0005-0000-0000-0000144A0000}"/>
    <cellStyle name="Normal 225 3 3 2 2" xfId="18965" xr:uid="{00000000-0005-0000-0000-0000154A0000}"/>
    <cellStyle name="Normal 225 3 3 3" xfId="18966" xr:uid="{00000000-0005-0000-0000-0000164A0000}"/>
    <cellStyle name="Normal 225 3 4" xfId="18967" xr:uid="{00000000-0005-0000-0000-0000174A0000}"/>
    <cellStyle name="Normal 225 3 4 2" xfId="18968" xr:uid="{00000000-0005-0000-0000-0000184A0000}"/>
    <cellStyle name="Normal 225 3 4 2 2" xfId="18969" xr:uid="{00000000-0005-0000-0000-0000194A0000}"/>
    <cellStyle name="Normal 225 3 4 3" xfId="18970" xr:uid="{00000000-0005-0000-0000-00001A4A0000}"/>
    <cellStyle name="Normal 225 3 5" xfId="18971" xr:uid="{00000000-0005-0000-0000-00001B4A0000}"/>
    <cellStyle name="Normal 225 4" xfId="18972" xr:uid="{00000000-0005-0000-0000-00001C4A0000}"/>
    <cellStyle name="Normal 225 4 2" xfId="18973" xr:uid="{00000000-0005-0000-0000-00001D4A0000}"/>
    <cellStyle name="Normal 225 4 2 2" xfId="18974" xr:uid="{00000000-0005-0000-0000-00001E4A0000}"/>
    <cellStyle name="Normal 225 4 2 2 2" xfId="18975" xr:uid="{00000000-0005-0000-0000-00001F4A0000}"/>
    <cellStyle name="Normal 225 4 2 3" xfId="18976" xr:uid="{00000000-0005-0000-0000-0000204A0000}"/>
    <cellStyle name="Normal 225 4 2 3 2" xfId="18977" xr:uid="{00000000-0005-0000-0000-0000214A0000}"/>
    <cellStyle name="Normal 225 4 2 3 2 2" xfId="18978" xr:uid="{00000000-0005-0000-0000-0000224A0000}"/>
    <cellStyle name="Normal 225 4 2 3 3" xfId="18979" xr:uid="{00000000-0005-0000-0000-0000234A0000}"/>
    <cellStyle name="Normal 225 4 2 4" xfId="18980" xr:uid="{00000000-0005-0000-0000-0000244A0000}"/>
    <cellStyle name="Normal 225 4 3" xfId="18981" xr:uid="{00000000-0005-0000-0000-0000254A0000}"/>
    <cellStyle name="Normal 225 4 3 2" xfId="18982" xr:uid="{00000000-0005-0000-0000-0000264A0000}"/>
    <cellStyle name="Normal 225 4 3 2 2" xfId="18983" xr:uid="{00000000-0005-0000-0000-0000274A0000}"/>
    <cellStyle name="Normal 225 4 3 3" xfId="18984" xr:uid="{00000000-0005-0000-0000-0000284A0000}"/>
    <cellStyle name="Normal 225 4 4" xfId="18985" xr:uid="{00000000-0005-0000-0000-0000294A0000}"/>
    <cellStyle name="Normal 225 4 4 2" xfId="18986" xr:uid="{00000000-0005-0000-0000-00002A4A0000}"/>
    <cellStyle name="Normal 225 4 4 2 2" xfId="18987" xr:uid="{00000000-0005-0000-0000-00002B4A0000}"/>
    <cellStyle name="Normal 225 4 4 3" xfId="18988" xr:uid="{00000000-0005-0000-0000-00002C4A0000}"/>
    <cellStyle name="Normal 225 4 5" xfId="18989" xr:uid="{00000000-0005-0000-0000-00002D4A0000}"/>
    <cellStyle name="Normal 225 4 5 2" xfId="18990" xr:uid="{00000000-0005-0000-0000-00002E4A0000}"/>
    <cellStyle name="Normal 225 4 5 2 2" xfId="18991" xr:uid="{00000000-0005-0000-0000-00002F4A0000}"/>
    <cellStyle name="Normal 225 4 5 3" xfId="18992" xr:uid="{00000000-0005-0000-0000-0000304A0000}"/>
    <cellStyle name="Normal 225 4 6" xfId="18993" xr:uid="{00000000-0005-0000-0000-0000314A0000}"/>
    <cellStyle name="Normal 225 5" xfId="18994" xr:uid="{00000000-0005-0000-0000-0000324A0000}"/>
    <cellStyle name="Normal 225 5 2" xfId="18995" xr:uid="{00000000-0005-0000-0000-0000334A0000}"/>
    <cellStyle name="Normal 225 5 2 2" xfId="18996" xr:uid="{00000000-0005-0000-0000-0000344A0000}"/>
    <cellStyle name="Normal 225 5 3" xfId="18997" xr:uid="{00000000-0005-0000-0000-0000354A0000}"/>
    <cellStyle name="Normal 225 6" xfId="18998" xr:uid="{00000000-0005-0000-0000-0000364A0000}"/>
    <cellStyle name="Normal 225 6 2" xfId="18999" xr:uid="{00000000-0005-0000-0000-0000374A0000}"/>
    <cellStyle name="Normal 225 6 2 2" xfId="19000" xr:uid="{00000000-0005-0000-0000-0000384A0000}"/>
    <cellStyle name="Normal 225 6 3" xfId="19001" xr:uid="{00000000-0005-0000-0000-0000394A0000}"/>
    <cellStyle name="Normal 225 7" xfId="19002" xr:uid="{00000000-0005-0000-0000-00003A4A0000}"/>
    <cellStyle name="Normal 225 7 2" xfId="19003" xr:uid="{00000000-0005-0000-0000-00003B4A0000}"/>
    <cellStyle name="Normal 225 7 2 2" xfId="19004" xr:uid="{00000000-0005-0000-0000-00003C4A0000}"/>
    <cellStyle name="Normal 225 7 3" xfId="19005" xr:uid="{00000000-0005-0000-0000-00003D4A0000}"/>
    <cellStyle name="Normal 225 8" xfId="19006" xr:uid="{00000000-0005-0000-0000-00003E4A0000}"/>
    <cellStyle name="Normal 226" xfId="19007" xr:uid="{00000000-0005-0000-0000-00003F4A0000}"/>
    <cellStyle name="Normal 226 2" xfId="19008" xr:uid="{00000000-0005-0000-0000-0000404A0000}"/>
    <cellStyle name="Normal 226 2 2" xfId="19009" xr:uid="{00000000-0005-0000-0000-0000414A0000}"/>
    <cellStyle name="Normal 226 2 2 2" xfId="19010" xr:uid="{00000000-0005-0000-0000-0000424A0000}"/>
    <cellStyle name="Normal 226 2 2 2 2" xfId="19011" xr:uid="{00000000-0005-0000-0000-0000434A0000}"/>
    <cellStyle name="Normal 226 2 2 3" xfId="19012" xr:uid="{00000000-0005-0000-0000-0000444A0000}"/>
    <cellStyle name="Normal 226 2 2 3 2" xfId="19013" xr:uid="{00000000-0005-0000-0000-0000454A0000}"/>
    <cellStyle name="Normal 226 2 2 3 2 2" xfId="19014" xr:uid="{00000000-0005-0000-0000-0000464A0000}"/>
    <cellStyle name="Normal 226 2 2 3 3" xfId="19015" xr:uid="{00000000-0005-0000-0000-0000474A0000}"/>
    <cellStyle name="Normal 226 2 2 4" xfId="19016" xr:uid="{00000000-0005-0000-0000-0000484A0000}"/>
    <cellStyle name="Normal 226 2 2 4 2" xfId="19017" xr:uid="{00000000-0005-0000-0000-0000494A0000}"/>
    <cellStyle name="Normal 226 2 2 4 2 2" xfId="19018" xr:uid="{00000000-0005-0000-0000-00004A4A0000}"/>
    <cellStyle name="Normal 226 2 2 4 3" xfId="19019" xr:uid="{00000000-0005-0000-0000-00004B4A0000}"/>
    <cellStyle name="Normal 226 2 2 5" xfId="19020" xr:uid="{00000000-0005-0000-0000-00004C4A0000}"/>
    <cellStyle name="Normal 226 2 3" xfId="19021" xr:uid="{00000000-0005-0000-0000-00004D4A0000}"/>
    <cellStyle name="Normal 226 2 3 2" xfId="19022" xr:uid="{00000000-0005-0000-0000-00004E4A0000}"/>
    <cellStyle name="Normal 226 2 3 2 2" xfId="19023" xr:uid="{00000000-0005-0000-0000-00004F4A0000}"/>
    <cellStyle name="Normal 226 2 3 2 2 2" xfId="19024" xr:uid="{00000000-0005-0000-0000-0000504A0000}"/>
    <cellStyle name="Normal 226 2 3 2 3" xfId="19025" xr:uid="{00000000-0005-0000-0000-0000514A0000}"/>
    <cellStyle name="Normal 226 2 3 2 3 2" xfId="19026" xr:uid="{00000000-0005-0000-0000-0000524A0000}"/>
    <cellStyle name="Normal 226 2 3 2 3 2 2" xfId="19027" xr:uid="{00000000-0005-0000-0000-0000534A0000}"/>
    <cellStyle name="Normal 226 2 3 2 3 3" xfId="19028" xr:uid="{00000000-0005-0000-0000-0000544A0000}"/>
    <cellStyle name="Normal 226 2 3 2 4" xfId="19029" xr:uid="{00000000-0005-0000-0000-0000554A0000}"/>
    <cellStyle name="Normal 226 2 3 3" xfId="19030" xr:uid="{00000000-0005-0000-0000-0000564A0000}"/>
    <cellStyle name="Normal 226 2 3 3 2" xfId="19031" xr:uid="{00000000-0005-0000-0000-0000574A0000}"/>
    <cellStyle name="Normal 226 2 3 3 2 2" xfId="19032" xr:uid="{00000000-0005-0000-0000-0000584A0000}"/>
    <cellStyle name="Normal 226 2 3 3 3" xfId="19033" xr:uid="{00000000-0005-0000-0000-0000594A0000}"/>
    <cellStyle name="Normal 226 2 3 4" xfId="19034" xr:uid="{00000000-0005-0000-0000-00005A4A0000}"/>
    <cellStyle name="Normal 226 2 3 4 2" xfId="19035" xr:uid="{00000000-0005-0000-0000-00005B4A0000}"/>
    <cellStyle name="Normal 226 2 3 4 2 2" xfId="19036" xr:uid="{00000000-0005-0000-0000-00005C4A0000}"/>
    <cellStyle name="Normal 226 2 3 4 3" xfId="19037" xr:uid="{00000000-0005-0000-0000-00005D4A0000}"/>
    <cellStyle name="Normal 226 2 3 5" xfId="19038" xr:uid="{00000000-0005-0000-0000-00005E4A0000}"/>
    <cellStyle name="Normal 226 2 3 5 2" xfId="19039" xr:uid="{00000000-0005-0000-0000-00005F4A0000}"/>
    <cellStyle name="Normal 226 2 3 5 2 2" xfId="19040" xr:uid="{00000000-0005-0000-0000-0000604A0000}"/>
    <cellStyle name="Normal 226 2 3 5 3" xfId="19041" xr:uid="{00000000-0005-0000-0000-0000614A0000}"/>
    <cellStyle name="Normal 226 2 3 6" xfId="19042" xr:uid="{00000000-0005-0000-0000-0000624A0000}"/>
    <cellStyle name="Normal 226 2 4" xfId="19043" xr:uid="{00000000-0005-0000-0000-0000634A0000}"/>
    <cellStyle name="Normal 226 2 4 2" xfId="19044" xr:uid="{00000000-0005-0000-0000-0000644A0000}"/>
    <cellStyle name="Normal 226 2 4 2 2" xfId="19045" xr:uid="{00000000-0005-0000-0000-0000654A0000}"/>
    <cellStyle name="Normal 226 2 4 3" xfId="19046" xr:uid="{00000000-0005-0000-0000-0000664A0000}"/>
    <cellStyle name="Normal 226 2 5" xfId="19047" xr:uid="{00000000-0005-0000-0000-0000674A0000}"/>
    <cellStyle name="Normal 226 2 5 2" xfId="19048" xr:uid="{00000000-0005-0000-0000-0000684A0000}"/>
    <cellStyle name="Normal 226 2 5 2 2" xfId="19049" xr:uid="{00000000-0005-0000-0000-0000694A0000}"/>
    <cellStyle name="Normal 226 2 5 3" xfId="19050" xr:uid="{00000000-0005-0000-0000-00006A4A0000}"/>
    <cellStyle name="Normal 226 2 6" xfId="19051" xr:uid="{00000000-0005-0000-0000-00006B4A0000}"/>
    <cellStyle name="Normal 226 2 6 2" xfId="19052" xr:uid="{00000000-0005-0000-0000-00006C4A0000}"/>
    <cellStyle name="Normal 226 2 6 2 2" xfId="19053" xr:uid="{00000000-0005-0000-0000-00006D4A0000}"/>
    <cellStyle name="Normal 226 2 6 3" xfId="19054" xr:uid="{00000000-0005-0000-0000-00006E4A0000}"/>
    <cellStyle name="Normal 226 2 7" xfId="19055" xr:uid="{00000000-0005-0000-0000-00006F4A0000}"/>
    <cellStyle name="Normal 226 3" xfId="19056" xr:uid="{00000000-0005-0000-0000-0000704A0000}"/>
    <cellStyle name="Normal 226 3 2" xfId="19057" xr:uid="{00000000-0005-0000-0000-0000714A0000}"/>
    <cellStyle name="Normal 226 3 2 2" xfId="19058" xr:uid="{00000000-0005-0000-0000-0000724A0000}"/>
    <cellStyle name="Normal 226 3 3" xfId="19059" xr:uid="{00000000-0005-0000-0000-0000734A0000}"/>
    <cellStyle name="Normal 226 3 3 2" xfId="19060" xr:uid="{00000000-0005-0000-0000-0000744A0000}"/>
    <cellStyle name="Normal 226 3 3 2 2" xfId="19061" xr:uid="{00000000-0005-0000-0000-0000754A0000}"/>
    <cellStyle name="Normal 226 3 3 3" xfId="19062" xr:uid="{00000000-0005-0000-0000-0000764A0000}"/>
    <cellStyle name="Normal 226 3 4" xfId="19063" xr:uid="{00000000-0005-0000-0000-0000774A0000}"/>
    <cellStyle name="Normal 226 3 4 2" xfId="19064" xr:uid="{00000000-0005-0000-0000-0000784A0000}"/>
    <cellStyle name="Normal 226 3 4 2 2" xfId="19065" xr:uid="{00000000-0005-0000-0000-0000794A0000}"/>
    <cellStyle name="Normal 226 3 4 3" xfId="19066" xr:uid="{00000000-0005-0000-0000-00007A4A0000}"/>
    <cellStyle name="Normal 226 3 5" xfId="19067" xr:uid="{00000000-0005-0000-0000-00007B4A0000}"/>
    <cellStyle name="Normal 226 4" xfId="19068" xr:uid="{00000000-0005-0000-0000-00007C4A0000}"/>
    <cellStyle name="Normal 226 4 2" xfId="19069" xr:uid="{00000000-0005-0000-0000-00007D4A0000}"/>
    <cellStyle name="Normal 226 4 2 2" xfId="19070" xr:uid="{00000000-0005-0000-0000-00007E4A0000}"/>
    <cellStyle name="Normal 226 4 2 2 2" xfId="19071" xr:uid="{00000000-0005-0000-0000-00007F4A0000}"/>
    <cellStyle name="Normal 226 4 2 3" xfId="19072" xr:uid="{00000000-0005-0000-0000-0000804A0000}"/>
    <cellStyle name="Normal 226 4 2 3 2" xfId="19073" xr:uid="{00000000-0005-0000-0000-0000814A0000}"/>
    <cellStyle name="Normal 226 4 2 3 2 2" xfId="19074" xr:uid="{00000000-0005-0000-0000-0000824A0000}"/>
    <cellStyle name="Normal 226 4 2 3 3" xfId="19075" xr:uid="{00000000-0005-0000-0000-0000834A0000}"/>
    <cellStyle name="Normal 226 4 2 4" xfId="19076" xr:uid="{00000000-0005-0000-0000-0000844A0000}"/>
    <cellStyle name="Normal 226 4 3" xfId="19077" xr:uid="{00000000-0005-0000-0000-0000854A0000}"/>
    <cellStyle name="Normal 226 4 3 2" xfId="19078" xr:uid="{00000000-0005-0000-0000-0000864A0000}"/>
    <cellStyle name="Normal 226 4 3 2 2" xfId="19079" xr:uid="{00000000-0005-0000-0000-0000874A0000}"/>
    <cellStyle name="Normal 226 4 3 3" xfId="19080" xr:uid="{00000000-0005-0000-0000-0000884A0000}"/>
    <cellStyle name="Normal 226 4 4" xfId="19081" xr:uid="{00000000-0005-0000-0000-0000894A0000}"/>
    <cellStyle name="Normal 226 4 4 2" xfId="19082" xr:uid="{00000000-0005-0000-0000-00008A4A0000}"/>
    <cellStyle name="Normal 226 4 4 2 2" xfId="19083" xr:uid="{00000000-0005-0000-0000-00008B4A0000}"/>
    <cellStyle name="Normal 226 4 4 3" xfId="19084" xr:uid="{00000000-0005-0000-0000-00008C4A0000}"/>
    <cellStyle name="Normal 226 4 5" xfId="19085" xr:uid="{00000000-0005-0000-0000-00008D4A0000}"/>
    <cellStyle name="Normal 226 4 5 2" xfId="19086" xr:uid="{00000000-0005-0000-0000-00008E4A0000}"/>
    <cellStyle name="Normal 226 4 5 2 2" xfId="19087" xr:uid="{00000000-0005-0000-0000-00008F4A0000}"/>
    <cellStyle name="Normal 226 4 5 3" xfId="19088" xr:uid="{00000000-0005-0000-0000-0000904A0000}"/>
    <cellStyle name="Normal 226 4 6" xfId="19089" xr:uid="{00000000-0005-0000-0000-0000914A0000}"/>
    <cellStyle name="Normal 226 5" xfId="19090" xr:uid="{00000000-0005-0000-0000-0000924A0000}"/>
    <cellStyle name="Normal 226 5 2" xfId="19091" xr:uid="{00000000-0005-0000-0000-0000934A0000}"/>
    <cellStyle name="Normal 226 5 2 2" xfId="19092" xr:uid="{00000000-0005-0000-0000-0000944A0000}"/>
    <cellStyle name="Normal 226 5 3" xfId="19093" xr:uid="{00000000-0005-0000-0000-0000954A0000}"/>
    <cellStyle name="Normal 226 6" xfId="19094" xr:uid="{00000000-0005-0000-0000-0000964A0000}"/>
    <cellStyle name="Normal 226 6 2" xfId="19095" xr:uid="{00000000-0005-0000-0000-0000974A0000}"/>
    <cellStyle name="Normal 226 6 2 2" xfId="19096" xr:uid="{00000000-0005-0000-0000-0000984A0000}"/>
    <cellStyle name="Normal 226 6 3" xfId="19097" xr:uid="{00000000-0005-0000-0000-0000994A0000}"/>
    <cellStyle name="Normal 226 7" xfId="19098" xr:uid="{00000000-0005-0000-0000-00009A4A0000}"/>
    <cellStyle name="Normal 226 7 2" xfId="19099" xr:uid="{00000000-0005-0000-0000-00009B4A0000}"/>
    <cellStyle name="Normal 226 7 2 2" xfId="19100" xr:uid="{00000000-0005-0000-0000-00009C4A0000}"/>
    <cellStyle name="Normal 226 7 3" xfId="19101" xr:uid="{00000000-0005-0000-0000-00009D4A0000}"/>
    <cellStyle name="Normal 226 8" xfId="19102" xr:uid="{00000000-0005-0000-0000-00009E4A0000}"/>
    <cellStyle name="Normal 227" xfId="19103" xr:uid="{00000000-0005-0000-0000-00009F4A0000}"/>
    <cellStyle name="Normal 227 2" xfId="19104" xr:uid="{00000000-0005-0000-0000-0000A04A0000}"/>
    <cellStyle name="Normal 227 2 2" xfId="19105" xr:uid="{00000000-0005-0000-0000-0000A14A0000}"/>
    <cellStyle name="Normal 227 2 2 2" xfId="19106" xr:uid="{00000000-0005-0000-0000-0000A24A0000}"/>
    <cellStyle name="Normal 227 2 2 2 2" xfId="19107" xr:uid="{00000000-0005-0000-0000-0000A34A0000}"/>
    <cellStyle name="Normal 227 2 2 3" xfId="19108" xr:uid="{00000000-0005-0000-0000-0000A44A0000}"/>
    <cellStyle name="Normal 227 2 2 3 2" xfId="19109" xr:uid="{00000000-0005-0000-0000-0000A54A0000}"/>
    <cellStyle name="Normal 227 2 2 3 2 2" xfId="19110" xr:uid="{00000000-0005-0000-0000-0000A64A0000}"/>
    <cellStyle name="Normal 227 2 2 3 3" xfId="19111" xr:uid="{00000000-0005-0000-0000-0000A74A0000}"/>
    <cellStyle name="Normal 227 2 2 4" xfId="19112" xr:uid="{00000000-0005-0000-0000-0000A84A0000}"/>
    <cellStyle name="Normal 227 2 2 4 2" xfId="19113" xr:uid="{00000000-0005-0000-0000-0000A94A0000}"/>
    <cellStyle name="Normal 227 2 2 4 2 2" xfId="19114" xr:uid="{00000000-0005-0000-0000-0000AA4A0000}"/>
    <cellStyle name="Normal 227 2 2 4 3" xfId="19115" xr:uid="{00000000-0005-0000-0000-0000AB4A0000}"/>
    <cellStyle name="Normal 227 2 2 5" xfId="19116" xr:uid="{00000000-0005-0000-0000-0000AC4A0000}"/>
    <cellStyle name="Normal 227 2 3" xfId="19117" xr:uid="{00000000-0005-0000-0000-0000AD4A0000}"/>
    <cellStyle name="Normal 227 2 3 2" xfId="19118" xr:uid="{00000000-0005-0000-0000-0000AE4A0000}"/>
    <cellStyle name="Normal 227 2 3 2 2" xfId="19119" xr:uid="{00000000-0005-0000-0000-0000AF4A0000}"/>
    <cellStyle name="Normal 227 2 3 2 2 2" xfId="19120" xr:uid="{00000000-0005-0000-0000-0000B04A0000}"/>
    <cellStyle name="Normal 227 2 3 2 3" xfId="19121" xr:uid="{00000000-0005-0000-0000-0000B14A0000}"/>
    <cellStyle name="Normal 227 2 3 2 3 2" xfId="19122" xr:uid="{00000000-0005-0000-0000-0000B24A0000}"/>
    <cellStyle name="Normal 227 2 3 2 3 2 2" xfId="19123" xr:uid="{00000000-0005-0000-0000-0000B34A0000}"/>
    <cellStyle name="Normal 227 2 3 2 3 3" xfId="19124" xr:uid="{00000000-0005-0000-0000-0000B44A0000}"/>
    <cellStyle name="Normal 227 2 3 2 4" xfId="19125" xr:uid="{00000000-0005-0000-0000-0000B54A0000}"/>
    <cellStyle name="Normal 227 2 3 3" xfId="19126" xr:uid="{00000000-0005-0000-0000-0000B64A0000}"/>
    <cellStyle name="Normal 227 2 3 3 2" xfId="19127" xr:uid="{00000000-0005-0000-0000-0000B74A0000}"/>
    <cellStyle name="Normal 227 2 3 3 2 2" xfId="19128" xr:uid="{00000000-0005-0000-0000-0000B84A0000}"/>
    <cellStyle name="Normal 227 2 3 3 3" xfId="19129" xr:uid="{00000000-0005-0000-0000-0000B94A0000}"/>
    <cellStyle name="Normal 227 2 3 4" xfId="19130" xr:uid="{00000000-0005-0000-0000-0000BA4A0000}"/>
    <cellStyle name="Normal 227 2 3 4 2" xfId="19131" xr:uid="{00000000-0005-0000-0000-0000BB4A0000}"/>
    <cellStyle name="Normal 227 2 3 4 2 2" xfId="19132" xr:uid="{00000000-0005-0000-0000-0000BC4A0000}"/>
    <cellStyle name="Normal 227 2 3 4 3" xfId="19133" xr:uid="{00000000-0005-0000-0000-0000BD4A0000}"/>
    <cellStyle name="Normal 227 2 3 5" xfId="19134" xr:uid="{00000000-0005-0000-0000-0000BE4A0000}"/>
    <cellStyle name="Normal 227 2 3 5 2" xfId="19135" xr:uid="{00000000-0005-0000-0000-0000BF4A0000}"/>
    <cellStyle name="Normal 227 2 3 5 2 2" xfId="19136" xr:uid="{00000000-0005-0000-0000-0000C04A0000}"/>
    <cellStyle name="Normal 227 2 3 5 3" xfId="19137" xr:uid="{00000000-0005-0000-0000-0000C14A0000}"/>
    <cellStyle name="Normal 227 2 3 6" xfId="19138" xr:uid="{00000000-0005-0000-0000-0000C24A0000}"/>
    <cellStyle name="Normal 227 2 4" xfId="19139" xr:uid="{00000000-0005-0000-0000-0000C34A0000}"/>
    <cellStyle name="Normal 227 2 4 2" xfId="19140" xr:uid="{00000000-0005-0000-0000-0000C44A0000}"/>
    <cellStyle name="Normal 227 2 4 2 2" xfId="19141" xr:uid="{00000000-0005-0000-0000-0000C54A0000}"/>
    <cellStyle name="Normal 227 2 4 3" xfId="19142" xr:uid="{00000000-0005-0000-0000-0000C64A0000}"/>
    <cellStyle name="Normal 227 2 5" xfId="19143" xr:uid="{00000000-0005-0000-0000-0000C74A0000}"/>
    <cellStyle name="Normal 227 2 5 2" xfId="19144" xr:uid="{00000000-0005-0000-0000-0000C84A0000}"/>
    <cellStyle name="Normal 227 2 5 2 2" xfId="19145" xr:uid="{00000000-0005-0000-0000-0000C94A0000}"/>
    <cellStyle name="Normal 227 2 5 3" xfId="19146" xr:uid="{00000000-0005-0000-0000-0000CA4A0000}"/>
    <cellStyle name="Normal 227 2 6" xfId="19147" xr:uid="{00000000-0005-0000-0000-0000CB4A0000}"/>
    <cellStyle name="Normal 227 2 6 2" xfId="19148" xr:uid="{00000000-0005-0000-0000-0000CC4A0000}"/>
    <cellStyle name="Normal 227 2 6 2 2" xfId="19149" xr:uid="{00000000-0005-0000-0000-0000CD4A0000}"/>
    <cellStyle name="Normal 227 2 6 3" xfId="19150" xr:uid="{00000000-0005-0000-0000-0000CE4A0000}"/>
    <cellStyle name="Normal 227 2 7" xfId="19151" xr:uid="{00000000-0005-0000-0000-0000CF4A0000}"/>
    <cellStyle name="Normal 227 3" xfId="19152" xr:uid="{00000000-0005-0000-0000-0000D04A0000}"/>
    <cellStyle name="Normal 227 3 2" xfId="19153" xr:uid="{00000000-0005-0000-0000-0000D14A0000}"/>
    <cellStyle name="Normal 227 3 2 2" xfId="19154" xr:uid="{00000000-0005-0000-0000-0000D24A0000}"/>
    <cellStyle name="Normal 227 3 3" xfId="19155" xr:uid="{00000000-0005-0000-0000-0000D34A0000}"/>
    <cellStyle name="Normal 227 3 3 2" xfId="19156" xr:uid="{00000000-0005-0000-0000-0000D44A0000}"/>
    <cellStyle name="Normal 227 3 3 2 2" xfId="19157" xr:uid="{00000000-0005-0000-0000-0000D54A0000}"/>
    <cellStyle name="Normal 227 3 3 3" xfId="19158" xr:uid="{00000000-0005-0000-0000-0000D64A0000}"/>
    <cellStyle name="Normal 227 3 4" xfId="19159" xr:uid="{00000000-0005-0000-0000-0000D74A0000}"/>
    <cellStyle name="Normal 227 3 4 2" xfId="19160" xr:uid="{00000000-0005-0000-0000-0000D84A0000}"/>
    <cellStyle name="Normal 227 3 4 2 2" xfId="19161" xr:uid="{00000000-0005-0000-0000-0000D94A0000}"/>
    <cellStyle name="Normal 227 3 4 3" xfId="19162" xr:uid="{00000000-0005-0000-0000-0000DA4A0000}"/>
    <cellStyle name="Normal 227 3 5" xfId="19163" xr:uid="{00000000-0005-0000-0000-0000DB4A0000}"/>
    <cellStyle name="Normal 227 4" xfId="19164" xr:uid="{00000000-0005-0000-0000-0000DC4A0000}"/>
    <cellStyle name="Normal 227 4 2" xfId="19165" xr:uid="{00000000-0005-0000-0000-0000DD4A0000}"/>
    <cellStyle name="Normal 227 4 2 2" xfId="19166" xr:uid="{00000000-0005-0000-0000-0000DE4A0000}"/>
    <cellStyle name="Normal 227 4 2 2 2" xfId="19167" xr:uid="{00000000-0005-0000-0000-0000DF4A0000}"/>
    <cellStyle name="Normal 227 4 2 3" xfId="19168" xr:uid="{00000000-0005-0000-0000-0000E04A0000}"/>
    <cellStyle name="Normal 227 4 2 3 2" xfId="19169" xr:uid="{00000000-0005-0000-0000-0000E14A0000}"/>
    <cellStyle name="Normal 227 4 2 3 2 2" xfId="19170" xr:uid="{00000000-0005-0000-0000-0000E24A0000}"/>
    <cellStyle name="Normal 227 4 2 3 3" xfId="19171" xr:uid="{00000000-0005-0000-0000-0000E34A0000}"/>
    <cellStyle name="Normal 227 4 2 4" xfId="19172" xr:uid="{00000000-0005-0000-0000-0000E44A0000}"/>
    <cellStyle name="Normal 227 4 3" xfId="19173" xr:uid="{00000000-0005-0000-0000-0000E54A0000}"/>
    <cellStyle name="Normal 227 4 3 2" xfId="19174" xr:uid="{00000000-0005-0000-0000-0000E64A0000}"/>
    <cellStyle name="Normal 227 4 3 2 2" xfId="19175" xr:uid="{00000000-0005-0000-0000-0000E74A0000}"/>
    <cellStyle name="Normal 227 4 3 3" xfId="19176" xr:uid="{00000000-0005-0000-0000-0000E84A0000}"/>
    <cellStyle name="Normal 227 4 4" xfId="19177" xr:uid="{00000000-0005-0000-0000-0000E94A0000}"/>
    <cellStyle name="Normal 227 4 4 2" xfId="19178" xr:uid="{00000000-0005-0000-0000-0000EA4A0000}"/>
    <cellStyle name="Normal 227 4 4 2 2" xfId="19179" xr:uid="{00000000-0005-0000-0000-0000EB4A0000}"/>
    <cellStyle name="Normal 227 4 4 3" xfId="19180" xr:uid="{00000000-0005-0000-0000-0000EC4A0000}"/>
    <cellStyle name="Normal 227 4 5" xfId="19181" xr:uid="{00000000-0005-0000-0000-0000ED4A0000}"/>
    <cellStyle name="Normal 227 4 5 2" xfId="19182" xr:uid="{00000000-0005-0000-0000-0000EE4A0000}"/>
    <cellStyle name="Normal 227 4 5 2 2" xfId="19183" xr:uid="{00000000-0005-0000-0000-0000EF4A0000}"/>
    <cellStyle name="Normal 227 4 5 3" xfId="19184" xr:uid="{00000000-0005-0000-0000-0000F04A0000}"/>
    <cellStyle name="Normal 227 4 6" xfId="19185" xr:uid="{00000000-0005-0000-0000-0000F14A0000}"/>
    <cellStyle name="Normal 227 5" xfId="19186" xr:uid="{00000000-0005-0000-0000-0000F24A0000}"/>
    <cellStyle name="Normal 227 5 2" xfId="19187" xr:uid="{00000000-0005-0000-0000-0000F34A0000}"/>
    <cellStyle name="Normal 227 5 2 2" xfId="19188" xr:uid="{00000000-0005-0000-0000-0000F44A0000}"/>
    <cellStyle name="Normal 227 5 3" xfId="19189" xr:uid="{00000000-0005-0000-0000-0000F54A0000}"/>
    <cellStyle name="Normal 227 6" xfId="19190" xr:uid="{00000000-0005-0000-0000-0000F64A0000}"/>
    <cellStyle name="Normal 227 6 2" xfId="19191" xr:uid="{00000000-0005-0000-0000-0000F74A0000}"/>
    <cellStyle name="Normal 227 6 2 2" xfId="19192" xr:uid="{00000000-0005-0000-0000-0000F84A0000}"/>
    <cellStyle name="Normal 227 6 3" xfId="19193" xr:uid="{00000000-0005-0000-0000-0000F94A0000}"/>
    <cellStyle name="Normal 227 7" xfId="19194" xr:uid="{00000000-0005-0000-0000-0000FA4A0000}"/>
    <cellStyle name="Normal 227 7 2" xfId="19195" xr:uid="{00000000-0005-0000-0000-0000FB4A0000}"/>
    <cellStyle name="Normal 227 7 2 2" xfId="19196" xr:uid="{00000000-0005-0000-0000-0000FC4A0000}"/>
    <cellStyle name="Normal 227 7 3" xfId="19197" xr:uid="{00000000-0005-0000-0000-0000FD4A0000}"/>
    <cellStyle name="Normal 227 8" xfId="19198" xr:uid="{00000000-0005-0000-0000-0000FE4A0000}"/>
    <cellStyle name="Normal 228" xfId="19199" xr:uid="{00000000-0005-0000-0000-0000FF4A0000}"/>
    <cellStyle name="Normal 228 2" xfId="19200" xr:uid="{00000000-0005-0000-0000-0000004B0000}"/>
    <cellStyle name="Normal 228 2 2" xfId="19201" xr:uid="{00000000-0005-0000-0000-0000014B0000}"/>
    <cellStyle name="Normal 228 2 2 2" xfId="19202" xr:uid="{00000000-0005-0000-0000-0000024B0000}"/>
    <cellStyle name="Normal 228 2 2 2 2" xfId="19203" xr:uid="{00000000-0005-0000-0000-0000034B0000}"/>
    <cellStyle name="Normal 228 2 2 3" xfId="19204" xr:uid="{00000000-0005-0000-0000-0000044B0000}"/>
    <cellStyle name="Normal 228 2 2 3 2" xfId="19205" xr:uid="{00000000-0005-0000-0000-0000054B0000}"/>
    <cellStyle name="Normal 228 2 2 3 2 2" xfId="19206" xr:uid="{00000000-0005-0000-0000-0000064B0000}"/>
    <cellStyle name="Normal 228 2 2 3 3" xfId="19207" xr:uid="{00000000-0005-0000-0000-0000074B0000}"/>
    <cellStyle name="Normal 228 2 2 4" xfId="19208" xr:uid="{00000000-0005-0000-0000-0000084B0000}"/>
    <cellStyle name="Normal 228 2 2 4 2" xfId="19209" xr:uid="{00000000-0005-0000-0000-0000094B0000}"/>
    <cellStyle name="Normal 228 2 2 4 2 2" xfId="19210" xr:uid="{00000000-0005-0000-0000-00000A4B0000}"/>
    <cellStyle name="Normal 228 2 2 4 3" xfId="19211" xr:uid="{00000000-0005-0000-0000-00000B4B0000}"/>
    <cellStyle name="Normal 228 2 2 5" xfId="19212" xr:uid="{00000000-0005-0000-0000-00000C4B0000}"/>
    <cellStyle name="Normal 228 2 3" xfId="19213" xr:uid="{00000000-0005-0000-0000-00000D4B0000}"/>
    <cellStyle name="Normal 228 2 3 2" xfId="19214" xr:uid="{00000000-0005-0000-0000-00000E4B0000}"/>
    <cellStyle name="Normal 228 2 3 2 2" xfId="19215" xr:uid="{00000000-0005-0000-0000-00000F4B0000}"/>
    <cellStyle name="Normal 228 2 3 2 2 2" xfId="19216" xr:uid="{00000000-0005-0000-0000-0000104B0000}"/>
    <cellStyle name="Normal 228 2 3 2 3" xfId="19217" xr:uid="{00000000-0005-0000-0000-0000114B0000}"/>
    <cellStyle name="Normal 228 2 3 2 3 2" xfId="19218" xr:uid="{00000000-0005-0000-0000-0000124B0000}"/>
    <cellStyle name="Normal 228 2 3 2 3 2 2" xfId="19219" xr:uid="{00000000-0005-0000-0000-0000134B0000}"/>
    <cellStyle name="Normal 228 2 3 2 3 3" xfId="19220" xr:uid="{00000000-0005-0000-0000-0000144B0000}"/>
    <cellStyle name="Normal 228 2 3 2 4" xfId="19221" xr:uid="{00000000-0005-0000-0000-0000154B0000}"/>
    <cellStyle name="Normal 228 2 3 3" xfId="19222" xr:uid="{00000000-0005-0000-0000-0000164B0000}"/>
    <cellStyle name="Normal 228 2 3 3 2" xfId="19223" xr:uid="{00000000-0005-0000-0000-0000174B0000}"/>
    <cellStyle name="Normal 228 2 3 3 2 2" xfId="19224" xr:uid="{00000000-0005-0000-0000-0000184B0000}"/>
    <cellStyle name="Normal 228 2 3 3 3" xfId="19225" xr:uid="{00000000-0005-0000-0000-0000194B0000}"/>
    <cellStyle name="Normal 228 2 3 4" xfId="19226" xr:uid="{00000000-0005-0000-0000-00001A4B0000}"/>
    <cellStyle name="Normal 228 2 3 4 2" xfId="19227" xr:uid="{00000000-0005-0000-0000-00001B4B0000}"/>
    <cellStyle name="Normal 228 2 3 4 2 2" xfId="19228" xr:uid="{00000000-0005-0000-0000-00001C4B0000}"/>
    <cellStyle name="Normal 228 2 3 4 3" xfId="19229" xr:uid="{00000000-0005-0000-0000-00001D4B0000}"/>
    <cellStyle name="Normal 228 2 3 5" xfId="19230" xr:uid="{00000000-0005-0000-0000-00001E4B0000}"/>
    <cellStyle name="Normal 228 2 3 5 2" xfId="19231" xr:uid="{00000000-0005-0000-0000-00001F4B0000}"/>
    <cellStyle name="Normal 228 2 3 5 2 2" xfId="19232" xr:uid="{00000000-0005-0000-0000-0000204B0000}"/>
    <cellStyle name="Normal 228 2 3 5 3" xfId="19233" xr:uid="{00000000-0005-0000-0000-0000214B0000}"/>
    <cellStyle name="Normal 228 2 3 6" xfId="19234" xr:uid="{00000000-0005-0000-0000-0000224B0000}"/>
    <cellStyle name="Normal 228 2 4" xfId="19235" xr:uid="{00000000-0005-0000-0000-0000234B0000}"/>
    <cellStyle name="Normal 228 2 4 2" xfId="19236" xr:uid="{00000000-0005-0000-0000-0000244B0000}"/>
    <cellStyle name="Normal 228 2 4 2 2" xfId="19237" xr:uid="{00000000-0005-0000-0000-0000254B0000}"/>
    <cellStyle name="Normal 228 2 4 3" xfId="19238" xr:uid="{00000000-0005-0000-0000-0000264B0000}"/>
    <cellStyle name="Normal 228 2 5" xfId="19239" xr:uid="{00000000-0005-0000-0000-0000274B0000}"/>
    <cellStyle name="Normal 228 2 5 2" xfId="19240" xr:uid="{00000000-0005-0000-0000-0000284B0000}"/>
    <cellStyle name="Normal 228 2 5 2 2" xfId="19241" xr:uid="{00000000-0005-0000-0000-0000294B0000}"/>
    <cellStyle name="Normal 228 2 5 3" xfId="19242" xr:uid="{00000000-0005-0000-0000-00002A4B0000}"/>
    <cellStyle name="Normal 228 2 6" xfId="19243" xr:uid="{00000000-0005-0000-0000-00002B4B0000}"/>
    <cellStyle name="Normal 228 2 6 2" xfId="19244" xr:uid="{00000000-0005-0000-0000-00002C4B0000}"/>
    <cellStyle name="Normal 228 2 6 2 2" xfId="19245" xr:uid="{00000000-0005-0000-0000-00002D4B0000}"/>
    <cellStyle name="Normal 228 2 6 3" xfId="19246" xr:uid="{00000000-0005-0000-0000-00002E4B0000}"/>
    <cellStyle name="Normal 228 2 7" xfId="19247" xr:uid="{00000000-0005-0000-0000-00002F4B0000}"/>
    <cellStyle name="Normal 228 3" xfId="19248" xr:uid="{00000000-0005-0000-0000-0000304B0000}"/>
    <cellStyle name="Normal 228 3 2" xfId="19249" xr:uid="{00000000-0005-0000-0000-0000314B0000}"/>
    <cellStyle name="Normal 228 3 2 2" xfId="19250" xr:uid="{00000000-0005-0000-0000-0000324B0000}"/>
    <cellStyle name="Normal 228 3 3" xfId="19251" xr:uid="{00000000-0005-0000-0000-0000334B0000}"/>
    <cellStyle name="Normal 228 3 3 2" xfId="19252" xr:uid="{00000000-0005-0000-0000-0000344B0000}"/>
    <cellStyle name="Normal 228 3 3 2 2" xfId="19253" xr:uid="{00000000-0005-0000-0000-0000354B0000}"/>
    <cellStyle name="Normal 228 3 3 3" xfId="19254" xr:uid="{00000000-0005-0000-0000-0000364B0000}"/>
    <cellStyle name="Normal 228 3 4" xfId="19255" xr:uid="{00000000-0005-0000-0000-0000374B0000}"/>
    <cellStyle name="Normal 228 3 4 2" xfId="19256" xr:uid="{00000000-0005-0000-0000-0000384B0000}"/>
    <cellStyle name="Normal 228 3 4 2 2" xfId="19257" xr:uid="{00000000-0005-0000-0000-0000394B0000}"/>
    <cellStyle name="Normal 228 3 4 3" xfId="19258" xr:uid="{00000000-0005-0000-0000-00003A4B0000}"/>
    <cellStyle name="Normal 228 3 5" xfId="19259" xr:uid="{00000000-0005-0000-0000-00003B4B0000}"/>
    <cellStyle name="Normal 228 4" xfId="19260" xr:uid="{00000000-0005-0000-0000-00003C4B0000}"/>
    <cellStyle name="Normal 228 4 2" xfId="19261" xr:uid="{00000000-0005-0000-0000-00003D4B0000}"/>
    <cellStyle name="Normal 228 4 2 2" xfId="19262" xr:uid="{00000000-0005-0000-0000-00003E4B0000}"/>
    <cellStyle name="Normal 228 4 2 2 2" xfId="19263" xr:uid="{00000000-0005-0000-0000-00003F4B0000}"/>
    <cellStyle name="Normal 228 4 2 3" xfId="19264" xr:uid="{00000000-0005-0000-0000-0000404B0000}"/>
    <cellStyle name="Normal 228 4 2 3 2" xfId="19265" xr:uid="{00000000-0005-0000-0000-0000414B0000}"/>
    <cellStyle name="Normal 228 4 2 3 2 2" xfId="19266" xr:uid="{00000000-0005-0000-0000-0000424B0000}"/>
    <cellStyle name="Normal 228 4 2 3 3" xfId="19267" xr:uid="{00000000-0005-0000-0000-0000434B0000}"/>
    <cellStyle name="Normal 228 4 2 4" xfId="19268" xr:uid="{00000000-0005-0000-0000-0000444B0000}"/>
    <cellStyle name="Normal 228 4 3" xfId="19269" xr:uid="{00000000-0005-0000-0000-0000454B0000}"/>
    <cellStyle name="Normal 228 4 3 2" xfId="19270" xr:uid="{00000000-0005-0000-0000-0000464B0000}"/>
    <cellStyle name="Normal 228 4 3 2 2" xfId="19271" xr:uid="{00000000-0005-0000-0000-0000474B0000}"/>
    <cellStyle name="Normal 228 4 3 3" xfId="19272" xr:uid="{00000000-0005-0000-0000-0000484B0000}"/>
    <cellStyle name="Normal 228 4 4" xfId="19273" xr:uid="{00000000-0005-0000-0000-0000494B0000}"/>
    <cellStyle name="Normal 228 4 4 2" xfId="19274" xr:uid="{00000000-0005-0000-0000-00004A4B0000}"/>
    <cellStyle name="Normal 228 4 4 2 2" xfId="19275" xr:uid="{00000000-0005-0000-0000-00004B4B0000}"/>
    <cellStyle name="Normal 228 4 4 3" xfId="19276" xr:uid="{00000000-0005-0000-0000-00004C4B0000}"/>
    <cellStyle name="Normal 228 4 5" xfId="19277" xr:uid="{00000000-0005-0000-0000-00004D4B0000}"/>
    <cellStyle name="Normal 228 4 5 2" xfId="19278" xr:uid="{00000000-0005-0000-0000-00004E4B0000}"/>
    <cellStyle name="Normal 228 4 5 2 2" xfId="19279" xr:uid="{00000000-0005-0000-0000-00004F4B0000}"/>
    <cellStyle name="Normal 228 4 5 3" xfId="19280" xr:uid="{00000000-0005-0000-0000-0000504B0000}"/>
    <cellStyle name="Normal 228 4 6" xfId="19281" xr:uid="{00000000-0005-0000-0000-0000514B0000}"/>
    <cellStyle name="Normal 228 5" xfId="19282" xr:uid="{00000000-0005-0000-0000-0000524B0000}"/>
    <cellStyle name="Normal 228 5 2" xfId="19283" xr:uid="{00000000-0005-0000-0000-0000534B0000}"/>
    <cellStyle name="Normal 228 5 2 2" xfId="19284" xr:uid="{00000000-0005-0000-0000-0000544B0000}"/>
    <cellStyle name="Normal 228 5 3" xfId="19285" xr:uid="{00000000-0005-0000-0000-0000554B0000}"/>
    <cellStyle name="Normal 228 6" xfId="19286" xr:uid="{00000000-0005-0000-0000-0000564B0000}"/>
    <cellStyle name="Normal 228 6 2" xfId="19287" xr:uid="{00000000-0005-0000-0000-0000574B0000}"/>
    <cellStyle name="Normal 228 6 2 2" xfId="19288" xr:uid="{00000000-0005-0000-0000-0000584B0000}"/>
    <cellStyle name="Normal 228 6 3" xfId="19289" xr:uid="{00000000-0005-0000-0000-0000594B0000}"/>
    <cellStyle name="Normal 228 7" xfId="19290" xr:uid="{00000000-0005-0000-0000-00005A4B0000}"/>
    <cellStyle name="Normal 228 7 2" xfId="19291" xr:uid="{00000000-0005-0000-0000-00005B4B0000}"/>
    <cellStyle name="Normal 228 7 2 2" xfId="19292" xr:uid="{00000000-0005-0000-0000-00005C4B0000}"/>
    <cellStyle name="Normal 228 7 3" xfId="19293" xr:uid="{00000000-0005-0000-0000-00005D4B0000}"/>
    <cellStyle name="Normal 228 8" xfId="19294" xr:uid="{00000000-0005-0000-0000-00005E4B0000}"/>
    <cellStyle name="Normal 229" xfId="19295" xr:uid="{00000000-0005-0000-0000-00005F4B0000}"/>
    <cellStyle name="Normal 229 2" xfId="19296" xr:uid="{00000000-0005-0000-0000-0000604B0000}"/>
    <cellStyle name="Normal 229 2 2" xfId="19297" xr:uid="{00000000-0005-0000-0000-0000614B0000}"/>
    <cellStyle name="Normal 229 2 2 2" xfId="19298" xr:uid="{00000000-0005-0000-0000-0000624B0000}"/>
    <cellStyle name="Normal 229 2 2 2 2" xfId="19299" xr:uid="{00000000-0005-0000-0000-0000634B0000}"/>
    <cellStyle name="Normal 229 2 2 3" xfId="19300" xr:uid="{00000000-0005-0000-0000-0000644B0000}"/>
    <cellStyle name="Normal 229 2 2 3 2" xfId="19301" xr:uid="{00000000-0005-0000-0000-0000654B0000}"/>
    <cellStyle name="Normal 229 2 2 3 2 2" xfId="19302" xr:uid="{00000000-0005-0000-0000-0000664B0000}"/>
    <cellStyle name="Normal 229 2 2 3 3" xfId="19303" xr:uid="{00000000-0005-0000-0000-0000674B0000}"/>
    <cellStyle name="Normal 229 2 2 4" xfId="19304" xr:uid="{00000000-0005-0000-0000-0000684B0000}"/>
    <cellStyle name="Normal 229 2 2 4 2" xfId="19305" xr:uid="{00000000-0005-0000-0000-0000694B0000}"/>
    <cellStyle name="Normal 229 2 2 4 2 2" xfId="19306" xr:uid="{00000000-0005-0000-0000-00006A4B0000}"/>
    <cellStyle name="Normal 229 2 2 4 3" xfId="19307" xr:uid="{00000000-0005-0000-0000-00006B4B0000}"/>
    <cellStyle name="Normal 229 2 2 5" xfId="19308" xr:uid="{00000000-0005-0000-0000-00006C4B0000}"/>
    <cellStyle name="Normal 229 2 3" xfId="19309" xr:uid="{00000000-0005-0000-0000-00006D4B0000}"/>
    <cellStyle name="Normal 229 2 3 2" xfId="19310" xr:uid="{00000000-0005-0000-0000-00006E4B0000}"/>
    <cellStyle name="Normal 229 2 3 2 2" xfId="19311" xr:uid="{00000000-0005-0000-0000-00006F4B0000}"/>
    <cellStyle name="Normal 229 2 3 2 2 2" xfId="19312" xr:uid="{00000000-0005-0000-0000-0000704B0000}"/>
    <cellStyle name="Normal 229 2 3 2 3" xfId="19313" xr:uid="{00000000-0005-0000-0000-0000714B0000}"/>
    <cellStyle name="Normal 229 2 3 2 3 2" xfId="19314" xr:uid="{00000000-0005-0000-0000-0000724B0000}"/>
    <cellStyle name="Normal 229 2 3 2 3 2 2" xfId="19315" xr:uid="{00000000-0005-0000-0000-0000734B0000}"/>
    <cellStyle name="Normal 229 2 3 2 3 3" xfId="19316" xr:uid="{00000000-0005-0000-0000-0000744B0000}"/>
    <cellStyle name="Normal 229 2 3 2 4" xfId="19317" xr:uid="{00000000-0005-0000-0000-0000754B0000}"/>
    <cellStyle name="Normal 229 2 3 3" xfId="19318" xr:uid="{00000000-0005-0000-0000-0000764B0000}"/>
    <cellStyle name="Normal 229 2 3 3 2" xfId="19319" xr:uid="{00000000-0005-0000-0000-0000774B0000}"/>
    <cellStyle name="Normal 229 2 3 3 2 2" xfId="19320" xr:uid="{00000000-0005-0000-0000-0000784B0000}"/>
    <cellStyle name="Normal 229 2 3 3 3" xfId="19321" xr:uid="{00000000-0005-0000-0000-0000794B0000}"/>
    <cellStyle name="Normal 229 2 3 4" xfId="19322" xr:uid="{00000000-0005-0000-0000-00007A4B0000}"/>
    <cellStyle name="Normal 229 2 3 4 2" xfId="19323" xr:uid="{00000000-0005-0000-0000-00007B4B0000}"/>
    <cellStyle name="Normal 229 2 3 4 2 2" xfId="19324" xr:uid="{00000000-0005-0000-0000-00007C4B0000}"/>
    <cellStyle name="Normal 229 2 3 4 3" xfId="19325" xr:uid="{00000000-0005-0000-0000-00007D4B0000}"/>
    <cellStyle name="Normal 229 2 3 5" xfId="19326" xr:uid="{00000000-0005-0000-0000-00007E4B0000}"/>
    <cellStyle name="Normal 229 2 3 5 2" xfId="19327" xr:uid="{00000000-0005-0000-0000-00007F4B0000}"/>
    <cellStyle name="Normal 229 2 3 5 2 2" xfId="19328" xr:uid="{00000000-0005-0000-0000-0000804B0000}"/>
    <cellStyle name="Normal 229 2 3 5 3" xfId="19329" xr:uid="{00000000-0005-0000-0000-0000814B0000}"/>
    <cellStyle name="Normal 229 2 3 6" xfId="19330" xr:uid="{00000000-0005-0000-0000-0000824B0000}"/>
    <cellStyle name="Normal 229 2 4" xfId="19331" xr:uid="{00000000-0005-0000-0000-0000834B0000}"/>
    <cellStyle name="Normal 229 2 4 2" xfId="19332" xr:uid="{00000000-0005-0000-0000-0000844B0000}"/>
    <cellStyle name="Normal 229 2 4 2 2" xfId="19333" xr:uid="{00000000-0005-0000-0000-0000854B0000}"/>
    <cellStyle name="Normal 229 2 4 3" xfId="19334" xr:uid="{00000000-0005-0000-0000-0000864B0000}"/>
    <cellStyle name="Normal 229 2 5" xfId="19335" xr:uid="{00000000-0005-0000-0000-0000874B0000}"/>
    <cellStyle name="Normal 229 2 5 2" xfId="19336" xr:uid="{00000000-0005-0000-0000-0000884B0000}"/>
    <cellStyle name="Normal 229 2 5 2 2" xfId="19337" xr:uid="{00000000-0005-0000-0000-0000894B0000}"/>
    <cellStyle name="Normal 229 2 5 3" xfId="19338" xr:uid="{00000000-0005-0000-0000-00008A4B0000}"/>
    <cellStyle name="Normal 229 2 6" xfId="19339" xr:uid="{00000000-0005-0000-0000-00008B4B0000}"/>
    <cellStyle name="Normal 229 2 6 2" xfId="19340" xr:uid="{00000000-0005-0000-0000-00008C4B0000}"/>
    <cellStyle name="Normal 229 2 6 2 2" xfId="19341" xr:uid="{00000000-0005-0000-0000-00008D4B0000}"/>
    <cellStyle name="Normal 229 2 6 3" xfId="19342" xr:uid="{00000000-0005-0000-0000-00008E4B0000}"/>
    <cellStyle name="Normal 229 2 7" xfId="19343" xr:uid="{00000000-0005-0000-0000-00008F4B0000}"/>
    <cellStyle name="Normal 229 3" xfId="19344" xr:uid="{00000000-0005-0000-0000-0000904B0000}"/>
    <cellStyle name="Normal 229 3 2" xfId="19345" xr:uid="{00000000-0005-0000-0000-0000914B0000}"/>
    <cellStyle name="Normal 229 3 2 2" xfId="19346" xr:uid="{00000000-0005-0000-0000-0000924B0000}"/>
    <cellStyle name="Normal 229 3 3" xfId="19347" xr:uid="{00000000-0005-0000-0000-0000934B0000}"/>
    <cellStyle name="Normal 229 3 3 2" xfId="19348" xr:uid="{00000000-0005-0000-0000-0000944B0000}"/>
    <cellStyle name="Normal 229 3 3 2 2" xfId="19349" xr:uid="{00000000-0005-0000-0000-0000954B0000}"/>
    <cellStyle name="Normal 229 3 3 3" xfId="19350" xr:uid="{00000000-0005-0000-0000-0000964B0000}"/>
    <cellStyle name="Normal 229 3 4" xfId="19351" xr:uid="{00000000-0005-0000-0000-0000974B0000}"/>
    <cellStyle name="Normal 229 3 4 2" xfId="19352" xr:uid="{00000000-0005-0000-0000-0000984B0000}"/>
    <cellStyle name="Normal 229 3 4 2 2" xfId="19353" xr:uid="{00000000-0005-0000-0000-0000994B0000}"/>
    <cellStyle name="Normal 229 3 4 3" xfId="19354" xr:uid="{00000000-0005-0000-0000-00009A4B0000}"/>
    <cellStyle name="Normal 229 3 5" xfId="19355" xr:uid="{00000000-0005-0000-0000-00009B4B0000}"/>
    <cellStyle name="Normal 229 4" xfId="19356" xr:uid="{00000000-0005-0000-0000-00009C4B0000}"/>
    <cellStyle name="Normal 229 4 2" xfId="19357" xr:uid="{00000000-0005-0000-0000-00009D4B0000}"/>
    <cellStyle name="Normal 229 4 2 2" xfId="19358" xr:uid="{00000000-0005-0000-0000-00009E4B0000}"/>
    <cellStyle name="Normal 229 4 2 2 2" xfId="19359" xr:uid="{00000000-0005-0000-0000-00009F4B0000}"/>
    <cellStyle name="Normal 229 4 2 3" xfId="19360" xr:uid="{00000000-0005-0000-0000-0000A04B0000}"/>
    <cellStyle name="Normal 229 4 2 3 2" xfId="19361" xr:uid="{00000000-0005-0000-0000-0000A14B0000}"/>
    <cellStyle name="Normal 229 4 2 3 2 2" xfId="19362" xr:uid="{00000000-0005-0000-0000-0000A24B0000}"/>
    <cellStyle name="Normal 229 4 2 3 3" xfId="19363" xr:uid="{00000000-0005-0000-0000-0000A34B0000}"/>
    <cellStyle name="Normal 229 4 2 4" xfId="19364" xr:uid="{00000000-0005-0000-0000-0000A44B0000}"/>
    <cellStyle name="Normal 229 4 3" xfId="19365" xr:uid="{00000000-0005-0000-0000-0000A54B0000}"/>
    <cellStyle name="Normal 229 4 3 2" xfId="19366" xr:uid="{00000000-0005-0000-0000-0000A64B0000}"/>
    <cellStyle name="Normal 229 4 3 2 2" xfId="19367" xr:uid="{00000000-0005-0000-0000-0000A74B0000}"/>
    <cellStyle name="Normal 229 4 3 3" xfId="19368" xr:uid="{00000000-0005-0000-0000-0000A84B0000}"/>
    <cellStyle name="Normal 229 4 4" xfId="19369" xr:uid="{00000000-0005-0000-0000-0000A94B0000}"/>
    <cellStyle name="Normal 229 4 4 2" xfId="19370" xr:uid="{00000000-0005-0000-0000-0000AA4B0000}"/>
    <cellStyle name="Normal 229 4 4 2 2" xfId="19371" xr:uid="{00000000-0005-0000-0000-0000AB4B0000}"/>
    <cellStyle name="Normal 229 4 4 3" xfId="19372" xr:uid="{00000000-0005-0000-0000-0000AC4B0000}"/>
    <cellStyle name="Normal 229 4 5" xfId="19373" xr:uid="{00000000-0005-0000-0000-0000AD4B0000}"/>
    <cellStyle name="Normal 229 4 5 2" xfId="19374" xr:uid="{00000000-0005-0000-0000-0000AE4B0000}"/>
    <cellStyle name="Normal 229 4 5 2 2" xfId="19375" xr:uid="{00000000-0005-0000-0000-0000AF4B0000}"/>
    <cellStyle name="Normal 229 4 5 3" xfId="19376" xr:uid="{00000000-0005-0000-0000-0000B04B0000}"/>
    <cellStyle name="Normal 229 4 6" xfId="19377" xr:uid="{00000000-0005-0000-0000-0000B14B0000}"/>
    <cellStyle name="Normal 229 5" xfId="19378" xr:uid="{00000000-0005-0000-0000-0000B24B0000}"/>
    <cellStyle name="Normal 229 5 2" xfId="19379" xr:uid="{00000000-0005-0000-0000-0000B34B0000}"/>
    <cellStyle name="Normal 229 5 2 2" xfId="19380" xr:uid="{00000000-0005-0000-0000-0000B44B0000}"/>
    <cellStyle name="Normal 229 5 3" xfId="19381" xr:uid="{00000000-0005-0000-0000-0000B54B0000}"/>
    <cellStyle name="Normal 229 6" xfId="19382" xr:uid="{00000000-0005-0000-0000-0000B64B0000}"/>
    <cellStyle name="Normal 229 6 2" xfId="19383" xr:uid="{00000000-0005-0000-0000-0000B74B0000}"/>
    <cellStyle name="Normal 229 6 2 2" xfId="19384" xr:uid="{00000000-0005-0000-0000-0000B84B0000}"/>
    <cellStyle name="Normal 229 6 3" xfId="19385" xr:uid="{00000000-0005-0000-0000-0000B94B0000}"/>
    <cellStyle name="Normal 229 7" xfId="19386" xr:uid="{00000000-0005-0000-0000-0000BA4B0000}"/>
    <cellStyle name="Normal 229 7 2" xfId="19387" xr:uid="{00000000-0005-0000-0000-0000BB4B0000}"/>
    <cellStyle name="Normal 229 7 2 2" xfId="19388" xr:uid="{00000000-0005-0000-0000-0000BC4B0000}"/>
    <cellStyle name="Normal 229 7 3" xfId="19389" xr:uid="{00000000-0005-0000-0000-0000BD4B0000}"/>
    <cellStyle name="Normal 229 8" xfId="19390" xr:uid="{00000000-0005-0000-0000-0000BE4B0000}"/>
    <cellStyle name="Normal 23" xfId="19391" xr:uid="{00000000-0005-0000-0000-0000BF4B0000}"/>
    <cellStyle name="Normal 23 2" xfId="19392" xr:uid="{00000000-0005-0000-0000-0000C04B0000}"/>
    <cellStyle name="Normal 23 2 2" xfId="19393" xr:uid="{00000000-0005-0000-0000-0000C14B0000}"/>
    <cellStyle name="Normal 23 2 2 2" xfId="19394" xr:uid="{00000000-0005-0000-0000-0000C24B0000}"/>
    <cellStyle name="Normal 23 2 2 2 2" xfId="19395" xr:uid="{00000000-0005-0000-0000-0000C34B0000}"/>
    <cellStyle name="Normal 23 2 2 3" xfId="19396" xr:uid="{00000000-0005-0000-0000-0000C44B0000}"/>
    <cellStyle name="Normal 23 2 2 3 2" xfId="19397" xr:uid="{00000000-0005-0000-0000-0000C54B0000}"/>
    <cellStyle name="Normal 23 2 2 3 2 2" xfId="19398" xr:uid="{00000000-0005-0000-0000-0000C64B0000}"/>
    <cellStyle name="Normal 23 2 2 3 3" xfId="19399" xr:uid="{00000000-0005-0000-0000-0000C74B0000}"/>
    <cellStyle name="Normal 23 2 2 4" xfId="19400" xr:uid="{00000000-0005-0000-0000-0000C84B0000}"/>
    <cellStyle name="Normal 23 2 2 4 2" xfId="19401" xr:uid="{00000000-0005-0000-0000-0000C94B0000}"/>
    <cellStyle name="Normal 23 2 2 4 2 2" xfId="19402" xr:uid="{00000000-0005-0000-0000-0000CA4B0000}"/>
    <cellStyle name="Normal 23 2 2 4 3" xfId="19403" xr:uid="{00000000-0005-0000-0000-0000CB4B0000}"/>
    <cellStyle name="Normal 23 2 2 5" xfId="19404" xr:uid="{00000000-0005-0000-0000-0000CC4B0000}"/>
    <cellStyle name="Normal 23 2 3" xfId="19405" xr:uid="{00000000-0005-0000-0000-0000CD4B0000}"/>
    <cellStyle name="Normal 23 2 3 2" xfId="19406" xr:uid="{00000000-0005-0000-0000-0000CE4B0000}"/>
    <cellStyle name="Normal 23 2 3 2 2" xfId="19407" xr:uid="{00000000-0005-0000-0000-0000CF4B0000}"/>
    <cellStyle name="Normal 23 2 3 3" xfId="19408" xr:uid="{00000000-0005-0000-0000-0000D04B0000}"/>
    <cellStyle name="Normal 23 2 4" xfId="19409" xr:uid="{00000000-0005-0000-0000-0000D14B0000}"/>
    <cellStyle name="Normal 23 2 4 2" xfId="19410" xr:uid="{00000000-0005-0000-0000-0000D24B0000}"/>
    <cellStyle name="Normal 23 2 4 2 2" xfId="19411" xr:uid="{00000000-0005-0000-0000-0000D34B0000}"/>
    <cellStyle name="Normal 23 2 4 3" xfId="19412" xr:uid="{00000000-0005-0000-0000-0000D44B0000}"/>
    <cellStyle name="Normal 23 2 5" xfId="19413" xr:uid="{00000000-0005-0000-0000-0000D54B0000}"/>
    <cellStyle name="Normal 23 2 5 2" xfId="19414" xr:uid="{00000000-0005-0000-0000-0000D64B0000}"/>
    <cellStyle name="Normal 23 2 5 2 2" xfId="19415" xr:uid="{00000000-0005-0000-0000-0000D74B0000}"/>
    <cellStyle name="Normal 23 2 5 3" xfId="19416" xr:uid="{00000000-0005-0000-0000-0000D84B0000}"/>
    <cellStyle name="Normal 23 2 6" xfId="19417" xr:uid="{00000000-0005-0000-0000-0000D94B0000}"/>
    <cellStyle name="Normal 23 3" xfId="19418" xr:uid="{00000000-0005-0000-0000-0000DA4B0000}"/>
    <cellStyle name="Normal 23 3 2" xfId="19419" xr:uid="{00000000-0005-0000-0000-0000DB4B0000}"/>
    <cellStyle name="Normal 23 3 2 2" xfId="19420" xr:uid="{00000000-0005-0000-0000-0000DC4B0000}"/>
    <cellStyle name="Normal 23 3 3" xfId="19421" xr:uid="{00000000-0005-0000-0000-0000DD4B0000}"/>
    <cellStyle name="Normal 23 3 3 2" xfId="19422" xr:uid="{00000000-0005-0000-0000-0000DE4B0000}"/>
    <cellStyle name="Normal 23 3 3 2 2" xfId="19423" xr:uid="{00000000-0005-0000-0000-0000DF4B0000}"/>
    <cellStyle name="Normal 23 3 3 3" xfId="19424" xr:uid="{00000000-0005-0000-0000-0000E04B0000}"/>
    <cellStyle name="Normal 23 3 4" xfId="19425" xr:uid="{00000000-0005-0000-0000-0000E14B0000}"/>
    <cellStyle name="Normal 23 3 4 2" xfId="19426" xr:uid="{00000000-0005-0000-0000-0000E24B0000}"/>
    <cellStyle name="Normal 23 3 4 2 2" xfId="19427" xr:uid="{00000000-0005-0000-0000-0000E34B0000}"/>
    <cellStyle name="Normal 23 3 4 3" xfId="19428" xr:uid="{00000000-0005-0000-0000-0000E44B0000}"/>
    <cellStyle name="Normal 23 3 5" xfId="19429" xr:uid="{00000000-0005-0000-0000-0000E54B0000}"/>
    <cellStyle name="Normal 23 4" xfId="19430" xr:uid="{00000000-0005-0000-0000-0000E64B0000}"/>
    <cellStyle name="Normal 23 4 2" xfId="19431" xr:uid="{00000000-0005-0000-0000-0000E74B0000}"/>
    <cellStyle name="Normal 23 4 2 2" xfId="19432" xr:uid="{00000000-0005-0000-0000-0000E84B0000}"/>
    <cellStyle name="Normal 23 4 2 2 2" xfId="19433" xr:uid="{00000000-0005-0000-0000-0000E94B0000}"/>
    <cellStyle name="Normal 23 4 2 3" xfId="19434" xr:uid="{00000000-0005-0000-0000-0000EA4B0000}"/>
    <cellStyle name="Normal 23 4 2 3 2" xfId="19435" xr:uid="{00000000-0005-0000-0000-0000EB4B0000}"/>
    <cellStyle name="Normal 23 4 2 3 2 2" xfId="19436" xr:uid="{00000000-0005-0000-0000-0000EC4B0000}"/>
    <cellStyle name="Normal 23 4 2 3 3" xfId="19437" xr:uid="{00000000-0005-0000-0000-0000ED4B0000}"/>
    <cellStyle name="Normal 23 4 2 4" xfId="19438" xr:uid="{00000000-0005-0000-0000-0000EE4B0000}"/>
    <cellStyle name="Normal 23 4 3" xfId="19439" xr:uid="{00000000-0005-0000-0000-0000EF4B0000}"/>
    <cellStyle name="Normal 23 4 3 2" xfId="19440" xr:uid="{00000000-0005-0000-0000-0000F04B0000}"/>
    <cellStyle name="Normal 23 4 3 2 2" xfId="19441" xr:uid="{00000000-0005-0000-0000-0000F14B0000}"/>
    <cellStyle name="Normal 23 4 3 3" xfId="19442" xr:uid="{00000000-0005-0000-0000-0000F24B0000}"/>
    <cellStyle name="Normal 23 4 4" xfId="19443" xr:uid="{00000000-0005-0000-0000-0000F34B0000}"/>
    <cellStyle name="Normal 23 4 4 2" xfId="19444" xr:uid="{00000000-0005-0000-0000-0000F44B0000}"/>
    <cellStyle name="Normal 23 4 4 2 2" xfId="19445" xr:uid="{00000000-0005-0000-0000-0000F54B0000}"/>
    <cellStyle name="Normal 23 4 4 3" xfId="19446" xr:uid="{00000000-0005-0000-0000-0000F64B0000}"/>
    <cellStyle name="Normal 23 4 5" xfId="19447" xr:uid="{00000000-0005-0000-0000-0000F74B0000}"/>
    <cellStyle name="Normal 23 4 5 2" xfId="19448" xr:uid="{00000000-0005-0000-0000-0000F84B0000}"/>
    <cellStyle name="Normal 23 4 5 2 2" xfId="19449" xr:uid="{00000000-0005-0000-0000-0000F94B0000}"/>
    <cellStyle name="Normal 23 4 5 3" xfId="19450" xr:uid="{00000000-0005-0000-0000-0000FA4B0000}"/>
    <cellStyle name="Normal 23 4 6" xfId="19451" xr:uid="{00000000-0005-0000-0000-0000FB4B0000}"/>
    <cellStyle name="Normal 23 5" xfId="19452" xr:uid="{00000000-0005-0000-0000-0000FC4B0000}"/>
    <cellStyle name="Normal 230" xfId="19453" xr:uid="{00000000-0005-0000-0000-0000FD4B0000}"/>
    <cellStyle name="Normal 230 2" xfId="19454" xr:uid="{00000000-0005-0000-0000-0000FE4B0000}"/>
    <cellStyle name="Normal 230 2 2" xfId="19455" xr:uid="{00000000-0005-0000-0000-0000FF4B0000}"/>
    <cellStyle name="Normal 230 2 2 2" xfId="19456" xr:uid="{00000000-0005-0000-0000-0000004C0000}"/>
    <cellStyle name="Normal 230 2 2 2 2" xfId="19457" xr:uid="{00000000-0005-0000-0000-0000014C0000}"/>
    <cellStyle name="Normal 230 2 2 3" xfId="19458" xr:uid="{00000000-0005-0000-0000-0000024C0000}"/>
    <cellStyle name="Normal 230 2 2 3 2" xfId="19459" xr:uid="{00000000-0005-0000-0000-0000034C0000}"/>
    <cellStyle name="Normal 230 2 2 3 2 2" xfId="19460" xr:uid="{00000000-0005-0000-0000-0000044C0000}"/>
    <cellStyle name="Normal 230 2 2 3 3" xfId="19461" xr:uid="{00000000-0005-0000-0000-0000054C0000}"/>
    <cellStyle name="Normal 230 2 2 4" xfId="19462" xr:uid="{00000000-0005-0000-0000-0000064C0000}"/>
    <cellStyle name="Normal 230 2 2 4 2" xfId="19463" xr:uid="{00000000-0005-0000-0000-0000074C0000}"/>
    <cellStyle name="Normal 230 2 2 4 2 2" xfId="19464" xr:uid="{00000000-0005-0000-0000-0000084C0000}"/>
    <cellStyle name="Normal 230 2 2 4 3" xfId="19465" xr:uid="{00000000-0005-0000-0000-0000094C0000}"/>
    <cellStyle name="Normal 230 2 2 5" xfId="19466" xr:uid="{00000000-0005-0000-0000-00000A4C0000}"/>
    <cellStyle name="Normal 230 2 3" xfId="19467" xr:uid="{00000000-0005-0000-0000-00000B4C0000}"/>
    <cellStyle name="Normal 230 2 3 2" xfId="19468" xr:uid="{00000000-0005-0000-0000-00000C4C0000}"/>
    <cellStyle name="Normal 230 2 3 2 2" xfId="19469" xr:uid="{00000000-0005-0000-0000-00000D4C0000}"/>
    <cellStyle name="Normal 230 2 3 2 2 2" xfId="19470" xr:uid="{00000000-0005-0000-0000-00000E4C0000}"/>
    <cellStyle name="Normal 230 2 3 2 3" xfId="19471" xr:uid="{00000000-0005-0000-0000-00000F4C0000}"/>
    <cellStyle name="Normal 230 2 3 2 3 2" xfId="19472" xr:uid="{00000000-0005-0000-0000-0000104C0000}"/>
    <cellStyle name="Normal 230 2 3 2 3 2 2" xfId="19473" xr:uid="{00000000-0005-0000-0000-0000114C0000}"/>
    <cellStyle name="Normal 230 2 3 2 3 3" xfId="19474" xr:uid="{00000000-0005-0000-0000-0000124C0000}"/>
    <cellStyle name="Normal 230 2 3 2 4" xfId="19475" xr:uid="{00000000-0005-0000-0000-0000134C0000}"/>
    <cellStyle name="Normal 230 2 3 3" xfId="19476" xr:uid="{00000000-0005-0000-0000-0000144C0000}"/>
    <cellStyle name="Normal 230 2 3 3 2" xfId="19477" xr:uid="{00000000-0005-0000-0000-0000154C0000}"/>
    <cellStyle name="Normal 230 2 3 3 2 2" xfId="19478" xr:uid="{00000000-0005-0000-0000-0000164C0000}"/>
    <cellStyle name="Normal 230 2 3 3 3" xfId="19479" xr:uid="{00000000-0005-0000-0000-0000174C0000}"/>
    <cellStyle name="Normal 230 2 3 4" xfId="19480" xr:uid="{00000000-0005-0000-0000-0000184C0000}"/>
    <cellStyle name="Normal 230 2 3 4 2" xfId="19481" xr:uid="{00000000-0005-0000-0000-0000194C0000}"/>
    <cellStyle name="Normal 230 2 3 4 2 2" xfId="19482" xr:uid="{00000000-0005-0000-0000-00001A4C0000}"/>
    <cellStyle name="Normal 230 2 3 4 3" xfId="19483" xr:uid="{00000000-0005-0000-0000-00001B4C0000}"/>
    <cellStyle name="Normal 230 2 3 5" xfId="19484" xr:uid="{00000000-0005-0000-0000-00001C4C0000}"/>
    <cellStyle name="Normal 230 2 3 5 2" xfId="19485" xr:uid="{00000000-0005-0000-0000-00001D4C0000}"/>
    <cellStyle name="Normal 230 2 3 5 2 2" xfId="19486" xr:uid="{00000000-0005-0000-0000-00001E4C0000}"/>
    <cellStyle name="Normal 230 2 3 5 3" xfId="19487" xr:uid="{00000000-0005-0000-0000-00001F4C0000}"/>
    <cellStyle name="Normal 230 2 3 6" xfId="19488" xr:uid="{00000000-0005-0000-0000-0000204C0000}"/>
    <cellStyle name="Normal 230 2 4" xfId="19489" xr:uid="{00000000-0005-0000-0000-0000214C0000}"/>
    <cellStyle name="Normal 230 2 4 2" xfId="19490" xr:uid="{00000000-0005-0000-0000-0000224C0000}"/>
    <cellStyle name="Normal 230 2 4 2 2" xfId="19491" xr:uid="{00000000-0005-0000-0000-0000234C0000}"/>
    <cellStyle name="Normal 230 2 4 3" xfId="19492" xr:uid="{00000000-0005-0000-0000-0000244C0000}"/>
    <cellStyle name="Normal 230 2 5" xfId="19493" xr:uid="{00000000-0005-0000-0000-0000254C0000}"/>
    <cellStyle name="Normal 230 2 5 2" xfId="19494" xr:uid="{00000000-0005-0000-0000-0000264C0000}"/>
    <cellStyle name="Normal 230 2 5 2 2" xfId="19495" xr:uid="{00000000-0005-0000-0000-0000274C0000}"/>
    <cellStyle name="Normal 230 2 5 3" xfId="19496" xr:uid="{00000000-0005-0000-0000-0000284C0000}"/>
    <cellStyle name="Normal 230 2 6" xfId="19497" xr:uid="{00000000-0005-0000-0000-0000294C0000}"/>
    <cellStyle name="Normal 230 2 6 2" xfId="19498" xr:uid="{00000000-0005-0000-0000-00002A4C0000}"/>
    <cellStyle name="Normal 230 2 6 2 2" xfId="19499" xr:uid="{00000000-0005-0000-0000-00002B4C0000}"/>
    <cellStyle name="Normal 230 2 6 3" xfId="19500" xr:uid="{00000000-0005-0000-0000-00002C4C0000}"/>
    <cellStyle name="Normal 230 2 7" xfId="19501" xr:uid="{00000000-0005-0000-0000-00002D4C0000}"/>
    <cellStyle name="Normal 230 3" xfId="19502" xr:uid="{00000000-0005-0000-0000-00002E4C0000}"/>
    <cellStyle name="Normal 230 3 2" xfId="19503" xr:uid="{00000000-0005-0000-0000-00002F4C0000}"/>
    <cellStyle name="Normal 230 3 2 2" xfId="19504" xr:uid="{00000000-0005-0000-0000-0000304C0000}"/>
    <cellStyle name="Normal 230 3 3" xfId="19505" xr:uid="{00000000-0005-0000-0000-0000314C0000}"/>
    <cellStyle name="Normal 230 3 3 2" xfId="19506" xr:uid="{00000000-0005-0000-0000-0000324C0000}"/>
    <cellStyle name="Normal 230 3 3 2 2" xfId="19507" xr:uid="{00000000-0005-0000-0000-0000334C0000}"/>
    <cellStyle name="Normal 230 3 3 3" xfId="19508" xr:uid="{00000000-0005-0000-0000-0000344C0000}"/>
    <cellStyle name="Normal 230 3 4" xfId="19509" xr:uid="{00000000-0005-0000-0000-0000354C0000}"/>
    <cellStyle name="Normal 230 3 4 2" xfId="19510" xr:uid="{00000000-0005-0000-0000-0000364C0000}"/>
    <cellStyle name="Normal 230 3 4 2 2" xfId="19511" xr:uid="{00000000-0005-0000-0000-0000374C0000}"/>
    <cellStyle name="Normal 230 3 4 3" xfId="19512" xr:uid="{00000000-0005-0000-0000-0000384C0000}"/>
    <cellStyle name="Normal 230 3 5" xfId="19513" xr:uid="{00000000-0005-0000-0000-0000394C0000}"/>
    <cellStyle name="Normal 230 4" xfId="19514" xr:uid="{00000000-0005-0000-0000-00003A4C0000}"/>
    <cellStyle name="Normal 230 4 2" xfId="19515" xr:uid="{00000000-0005-0000-0000-00003B4C0000}"/>
    <cellStyle name="Normal 230 4 2 2" xfId="19516" xr:uid="{00000000-0005-0000-0000-00003C4C0000}"/>
    <cellStyle name="Normal 230 4 2 2 2" xfId="19517" xr:uid="{00000000-0005-0000-0000-00003D4C0000}"/>
    <cellStyle name="Normal 230 4 2 3" xfId="19518" xr:uid="{00000000-0005-0000-0000-00003E4C0000}"/>
    <cellStyle name="Normal 230 4 2 3 2" xfId="19519" xr:uid="{00000000-0005-0000-0000-00003F4C0000}"/>
    <cellStyle name="Normal 230 4 2 3 2 2" xfId="19520" xr:uid="{00000000-0005-0000-0000-0000404C0000}"/>
    <cellStyle name="Normal 230 4 2 3 3" xfId="19521" xr:uid="{00000000-0005-0000-0000-0000414C0000}"/>
    <cellStyle name="Normal 230 4 2 4" xfId="19522" xr:uid="{00000000-0005-0000-0000-0000424C0000}"/>
    <cellStyle name="Normal 230 4 3" xfId="19523" xr:uid="{00000000-0005-0000-0000-0000434C0000}"/>
    <cellStyle name="Normal 230 4 3 2" xfId="19524" xr:uid="{00000000-0005-0000-0000-0000444C0000}"/>
    <cellStyle name="Normal 230 4 3 2 2" xfId="19525" xr:uid="{00000000-0005-0000-0000-0000454C0000}"/>
    <cellStyle name="Normal 230 4 3 3" xfId="19526" xr:uid="{00000000-0005-0000-0000-0000464C0000}"/>
    <cellStyle name="Normal 230 4 4" xfId="19527" xr:uid="{00000000-0005-0000-0000-0000474C0000}"/>
    <cellStyle name="Normal 230 4 4 2" xfId="19528" xr:uid="{00000000-0005-0000-0000-0000484C0000}"/>
    <cellStyle name="Normal 230 4 4 2 2" xfId="19529" xr:uid="{00000000-0005-0000-0000-0000494C0000}"/>
    <cellStyle name="Normal 230 4 4 3" xfId="19530" xr:uid="{00000000-0005-0000-0000-00004A4C0000}"/>
    <cellStyle name="Normal 230 4 5" xfId="19531" xr:uid="{00000000-0005-0000-0000-00004B4C0000}"/>
    <cellStyle name="Normal 230 4 5 2" xfId="19532" xr:uid="{00000000-0005-0000-0000-00004C4C0000}"/>
    <cellStyle name="Normal 230 4 5 2 2" xfId="19533" xr:uid="{00000000-0005-0000-0000-00004D4C0000}"/>
    <cellStyle name="Normal 230 4 5 3" xfId="19534" xr:uid="{00000000-0005-0000-0000-00004E4C0000}"/>
    <cellStyle name="Normal 230 4 6" xfId="19535" xr:uid="{00000000-0005-0000-0000-00004F4C0000}"/>
    <cellStyle name="Normal 230 5" xfId="19536" xr:uid="{00000000-0005-0000-0000-0000504C0000}"/>
    <cellStyle name="Normal 230 5 2" xfId="19537" xr:uid="{00000000-0005-0000-0000-0000514C0000}"/>
    <cellStyle name="Normal 230 5 2 2" xfId="19538" xr:uid="{00000000-0005-0000-0000-0000524C0000}"/>
    <cellStyle name="Normal 230 5 3" xfId="19539" xr:uid="{00000000-0005-0000-0000-0000534C0000}"/>
    <cellStyle name="Normal 230 6" xfId="19540" xr:uid="{00000000-0005-0000-0000-0000544C0000}"/>
    <cellStyle name="Normal 230 6 2" xfId="19541" xr:uid="{00000000-0005-0000-0000-0000554C0000}"/>
    <cellStyle name="Normal 230 6 2 2" xfId="19542" xr:uid="{00000000-0005-0000-0000-0000564C0000}"/>
    <cellStyle name="Normal 230 6 3" xfId="19543" xr:uid="{00000000-0005-0000-0000-0000574C0000}"/>
    <cellStyle name="Normal 230 7" xfId="19544" xr:uid="{00000000-0005-0000-0000-0000584C0000}"/>
    <cellStyle name="Normal 230 7 2" xfId="19545" xr:uid="{00000000-0005-0000-0000-0000594C0000}"/>
    <cellStyle name="Normal 230 7 2 2" xfId="19546" xr:uid="{00000000-0005-0000-0000-00005A4C0000}"/>
    <cellStyle name="Normal 230 7 3" xfId="19547" xr:uid="{00000000-0005-0000-0000-00005B4C0000}"/>
    <cellStyle name="Normal 230 8" xfId="19548" xr:uid="{00000000-0005-0000-0000-00005C4C0000}"/>
    <cellStyle name="Normal 231" xfId="19549" xr:uid="{00000000-0005-0000-0000-00005D4C0000}"/>
    <cellStyle name="Normal 231 2" xfId="19550" xr:uid="{00000000-0005-0000-0000-00005E4C0000}"/>
    <cellStyle name="Normal 231 2 2" xfId="19551" xr:uid="{00000000-0005-0000-0000-00005F4C0000}"/>
    <cellStyle name="Normal 231 2 2 2" xfId="19552" xr:uid="{00000000-0005-0000-0000-0000604C0000}"/>
    <cellStyle name="Normal 231 2 2 2 2" xfId="19553" xr:uid="{00000000-0005-0000-0000-0000614C0000}"/>
    <cellStyle name="Normal 231 2 2 3" xfId="19554" xr:uid="{00000000-0005-0000-0000-0000624C0000}"/>
    <cellStyle name="Normal 231 2 2 3 2" xfId="19555" xr:uid="{00000000-0005-0000-0000-0000634C0000}"/>
    <cellStyle name="Normal 231 2 2 3 2 2" xfId="19556" xr:uid="{00000000-0005-0000-0000-0000644C0000}"/>
    <cellStyle name="Normal 231 2 2 3 3" xfId="19557" xr:uid="{00000000-0005-0000-0000-0000654C0000}"/>
    <cellStyle name="Normal 231 2 2 4" xfId="19558" xr:uid="{00000000-0005-0000-0000-0000664C0000}"/>
    <cellStyle name="Normal 231 2 2 4 2" xfId="19559" xr:uid="{00000000-0005-0000-0000-0000674C0000}"/>
    <cellStyle name="Normal 231 2 2 4 2 2" xfId="19560" xr:uid="{00000000-0005-0000-0000-0000684C0000}"/>
    <cellStyle name="Normal 231 2 2 4 3" xfId="19561" xr:uid="{00000000-0005-0000-0000-0000694C0000}"/>
    <cellStyle name="Normal 231 2 2 5" xfId="19562" xr:uid="{00000000-0005-0000-0000-00006A4C0000}"/>
    <cellStyle name="Normal 231 2 3" xfId="19563" xr:uid="{00000000-0005-0000-0000-00006B4C0000}"/>
    <cellStyle name="Normal 231 2 3 2" xfId="19564" xr:uid="{00000000-0005-0000-0000-00006C4C0000}"/>
    <cellStyle name="Normal 231 2 3 2 2" xfId="19565" xr:uid="{00000000-0005-0000-0000-00006D4C0000}"/>
    <cellStyle name="Normal 231 2 3 2 2 2" xfId="19566" xr:uid="{00000000-0005-0000-0000-00006E4C0000}"/>
    <cellStyle name="Normal 231 2 3 2 3" xfId="19567" xr:uid="{00000000-0005-0000-0000-00006F4C0000}"/>
    <cellStyle name="Normal 231 2 3 2 3 2" xfId="19568" xr:uid="{00000000-0005-0000-0000-0000704C0000}"/>
    <cellStyle name="Normal 231 2 3 2 3 2 2" xfId="19569" xr:uid="{00000000-0005-0000-0000-0000714C0000}"/>
    <cellStyle name="Normal 231 2 3 2 3 3" xfId="19570" xr:uid="{00000000-0005-0000-0000-0000724C0000}"/>
    <cellStyle name="Normal 231 2 3 2 4" xfId="19571" xr:uid="{00000000-0005-0000-0000-0000734C0000}"/>
    <cellStyle name="Normal 231 2 3 3" xfId="19572" xr:uid="{00000000-0005-0000-0000-0000744C0000}"/>
    <cellStyle name="Normal 231 2 3 3 2" xfId="19573" xr:uid="{00000000-0005-0000-0000-0000754C0000}"/>
    <cellStyle name="Normal 231 2 3 3 2 2" xfId="19574" xr:uid="{00000000-0005-0000-0000-0000764C0000}"/>
    <cellStyle name="Normal 231 2 3 3 3" xfId="19575" xr:uid="{00000000-0005-0000-0000-0000774C0000}"/>
    <cellStyle name="Normal 231 2 3 4" xfId="19576" xr:uid="{00000000-0005-0000-0000-0000784C0000}"/>
    <cellStyle name="Normal 231 2 3 4 2" xfId="19577" xr:uid="{00000000-0005-0000-0000-0000794C0000}"/>
    <cellStyle name="Normal 231 2 3 4 2 2" xfId="19578" xr:uid="{00000000-0005-0000-0000-00007A4C0000}"/>
    <cellStyle name="Normal 231 2 3 4 3" xfId="19579" xr:uid="{00000000-0005-0000-0000-00007B4C0000}"/>
    <cellStyle name="Normal 231 2 3 5" xfId="19580" xr:uid="{00000000-0005-0000-0000-00007C4C0000}"/>
    <cellStyle name="Normal 231 2 3 5 2" xfId="19581" xr:uid="{00000000-0005-0000-0000-00007D4C0000}"/>
    <cellStyle name="Normal 231 2 3 5 2 2" xfId="19582" xr:uid="{00000000-0005-0000-0000-00007E4C0000}"/>
    <cellStyle name="Normal 231 2 3 5 3" xfId="19583" xr:uid="{00000000-0005-0000-0000-00007F4C0000}"/>
    <cellStyle name="Normal 231 2 3 6" xfId="19584" xr:uid="{00000000-0005-0000-0000-0000804C0000}"/>
    <cellStyle name="Normal 231 2 4" xfId="19585" xr:uid="{00000000-0005-0000-0000-0000814C0000}"/>
    <cellStyle name="Normal 231 2 4 2" xfId="19586" xr:uid="{00000000-0005-0000-0000-0000824C0000}"/>
    <cellStyle name="Normal 231 2 4 2 2" xfId="19587" xr:uid="{00000000-0005-0000-0000-0000834C0000}"/>
    <cellStyle name="Normal 231 2 4 3" xfId="19588" xr:uid="{00000000-0005-0000-0000-0000844C0000}"/>
    <cellStyle name="Normal 231 2 5" xfId="19589" xr:uid="{00000000-0005-0000-0000-0000854C0000}"/>
    <cellStyle name="Normal 231 2 5 2" xfId="19590" xr:uid="{00000000-0005-0000-0000-0000864C0000}"/>
    <cellStyle name="Normal 231 2 5 2 2" xfId="19591" xr:uid="{00000000-0005-0000-0000-0000874C0000}"/>
    <cellStyle name="Normal 231 2 5 3" xfId="19592" xr:uid="{00000000-0005-0000-0000-0000884C0000}"/>
    <cellStyle name="Normal 231 2 6" xfId="19593" xr:uid="{00000000-0005-0000-0000-0000894C0000}"/>
    <cellStyle name="Normal 231 2 6 2" xfId="19594" xr:uid="{00000000-0005-0000-0000-00008A4C0000}"/>
    <cellStyle name="Normal 231 2 6 2 2" xfId="19595" xr:uid="{00000000-0005-0000-0000-00008B4C0000}"/>
    <cellStyle name="Normal 231 2 6 3" xfId="19596" xr:uid="{00000000-0005-0000-0000-00008C4C0000}"/>
    <cellStyle name="Normal 231 2 7" xfId="19597" xr:uid="{00000000-0005-0000-0000-00008D4C0000}"/>
    <cellStyle name="Normal 231 3" xfId="19598" xr:uid="{00000000-0005-0000-0000-00008E4C0000}"/>
    <cellStyle name="Normal 231 3 2" xfId="19599" xr:uid="{00000000-0005-0000-0000-00008F4C0000}"/>
    <cellStyle name="Normal 231 3 2 2" xfId="19600" xr:uid="{00000000-0005-0000-0000-0000904C0000}"/>
    <cellStyle name="Normal 231 3 3" xfId="19601" xr:uid="{00000000-0005-0000-0000-0000914C0000}"/>
    <cellStyle name="Normal 231 3 3 2" xfId="19602" xr:uid="{00000000-0005-0000-0000-0000924C0000}"/>
    <cellStyle name="Normal 231 3 3 2 2" xfId="19603" xr:uid="{00000000-0005-0000-0000-0000934C0000}"/>
    <cellStyle name="Normal 231 3 3 3" xfId="19604" xr:uid="{00000000-0005-0000-0000-0000944C0000}"/>
    <cellStyle name="Normal 231 3 4" xfId="19605" xr:uid="{00000000-0005-0000-0000-0000954C0000}"/>
    <cellStyle name="Normal 231 3 4 2" xfId="19606" xr:uid="{00000000-0005-0000-0000-0000964C0000}"/>
    <cellStyle name="Normal 231 3 4 2 2" xfId="19607" xr:uid="{00000000-0005-0000-0000-0000974C0000}"/>
    <cellStyle name="Normal 231 3 4 3" xfId="19608" xr:uid="{00000000-0005-0000-0000-0000984C0000}"/>
    <cellStyle name="Normal 231 3 5" xfId="19609" xr:uid="{00000000-0005-0000-0000-0000994C0000}"/>
    <cellStyle name="Normal 231 4" xfId="19610" xr:uid="{00000000-0005-0000-0000-00009A4C0000}"/>
    <cellStyle name="Normal 231 4 2" xfId="19611" xr:uid="{00000000-0005-0000-0000-00009B4C0000}"/>
    <cellStyle name="Normal 231 4 2 2" xfId="19612" xr:uid="{00000000-0005-0000-0000-00009C4C0000}"/>
    <cellStyle name="Normal 231 4 2 2 2" xfId="19613" xr:uid="{00000000-0005-0000-0000-00009D4C0000}"/>
    <cellStyle name="Normal 231 4 2 3" xfId="19614" xr:uid="{00000000-0005-0000-0000-00009E4C0000}"/>
    <cellStyle name="Normal 231 4 2 3 2" xfId="19615" xr:uid="{00000000-0005-0000-0000-00009F4C0000}"/>
    <cellStyle name="Normal 231 4 2 3 2 2" xfId="19616" xr:uid="{00000000-0005-0000-0000-0000A04C0000}"/>
    <cellStyle name="Normal 231 4 2 3 3" xfId="19617" xr:uid="{00000000-0005-0000-0000-0000A14C0000}"/>
    <cellStyle name="Normal 231 4 2 4" xfId="19618" xr:uid="{00000000-0005-0000-0000-0000A24C0000}"/>
    <cellStyle name="Normal 231 4 3" xfId="19619" xr:uid="{00000000-0005-0000-0000-0000A34C0000}"/>
    <cellStyle name="Normal 231 4 3 2" xfId="19620" xr:uid="{00000000-0005-0000-0000-0000A44C0000}"/>
    <cellStyle name="Normal 231 4 3 2 2" xfId="19621" xr:uid="{00000000-0005-0000-0000-0000A54C0000}"/>
    <cellStyle name="Normal 231 4 3 3" xfId="19622" xr:uid="{00000000-0005-0000-0000-0000A64C0000}"/>
    <cellStyle name="Normal 231 4 4" xfId="19623" xr:uid="{00000000-0005-0000-0000-0000A74C0000}"/>
    <cellStyle name="Normal 231 4 4 2" xfId="19624" xr:uid="{00000000-0005-0000-0000-0000A84C0000}"/>
    <cellStyle name="Normal 231 4 4 2 2" xfId="19625" xr:uid="{00000000-0005-0000-0000-0000A94C0000}"/>
    <cellStyle name="Normal 231 4 4 3" xfId="19626" xr:uid="{00000000-0005-0000-0000-0000AA4C0000}"/>
    <cellStyle name="Normal 231 4 5" xfId="19627" xr:uid="{00000000-0005-0000-0000-0000AB4C0000}"/>
    <cellStyle name="Normal 231 4 5 2" xfId="19628" xr:uid="{00000000-0005-0000-0000-0000AC4C0000}"/>
    <cellStyle name="Normal 231 4 5 2 2" xfId="19629" xr:uid="{00000000-0005-0000-0000-0000AD4C0000}"/>
    <cellStyle name="Normal 231 4 5 3" xfId="19630" xr:uid="{00000000-0005-0000-0000-0000AE4C0000}"/>
    <cellStyle name="Normal 231 4 6" xfId="19631" xr:uid="{00000000-0005-0000-0000-0000AF4C0000}"/>
    <cellStyle name="Normal 231 5" xfId="19632" xr:uid="{00000000-0005-0000-0000-0000B04C0000}"/>
    <cellStyle name="Normal 231 5 2" xfId="19633" xr:uid="{00000000-0005-0000-0000-0000B14C0000}"/>
    <cellStyle name="Normal 231 5 2 2" xfId="19634" xr:uid="{00000000-0005-0000-0000-0000B24C0000}"/>
    <cellStyle name="Normal 231 5 3" xfId="19635" xr:uid="{00000000-0005-0000-0000-0000B34C0000}"/>
    <cellStyle name="Normal 231 6" xfId="19636" xr:uid="{00000000-0005-0000-0000-0000B44C0000}"/>
    <cellStyle name="Normal 231 6 2" xfId="19637" xr:uid="{00000000-0005-0000-0000-0000B54C0000}"/>
    <cellStyle name="Normal 231 6 2 2" xfId="19638" xr:uid="{00000000-0005-0000-0000-0000B64C0000}"/>
    <cellStyle name="Normal 231 6 3" xfId="19639" xr:uid="{00000000-0005-0000-0000-0000B74C0000}"/>
    <cellStyle name="Normal 231 7" xfId="19640" xr:uid="{00000000-0005-0000-0000-0000B84C0000}"/>
    <cellStyle name="Normal 231 7 2" xfId="19641" xr:uid="{00000000-0005-0000-0000-0000B94C0000}"/>
    <cellStyle name="Normal 231 7 2 2" xfId="19642" xr:uid="{00000000-0005-0000-0000-0000BA4C0000}"/>
    <cellStyle name="Normal 231 7 3" xfId="19643" xr:uid="{00000000-0005-0000-0000-0000BB4C0000}"/>
    <cellStyle name="Normal 231 8" xfId="19644" xr:uid="{00000000-0005-0000-0000-0000BC4C0000}"/>
    <cellStyle name="Normal 232" xfId="19645" xr:uid="{00000000-0005-0000-0000-0000BD4C0000}"/>
    <cellStyle name="Normal 232 2" xfId="19646" xr:uid="{00000000-0005-0000-0000-0000BE4C0000}"/>
    <cellStyle name="Normal 232 2 2" xfId="19647" xr:uid="{00000000-0005-0000-0000-0000BF4C0000}"/>
    <cellStyle name="Normal 232 2 2 2" xfId="19648" xr:uid="{00000000-0005-0000-0000-0000C04C0000}"/>
    <cellStyle name="Normal 232 2 2 2 2" xfId="19649" xr:uid="{00000000-0005-0000-0000-0000C14C0000}"/>
    <cellStyle name="Normal 232 2 2 3" xfId="19650" xr:uid="{00000000-0005-0000-0000-0000C24C0000}"/>
    <cellStyle name="Normal 232 2 2 3 2" xfId="19651" xr:uid="{00000000-0005-0000-0000-0000C34C0000}"/>
    <cellStyle name="Normal 232 2 2 3 2 2" xfId="19652" xr:uid="{00000000-0005-0000-0000-0000C44C0000}"/>
    <cellStyle name="Normal 232 2 2 3 3" xfId="19653" xr:uid="{00000000-0005-0000-0000-0000C54C0000}"/>
    <cellStyle name="Normal 232 2 2 4" xfId="19654" xr:uid="{00000000-0005-0000-0000-0000C64C0000}"/>
    <cellStyle name="Normal 232 2 2 4 2" xfId="19655" xr:uid="{00000000-0005-0000-0000-0000C74C0000}"/>
    <cellStyle name="Normal 232 2 2 4 2 2" xfId="19656" xr:uid="{00000000-0005-0000-0000-0000C84C0000}"/>
    <cellStyle name="Normal 232 2 2 4 3" xfId="19657" xr:uid="{00000000-0005-0000-0000-0000C94C0000}"/>
    <cellStyle name="Normal 232 2 2 5" xfId="19658" xr:uid="{00000000-0005-0000-0000-0000CA4C0000}"/>
    <cellStyle name="Normal 232 2 3" xfId="19659" xr:uid="{00000000-0005-0000-0000-0000CB4C0000}"/>
    <cellStyle name="Normal 232 2 3 2" xfId="19660" xr:uid="{00000000-0005-0000-0000-0000CC4C0000}"/>
    <cellStyle name="Normal 232 2 3 2 2" xfId="19661" xr:uid="{00000000-0005-0000-0000-0000CD4C0000}"/>
    <cellStyle name="Normal 232 2 3 2 2 2" xfId="19662" xr:uid="{00000000-0005-0000-0000-0000CE4C0000}"/>
    <cellStyle name="Normal 232 2 3 2 3" xfId="19663" xr:uid="{00000000-0005-0000-0000-0000CF4C0000}"/>
    <cellStyle name="Normal 232 2 3 2 3 2" xfId="19664" xr:uid="{00000000-0005-0000-0000-0000D04C0000}"/>
    <cellStyle name="Normal 232 2 3 2 3 2 2" xfId="19665" xr:uid="{00000000-0005-0000-0000-0000D14C0000}"/>
    <cellStyle name="Normal 232 2 3 2 3 3" xfId="19666" xr:uid="{00000000-0005-0000-0000-0000D24C0000}"/>
    <cellStyle name="Normal 232 2 3 2 4" xfId="19667" xr:uid="{00000000-0005-0000-0000-0000D34C0000}"/>
    <cellStyle name="Normal 232 2 3 3" xfId="19668" xr:uid="{00000000-0005-0000-0000-0000D44C0000}"/>
    <cellStyle name="Normal 232 2 3 3 2" xfId="19669" xr:uid="{00000000-0005-0000-0000-0000D54C0000}"/>
    <cellStyle name="Normal 232 2 3 3 2 2" xfId="19670" xr:uid="{00000000-0005-0000-0000-0000D64C0000}"/>
    <cellStyle name="Normal 232 2 3 3 3" xfId="19671" xr:uid="{00000000-0005-0000-0000-0000D74C0000}"/>
    <cellStyle name="Normal 232 2 3 4" xfId="19672" xr:uid="{00000000-0005-0000-0000-0000D84C0000}"/>
    <cellStyle name="Normal 232 2 3 4 2" xfId="19673" xr:uid="{00000000-0005-0000-0000-0000D94C0000}"/>
    <cellStyle name="Normal 232 2 3 4 2 2" xfId="19674" xr:uid="{00000000-0005-0000-0000-0000DA4C0000}"/>
    <cellStyle name="Normal 232 2 3 4 3" xfId="19675" xr:uid="{00000000-0005-0000-0000-0000DB4C0000}"/>
    <cellStyle name="Normal 232 2 3 5" xfId="19676" xr:uid="{00000000-0005-0000-0000-0000DC4C0000}"/>
    <cellStyle name="Normal 232 2 3 5 2" xfId="19677" xr:uid="{00000000-0005-0000-0000-0000DD4C0000}"/>
    <cellStyle name="Normal 232 2 3 5 2 2" xfId="19678" xr:uid="{00000000-0005-0000-0000-0000DE4C0000}"/>
    <cellStyle name="Normal 232 2 3 5 3" xfId="19679" xr:uid="{00000000-0005-0000-0000-0000DF4C0000}"/>
    <cellStyle name="Normal 232 2 3 6" xfId="19680" xr:uid="{00000000-0005-0000-0000-0000E04C0000}"/>
    <cellStyle name="Normal 232 2 4" xfId="19681" xr:uid="{00000000-0005-0000-0000-0000E14C0000}"/>
    <cellStyle name="Normal 232 2 4 2" xfId="19682" xr:uid="{00000000-0005-0000-0000-0000E24C0000}"/>
    <cellStyle name="Normal 232 2 4 2 2" xfId="19683" xr:uid="{00000000-0005-0000-0000-0000E34C0000}"/>
    <cellStyle name="Normal 232 2 4 3" xfId="19684" xr:uid="{00000000-0005-0000-0000-0000E44C0000}"/>
    <cellStyle name="Normal 232 2 5" xfId="19685" xr:uid="{00000000-0005-0000-0000-0000E54C0000}"/>
    <cellStyle name="Normal 232 2 5 2" xfId="19686" xr:uid="{00000000-0005-0000-0000-0000E64C0000}"/>
    <cellStyle name="Normal 232 2 5 2 2" xfId="19687" xr:uid="{00000000-0005-0000-0000-0000E74C0000}"/>
    <cellStyle name="Normal 232 2 5 3" xfId="19688" xr:uid="{00000000-0005-0000-0000-0000E84C0000}"/>
    <cellStyle name="Normal 232 2 6" xfId="19689" xr:uid="{00000000-0005-0000-0000-0000E94C0000}"/>
    <cellStyle name="Normal 232 2 6 2" xfId="19690" xr:uid="{00000000-0005-0000-0000-0000EA4C0000}"/>
    <cellStyle name="Normal 232 2 6 2 2" xfId="19691" xr:uid="{00000000-0005-0000-0000-0000EB4C0000}"/>
    <cellStyle name="Normal 232 2 6 3" xfId="19692" xr:uid="{00000000-0005-0000-0000-0000EC4C0000}"/>
    <cellStyle name="Normal 232 2 7" xfId="19693" xr:uid="{00000000-0005-0000-0000-0000ED4C0000}"/>
    <cellStyle name="Normal 232 3" xfId="19694" xr:uid="{00000000-0005-0000-0000-0000EE4C0000}"/>
    <cellStyle name="Normal 232 3 2" xfId="19695" xr:uid="{00000000-0005-0000-0000-0000EF4C0000}"/>
    <cellStyle name="Normal 232 3 2 2" xfId="19696" xr:uid="{00000000-0005-0000-0000-0000F04C0000}"/>
    <cellStyle name="Normal 232 3 3" xfId="19697" xr:uid="{00000000-0005-0000-0000-0000F14C0000}"/>
    <cellStyle name="Normal 232 3 3 2" xfId="19698" xr:uid="{00000000-0005-0000-0000-0000F24C0000}"/>
    <cellStyle name="Normal 232 3 3 2 2" xfId="19699" xr:uid="{00000000-0005-0000-0000-0000F34C0000}"/>
    <cellStyle name="Normal 232 3 3 3" xfId="19700" xr:uid="{00000000-0005-0000-0000-0000F44C0000}"/>
    <cellStyle name="Normal 232 3 4" xfId="19701" xr:uid="{00000000-0005-0000-0000-0000F54C0000}"/>
    <cellStyle name="Normal 232 3 4 2" xfId="19702" xr:uid="{00000000-0005-0000-0000-0000F64C0000}"/>
    <cellStyle name="Normal 232 3 4 2 2" xfId="19703" xr:uid="{00000000-0005-0000-0000-0000F74C0000}"/>
    <cellStyle name="Normal 232 3 4 3" xfId="19704" xr:uid="{00000000-0005-0000-0000-0000F84C0000}"/>
    <cellStyle name="Normal 232 3 5" xfId="19705" xr:uid="{00000000-0005-0000-0000-0000F94C0000}"/>
    <cellStyle name="Normal 232 4" xfId="19706" xr:uid="{00000000-0005-0000-0000-0000FA4C0000}"/>
    <cellStyle name="Normal 232 4 2" xfId="19707" xr:uid="{00000000-0005-0000-0000-0000FB4C0000}"/>
    <cellStyle name="Normal 232 4 2 2" xfId="19708" xr:uid="{00000000-0005-0000-0000-0000FC4C0000}"/>
    <cellStyle name="Normal 232 4 2 2 2" xfId="19709" xr:uid="{00000000-0005-0000-0000-0000FD4C0000}"/>
    <cellStyle name="Normal 232 4 2 3" xfId="19710" xr:uid="{00000000-0005-0000-0000-0000FE4C0000}"/>
    <cellStyle name="Normal 232 4 2 3 2" xfId="19711" xr:uid="{00000000-0005-0000-0000-0000FF4C0000}"/>
    <cellStyle name="Normal 232 4 2 3 2 2" xfId="19712" xr:uid="{00000000-0005-0000-0000-0000004D0000}"/>
    <cellStyle name="Normal 232 4 2 3 3" xfId="19713" xr:uid="{00000000-0005-0000-0000-0000014D0000}"/>
    <cellStyle name="Normal 232 4 2 4" xfId="19714" xr:uid="{00000000-0005-0000-0000-0000024D0000}"/>
    <cellStyle name="Normal 232 4 3" xfId="19715" xr:uid="{00000000-0005-0000-0000-0000034D0000}"/>
    <cellStyle name="Normal 232 4 3 2" xfId="19716" xr:uid="{00000000-0005-0000-0000-0000044D0000}"/>
    <cellStyle name="Normal 232 4 3 2 2" xfId="19717" xr:uid="{00000000-0005-0000-0000-0000054D0000}"/>
    <cellStyle name="Normal 232 4 3 3" xfId="19718" xr:uid="{00000000-0005-0000-0000-0000064D0000}"/>
    <cellStyle name="Normal 232 4 4" xfId="19719" xr:uid="{00000000-0005-0000-0000-0000074D0000}"/>
    <cellStyle name="Normal 232 4 4 2" xfId="19720" xr:uid="{00000000-0005-0000-0000-0000084D0000}"/>
    <cellStyle name="Normal 232 4 4 2 2" xfId="19721" xr:uid="{00000000-0005-0000-0000-0000094D0000}"/>
    <cellStyle name="Normal 232 4 4 3" xfId="19722" xr:uid="{00000000-0005-0000-0000-00000A4D0000}"/>
    <cellStyle name="Normal 232 4 5" xfId="19723" xr:uid="{00000000-0005-0000-0000-00000B4D0000}"/>
    <cellStyle name="Normal 232 4 5 2" xfId="19724" xr:uid="{00000000-0005-0000-0000-00000C4D0000}"/>
    <cellStyle name="Normal 232 4 5 2 2" xfId="19725" xr:uid="{00000000-0005-0000-0000-00000D4D0000}"/>
    <cellStyle name="Normal 232 4 5 3" xfId="19726" xr:uid="{00000000-0005-0000-0000-00000E4D0000}"/>
    <cellStyle name="Normal 232 4 6" xfId="19727" xr:uid="{00000000-0005-0000-0000-00000F4D0000}"/>
    <cellStyle name="Normal 232 5" xfId="19728" xr:uid="{00000000-0005-0000-0000-0000104D0000}"/>
    <cellStyle name="Normal 232 5 2" xfId="19729" xr:uid="{00000000-0005-0000-0000-0000114D0000}"/>
    <cellStyle name="Normal 232 5 2 2" xfId="19730" xr:uid="{00000000-0005-0000-0000-0000124D0000}"/>
    <cellStyle name="Normal 232 5 3" xfId="19731" xr:uid="{00000000-0005-0000-0000-0000134D0000}"/>
    <cellStyle name="Normal 232 6" xfId="19732" xr:uid="{00000000-0005-0000-0000-0000144D0000}"/>
    <cellStyle name="Normal 232 6 2" xfId="19733" xr:uid="{00000000-0005-0000-0000-0000154D0000}"/>
    <cellStyle name="Normal 232 6 2 2" xfId="19734" xr:uid="{00000000-0005-0000-0000-0000164D0000}"/>
    <cellStyle name="Normal 232 6 3" xfId="19735" xr:uid="{00000000-0005-0000-0000-0000174D0000}"/>
    <cellStyle name="Normal 232 7" xfId="19736" xr:uid="{00000000-0005-0000-0000-0000184D0000}"/>
    <cellStyle name="Normal 232 7 2" xfId="19737" xr:uid="{00000000-0005-0000-0000-0000194D0000}"/>
    <cellStyle name="Normal 232 7 2 2" xfId="19738" xr:uid="{00000000-0005-0000-0000-00001A4D0000}"/>
    <cellStyle name="Normal 232 7 3" xfId="19739" xr:uid="{00000000-0005-0000-0000-00001B4D0000}"/>
    <cellStyle name="Normal 232 8" xfId="19740" xr:uid="{00000000-0005-0000-0000-00001C4D0000}"/>
    <cellStyle name="Normal 233" xfId="19741" xr:uid="{00000000-0005-0000-0000-00001D4D0000}"/>
    <cellStyle name="Normal 233 2" xfId="19742" xr:uid="{00000000-0005-0000-0000-00001E4D0000}"/>
    <cellStyle name="Normal 233 2 2" xfId="19743" xr:uid="{00000000-0005-0000-0000-00001F4D0000}"/>
    <cellStyle name="Normal 233 2 2 2" xfId="19744" xr:uid="{00000000-0005-0000-0000-0000204D0000}"/>
    <cellStyle name="Normal 233 2 2 2 2" xfId="19745" xr:uid="{00000000-0005-0000-0000-0000214D0000}"/>
    <cellStyle name="Normal 233 2 2 3" xfId="19746" xr:uid="{00000000-0005-0000-0000-0000224D0000}"/>
    <cellStyle name="Normal 233 2 2 3 2" xfId="19747" xr:uid="{00000000-0005-0000-0000-0000234D0000}"/>
    <cellStyle name="Normal 233 2 2 3 2 2" xfId="19748" xr:uid="{00000000-0005-0000-0000-0000244D0000}"/>
    <cellStyle name="Normal 233 2 2 3 3" xfId="19749" xr:uid="{00000000-0005-0000-0000-0000254D0000}"/>
    <cellStyle name="Normal 233 2 2 4" xfId="19750" xr:uid="{00000000-0005-0000-0000-0000264D0000}"/>
    <cellStyle name="Normal 233 2 2 4 2" xfId="19751" xr:uid="{00000000-0005-0000-0000-0000274D0000}"/>
    <cellStyle name="Normal 233 2 2 4 2 2" xfId="19752" xr:uid="{00000000-0005-0000-0000-0000284D0000}"/>
    <cellStyle name="Normal 233 2 2 4 3" xfId="19753" xr:uid="{00000000-0005-0000-0000-0000294D0000}"/>
    <cellStyle name="Normal 233 2 2 5" xfId="19754" xr:uid="{00000000-0005-0000-0000-00002A4D0000}"/>
    <cellStyle name="Normal 233 2 3" xfId="19755" xr:uid="{00000000-0005-0000-0000-00002B4D0000}"/>
    <cellStyle name="Normal 233 2 3 2" xfId="19756" xr:uid="{00000000-0005-0000-0000-00002C4D0000}"/>
    <cellStyle name="Normal 233 2 3 2 2" xfId="19757" xr:uid="{00000000-0005-0000-0000-00002D4D0000}"/>
    <cellStyle name="Normal 233 2 3 2 2 2" xfId="19758" xr:uid="{00000000-0005-0000-0000-00002E4D0000}"/>
    <cellStyle name="Normal 233 2 3 2 3" xfId="19759" xr:uid="{00000000-0005-0000-0000-00002F4D0000}"/>
    <cellStyle name="Normal 233 2 3 2 3 2" xfId="19760" xr:uid="{00000000-0005-0000-0000-0000304D0000}"/>
    <cellStyle name="Normal 233 2 3 2 3 2 2" xfId="19761" xr:uid="{00000000-0005-0000-0000-0000314D0000}"/>
    <cellStyle name="Normal 233 2 3 2 3 3" xfId="19762" xr:uid="{00000000-0005-0000-0000-0000324D0000}"/>
    <cellStyle name="Normal 233 2 3 2 4" xfId="19763" xr:uid="{00000000-0005-0000-0000-0000334D0000}"/>
    <cellStyle name="Normal 233 2 3 3" xfId="19764" xr:uid="{00000000-0005-0000-0000-0000344D0000}"/>
    <cellStyle name="Normal 233 2 3 3 2" xfId="19765" xr:uid="{00000000-0005-0000-0000-0000354D0000}"/>
    <cellStyle name="Normal 233 2 3 3 2 2" xfId="19766" xr:uid="{00000000-0005-0000-0000-0000364D0000}"/>
    <cellStyle name="Normal 233 2 3 3 3" xfId="19767" xr:uid="{00000000-0005-0000-0000-0000374D0000}"/>
    <cellStyle name="Normal 233 2 3 4" xfId="19768" xr:uid="{00000000-0005-0000-0000-0000384D0000}"/>
    <cellStyle name="Normal 233 2 3 4 2" xfId="19769" xr:uid="{00000000-0005-0000-0000-0000394D0000}"/>
    <cellStyle name="Normal 233 2 3 4 2 2" xfId="19770" xr:uid="{00000000-0005-0000-0000-00003A4D0000}"/>
    <cellStyle name="Normal 233 2 3 4 3" xfId="19771" xr:uid="{00000000-0005-0000-0000-00003B4D0000}"/>
    <cellStyle name="Normal 233 2 3 5" xfId="19772" xr:uid="{00000000-0005-0000-0000-00003C4D0000}"/>
    <cellStyle name="Normal 233 2 3 5 2" xfId="19773" xr:uid="{00000000-0005-0000-0000-00003D4D0000}"/>
    <cellStyle name="Normal 233 2 3 5 2 2" xfId="19774" xr:uid="{00000000-0005-0000-0000-00003E4D0000}"/>
    <cellStyle name="Normal 233 2 3 5 3" xfId="19775" xr:uid="{00000000-0005-0000-0000-00003F4D0000}"/>
    <cellStyle name="Normal 233 2 3 6" xfId="19776" xr:uid="{00000000-0005-0000-0000-0000404D0000}"/>
    <cellStyle name="Normal 233 2 4" xfId="19777" xr:uid="{00000000-0005-0000-0000-0000414D0000}"/>
    <cellStyle name="Normal 233 2 4 2" xfId="19778" xr:uid="{00000000-0005-0000-0000-0000424D0000}"/>
    <cellStyle name="Normal 233 2 4 2 2" xfId="19779" xr:uid="{00000000-0005-0000-0000-0000434D0000}"/>
    <cellStyle name="Normal 233 2 4 3" xfId="19780" xr:uid="{00000000-0005-0000-0000-0000444D0000}"/>
    <cellStyle name="Normal 233 2 5" xfId="19781" xr:uid="{00000000-0005-0000-0000-0000454D0000}"/>
    <cellStyle name="Normal 233 2 5 2" xfId="19782" xr:uid="{00000000-0005-0000-0000-0000464D0000}"/>
    <cellStyle name="Normal 233 2 5 2 2" xfId="19783" xr:uid="{00000000-0005-0000-0000-0000474D0000}"/>
    <cellStyle name="Normal 233 2 5 3" xfId="19784" xr:uid="{00000000-0005-0000-0000-0000484D0000}"/>
    <cellStyle name="Normal 233 2 6" xfId="19785" xr:uid="{00000000-0005-0000-0000-0000494D0000}"/>
    <cellStyle name="Normal 233 2 6 2" xfId="19786" xr:uid="{00000000-0005-0000-0000-00004A4D0000}"/>
    <cellStyle name="Normal 233 2 6 2 2" xfId="19787" xr:uid="{00000000-0005-0000-0000-00004B4D0000}"/>
    <cellStyle name="Normal 233 2 6 3" xfId="19788" xr:uid="{00000000-0005-0000-0000-00004C4D0000}"/>
    <cellStyle name="Normal 233 2 7" xfId="19789" xr:uid="{00000000-0005-0000-0000-00004D4D0000}"/>
    <cellStyle name="Normal 233 3" xfId="19790" xr:uid="{00000000-0005-0000-0000-00004E4D0000}"/>
    <cellStyle name="Normal 233 3 2" xfId="19791" xr:uid="{00000000-0005-0000-0000-00004F4D0000}"/>
    <cellStyle name="Normal 233 3 2 2" xfId="19792" xr:uid="{00000000-0005-0000-0000-0000504D0000}"/>
    <cellStyle name="Normal 233 3 3" xfId="19793" xr:uid="{00000000-0005-0000-0000-0000514D0000}"/>
    <cellStyle name="Normal 233 3 3 2" xfId="19794" xr:uid="{00000000-0005-0000-0000-0000524D0000}"/>
    <cellStyle name="Normal 233 3 3 2 2" xfId="19795" xr:uid="{00000000-0005-0000-0000-0000534D0000}"/>
    <cellStyle name="Normal 233 3 3 3" xfId="19796" xr:uid="{00000000-0005-0000-0000-0000544D0000}"/>
    <cellStyle name="Normal 233 3 4" xfId="19797" xr:uid="{00000000-0005-0000-0000-0000554D0000}"/>
    <cellStyle name="Normal 233 3 4 2" xfId="19798" xr:uid="{00000000-0005-0000-0000-0000564D0000}"/>
    <cellStyle name="Normal 233 3 4 2 2" xfId="19799" xr:uid="{00000000-0005-0000-0000-0000574D0000}"/>
    <cellStyle name="Normal 233 3 4 3" xfId="19800" xr:uid="{00000000-0005-0000-0000-0000584D0000}"/>
    <cellStyle name="Normal 233 3 5" xfId="19801" xr:uid="{00000000-0005-0000-0000-0000594D0000}"/>
    <cellStyle name="Normal 233 4" xfId="19802" xr:uid="{00000000-0005-0000-0000-00005A4D0000}"/>
    <cellStyle name="Normal 233 4 2" xfId="19803" xr:uid="{00000000-0005-0000-0000-00005B4D0000}"/>
    <cellStyle name="Normal 233 4 2 2" xfId="19804" xr:uid="{00000000-0005-0000-0000-00005C4D0000}"/>
    <cellStyle name="Normal 233 4 2 2 2" xfId="19805" xr:uid="{00000000-0005-0000-0000-00005D4D0000}"/>
    <cellStyle name="Normal 233 4 2 3" xfId="19806" xr:uid="{00000000-0005-0000-0000-00005E4D0000}"/>
    <cellStyle name="Normal 233 4 2 3 2" xfId="19807" xr:uid="{00000000-0005-0000-0000-00005F4D0000}"/>
    <cellStyle name="Normal 233 4 2 3 2 2" xfId="19808" xr:uid="{00000000-0005-0000-0000-0000604D0000}"/>
    <cellStyle name="Normal 233 4 2 3 3" xfId="19809" xr:uid="{00000000-0005-0000-0000-0000614D0000}"/>
    <cellStyle name="Normal 233 4 2 4" xfId="19810" xr:uid="{00000000-0005-0000-0000-0000624D0000}"/>
    <cellStyle name="Normal 233 4 3" xfId="19811" xr:uid="{00000000-0005-0000-0000-0000634D0000}"/>
    <cellStyle name="Normal 233 4 3 2" xfId="19812" xr:uid="{00000000-0005-0000-0000-0000644D0000}"/>
    <cellStyle name="Normal 233 4 3 2 2" xfId="19813" xr:uid="{00000000-0005-0000-0000-0000654D0000}"/>
    <cellStyle name="Normal 233 4 3 3" xfId="19814" xr:uid="{00000000-0005-0000-0000-0000664D0000}"/>
    <cellStyle name="Normal 233 4 4" xfId="19815" xr:uid="{00000000-0005-0000-0000-0000674D0000}"/>
    <cellStyle name="Normal 233 4 4 2" xfId="19816" xr:uid="{00000000-0005-0000-0000-0000684D0000}"/>
    <cellStyle name="Normal 233 4 4 2 2" xfId="19817" xr:uid="{00000000-0005-0000-0000-0000694D0000}"/>
    <cellStyle name="Normal 233 4 4 3" xfId="19818" xr:uid="{00000000-0005-0000-0000-00006A4D0000}"/>
    <cellStyle name="Normal 233 4 5" xfId="19819" xr:uid="{00000000-0005-0000-0000-00006B4D0000}"/>
    <cellStyle name="Normal 233 4 5 2" xfId="19820" xr:uid="{00000000-0005-0000-0000-00006C4D0000}"/>
    <cellStyle name="Normal 233 4 5 2 2" xfId="19821" xr:uid="{00000000-0005-0000-0000-00006D4D0000}"/>
    <cellStyle name="Normal 233 4 5 3" xfId="19822" xr:uid="{00000000-0005-0000-0000-00006E4D0000}"/>
    <cellStyle name="Normal 233 4 6" xfId="19823" xr:uid="{00000000-0005-0000-0000-00006F4D0000}"/>
    <cellStyle name="Normal 233 5" xfId="19824" xr:uid="{00000000-0005-0000-0000-0000704D0000}"/>
    <cellStyle name="Normal 233 5 2" xfId="19825" xr:uid="{00000000-0005-0000-0000-0000714D0000}"/>
    <cellStyle name="Normal 233 5 2 2" xfId="19826" xr:uid="{00000000-0005-0000-0000-0000724D0000}"/>
    <cellStyle name="Normal 233 5 3" xfId="19827" xr:uid="{00000000-0005-0000-0000-0000734D0000}"/>
    <cellStyle name="Normal 233 6" xfId="19828" xr:uid="{00000000-0005-0000-0000-0000744D0000}"/>
    <cellStyle name="Normal 233 6 2" xfId="19829" xr:uid="{00000000-0005-0000-0000-0000754D0000}"/>
    <cellStyle name="Normal 233 6 2 2" xfId="19830" xr:uid="{00000000-0005-0000-0000-0000764D0000}"/>
    <cellStyle name="Normal 233 6 3" xfId="19831" xr:uid="{00000000-0005-0000-0000-0000774D0000}"/>
    <cellStyle name="Normal 233 7" xfId="19832" xr:uid="{00000000-0005-0000-0000-0000784D0000}"/>
    <cellStyle name="Normal 233 7 2" xfId="19833" xr:uid="{00000000-0005-0000-0000-0000794D0000}"/>
    <cellStyle name="Normal 233 7 2 2" xfId="19834" xr:uid="{00000000-0005-0000-0000-00007A4D0000}"/>
    <cellStyle name="Normal 233 7 3" xfId="19835" xr:uid="{00000000-0005-0000-0000-00007B4D0000}"/>
    <cellStyle name="Normal 233 8" xfId="19836" xr:uid="{00000000-0005-0000-0000-00007C4D0000}"/>
    <cellStyle name="Normal 234" xfId="19837" xr:uid="{00000000-0005-0000-0000-00007D4D0000}"/>
    <cellStyle name="Normal 234 2" xfId="19838" xr:uid="{00000000-0005-0000-0000-00007E4D0000}"/>
    <cellStyle name="Normal 234 2 2" xfId="19839" xr:uid="{00000000-0005-0000-0000-00007F4D0000}"/>
    <cellStyle name="Normal 234 2 2 2" xfId="19840" xr:uid="{00000000-0005-0000-0000-0000804D0000}"/>
    <cellStyle name="Normal 234 2 2 2 2" xfId="19841" xr:uid="{00000000-0005-0000-0000-0000814D0000}"/>
    <cellStyle name="Normal 234 2 2 3" xfId="19842" xr:uid="{00000000-0005-0000-0000-0000824D0000}"/>
    <cellStyle name="Normal 234 2 2 3 2" xfId="19843" xr:uid="{00000000-0005-0000-0000-0000834D0000}"/>
    <cellStyle name="Normal 234 2 2 3 2 2" xfId="19844" xr:uid="{00000000-0005-0000-0000-0000844D0000}"/>
    <cellStyle name="Normal 234 2 2 3 3" xfId="19845" xr:uid="{00000000-0005-0000-0000-0000854D0000}"/>
    <cellStyle name="Normal 234 2 2 4" xfId="19846" xr:uid="{00000000-0005-0000-0000-0000864D0000}"/>
    <cellStyle name="Normal 234 2 2 4 2" xfId="19847" xr:uid="{00000000-0005-0000-0000-0000874D0000}"/>
    <cellStyle name="Normal 234 2 2 4 2 2" xfId="19848" xr:uid="{00000000-0005-0000-0000-0000884D0000}"/>
    <cellStyle name="Normal 234 2 2 4 3" xfId="19849" xr:uid="{00000000-0005-0000-0000-0000894D0000}"/>
    <cellStyle name="Normal 234 2 2 5" xfId="19850" xr:uid="{00000000-0005-0000-0000-00008A4D0000}"/>
    <cellStyle name="Normal 234 2 3" xfId="19851" xr:uid="{00000000-0005-0000-0000-00008B4D0000}"/>
    <cellStyle name="Normal 234 2 3 2" xfId="19852" xr:uid="{00000000-0005-0000-0000-00008C4D0000}"/>
    <cellStyle name="Normal 234 2 3 2 2" xfId="19853" xr:uid="{00000000-0005-0000-0000-00008D4D0000}"/>
    <cellStyle name="Normal 234 2 3 2 2 2" xfId="19854" xr:uid="{00000000-0005-0000-0000-00008E4D0000}"/>
    <cellStyle name="Normal 234 2 3 2 3" xfId="19855" xr:uid="{00000000-0005-0000-0000-00008F4D0000}"/>
    <cellStyle name="Normal 234 2 3 2 3 2" xfId="19856" xr:uid="{00000000-0005-0000-0000-0000904D0000}"/>
    <cellStyle name="Normal 234 2 3 2 3 2 2" xfId="19857" xr:uid="{00000000-0005-0000-0000-0000914D0000}"/>
    <cellStyle name="Normal 234 2 3 2 3 3" xfId="19858" xr:uid="{00000000-0005-0000-0000-0000924D0000}"/>
    <cellStyle name="Normal 234 2 3 2 4" xfId="19859" xr:uid="{00000000-0005-0000-0000-0000934D0000}"/>
    <cellStyle name="Normal 234 2 3 3" xfId="19860" xr:uid="{00000000-0005-0000-0000-0000944D0000}"/>
    <cellStyle name="Normal 234 2 3 3 2" xfId="19861" xr:uid="{00000000-0005-0000-0000-0000954D0000}"/>
    <cellStyle name="Normal 234 2 3 3 2 2" xfId="19862" xr:uid="{00000000-0005-0000-0000-0000964D0000}"/>
    <cellStyle name="Normal 234 2 3 3 3" xfId="19863" xr:uid="{00000000-0005-0000-0000-0000974D0000}"/>
    <cellStyle name="Normal 234 2 3 4" xfId="19864" xr:uid="{00000000-0005-0000-0000-0000984D0000}"/>
    <cellStyle name="Normal 234 2 3 4 2" xfId="19865" xr:uid="{00000000-0005-0000-0000-0000994D0000}"/>
    <cellStyle name="Normal 234 2 3 4 2 2" xfId="19866" xr:uid="{00000000-0005-0000-0000-00009A4D0000}"/>
    <cellStyle name="Normal 234 2 3 4 3" xfId="19867" xr:uid="{00000000-0005-0000-0000-00009B4D0000}"/>
    <cellStyle name="Normal 234 2 3 5" xfId="19868" xr:uid="{00000000-0005-0000-0000-00009C4D0000}"/>
    <cellStyle name="Normal 234 2 3 5 2" xfId="19869" xr:uid="{00000000-0005-0000-0000-00009D4D0000}"/>
    <cellStyle name="Normal 234 2 3 5 2 2" xfId="19870" xr:uid="{00000000-0005-0000-0000-00009E4D0000}"/>
    <cellStyle name="Normal 234 2 3 5 3" xfId="19871" xr:uid="{00000000-0005-0000-0000-00009F4D0000}"/>
    <cellStyle name="Normal 234 2 3 6" xfId="19872" xr:uid="{00000000-0005-0000-0000-0000A04D0000}"/>
    <cellStyle name="Normal 234 2 4" xfId="19873" xr:uid="{00000000-0005-0000-0000-0000A14D0000}"/>
    <cellStyle name="Normal 234 2 4 2" xfId="19874" xr:uid="{00000000-0005-0000-0000-0000A24D0000}"/>
    <cellStyle name="Normal 234 2 4 2 2" xfId="19875" xr:uid="{00000000-0005-0000-0000-0000A34D0000}"/>
    <cellStyle name="Normal 234 2 4 3" xfId="19876" xr:uid="{00000000-0005-0000-0000-0000A44D0000}"/>
    <cellStyle name="Normal 234 2 5" xfId="19877" xr:uid="{00000000-0005-0000-0000-0000A54D0000}"/>
    <cellStyle name="Normal 234 2 5 2" xfId="19878" xr:uid="{00000000-0005-0000-0000-0000A64D0000}"/>
    <cellStyle name="Normal 234 2 5 2 2" xfId="19879" xr:uid="{00000000-0005-0000-0000-0000A74D0000}"/>
    <cellStyle name="Normal 234 2 5 3" xfId="19880" xr:uid="{00000000-0005-0000-0000-0000A84D0000}"/>
    <cellStyle name="Normal 234 2 6" xfId="19881" xr:uid="{00000000-0005-0000-0000-0000A94D0000}"/>
    <cellStyle name="Normal 234 2 6 2" xfId="19882" xr:uid="{00000000-0005-0000-0000-0000AA4D0000}"/>
    <cellStyle name="Normal 234 2 6 2 2" xfId="19883" xr:uid="{00000000-0005-0000-0000-0000AB4D0000}"/>
    <cellStyle name="Normal 234 2 6 3" xfId="19884" xr:uid="{00000000-0005-0000-0000-0000AC4D0000}"/>
    <cellStyle name="Normal 234 2 7" xfId="19885" xr:uid="{00000000-0005-0000-0000-0000AD4D0000}"/>
    <cellStyle name="Normal 234 3" xfId="19886" xr:uid="{00000000-0005-0000-0000-0000AE4D0000}"/>
    <cellStyle name="Normal 234 3 2" xfId="19887" xr:uid="{00000000-0005-0000-0000-0000AF4D0000}"/>
    <cellStyle name="Normal 234 3 2 2" xfId="19888" xr:uid="{00000000-0005-0000-0000-0000B04D0000}"/>
    <cellStyle name="Normal 234 3 3" xfId="19889" xr:uid="{00000000-0005-0000-0000-0000B14D0000}"/>
    <cellStyle name="Normal 234 3 3 2" xfId="19890" xr:uid="{00000000-0005-0000-0000-0000B24D0000}"/>
    <cellStyle name="Normal 234 3 3 2 2" xfId="19891" xr:uid="{00000000-0005-0000-0000-0000B34D0000}"/>
    <cellStyle name="Normal 234 3 3 3" xfId="19892" xr:uid="{00000000-0005-0000-0000-0000B44D0000}"/>
    <cellStyle name="Normal 234 3 4" xfId="19893" xr:uid="{00000000-0005-0000-0000-0000B54D0000}"/>
    <cellStyle name="Normal 234 3 4 2" xfId="19894" xr:uid="{00000000-0005-0000-0000-0000B64D0000}"/>
    <cellStyle name="Normal 234 3 4 2 2" xfId="19895" xr:uid="{00000000-0005-0000-0000-0000B74D0000}"/>
    <cellStyle name="Normal 234 3 4 3" xfId="19896" xr:uid="{00000000-0005-0000-0000-0000B84D0000}"/>
    <cellStyle name="Normal 234 3 5" xfId="19897" xr:uid="{00000000-0005-0000-0000-0000B94D0000}"/>
    <cellStyle name="Normal 234 4" xfId="19898" xr:uid="{00000000-0005-0000-0000-0000BA4D0000}"/>
    <cellStyle name="Normal 234 4 2" xfId="19899" xr:uid="{00000000-0005-0000-0000-0000BB4D0000}"/>
    <cellStyle name="Normal 234 4 2 2" xfId="19900" xr:uid="{00000000-0005-0000-0000-0000BC4D0000}"/>
    <cellStyle name="Normal 234 4 2 2 2" xfId="19901" xr:uid="{00000000-0005-0000-0000-0000BD4D0000}"/>
    <cellStyle name="Normal 234 4 2 3" xfId="19902" xr:uid="{00000000-0005-0000-0000-0000BE4D0000}"/>
    <cellStyle name="Normal 234 4 2 3 2" xfId="19903" xr:uid="{00000000-0005-0000-0000-0000BF4D0000}"/>
    <cellStyle name="Normal 234 4 2 3 2 2" xfId="19904" xr:uid="{00000000-0005-0000-0000-0000C04D0000}"/>
    <cellStyle name="Normal 234 4 2 3 3" xfId="19905" xr:uid="{00000000-0005-0000-0000-0000C14D0000}"/>
    <cellStyle name="Normal 234 4 2 4" xfId="19906" xr:uid="{00000000-0005-0000-0000-0000C24D0000}"/>
    <cellStyle name="Normal 234 4 3" xfId="19907" xr:uid="{00000000-0005-0000-0000-0000C34D0000}"/>
    <cellStyle name="Normal 234 4 3 2" xfId="19908" xr:uid="{00000000-0005-0000-0000-0000C44D0000}"/>
    <cellStyle name="Normal 234 4 3 2 2" xfId="19909" xr:uid="{00000000-0005-0000-0000-0000C54D0000}"/>
    <cellStyle name="Normal 234 4 3 3" xfId="19910" xr:uid="{00000000-0005-0000-0000-0000C64D0000}"/>
    <cellStyle name="Normal 234 4 4" xfId="19911" xr:uid="{00000000-0005-0000-0000-0000C74D0000}"/>
    <cellStyle name="Normal 234 4 4 2" xfId="19912" xr:uid="{00000000-0005-0000-0000-0000C84D0000}"/>
    <cellStyle name="Normal 234 4 4 2 2" xfId="19913" xr:uid="{00000000-0005-0000-0000-0000C94D0000}"/>
    <cellStyle name="Normal 234 4 4 3" xfId="19914" xr:uid="{00000000-0005-0000-0000-0000CA4D0000}"/>
    <cellStyle name="Normal 234 4 5" xfId="19915" xr:uid="{00000000-0005-0000-0000-0000CB4D0000}"/>
    <cellStyle name="Normal 234 4 5 2" xfId="19916" xr:uid="{00000000-0005-0000-0000-0000CC4D0000}"/>
    <cellStyle name="Normal 234 4 5 2 2" xfId="19917" xr:uid="{00000000-0005-0000-0000-0000CD4D0000}"/>
    <cellStyle name="Normal 234 4 5 3" xfId="19918" xr:uid="{00000000-0005-0000-0000-0000CE4D0000}"/>
    <cellStyle name="Normal 234 4 6" xfId="19919" xr:uid="{00000000-0005-0000-0000-0000CF4D0000}"/>
    <cellStyle name="Normal 234 5" xfId="19920" xr:uid="{00000000-0005-0000-0000-0000D04D0000}"/>
    <cellStyle name="Normal 234 5 2" xfId="19921" xr:uid="{00000000-0005-0000-0000-0000D14D0000}"/>
    <cellStyle name="Normal 234 5 2 2" xfId="19922" xr:uid="{00000000-0005-0000-0000-0000D24D0000}"/>
    <cellStyle name="Normal 234 5 3" xfId="19923" xr:uid="{00000000-0005-0000-0000-0000D34D0000}"/>
    <cellStyle name="Normal 234 6" xfId="19924" xr:uid="{00000000-0005-0000-0000-0000D44D0000}"/>
    <cellStyle name="Normal 234 6 2" xfId="19925" xr:uid="{00000000-0005-0000-0000-0000D54D0000}"/>
    <cellStyle name="Normal 234 6 2 2" xfId="19926" xr:uid="{00000000-0005-0000-0000-0000D64D0000}"/>
    <cellStyle name="Normal 234 6 3" xfId="19927" xr:uid="{00000000-0005-0000-0000-0000D74D0000}"/>
    <cellStyle name="Normal 234 7" xfId="19928" xr:uid="{00000000-0005-0000-0000-0000D84D0000}"/>
    <cellStyle name="Normal 234 7 2" xfId="19929" xr:uid="{00000000-0005-0000-0000-0000D94D0000}"/>
    <cellStyle name="Normal 234 7 2 2" xfId="19930" xr:uid="{00000000-0005-0000-0000-0000DA4D0000}"/>
    <cellStyle name="Normal 234 7 3" xfId="19931" xr:uid="{00000000-0005-0000-0000-0000DB4D0000}"/>
    <cellStyle name="Normal 234 8" xfId="19932" xr:uid="{00000000-0005-0000-0000-0000DC4D0000}"/>
    <cellStyle name="Normal 235" xfId="19933" xr:uid="{00000000-0005-0000-0000-0000DD4D0000}"/>
    <cellStyle name="Normal 235 2" xfId="19934" xr:uid="{00000000-0005-0000-0000-0000DE4D0000}"/>
    <cellStyle name="Normal 235 2 2" xfId="19935" xr:uid="{00000000-0005-0000-0000-0000DF4D0000}"/>
    <cellStyle name="Normal 235 2 2 2" xfId="19936" xr:uid="{00000000-0005-0000-0000-0000E04D0000}"/>
    <cellStyle name="Normal 235 2 2 2 2" xfId="19937" xr:uid="{00000000-0005-0000-0000-0000E14D0000}"/>
    <cellStyle name="Normal 235 2 2 3" xfId="19938" xr:uid="{00000000-0005-0000-0000-0000E24D0000}"/>
    <cellStyle name="Normal 235 2 2 3 2" xfId="19939" xr:uid="{00000000-0005-0000-0000-0000E34D0000}"/>
    <cellStyle name="Normal 235 2 2 3 2 2" xfId="19940" xr:uid="{00000000-0005-0000-0000-0000E44D0000}"/>
    <cellStyle name="Normal 235 2 2 3 3" xfId="19941" xr:uid="{00000000-0005-0000-0000-0000E54D0000}"/>
    <cellStyle name="Normal 235 2 2 4" xfId="19942" xr:uid="{00000000-0005-0000-0000-0000E64D0000}"/>
    <cellStyle name="Normal 235 2 2 4 2" xfId="19943" xr:uid="{00000000-0005-0000-0000-0000E74D0000}"/>
    <cellStyle name="Normal 235 2 2 4 2 2" xfId="19944" xr:uid="{00000000-0005-0000-0000-0000E84D0000}"/>
    <cellStyle name="Normal 235 2 2 4 3" xfId="19945" xr:uid="{00000000-0005-0000-0000-0000E94D0000}"/>
    <cellStyle name="Normal 235 2 2 5" xfId="19946" xr:uid="{00000000-0005-0000-0000-0000EA4D0000}"/>
    <cellStyle name="Normal 235 2 3" xfId="19947" xr:uid="{00000000-0005-0000-0000-0000EB4D0000}"/>
    <cellStyle name="Normal 235 2 3 2" xfId="19948" xr:uid="{00000000-0005-0000-0000-0000EC4D0000}"/>
    <cellStyle name="Normal 235 2 3 2 2" xfId="19949" xr:uid="{00000000-0005-0000-0000-0000ED4D0000}"/>
    <cellStyle name="Normal 235 2 3 2 2 2" xfId="19950" xr:uid="{00000000-0005-0000-0000-0000EE4D0000}"/>
    <cellStyle name="Normal 235 2 3 2 3" xfId="19951" xr:uid="{00000000-0005-0000-0000-0000EF4D0000}"/>
    <cellStyle name="Normal 235 2 3 2 3 2" xfId="19952" xr:uid="{00000000-0005-0000-0000-0000F04D0000}"/>
    <cellStyle name="Normal 235 2 3 2 3 2 2" xfId="19953" xr:uid="{00000000-0005-0000-0000-0000F14D0000}"/>
    <cellStyle name="Normal 235 2 3 2 3 3" xfId="19954" xr:uid="{00000000-0005-0000-0000-0000F24D0000}"/>
    <cellStyle name="Normal 235 2 3 2 4" xfId="19955" xr:uid="{00000000-0005-0000-0000-0000F34D0000}"/>
    <cellStyle name="Normal 235 2 3 3" xfId="19956" xr:uid="{00000000-0005-0000-0000-0000F44D0000}"/>
    <cellStyle name="Normal 235 2 3 3 2" xfId="19957" xr:uid="{00000000-0005-0000-0000-0000F54D0000}"/>
    <cellStyle name="Normal 235 2 3 3 2 2" xfId="19958" xr:uid="{00000000-0005-0000-0000-0000F64D0000}"/>
    <cellStyle name="Normal 235 2 3 3 3" xfId="19959" xr:uid="{00000000-0005-0000-0000-0000F74D0000}"/>
    <cellStyle name="Normal 235 2 3 4" xfId="19960" xr:uid="{00000000-0005-0000-0000-0000F84D0000}"/>
    <cellStyle name="Normal 235 2 3 4 2" xfId="19961" xr:uid="{00000000-0005-0000-0000-0000F94D0000}"/>
    <cellStyle name="Normal 235 2 3 4 2 2" xfId="19962" xr:uid="{00000000-0005-0000-0000-0000FA4D0000}"/>
    <cellStyle name="Normal 235 2 3 4 3" xfId="19963" xr:uid="{00000000-0005-0000-0000-0000FB4D0000}"/>
    <cellStyle name="Normal 235 2 3 5" xfId="19964" xr:uid="{00000000-0005-0000-0000-0000FC4D0000}"/>
    <cellStyle name="Normal 235 2 3 5 2" xfId="19965" xr:uid="{00000000-0005-0000-0000-0000FD4D0000}"/>
    <cellStyle name="Normal 235 2 3 5 2 2" xfId="19966" xr:uid="{00000000-0005-0000-0000-0000FE4D0000}"/>
    <cellStyle name="Normal 235 2 3 5 3" xfId="19967" xr:uid="{00000000-0005-0000-0000-0000FF4D0000}"/>
    <cellStyle name="Normal 235 2 3 6" xfId="19968" xr:uid="{00000000-0005-0000-0000-0000004E0000}"/>
    <cellStyle name="Normal 235 2 4" xfId="19969" xr:uid="{00000000-0005-0000-0000-0000014E0000}"/>
    <cellStyle name="Normal 235 2 4 2" xfId="19970" xr:uid="{00000000-0005-0000-0000-0000024E0000}"/>
    <cellStyle name="Normal 235 2 4 2 2" xfId="19971" xr:uid="{00000000-0005-0000-0000-0000034E0000}"/>
    <cellStyle name="Normal 235 2 4 3" xfId="19972" xr:uid="{00000000-0005-0000-0000-0000044E0000}"/>
    <cellStyle name="Normal 235 2 5" xfId="19973" xr:uid="{00000000-0005-0000-0000-0000054E0000}"/>
    <cellStyle name="Normal 235 2 5 2" xfId="19974" xr:uid="{00000000-0005-0000-0000-0000064E0000}"/>
    <cellStyle name="Normal 235 2 5 2 2" xfId="19975" xr:uid="{00000000-0005-0000-0000-0000074E0000}"/>
    <cellStyle name="Normal 235 2 5 3" xfId="19976" xr:uid="{00000000-0005-0000-0000-0000084E0000}"/>
    <cellStyle name="Normal 235 2 6" xfId="19977" xr:uid="{00000000-0005-0000-0000-0000094E0000}"/>
    <cellStyle name="Normal 235 2 6 2" xfId="19978" xr:uid="{00000000-0005-0000-0000-00000A4E0000}"/>
    <cellStyle name="Normal 235 2 6 2 2" xfId="19979" xr:uid="{00000000-0005-0000-0000-00000B4E0000}"/>
    <cellStyle name="Normal 235 2 6 3" xfId="19980" xr:uid="{00000000-0005-0000-0000-00000C4E0000}"/>
    <cellStyle name="Normal 235 2 7" xfId="19981" xr:uid="{00000000-0005-0000-0000-00000D4E0000}"/>
    <cellStyle name="Normal 235 3" xfId="19982" xr:uid="{00000000-0005-0000-0000-00000E4E0000}"/>
    <cellStyle name="Normal 235 3 2" xfId="19983" xr:uid="{00000000-0005-0000-0000-00000F4E0000}"/>
    <cellStyle name="Normal 235 3 2 2" xfId="19984" xr:uid="{00000000-0005-0000-0000-0000104E0000}"/>
    <cellStyle name="Normal 235 3 3" xfId="19985" xr:uid="{00000000-0005-0000-0000-0000114E0000}"/>
    <cellStyle name="Normal 235 3 3 2" xfId="19986" xr:uid="{00000000-0005-0000-0000-0000124E0000}"/>
    <cellStyle name="Normal 235 3 3 2 2" xfId="19987" xr:uid="{00000000-0005-0000-0000-0000134E0000}"/>
    <cellStyle name="Normal 235 3 3 3" xfId="19988" xr:uid="{00000000-0005-0000-0000-0000144E0000}"/>
    <cellStyle name="Normal 235 3 4" xfId="19989" xr:uid="{00000000-0005-0000-0000-0000154E0000}"/>
    <cellStyle name="Normal 235 3 4 2" xfId="19990" xr:uid="{00000000-0005-0000-0000-0000164E0000}"/>
    <cellStyle name="Normal 235 3 4 2 2" xfId="19991" xr:uid="{00000000-0005-0000-0000-0000174E0000}"/>
    <cellStyle name="Normal 235 3 4 3" xfId="19992" xr:uid="{00000000-0005-0000-0000-0000184E0000}"/>
    <cellStyle name="Normal 235 3 5" xfId="19993" xr:uid="{00000000-0005-0000-0000-0000194E0000}"/>
    <cellStyle name="Normal 235 4" xfId="19994" xr:uid="{00000000-0005-0000-0000-00001A4E0000}"/>
    <cellStyle name="Normal 235 4 2" xfId="19995" xr:uid="{00000000-0005-0000-0000-00001B4E0000}"/>
    <cellStyle name="Normal 235 4 2 2" xfId="19996" xr:uid="{00000000-0005-0000-0000-00001C4E0000}"/>
    <cellStyle name="Normal 235 4 2 2 2" xfId="19997" xr:uid="{00000000-0005-0000-0000-00001D4E0000}"/>
    <cellStyle name="Normal 235 4 2 3" xfId="19998" xr:uid="{00000000-0005-0000-0000-00001E4E0000}"/>
    <cellStyle name="Normal 235 4 2 3 2" xfId="19999" xr:uid="{00000000-0005-0000-0000-00001F4E0000}"/>
    <cellStyle name="Normal 235 4 2 3 2 2" xfId="20000" xr:uid="{00000000-0005-0000-0000-0000204E0000}"/>
    <cellStyle name="Normal 235 4 2 3 3" xfId="20001" xr:uid="{00000000-0005-0000-0000-0000214E0000}"/>
    <cellStyle name="Normal 235 4 2 4" xfId="20002" xr:uid="{00000000-0005-0000-0000-0000224E0000}"/>
    <cellStyle name="Normal 235 4 3" xfId="20003" xr:uid="{00000000-0005-0000-0000-0000234E0000}"/>
    <cellStyle name="Normal 235 4 3 2" xfId="20004" xr:uid="{00000000-0005-0000-0000-0000244E0000}"/>
    <cellStyle name="Normal 235 4 3 2 2" xfId="20005" xr:uid="{00000000-0005-0000-0000-0000254E0000}"/>
    <cellStyle name="Normal 235 4 3 3" xfId="20006" xr:uid="{00000000-0005-0000-0000-0000264E0000}"/>
    <cellStyle name="Normal 235 4 4" xfId="20007" xr:uid="{00000000-0005-0000-0000-0000274E0000}"/>
    <cellStyle name="Normal 235 4 4 2" xfId="20008" xr:uid="{00000000-0005-0000-0000-0000284E0000}"/>
    <cellStyle name="Normal 235 4 4 2 2" xfId="20009" xr:uid="{00000000-0005-0000-0000-0000294E0000}"/>
    <cellStyle name="Normal 235 4 4 3" xfId="20010" xr:uid="{00000000-0005-0000-0000-00002A4E0000}"/>
    <cellStyle name="Normal 235 4 5" xfId="20011" xr:uid="{00000000-0005-0000-0000-00002B4E0000}"/>
    <cellStyle name="Normal 235 4 5 2" xfId="20012" xr:uid="{00000000-0005-0000-0000-00002C4E0000}"/>
    <cellStyle name="Normal 235 4 5 2 2" xfId="20013" xr:uid="{00000000-0005-0000-0000-00002D4E0000}"/>
    <cellStyle name="Normal 235 4 5 3" xfId="20014" xr:uid="{00000000-0005-0000-0000-00002E4E0000}"/>
    <cellStyle name="Normal 235 4 6" xfId="20015" xr:uid="{00000000-0005-0000-0000-00002F4E0000}"/>
    <cellStyle name="Normal 235 5" xfId="20016" xr:uid="{00000000-0005-0000-0000-0000304E0000}"/>
    <cellStyle name="Normal 235 5 2" xfId="20017" xr:uid="{00000000-0005-0000-0000-0000314E0000}"/>
    <cellStyle name="Normal 235 5 2 2" xfId="20018" xr:uid="{00000000-0005-0000-0000-0000324E0000}"/>
    <cellStyle name="Normal 235 5 3" xfId="20019" xr:uid="{00000000-0005-0000-0000-0000334E0000}"/>
    <cellStyle name="Normal 235 6" xfId="20020" xr:uid="{00000000-0005-0000-0000-0000344E0000}"/>
    <cellStyle name="Normal 235 6 2" xfId="20021" xr:uid="{00000000-0005-0000-0000-0000354E0000}"/>
    <cellStyle name="Normal 235 6 2 2" xfId="20022" xr:uid="{00000000-0005-0000-0000-0000364E0000}"/>
    <cellStyle name="Normal 235 6 3" xfId="20023" xr:uid="{00000000-0005-0000-0000-0000374E0000}"/>
    <cellStyle name="Normal 235 7" xfId="20024" xr:uid="{00000000-0005-0000-0000-0000384E0000}"/>
    <cellStyle name="Normal 235 7 2" xfId="20025" xr:uid="{00000000-0005-0000-0000-0000394E0000}"/>
    <cellStyle name="Normal 235 7 2 2" xfId="20026" xr:uid="{00000000-0005-0000-0000-00003A4E0000}"/>
    <cellStyle name="Normal 235 7 3" xfId="20027" xr:uid="{00000000-0005-0000-0000-00003B4E0000}"/>
    <cellStyle name="Normal 235 8" xfId="20028" xr:uid="{00000000-0005-0000-0000-00003C4E0000}"/>
    <cellStyle name="Normal 236" xfId="20029" xr:uid="{00000000-0005-0000-0000-00003D4E0000}"/>
    <cellStyle name="Normal 236 2" xfId="20030" xr:uid="{00000000-0005-0000-0000-00003E4E0000}"/>
    <cellStyle name="Normal 236 2 2" xfId="20031" xr:uid="{00000000-0005-0000-0000-00003F4E0000}"/>
    <cellStyle name="Normal 236 2 2 2" xfId="20032" xr:uid="{00000000-0005-0000-0000-0000404E0000}"/>
    <cellStyle name="Normal 236 2 2 2 2" xfId="20033" xr:uid="{00000000-0005-0000-0000-0000414E0000}"/>
    <cellStyle name="Normal 236 2 2 3" xfId="20034" xr:uid="{00000000-0005-0000-0000-0000424E0000}"/>
    <cellStyle name="Normal 236 2 2 3 2" xfId="20035" xr:uid="{00000000-0005-0000-0000-0000434E0000}"/>
    <cellStyle name="Normal 236 2 2 3 2 2" xfId="20036" xr:uid="{00000000-0005-0000-0000-0000444E0000}"/>
    <cellStyle name="Normal 236 2 2 3 3" xfId="20037" xr:uid="{00000000-0005-0000-0000-0000454E0000}"/>
    <cellStyle name="Normal 236 2 2 4" xfId="20038" xr:uid="{00000000-0005-0000-0000-0000464E0000}"/>
    <cellStyle name="Normal 236 2 2 4 2" xfId="20039" xr:uid="{00000000-0005-0000-0000-0000474E0000}"/>
    <cellStyle name="Normal 236 2 2 4 2 2" xfId="20040" xr:uid="{00000000-0005-0000-0000-0000484E0000}"/>
    <cellStyle name="Normal 236 2 2 4 3" xfId="20041" xr:uid="{00000000-0005-0000-0000-0000494E0000}"/>
    <cellStyle name="Normal 236 2 2 5" xfId="20042" xr:uid="{00000000-0005-0000-0000-00004A4E0000}"/>
    <cellStyle name="Normal 236 2 3" xfId="20043" xr:uid="{00000000-0005-0000-0000-00004B4E0000}"/>
    <cellStyle name="Normal 236 2 3 2" xfId="20044" xr:uid="{00000000-0005-0000-0000-00004C4E0000}"/>
    <cellStyle name="Normal 236 2 3 2 2" xfId="20045" xr:uid="{00000000-0005-0000-0000-00004D4E0000}"/>
    <cellStyle name="Normal 236 2 3 2 2 2" xfId="20046" xr:uid="{00000000-0005-0000-0000-00004E4E0000}"/>
    <cellStyle name="Normal 236 2 3 2 3" xfId="20047" xr:uid="{00000000-0005-0000-0000-00004F4E0000}"/>
    <cellStyle name="Normal 236 2 3 2 3 2" xfId="20048" xr:uid="{00000000-0005-0000-0000-0000504E0000}"/>
    <cellStyle name="Normal 236 2 3 2 3 2 2" xfId="20049" xr:uid="{00000000-0005-0000-0000-0000514E0000}"/>
    <cellStyle name="Normal 236 2 3 2 3 3" xfId="20050" xr:uid="{00000000-0005-0000-0000-0000524E0000}"/>
    <cellStyle name="Normal 236 2 3 2 4" xfId="20051" xr:uid="{00000000-0005-0000-0000-0000534E0000}"/>
    <cellStyle name="Normal 236 2 3 3" xfId="20052" xr:uid="{00000000-0005-0000-0000-0000544E0000}"/>
    <cellStyle name="Normal 236 2 3 3 2" xfId="20053" xr:uid="{00000000-0005-0000-0000-0000554E0000}"/>
    <cellStyle name="Normal 236 2 3 3 2 2" xfId="20054" xr:uid="{00000000-0005-0000-0000-0000564E0000}"/>
    <cellStyle name="Normal 236 2 3 3 3" xfId="20055" xr:uid="{00000000-0005-0000-0000-0000574E0000}"/>
    <cellStyle name="Normal 236 2 3 4" xfId="20056" xr:uid="{00000000-0005-0000-0000-0000584E0000}"/>
    <cellStyle name="Normal 236 2 3 4 2" xfId="20057" xr:uid="{00000000-0005-0000-0000-0000594E0000}"/>
    <cellStyle name="Normal 236 2 3 4 2 2" xfId="20058" xr:uid="{00000000-0005-0000-0000-00005A4E0000}"/>
    <cellStyle name="Normal 236 2 3 4 3" xfId="20059" xr:uid="{00000000-0005-0000-0000-00005B4E0000}"/>
    <cellStyle name="Normal 236 2 3 5" xfId="20060" xr:uid="{00000000-0005-0000-0000-00005C4E0000}"/>
    <cellStyle name="Normal 236 2 3 5 2" xfId="20061" xr:uid="{00000000-0005-0000-0000-00005D4E0000}"/>
    <cellStyle name="Normal 236 2 3 5 2 2" xfId="20062" xr:uid="{00000000-0005-0000-0000-00005E4E0000}"/>
    <cellStyle name="Normal 236 2 3 5 3" xfId="20063" xr:uid="{00000000-0005-0000-0000-00005F4E0000}"/>
    <cellStyle name="Normal 236 2 3 6" xfId="20064" xr:uid="{00000000-0005-0000-0000-0000604E0000}"/>
    <cellStyle name="Normal 236 2 4" xfId="20065" xr:uid="{00000000-0005-0000-0000-0000614E0000}"/>
    <cellStyle name="Normal 236 2 4 2" xfId="20066" xr:uid="{00000000-0005-0000-0000-0000624E0000}"/>
    <cellStyle name="Normal 236 2 4 2 2" xfId="20067" xr:uid="{00000000-0005-0000-0000-0000634E0000}"/>
    <cellStyle name="Normal 236 2 4 3" xfId="20068" xr:uid="{00000000-0005-0000-0000-0000644E0000}"/>
    <cellStyle name="Normal 236 2 5" xfId="20069" xr:uid="{00000000-0005-0000-0000-0000654E0000}"/>
    <cellStyle name="Normal 236 2 5 2" xfId="20070" xr:uid="{00000000-0005-0000-0000-0000664E0000}"/>
    <cellStyle name="Normal 236 2 5 2 2" xfId="20071" xr:uid="{00000000-0005-0000-0000-0000674E0000}"/>
    <cellStyle name="Normal 236 2 5 3" xfId="20072" xr:uid="{00000000-0005-0000-0000-0000684E0000}"/>
    <cellStyle name="Normal 236 2 6" xfId="20073" xr:uid="{00000000-0005-0000-0000-0000694E0000}"/>
    <cellStyle name="Normal 236 2 6 2" xfId="20074" xr:uid="{00000000-0005-0000-0000-00006A4E0000}"/>
    <cellStyle name="Normal 236 2 6 2 2" xfId="20075" xr:uid="{00000000-0005-0000-0000-00006B4E0000}"/>
    <cellStyle name="Normal 236 2 6 3" xfId="20076" xr:uid="{00000000-0005-0000-0000-00006C4E0000}"/>
    <cellStyle name="Normal 236 2 7" xfId="20077" xr:uid="{00000000-0005-0000-0000-00006D4E0000}"/>
    <cellStyle name="Normal 236 3" xfId="20078" xr:uid="{00000000-0005-0000-0000-00006E4E0000}"/>
    <cellStyle name="Normal 236 3 2" xfId="20079" xr:uid="{00000000-0005-0000-0000-00006F4E0000}"/>
    <cellStyle name="Normal 236 3 2 2" xfId="20080" xr:uid="{00000000-0005-0000-0000-0000704E0000}"/>
    <cellStyle name="Normal 236 3 3" xfId="20081" xr:uid="{00000000-0005-0000-0000-0000714E0000}"/>
    <cellStyle name="Normal 236 3 3 2" xfId="20082" xr:uid="{00000000-0005-0000-0000-0000724E0000}"/>
    <cellStyle name="Normal 236 3 3 2 2" xfId="20083" xr:uid="{00000000-0005-0000-0000-0000734E0000}"/>
    <cellStyle name="Normal 236 3 3 3" xfId="20084" xr:uid="{00000000-0005-0000-0000-0000744E0000}"/>
    <cellStyle name="Normal 236 3 4" xfId="20085" xr:uid="{00000000-0005-0000-0000-0000754E0000}"/>
    <cellStyle name="Normal 236 3 4 2" xfId="20086" xr:uid="{00000000-0005-0000-0000-0000764E0000}"/>
    <cellStyle name="Normal 236 3 4 2 2" xfId="20087" xr:uid="{00000000-0005-0000-0000-0000774E0000}"/>
    <cellStyle name="Normal 236 3 4 3" xfId="20088" xr:uid="{00000000-0005-0000-0000-0000784E0000}"/>
    <cellStyle name="Normal 236 3 5" xfId="20089" xr:uid="{00000000-0005-0000-0000-0000794E0000}"/>
    <cellStyle name="Normal 236 4" xfId="20090" xr:uid="{00000000-0005-0000-0000-00007A4E0000}"/>
    <cellStyle name="Normal 236 4 2" xfId="20091" xr:uid="{00000000-0005-0000-0000-00007B4E0000}"/>
    <cellStyle name="Normal 236 4 2 2" xfId="20092" xr:uid="{00000000-0005-0000-0000-00007C4E0000}"/>
    <cellStyle name="Normal 236 4 2 2 2" xfId="20093" xr:uid="{00000000-0005-0000-0000-00007D4E0000}"/>
    <cellStyle name="Normal 236 4 2 3" xfId="20094" xr:uid="{00000000-0005-0000-0000-00007E4E0000}"/>
    <cellStyle name="Normal 236 4 2 3 2" xfId="20095" xr:uid="{00000000-0005-0000-0000-00007F4E0000}"/>
    <cellStyle name="Normal 236 4 2 3 2 2" xfId="20096" xr:uid="{00000000-0005-0000-0000-0000804E0000}"/>
    <cellStyle name="Normal 236 4 2 3 3" xfId="20097" xr:uid="{00000000-0005-0000-0000-0000814E0000}"/>
    <cellStyle name="Normal 236 4 2 4" xfId="20098" xr:uid="{00000000-0005-0000-0000-0000824E0000}"/>
    <cellStyle name="Normal 236 4 3" xfId="20099" xr:uid="{00000000-0005-0000-0000-0000834E0000}"/>
    <cellStyle name="Normal 236 4 3 2" xfId="20100" xr:uid="{00000000-0005-0000-0000-0000844E0000}"/>
    <cellStyle name="Normal 236 4 3 2 2" xfId="20101" xr:uid="{00000000-0005-0000-0000-0000854E0000}"/>
    <cellStyle name="Normal 236 4 3 3" xfId="20102" xr:uid="{00000000-0005-0000-0000-0000864E0000}"/>
    <cellStyle name="Normal 236 4 4" xfId="20103" xr:uid="{00000000-0005-0000-0000-0000874E0000}"/>
    <cellStyle name="Normal 236 4 4 2" xfId="20104" xr:uid="{00000000-0005-0000-0000-0000884E0000}"/>
    <cellStyle name="Normal 236 4 4 2 2" xfId="20105" xr:uid="{00000000-0005-0000-0000-0000894E0000}"/>
    <cellStyle name="Normal 236 4 4 3" xfId="20106" xr:uid="{00000000-0005-0000-0000-00008A4E0000}"/>
    <cellStyle name="Normal 236 4 5" xfId="20107" xr:uid="{00000000-0005-0000-0000-00008B4E0000}"/>
    <cellStyle name="Normal 236 4 5 2" xfId="20108" xr:uid="{00000000-0005-0000-0000-00008C4E0000}"/>
    <cellStyle name="Normal 236 4 5 2 2" xfId="20109" xr:uid="{00000000-0005-0000-0000-00008D4E0000}"/>
    <cellStyle name="Normal 236 4 5 3" xfId="20110" xr:uid="{00000000-0005-0000-0000-00008E4E0000}"/>
    <cellStyle name="Normal 236 4 6" xfId="20111" xr:uid="{00000000-0005-0000-0000-00008F4E0000}"/>
    <cellStyle name="Normal 236 5" xfId="20112" xr:uid="{00000000-0005-0000-0000-0000904E0000}"/>
    <cellStyle name="Normal 236 5 2" xfId="20113" xr:uid="{00000000-0005-0000-0000-0000914E0000}"/>
    <cellStyle name="Normal 236 5 2 2" xfId="20114" xr:uid="{00000000-0005-0000-0000-0000924E0000}"/>
    <cellStyle name="Normal 236 5 3" xfId="20115" xr:uid="{00000000-0005-0000-0000-0000934E0000}"/>
    <cellStyle name="Normal 236 6" xfId="20116" xr:uid="{00000000-0005-0000-0000-0000944E0000}"/>
    <cellStyle name="Normal 236 6 2" xfId="20117" xr:uid="{00000000-0005-0000-0000-0000954E0000}"/>
    <cellStyle name="Normal 236 6 2 2" xfId="20118" xr:uid="{00000000-0005-0000-0000-0000964E0000}"/>
    <cellStyle name="Normal 236 6 3" xfId="20119" xr:uid="{00000000-0005-0000-0000-0000974E0000}"/>
    <cellStyle name="Normal 236 7" xfId="20120" xr:uid="{00000000-0005-0000-0000-0000984E0000}"/>
    <cellStyle name="Normal 236 7 2" xfId="20121" xr:uid="{00000000-0005-0000-0000-0000994E0000}"/>
    <cellStyle name="Normal 236 7 2 2" xfId="20122" xr:uid="{00000000-0005-0000-0000-00009A4E0000}"/>
    <cellStyle name="Normal 236 7 3" xfId="20123" xr:uid="{00000000-0005-0000-0000-00009B4E0000}"/>
    <cellStyle name="Normal 236 8" xfId="20124" xr:uid="{00000000-0005-0000-0000-00009C4E0000}"/>
    <cellStyle name="Normal 237" xfId="20125" xr:uid="{00000000-0005-0000-0000-00009D4E0000}"/>
    <cellStyle name="Normal 237 2" xfId="20126" xr:uid="{00000000-0005-0000-0000-00009E4E0000}"/>
    <cellStyle name="Normal 237 2 2" xfId="20127" xr:uid="{00000000-0005-0000-0000-00009F4E0000}"/>
    <cellStyle name="Normal 237 2 2 2" xfId="20128" xr:uid="{00000000-0005-0000-0000-0000A04E0000}"/>
    <cellStyle name="Normal 237 2 2 2 2" xfId="20129" xr:uid="{00000000-0005-0000-0000-0000A14E0000}"/>
    <cellStyle name="Normal 237 2 2 3" xfId="20130" xr:uid="{00000000-0005-0000-0000-0000A24E0000}"/>
    <cellStyle name="Normal 237 2 2 3 2" xfId="20131" xr:uid="{00000000-0005-0000-0000-0000A34E0000}"/>
    <cellStyle name="Normal 237 2 2 3 2 2" xfId="20132" xr:uid="{00000000-0005-0000-0000-0000A44E0000}"/>
    <cellStyle name="Normal 237 2 2 3 3" xfId="20133" xr:uid="{00000000-0005-0000-0000-0000A54E0000}"/>
    <cellStyle name="Normal 237 2 2 4" xfId="20134" xr:uid="{00000000-0005-0000-0000-0000A64E0000}"/>
    <cellStyle name="Normal 237 2 2 4 2" xfId="20135" xr:uid="{00000000-0005-0000-0000-0000A74E0000}"/>
    <cellStyle name="Normal 237 2 2 4 2 2" xfId="20136" xr:uid="{00000000-0005-0000-0000-0000A84E0000}"/>
    <cellStyle name="Normal 237 2 2 4 3" xfId="20137" xr:uid="{00000000-0005-0000-0000-0000A94E0000}"/>
    <cellStyle name="Normal 237 2 2 5" xfId="20138" xr:uid="{00000000-0005-0000-0000-0000AA4E0000}"/>
    <cellStyle name="Normal 237 2 3" xfId="20139" xr:uid="{00000000-0005-0000-0000-0000AB4E0000}"/>
    <cellStyle name="Normal 237 2 3 2" xfId="20140" xr:uid="{00000000-0005-0000-0000-0000AC4E0000}"/>
    <cellStyle name="Normal 237 2 3 2 2" xfId="20141" xr:uid="{00000000-0005-0000-0000-0000AD4E0000}"/>
    <cellStyle name="Normal 237 2 3 2 2 2" xfId="20142" xr:uid="{00000000-0005-0000-0000-0000AE4E0000}"/>
    <cellStyle name="Normal 237 2 3 2 3" xfId="20143" xr:uid="{00000000-0005-0000-0000-0000AF4E0000}"/>
    <cellStyle name="Normal 237 2 3 2 3 2" xfId="20144" xr:uid="{00000000-0005-0000-0000-0000B04E0000}"/>
    <cellStyle name="Normal 237 2 3 2 3 2 2" xfId="20145" xr:uid="{00000000-0005-0000-0000-0000B14E0000}"/>
    <cellStyle name="Normal 237 2 3 2 3 3" xfId="20146" xr:uid="{00000000-0005-0000-0000-0000B24E0000}"/>
    <cellStyle name="Normal 237 2 3 2 4" xfId="20147" xr:uid="{00000000-0005-0000-0000-0000B34E0000}"/>
    <cellStyle name="Normal 237 2 3 3" xfId="20148" xr:uid="{00000000-0005-0000-0000-0000B44E0000}"/>
    <cellStyle name="Normal 237 2 3 3 2" xfId="20149" xr:uid="{00000000-0005-0000-0000-0000B54E0000}"/>
    <cellStyle name="Normal 237 2 3 3 2 2" xfId="20150" xr:uid="{00000000-0005-0000-0000-0000B64E0000}"/>
    <cellStyle name="Normal 237 2 3 3 3" xfId="20151" xr:uid="{00000000-0005-0000-0000-0000B74E0000}"/>
    <cellStyle name="Normal 237 2 3 4" xfId="20152" xr:uid="{00000000-0005-0000-0000-0000B84E0000}"/>
    <cellStyle name="Normal 237 2 3 4 2" xfId="20153" xr:uid="{00000000-0005-0000-0000-0000B94E0000}"/>
    <cellStyle name="Normal 237 2 3 4 2 2" xfId="20154" xr:uid="{00000000-0005-0000-0000-0000BA4E0000}"/>
    <cellStyle name="Normal 237 2 3 4 3" xfId="20155" xr:uid="{00000000-0005-0000-0000-0000BB4E0000}"/>
    <cellStyle name="Normal 237 2 3 5" xfId="20156" xr:uid="{00000000-0005-0000-0000-0000BC4E0000}"/>
    <cellStyle name="Normal 237 2 3 5 2" xfId="20157" xr:uid="{00000000-0005-0000-0000-0000BD4E0000}"/>
    <cellStyle name="Normal 237 2 3 5 2 2" xfId="20158" xr:uid="{00000000-0005-0000-0000-0000BE4E0000}"/>
    <cellStyle name="Normal 237 2 3 5 3" xfId="20159" xr:uid="{00000000-0005-0000-0000-0000BF4E0000}"/>
    <cellStyle name="Normal 237 2 3 6" xfId="20160" xr:uid="{00000000-0005-0000-0000-0000C04E0000}"/>
    <cellStyle name="Normal 237 2 4" xfId="20161" xr:uid="{00000000-0005-0000-0000-0000C14E0000}"/>
    <cellStyle name="Normal 237 2 4 2" xfId="20162" xr:uid="{00000000-0005-0000-0000-0000C24E0000}"/>
    <cellStyle name="Normal 237 2 4 2 2" xfId="20163" xr:uid="{00000000-0005-0000-0000-0000C34E0000}"/>
    <cellStyle name="Normal 237 2 4 3" xfId="20164" xr:uid="{00000000-0005-0000-0000-0000C44E0000}"/>
    <cellStyle name="Normal 237 2 5" xfId="20165" xr:uid="{00000000-0005-0000-0000-0000C54E0000}"/>
    <cellStyle name="Normal 237 2 5 2" xfId="20166" xr:uid="{00000000-0005-0000-0000-0000C64E0000}"/>
    <cellStyle name="Normal 237 2 5 2 2" xfId="20167" xr:uid="{00000000-0005-0000-0000-0000C74E0000}"/>
    <cellStyle name="Normal 237 2 5 3" xfId="20168" xr:uid="{00000000-0005-0000-0000-0000C84E0000}"/>
    <cellStyle name="Normal 237 2 6" xfId="20169" xr:uid="{00000000-0005-0000-0000-0000C94E0000}"/>
    <cellStyle name="Normal 237 2 6 2" xfId="20170" xr:uid="{00000000-0005-0000-0000-0000CA4E0000}"/>
    <cellStyle name="Normal 237 2 6 2 2" xfId="20171" xr:uid="{00000000-0005-0000-0000-0000CB4E0000}"/>
    <cellStyle name="Normal 237 2 6 3" xfId="20172" xr:uid="{00000000-0005-0000-0000-0000CC4E0000}"/>
    <cellStyle name="Normal 237 2 7" xfId="20173" xr:uid="{00000000-0005-0000-0000-0000CD4E0000}"/>
    <cellStyle name="Normal 237 3" xfId="20174" xr:uid="{00000000-0005-0000-0000-0000CE4E0000}"/>
    <cellStyle name="Normal 237 3 2" xfId="20175" xr:uid="{00000000-0005-0000-0000-0000CF4E0000}"/>
    <cellStyle name="Normal 237 3 2 2" xfId="20176" xr:uid="{00000000-0005-0000-0000-0000D04E0000}"/>
    <cellStyle name="Normal 237 3 3" xfId="20177" xr:uid="{00000000-0005-0000-0000-0000D14E0000}"/>
    <cellStyle name="Normal 237 3 3 2" xfId="20178" xr:uid="{00000000-0005-0000-0000-0000D24E0000}"/>
    <cellStyle name="Normal 237 3 3 2 2" xfId="20179" xr:uid="{00000000-0005-0000-0000-0000D34E0000}"/>
    <cellStyle name="Normal 237 3 3 3" xfId="20180" xr:uid="{00000000-0005-0000-0000-0000D44E0000}"/>
    <cellStyle name="Normal 237 3 4" xfId="20181" xr:uid="{00000000-0005-0000-0000-0000D54E0000}"/>
    <cellStyle name="Normal 237 3 4 2" xfId="20182" xr:uid="{00000000-0005-0000-0000-0000D64E0000}"/>
    <cellStyle name="Normal 237 3 4 2 2" xfId="20183" xr:uid="{00000000-0005-0000-0000-0000D74E0000}"/>
    <cellStyle name="Normal 237 3 4 3" xfId="20184" xr:uid="{00000000-0005-0000-0000-0000D84E0000}"/>
    <cellStyle name="Normal 237 3 5" xfId="20185" xr:uid="{00000000-0005-0000-0000-0000D94E0000}"/>
    <cellStyle name="Normal 237 4" xfId="20186" xr:uid="{00000000-0005-0000-0000-0000DA4E0000}"/>
    <cellStyle name="Normal 237 4 2" xfId="20187" xr:uid="{00000000-0005-0000-0000-0000DB4E0000}"/>
    <cellStyle name="Normal 237 4 2 2" xfId="20188" xr:uid="{00000000-0005-0000-0000-0000DC4E0000}"/>
    <cellStyle name="Normal 237 4 2 2 2" xfId="20189" xr:uid="{00000000-0005-0000-0000-0000DD4E0000}"/>
    <cellStyle name="Normal 237 4 2 3" xfId="20190" xr:uid="{00000000-0005-0000-0000-0000DE4E0000}"/>
    <cellStyle name="Normal 237 4 2 3 2" xfId="20191" xr:uid="{00000000-0005-0000-0000-0000DF4E0000}"/>
    <cellStyle name="Normal 237 4 2 3 2 2" xfId="20192" xr:uid="{00000000-0005-0000-0000-0000E04E0000}"/>
    <cellStyle name="Normal 237 4 2 3 3" xfId="20193" xr:uid="{00000000-0005-0000-0000-0000E14E0000}"/>
    <cellStyle name="Normal 237 4 2 4" xfId="20194" xr:uid="{00000000-0005-0000-0000-0000E24E0000}"/>
    <cellStyle name="Normal 237 4 3" xfId="20195" xr:uid="{00000000-0005-0000-0000-0000E34E0000}"/>
    <cellStyle name="Normal 237 4 3 2" xfId="20196" xr:uid="{00000000-0005-0000-0000-0000E44E0000}"/>
    <cellStyle name="Normal 237 4 3 2 2" xfId="20197" xr:uid="{00000000-0005-0000-0000-0000E54E0000}"/>
    <cellStyle name="Normal 237 4 3 3" xfId="20198" xr:uid="{00000000-0005-0000-0000-0000E64E0000}"/>
    <cellStyle name="Normal 237 4 4" xfId="20199" xr:uid="{00000000-0005-0000-0000-0000E74E0000}"/>
    <cellStyle name="Normal 237 4 4 2" xfId="20200" xr:uid="{00000000-0005-0000-0000-0000E84E0000}"/>
    <cellStyle name="Normal 237 4 4 2 2" xfId="20201" xr:uid="{00000000-0005-0000-0000-0000E94E0000}"/>
    <cellStyle name="Normal 237 4 4 3" xfId="20202" xr:uid="{00000000-0005-0000-0000-0000EA4E0000}"/>
    <cellStyle name="Normal 237 4 5" xfId="20203" xr:uid="{00000000-0005-0000-0000-0000EB4E0000}"/>
    <cellStyle name="Normal 237 4 5 2" xfId="20204" xr:uid="{00000000-0005-0000-0000-0000EC4E0000}"/>
    <cellStyle name="Normal 237 4 5 2 2" xfId="20205" xr:uid="{00000000-0005-0000-0000-0000ED4E0000}"/>
    <cellStyle name="Normal 237 4 5 3" xfId="20206" xr:uid="{00000000-0005-0000-0000-0000EE4E0000}"/>
    <cellStyle name="Normal 237 4 6" xfId="20207" xr:uid="{00000000-0005-0000-0000-0000EF4E0000}"/>
    <cellStyle name="Normal 237 5" xfId="20208" xr:uid="{00000000-0005-0000-0000-0000F04E0000}"/>
    <cellStyle name="Normal 237 5 2" xfId="20209" xr:uid="{00000000-0005-0000-0000-0000F14E0000}"/>
    <cellStyle name="Normal 237 5 2 2" xfId="20210" xr:uid="{00000000-0005-0000-0000-0000F24E0000}"/>
    <cellStyle name="Normal 237 5 3" xfId="20211" xr:uid="{00000000-0005-0000-0000-0000F34E0000}"/>
    <cellStyle name="Normal 237 6" xfId="20212" xr:uid="{00000000-0005-0000-0000-0000F44E0000}"/>
    <cellStyle name="Normal 237 6 2" xfId="20213" xr:uid="{00000000-0005-0000-0000-0000F54E0000}"/>
    <cellStyle name="Normal 237 6 2 2" xfId="20214" xr:uid="{00000000-0005-0000-0000-0000F64E0000}"/>
    <cellStyle name="Normal 237 6 3" xfId="20215" xr:uid="{00000000-0005-0000-0000-0000F74E0000}"/>
    <cellStyle name="Normal 237 7" xfId="20216" xr:uid="{00000000-0005-0000-0000-0000F84E0000}"/>
    <cellStyle name="Normal 237 7 2" xfId="20217" xr:uid="{00000000-0005-0000-0000-0000F94E0000}"/>
    <cellStyle name="Normal 237 7 2 2" xfId="20218" xr:uid="{00000000-0005-0000-0000-0000FA4E0000}"/>
    <cellStyle name="Normal 237 7 3" xfId="20219" xr:uid="{00000000-0005-0000-0000-0000FB4E0000}"/>
    <cellStyle name="Normal 237 8" xfId="20220" xr:uid="{00000000-0005-0000-0000-0000FC4E0000}"/>
    <cellStyle name="Normal 238" xfId="20221" xr:uid="{00000000-0005-0000-0000-0000FD4E0000}"/>
    <cellStyle name="Normal 238 2" xfId="20222" xr:uid="{00000000-0005-0000-0000-0000FE4E0000}"/>
    <cellStyle name="Normal 238 2 2" xfId="20223" xr:uid="{00000000-0005-0000-0000-0000FF4E0000}"/>
    <cellStyle name="Normal 238 2 2 2" xfId="20224" xr:uid="{00000000-0005-0000-0000-0000004F0000}"/>
    <cellStyle name="Normal 238 2 2 2 2" xfId="20225" xr:uid="{00000000-0005-0000-0000-0000014F0000}"/>
    <cellStyle name="Normal 238 2 2 3" xfId="20226" xr:uid="{00000000-0005-0000-0000-0000024F0000}"/>
    <cellStyle name="Normal 238 2 2 3 2" xfId="20227" xr:uid="{00000000-0005-0000-0000-0000034F0000}"/>
    <cellStyle name="Normal 238 2 2 3 2 2" xfId="20228" xr:uid="{00000000-0005-0000-0000-0000044F0000}"/>
    <cellStyle name="Normal 238 2 2 3 3" xfId="20229" xr:uid="{00000000-0005-0000-0000-0000054F0000}"/>
    <cellStyle name="Normal 238 2 2 4" xfId="20230" xr:uid="{00000000-0005-0000-0000-0000064F0000}"/>
    <cellStyle name="Normal 238 2 2 4 2" xfId="20231" xr:uid="{00000000-0005-0000-0000-0000074F0000}"/>
    <cellStyle name="Normal 238 2 2 4 2 2" xfId="20232" xr:uid="{00000000-0005-0000-0000-0000084F0000}"/>
    <cellStyle name="Normal 238 2 2 4 3" xfId="20233" xr:uid="{00000000-0005-0000-0000-0000094F0000}"/>
    <cellStyle name="Normal 238 2 2 5" xfId="20234" xr:uid="{00000000-0005-0000-0000-00000A4F0000}"/>
    <cellStyle name="Normal 238 2 3" xfId="20235" xr:uid="{00000000-0005-0000-0000-00000B4F0000}"/>
    <cellStyle name="Normal 238 2 3 2" xfId="20236" xr:uid="{00000000-0005-0000-0000-00000C4F0000}"/>
    <cellStyle name="Normal 238 2 3 2 2" xfId="20237" xr:uid="{00000000-0005-0000-0000-00000D4F0000}"/>
    <cellStyle name="Normal 238 2 3 2 2 2" xfId="20238" xr:uid="{00000000-0005-0000-0000-00000E4F0000}"/>
    <cellStyle name="Normal 238 2 3 2 3" xfId="20239" xr:uid="{00000000-0005-0000-0000-00000F4F0000}"/>
    <cellStyle name="Normal 238 2 3 2 3 2" xfId="20240" xr:uid="{00000000-0005-0000-0000-0000104F0000}"/>
    <cellStyle name="Normal 238 2 3 2 3 2 2" xfId="20241" xr:uid="{00000000-0005-0000-0000-0000114F0000}"/>
    <cellStyle name="Normal 238 2 3 2 3 3" xfId="20242" xr:uid="{00000000-0005-0000-0000-0000124F0000}"/>
    <cellStyle name="Normal 238 2 3 2 4" xfId="20243" xr:uid="{00000000-0005-0000-0000-0000134F0000}"/>
    <cellStyle name="Normal 238 2 3 3" xfId="20244" xr:uid="{00000000-0005-0000-0000-0000144F0000}"/>
    <cellStyle name="Normal 238 2 3 3 2" xfId="20245" xr:uid="{00000000-0005-0000-0000-0000154F0000}"/>
    <cellStyle name="Normal 238 2 3 3 2 2" xfId="20246" xr:uid="{00000000-0005-0000-0000-0000164F0000}"/>
    <cellStyle name="Normal 238 2 3 3 3" xfId="20247" xr:uid="{00000000-0005-0000-0000-0000174F0000}"/>
    <cellStyle name="Normal 238 2 3 4" xfId="20248" xr:uid="{00000000-0005-0000-0000-0000184F0000}"/>
    <cellStyle name="Normal 238 2 3 4 2" xfId="20249" xr:uid="{00000000-0005-0000-0000-0000194F0000}"/>
    <cellStyle name="Normal 238 2 3 4 2 2" xfId="20250" xr:uid="{00000000-0005-0000-0000-00001A4F0000}"/>
    <cellStyle name="Normal 238 2 3 4 3" xfId="20251" xr:uid="{00000000-0005-0000-0000-00001B4F0000}"/>
    <cellStyle name="Normal 238 2 3 5" xfId="20252" xr:uid="{00000000-0005-0000-0000-00001C4F0000}"/>
    <cellStyle name="Normal 238 2 3 5 2" xfId="20253" xr:uid="{00000000-0005-0000-0000-00001D4F0000}"/>
    <cellStyle name="Normal 238 2 3 5 2 2" xfId="20254" xr:uid="{00000000-0005-0000-0000-00001E4F0000}"/>
    <cellStyle name="Normal 238 2 3 5 3" xfId="20255" xr:uid="{00000000-0005-0000-0000-00001F4F0000}"/>
    <cellStyle name="Normal 238 2 3 6" xfId="20256" xr:uid="{00000000-0005-0000-0000-0000204F0000}"/>
    <cellStyle name="Normal 238 2 4" xfId="20257" xr:uid="{00000000-0005-0000-0000-0000214F0000}"/>
    <cellStyle name="Normal 238 2 4 2" xfId="20258" xr:uid="{00000000-0005-0000-0000-0000224F0000}"/>
    <cellStyle name="Normal 238 2 4 2 2" xfId="20259" xr:uid="{00000000-0005-0000-0000-0000234F0000}"/>
    <cellStyle name="Normal 238 2 4 3" xfId="20260" xr:uid="{00000000-0005-0000-0000-0000244F0000}"/>
    <cellStyle name="Normal 238 2 5" xfId="20261" xr:uid="{00000000-0005-0000-0000-0000254F0000}"/>
    <cellStyle name="Normal 238 2 5 2" xfId="20262" xr:uid="{00000000-0005-0000-0000-0000264F0000}"/>
    <cellStyle name="Normal 238 2 5 2 2" xfId="20263" xr:uid="{00000000-0005-0000-0000-0000274F0000}"/>
    <cellStyle name="Normal 238 2 5 3" xfId="20264" xr:uid="{00000000-0005-0000-0000-0000284F0000}"/>
    <cellStyle name="Normal 238 2 6" xfId="20265" xr:uid="{00000000-0005-0000-0000-0000294F0000}"/>
    <cellStyle name="Normal 238 2 6 2" xfId="20266" xr:uid="{00000000-0005-0000-0000-00002A4F0000}"/>
    <cellStyle name="Normal 238 2 6 2 2" xfId="20267" xr:uid="{00000000-0005-0000-0000-00002B4F0000}"/>
    <cellStyle name="Normal 238 2 6 3" xfId="20268" xr:uid="{00000000-0005-0000-0000-00002C4F0000}"/>
    <cellStyle name="Normal 238 2 7" xfId="20269" xr:uid="{00000000-0005-0000-0000-00002D4F0000}"/>
    <cellStyle name="Normal 238 3" xfId="20270" xr:uid="{00000000-0005-0000-0000-00002E4F0000}"/>
    <cellStyle name="Normal 238 3 2" xfId="20271" xr:uid="{00000000-0005-0000-0000-00002F4F0000}"/>
    <cellStyle name="Normal 238 3 2 2" xfId="20272" xr:uid="{00000000-0005-0000-0000-0000304F0000}"/>
    <cellStyle name="Normal 238 3 3" xfId="20273" xr:uid="{00000000-0005-0000-0000-0000314F0000}"/>
    <cellStyle name="Normal 238 3 3 2" xfId="20274" xr:uid="{00000000-0005-0000-0000-0000324F0000}"/>
    <cellStyle name="Normal 238 3 3 2 2" xfId="20275" xr:uid="{00000000-0005-0000-0000-0000334F0000}"/>
    <cellStyle name="Normal 238 3 3 3" xfId="20276" xr:uid="{00000000-0005-0000-0000-0000344F0000}"/>
    <cellStyle name="Normal 238 3 4" xfId="20277" xr:uid="{00000000-0005-0000-0000-0000354F0000}"/>
    <cellStyle name="Normal 238 3 4 2" xfId="20278" xr:uid="{00000000-0005-0000-0000-0000364F0000}"/>
    <cellStyle name="Normal 238 3 4 2 2" xfId="20279" xr:uid="{00000000-0005-0000-0000-0000374F0000}"/>
    <cellStyle name="Normal 238 3 4 3" xfId="20280" xr:uid="{00000000-0005-0000-0000-0000384F0000}"/>
    <cellStyle name="Normal 238 3 5" xfId="20281" xr:uid="{00000000-0005-0000-0000-0000394F0000}"/>
    <cellStyle name="Normal 238 4" xfId="20282" xr:uid="{00000000-0005-0000-0000-00003A4F0000}"/>
    <cellStyle name="Normal 238 4 2" xfId="20283" xr:uid="{00000000-0005-0000-0000-00003B4F0000}"/>
    <cellStyle name="Normal 238 4 2 2" xfId="20284" xr:uid="{00000000-0005-0000-0000-00003C4F0000}"/>
    <cellStyle name="Normal 238 4 2 2 2" xfId="20285" xr:uid="{00000000-0005-0000-0000-00003D4F0000}"/>
    <cellStyle name="Normal 238 4 2 3" xfId="20286" xr:uid="{00000000-0005-0000-0000-00003E4F0000}"/>
    <cellStyle name="Normal 238 4 2 3 2" xfId="20287" xr:uid="{00000000-0005-0000-0000-00003F4F0000}"/>
    <cellStyle name="Normal 238 4 2 3 2 2" xfId="20288" xr:uid="{00000000-0005-0000-0000-0000404F0000}"/>
    <cellStyle name="Normal 238 4 2 3 3" xfId="20289" xr:uid="{00000000-0005-0000-0000-0000414F0000}"/>
    <cellStyle name="Normal 238 4 2 4" xfId="20290" xr:uid="{00000000-0005-0000-0000-0000424F0000}"/>
    <cellStyle name="Normal 238 4 3" xfId="20291" xr:uid="{00000000-0005-0000-0000-0000434F0000}"/>
    <cellStyle name="Normal 238 4 3 2" xfId="20292" xr:uid="{00000000-0005-0000-0000-0000444F0000}"/>
    <cellStyle name="Normal 238 4 3 2 2" xfId="20293" xr:uid="{00000000-0005-0000-0000-0000454F0000}"/>
    <cellStyle name="Normal 238 4 3 3" xfId="20294" xr:uid="{00000000-0005-0000-0000-0000464F0000}"/>
    <cellStyle name="Normal 238 4 4" xfId="20295" xr:uid="{00000000-0005-0000-0000-0000474F0000}"/>
    <cellStyle name="Normal 238 4 4 2" xfId="20296" xr:uid="{00000000-0005-0000-0000-0000484F0000}"/>
    <cellStyle name="Normal 238 4 4 2 2" xfId="20297" xr:uid="{00000000-0005-0000-0000-0000494F0000}"/>
    <cellStyle name="Normal 238 4 4 3" xfId="20298" xr:uid="{00000000-0005-0000-0000-00004A4F0000}"/>
    <cellStyle name="Normal 238 4 5" xfId="20299" xr:uid="{00000000-0005-0000-0000-00004B4F0000}"/>
    <cellStyle name="Normal 238 4 5 2" xfId="20300" xr:uid="{00000000-0005-0000-0000-00004C4F0000}"/>
    <cellStyle name="Normal 238 4 5 2 2" xfId="20301" xr:uid="{00000000-0005-0000-0000-00004D4F0000}"/>
    <cellStyle name="Normal 238 4 5 3" xfId="20302" xr:uid="{00000000-0005-0000-0000-00004E4F0000}"/>
    <cellStyle name="Normal 238 4 6" xfId="20303" xr:uid="{00000000-0005-0000-0000-00004F4F0000}"/>
    <cellStyle name="Normal 238 5" xfId="20304" xr:uid="{00000000-0005-0000-0000-0000504F0000}"/>
    <cellStyle name="Normal 238 5 2" xfId="20305" xr:uid="{00000000-0005-0000-0000-0000514F0000}"/>
    <cellStyle name="Normal 238 5 2 2" xfId="20306" xr:uid="{00000000-0005-0000-0000-0000524F0000}"/>
    <cellStyle name="Normal 238 5 3" xfId="20307" xr:uid="{00000000-0005-0000-0000-0000534F0000}"/>
    <cellStyle name="Normal 238 6" xfId="20308" xr:uid="{00000000-0005-0000-0000-0000544F0000}"/>
    <cellStyle name="Normal 238 6 2" xfId="20309" xr:uid="{00000000-0005-0000-0000-0000554F0000}"/>
    <cellStyle name="Normal 238 6 2 2" xfId="20310" xr:uid="{00000000-0005-0000-0000-0000564F0000}"/>
    <cellStyle name="Normal 238 6 3" xfId="20311" xr:uid="{00000000-0005-0000-0000-0000574F0000}"/>
    <cellStyle name="Normal 238 7" xfId="20312" xr:uid="{00000000-0005-0000-0000-0000584F0000}"/>
    <cellStyle name="Normal 238 7 2" xfId="20313" xr:uid="{00000000-0005-0000-0000-0000594F0000}"/>
    <cellStyle name="Normal 238 7 2 2" xfId="20314" xr:uid="{00000000-0005-0000-0000-00005A4F0000}"/>
    <cellStyle name="Normal 238 7 3" xfId="20315" xr:uid="{00000000-0005-0000-0000-00005B4F0000}"/>
    <cellStyle name="Normal 238 8" xfId="20316" xr:uid="{00000000-0005-0000-0000-00005C4F0000}"/>
    <cellStyle name="Normal 239" xfId="20317" xr:uid="{00000000-0005-0000-0000-00005D4F0000}"/>
    <cellStyle name="Normal 239 2" xfId="20318" xr:uid="{00000000-0005-0000-0000-00005E4F0000}"/>
    <cellStyle name="Normal 239 2 2" xfId="20319" xr:uid="{00000000-0005-0000-0000-00005F4F0000}"/>
    <cellStyle name="Normal 239 2 2 2" xfId="20320" xr:uid="{00000000-0005-0000-0000-0000604F0000}"/>
    <cellStyle name="Normal 239 2 2 2 2" xfId="20321" xr:uid="{00000000-0005-0000-0000-0000614F0000}"/>
    <cellStyle name="Normal 239 2 2 3" xfId="20322" xr:uid="{00000000-0005-0000-0000-0000624F0000}"/>
    <cellStyle name="Normal 239 2 2 3 2" xfId="20323" xr:uid="{00000000-0005-0000-0000-0000634F0000}"/>
    <cellStyle name="Normal 239 2 2 3 2 2" xfId="20324" xr:uid="{00000000-0005-0000-0000-0000644F0000}"/>
    <cellStyle name="Normal 239 2 2 3 3" xfId="20325" xr:uid="{00000000-0005-0000-0000-0000654F0000}"/>
    <cellStyle name="Normal 239 2 2 4" xfId="20326" xr:uid="{00000000-0005-0000-0000-0000664F0000}"/>
    <cellStyle name="Normal 239 2 2 4 2" xfId="20327" xr:uid="{00000000-0005-0000-0000-0000674F0000}"/>
    <cellStyle name="Normal 239 2 2 4 2 2" xfId="20328" xr:uid="{00000000-0005-0000-0000-0000684F0000}"/>
    <cellStyle name="Normal 239 2 2 4 3" xfId="20329" xr:uid="{00000000-0005-0000-0000-0000694F0000}"/>
    <cellStyle name="Normal 239 2 2 5" xfId="20330" xr:uid="{00000000-0005-0000-0000-00006A4F0000}"/>
    <cellStyle name="Normal 239 2 3" xfId="20331" xr:uid="{00000000-0005-0000-0000-00006B4F0000}"/>
    <cellStyle name="Normal 239 2 3 2" xfId="20332" xr:uid="{00000000-0005-0000-0000-00006C4F0000}"/>
    <cellStyle name="Normal 239 2 3 2 2" xfId="20333" xr:uid="{00000000-0005-0000-0000-00006D4F0000}"/>
    <cellStyle name="Normal 239 2 3 2 2 2" xfId="20334" xr:uid="{00000000-0005-0000-0000-00006E4F0000}"/>
    <cellStyle name="Normal 239 2 3 2 3" xfId="20335" xr:uid="{00000000-0005-0000-0000-00006F4F0000}"/>
    <cellStyle name="Normal 239 2 3 2 3 2" xfId="20336" xr:uid="{00000000-0005-0000-0000-0000704F0000}"/>
    <cellStyle name="Normal 239 2 3 2 3 2 2" xfId="20337" xr:uid="{00000000-0005-0000-0000-0000714F0000}"/>
    <cellStyle name="Normal 239 2 3 2 3 3" xfId="20338" xr:uid="{00000000-0005-0000-0000-0000724F0000}"/>
    <cellStyle name="Normal 239 2 3 2 4" xfId="20339" xr:uid="{00000000-0005-0000-0000-0000734F0000}"/>
    <cellStyle name="Normal 239 2 3 3" xfId="20340" xr:uid="{00000000-0005-0000-0000-0000744F0000}"/>
    <cellStyle name="Normal 239 2 3 3 2" xfId="20341" xr:uid="{00000000-0005-0000-0000-0000754F0000}"/>
    <cellStyle name="Normal 239 2 3 3 2 2" xfId="20342" xr:uid="{00000000-0005-0000-0000-0000764F0000}"/>
    <cellStyle name="Normal 239 2 3 3 3" xfId="20343" xr:uid="{00000000-0005-0000-0000-0000774F0000}"/>
    <cellStyle name="Normal 239 2 3 4" xfId="20344" xr:uid="{00000000-0005-0000-0000-0000784F0000}"/>
    <cellStyle name="Normal 239 2 3 4 2" xfId="20345" xr:uid="{00000000-0005-0000-0000-0000794F0000}"/>
    <cellStyle name="Normal 239 2 3 4 2 2" xfId="20346" xr:uid="{00000000-0005-0000-0000-00007A4F0000}"/>
    <cellStyle name="Normal 239 2 3 4 3" xfId="20347" xr:uid="{00000000-0005-0000-0000-00007B4F0000}"/>
    <cellStyle name="Normal 239 2 3 5" xfId="20348" xr:uid="{00000000-0005-0000-0000-00007C4F0000}"/>
    <cellStyle name="Normal 239 2 3 5 2" xfId="20349" xr:uid="{00000000-0005-0000-0000-00007D4F0000}"/>
    <cellStyle name="Normal 239 2 3 5 2 2" xfId="20350" xr:uid="{00000000-0005-0000-0000-00007E4F0000}"/>
    <cellStyle name="Normal 239 2 3 5 3" xfId="20351" xr:uid="{00000000-0005-0000-0000-00007F4F0000}"/>
    <cellStyle name="Normal 239 2 3 6" xfId="20352" xr:uid="{00000000-0005-0000-0000-0000804F0000}"/>
    <cellStyle name="Normal 239 2 4" xfId="20353" xr:uid="{00000000-0005-0000-0000-0000814F0000}"/>
    <cellStyle name="Normal 239 2 4 2" xfId="20354" xr:uid="{00000000-0005-0000-0000-0000824F0000}"/>
    <cellStyle name="Normal 239 2 4 2 2" xfId="20355" xr:uid="{00000000-0005-0000-0000-0000834F0000}"/>
    <cellStyle name="Normal 239 2 4 3" xfId="20356" xr:uid="{00000000-0005-0000-0000-0000844F0000}"/>
    <cellStyle name="Normal 239 2 5" xfId="20357" xr:uid="{00000000-0005-0000-0000-0000854F0000}"/>
    <cellStyle name="Normal 239 2 5 2" xfId="20358" xr:uid="{00000000-0005-0000-0000-0000864F0000}"/>
    <cellStyle name="Normal 239 2 5 2 2" xfId="20359" xr:uid="{00000000-0005-0000-0000-0000874F0000}"/>
    <cellStyle name="Normal 239 2 5 3" xfId="20360" xr:uid="{00000000-0005-0000-0000-0000884F0000}"/>
    <cellStyle name="Normal 239 2 6" xfId="20361" xr:uid="{00000000-0005-0000-0000-0000894F0000}"/>
    <cellStyle name="Normal 239 2 6 2" xfId="20362" xr:uid="{00000000-0005-0000-0000-00008A4F0000}"/>
    <cellStyle name="Normal 239 2 6 2 2" xfId="20363" xr:uid="{00000000-0005-0000-0000-00008B4F0000}"/>
    <cellStyle name="Normal 239 2 6 3" xfId="20364" xr:uid="{00000000-0005-0000-0000-00008C4F0000}"/>
    <cellStyle name="Normal 239 2 7" xfId="20365" xr:uid="{00000000-0005-0000-0000-00008D4F0000}"/>
    <cellStyle name="Normal 239 3" xfId="20366" xr:uid="{00000000-0005-0000-0000-00008E4F0000}"/>
    <cellStyle name="Normal 239 3 2" xfId="20367" xr:uid="{00000000-0005-0000-0000-00008F4F0000}"/>
    <cellStyle name="Normal 239 3 2 2" xfId="20368" xr:uid="{00000000-0005-0000-0000-0000904F0000}"/>
    <cellStyle name="Normal 239 3 3" xfId="20369" xr:uid="{00000000-0005-0000-0000-0000914F0000}"/>
    <cellStyle name="Normal 239 3 3 2" xfId="20370" xr:uid="{00000000-0005-0000-0000-0000924F0000}"/>
    <cellStyle name="Normal 239 3 3 2 2" xfId="20371" xr:uid="{00000000-0005-0000-0000-0000934F0000}"/>
    <cellStyle name="Normal 239 3 3 3" xfId="20372" xr:uid="{00000000-0005-0000-0000-0000944F0000}"/>
    <cellStyle name="Normal 239 3 4" xfId="20373" xr:uid="{00000000-0005-0000-0000-0000954F0000}"/>
    <cellStyle name="Normal 239 3 4 2" xfId="20374" xr:uid="{00000000-0005-0000-0000-0000964F0000}"/>
    <cellStyle name="Normal 239 3 4 2 2" xfId="20375" xr:uid="{00000000-0005-0000-0000-0000974F0000}"/>
    <cellStyle name="Normal 239 3 4 3" xfId="20376" xr:uid="{00000000-0005-0000-0000-0000984F0000}"/>
    <cellStyle name="Normal 239 3 5" xfId="20377" xr:uid="{00000000-0005-0000-0000-0000994F0000}"/>
    <cellStyle name="Normal 239 4" xfId="20378" xr:uid="{00000000-0005-0000-0000-00009A4F0000}"/>
    <cellStyle name="Normal 239 4 2" xfId="20379" xr:uid="{00000000-0005-0000-0000-00009B4F0000}"/>
    <cellStyle name="Normal 239 4 2 2" xfId="20380" xr:uid="{00000000-0005-0000-0000-00009C4F0000}"/>
    <cellStyle name="Normal 239 4 2 2 2" xfId="20381" xr:uid="{00000000-0005-0000-0000-00009D4F0000}"/>
    <cellStyle name="Normal 239 4 2 3" xfId="20382" xr:uid="{00000000-0005-0000-0000-00009E4F0000}"/>
    <cellStyle name="Normal 239 4 2 3 2" xfId="20383" xr:uid="{00000000-0005-0000-0000-00009F4F0000}"/>
    <cellStyle name="Normal 239 4 2 3 2 2" xfId="20384" xr:uid="{00000000-0005-0000-0000-0000A04F0000}"/>
    <cellStyle name="Normal 239 4 2 3 3" xfId="20385" xr:uid="{00000000-0005-0000-0000-0000A14F0000}"/>
    <cellStyle name="Normal 239 4 2 4" xfId="20386" xr:uid="{00000000-0005-0000-0000-0000A24F0000}"/>
    <cellStyle name="Normal 239 4 3" xfId="20387" xr:uid="{00000000-0005-0000-0000-0000A34F0000}"/>
    <cellStyle name="Normal 239 4 3 2" xfId="20388" xr:uid="{00000000-0005-0000-0000-0000A44F0000}"/>
    <cellStyle name="Normal 239 4 3 2 2" xfId="20389" xr:uid="{00000000-0005-0000-0000-0000A54F0000}"/>
    <cellStyle name="Normal 239 4 3 3" xfId="20390" xr:uid="{00000000-0005-0000-0000-0000A64F0000}"/>
    <cellStyle name="Normal 239 4 4" xfId="20391" xr:uid="{00000000-0005-0000-0000-0000A74F0000}"/>
    <cellStyle name="Normal 239 4 4 2" xfId="20392" xr:uid="{00000000-0005-0000-0000-0000A84F0000}"/>
    <cellStyle name="Normal 239 4 4 2 2" xfId="20393" xr:uid="{00000000-0005-0000-0000-0000A94F0000}"/>
    <cellStyle name="Normal 239 4 4 3" xfId="20394" xr:uid="{00000000-0005-0000-0000-0000AA4F0000}"/>
    <cellStyle name="Normal 239 4 5" xfId="20395" xr:uid="{00000000-0005-0000-0000-0000AB4F0000}"/>
    <cellStyle name="Normal 239 4 5 2" xfId="20396" xr:uid="{00000000-0005-0000-0000-0000AC4F0000}"/>
    <cellStyle name="Normal 239 4 5 2 2" xfId="20397" xr:uid="{00000000-0005-0000-0000-0000AD4F0000}"/>
    <cellStyle name="Normal 239 4 5 3" xfId="20398" xr:uid="{00000000-0005-0000-0000-0000AE4F0000}"/>
    <cellStyle name="Normal 239 4 6" xfId="20399" xr:uid="{00000000-0005-0000-0000-0000AF4F0000}"/>
    <cellStyle name="Normal 239 5" xfId="20400" xr:uid="{00000000-0005-0000-0000-0000B04F0000}"/>
    <cellStyle name="Normal 239 5 2" xfId="20401" xr:uid="{00000000-0005-0000-0000-0000B14F0000}"/>
    <cellStyle name="Normal 239 5 2 2" xfId="20402" xr:uid="{00000000-0005-0000-0000-0000B24F0000}"/>
    <cellStyle name="Normal 239 5 3" xfId="20403" xr:uid="{00000000-0005-0000-0000-0000B34F0000}"/>
    <cellStyle name="Normal 239 6" xfId="20404" xr:uid="{00000000-0005-0000-0000-0000B44F0000}"/>
    <cellStyle name="Normal 239 6 2" xfId="20405" xr:uid="{00000000-0005-0000-0000-0000B54F0000}"/>
    <cellStyle name="Normal 239 6 2 2" xfId="20406" xr:uid="{00000000-0005-0000-0000-0000B64F0000}"/>
    <cellStyle name="Normal 239 6 3" xfId="20407" xr:uid="{00000000-0005-0000-0000-0000B74F0000}"/>
    <cellStyle name="Normal 239 7" xfId="20408" xr:uid="{00000000-0005-0000-0000-0000B84F0000}"/>
    <cellStyle name="Normal 239 7 2" xfId="20409" xr:uid="{00000000-0005-0000-0000-0000B94F0000}"/>
    <cellStyle name="Normal 239 7 2 2" xfId="20410" xr:uid="{00000000-0005-0000-0000-0000BA4F0000}"/>
    <cellStyle name="Normal 239 7 3" xfId="20411" xr:uid="{00000000-0005-0000-0000-0000BB4F0000}"/>
    <cellStyle name="Normal 239 8" xfId="20412" xr:uid="{00000000-0005-0000-0000-0000BC4F0000}"/>
    <cellStyle name="Normal 24" xfId="20413" xr:uid="{00000000-0005-0000-0000-0000BD4F0000}"/>
    <cellStyle name="Normal 24 2" xfId="20414" xr:uid="{00000000-0005-0000-0000-0000BE4F0000}"/>
    <cellStyle name="Normal 24 2 2" xfId="20415" xr:uid="{00000000-0005-0000-0000-0000BF4F0000}"/>
    <cellStyle name="Normal 24 2 2 2" xfId="20416" xr:uid="{00000000-0005-0000-0000-0000C04F0000}"/>
    <cellStyle name="Normal 24 2 2 2 2" xfId="20417" xr:uid="{00000000-0005-0000-0000-0000C14F0000}"/>
    <cellStyle name="Normal 24 2 2 3" xfId="20418" xr:uid="{00000000-0005-0000-0000-0000C24F0000}"/>
    <cellStyle name="Normal 24 2 2 3 2" xfId="20419" xr:uid="{00000000-0005-0000-0000-0000C34F0000}"/>
    <cellStyle name="Normal 24 2 2 3 2 2" xfId="20420" xr:uid="{00000000-0005-0000-0000-0000C44F0000}"/>
    <cellStyle name="Normal 24 2 2 3 3" xfId="20421" xr:uid="{00000000-0005-0000-0000-0000C54F0000}"/>
    <cellStyle name="Normal 24 2 2 4" xfId="20422" xr:uid="{00000000-0005-0000-0000-0000C64F0000}"/>
    <cellStyle name="Normal 24 2 2 4 2" xfId="20423" xr:uid="{00000000-0005-0000-0000-0000C74F0000}"/>
    <cellStyle name="Normal 24 2 2 4 2 2" xfId="20424" xr:uid="{00000000-0005-0000-0000-0000C84F0000}"/>
    <cellStyle name="Normal 24 2 2 4 3" xfId="20425" xr:uid="{00000000-0005-0000-0000-0000C94F0000}"/>
    <cellStyle name="Normal 24 2 2 5" xfId="20426" xr:uid="{00000000-0005-0000-0000-0000CA4F0000}"/>
    <cellStyle name="Normal 24 2 3" xfId="20427" xr:uid="{00000000-0005-0000-0000-0000CB4F0000}"/>
    <cellStyle name="Normal 24 2 3 2" xfId="20428" xr:uid="{00000000-0005-0000-0000-0000CC4F0000}"/>
    <cellStyle name="Normal 24 2 3 2 2" xfId="20429" xr:uid="{00000000-0005-0000-0000-0000CD4F0000}"/>
    <cellStyle name="Normal 24 2 3 3" xfId="20430" xr:uid="{00000000-0005-0000-0000-0000CE4F0000}"/>
    <cellStyle name="Normal 24 2 4" xfId="20431" xr:uid="{00000000-0005-0000-0000-0000CF4F0000}"/>
    <cellStyle name="Normal 24 2 4 2" xfId="20432" xr:uid="{00000000-0005-0000-0000-0000D04F0000}"/>
    <cellStyle name="Normal 24 2 4 2 2" xfId="20433" xr:uid="{00000000-0005-0000-0000-0000D14F0000}"/>
    <cellStyle name="Normal 24 2 4 3" xfId="20434" xr:uid="{00000000-0005-0000-0000-0000D24F0000}"/>
    <cellStyle name="Normal 24 2 5" xfId="20435" xr:uid="{00000000-0005-0000-0000-0000D34F0000}"/>
    <cellStyle name="Normal 24 2 5 2" xfId="20436" xr:uid="{00000000-0005-0000-0000-0000D44F0000}"/>
    <cellStyle name="Normal 24 2 5 2 2" xfId="20437" xr:uid="{00000000-0005-0000-0000-0000D54F0000}"/>
    <cellStyle name="Normal 24 2 5 3" xfId="20438" xr:uid="{00000000-0005-0000-0000-0000D64F0000}"/>
    <cellStyle name="Normal 24 2 6" xfId="20439" xr:uid="{00000000-0005-0000-0000-0000D74F0000}"/>
    <cellStyle name="Normal 24 3" xfId="20440" xr:uid="{00000000-0005-0000-0000-0000D84F0000}"/>
    <cellStyle name="Normal 24 3 2" xfId="20441" xr:uid="{00000000-0005-0000-0000-0000D94F0000}"/>
    <cellStyle name="Normal 24 3 2 2" xfId="20442" xr:uid="{00000000-0005-0000-0000-0000DA4F0000}"/>
    <cellStyle name="Normal 24 3 3" xfId="20443" xr:uid="{00000000-0005-0000-0000-0000DB4F0000}"/>
    <cellStyle name="Normal 24 3 3 2" xfId="20444" xr:uid="{00000000-0005-0000-0000-0000DC4F0000}"/>
    <cellStyle name="Normal 24 3 3 2 2" xfId="20445" xr:uid="{00000000-0005-0000-0000-0000DD4F0000}"/>
    <cellStyle name="Normal 24 3 3 3" xfId="20446" xr:uid="{00000000-0005-0000-0000-0000DE4F0000}"/>
    <cellStyle name="Normal 24 3 4" xfId="20447" xr:uid="{00000000-0005-0000-0000-0000DF4F0000}"/>
    <cellStyle name="Normal 24 3 4 2" xfId="20448" xr:uid="{00000000-0005-0000-0000-0000E04F0000}"/>
    <cellStyle name="Normal 24 3 4 2 2" xfId="20449" xr:uid="{00000000-0005-0000-0000-0000E14F0000}"/>
    <cellStyle name="Normal 24 3 4 3" xfId="20450" xr:uid="{00000000-0005-0000-0000-0000E24F0000}"/>
    <cellStyle name="Normal 24 3 5" xfId="20451" xr:uid="{00000000-0005-0000-0000-0000E34F0000}"/>
    <cellStyle name="Normal 24 4" xfId="20452" xr:uid="{00000000-0005-0000-0000-0000E44F0000}"/>
    <cellStyle name="Normal 24 4 2" xfId="20453" xr:uid="{00000000-0005-0000-0000-0000E54F0000}"/>
    <cellStyle name="Normal 24 4 2 2" xfId="20454" xr:uid="{00000000-0005-0000-0000-0000E64F0000}"/>
    <cellStyle name="Normal 24 4 3" xfId="20455" xr:uid="{00000000-0005-0000-0000-0000E74F0000}"/>
    <cellStyle name="Normal 24 4 3 2" xfId="20456" xr:uid="{00000000-0005-0000-0000-0000E84F0000}"/>
    <cellStyle name="Normal 24 4 3 2 2" xfId="20457" xr:uid="{00000000-0005-0000-0000-0000E94F0000}"/>
    <cellStyle name="Normal 24 4 3 3" xfId="20458" xr:uid="{00000000-0005-0000-0000-0000EA4F0000}"/>
    <cellStyle name="Normal 24 4 4" xfId="20459" xr:uid="{00000000-0005-0000-0000-0000EB4F0000}"/>
    <cellStyle name="Normal 24 4 4 2" xfId="20460" xr:uid="{00000000-0005-0000-0000-0000EC4F0000}"/>
    <cellStyle name="Normal 24 4 4 2 2" xfId="20461" xr:uid="{00000000-0005-0000-0000-0000ED4F0000}"/>
    <cellStyle name="Normal 24 4 4 3" xfId="20462" xr:uid="{00000000-0005-0000-0000-0000EE4F0000}"/>
    <cellStyle name="Normal 24 4 5" xfId="20463" xr:uid="{00000000-0005-0000-0000-0000EF4F0000}"/>
    <cellStyle name="Normal 24 5" xfId="20464" xr:uid="{00000000-0005-0000-0000-0000F04F0000}"/>
    <cellStyle name="Normal 24 5 2" xfId="20465" xr:uid="{00000000-0005-0000-0000-0000F14F0000}"/>
    <cellStyle name="Normal 24 5 2 2" xfId="20466" xr:uid="{00000000-0005-0000-0000-0000F24F0000}"/>
    <cellStyle name="Normal 24 5 3" xfId="20467" xr:uid="{00000000-0005-0000-0000-0000F34F0000}"/>
    <cellStyle name="Normal 24 6" xfId="20468" xr:uid="{00000000-0005-0000-0000-0000F44F0000}"/>
    <cellStyle name="Normal 24 6 2" xfId="20469" xr:uid="{00000000-0005-0000-0000-0000F54F0000}"/>
    <cellStyle name="Normal 24 6 2 2" xfId="20470" xr:uid="{00000000-0005-0000-0000-0000F64F0000}"/>
    <cellStyle name="Normal 24 6 3" xfId="20471" xr:uid="{00000000-0005-0000-0000-0000F74F0000}"/>
    <cellStyle name="Normal 24 7" xfId="20472" xr:uid="{00000000-0005-0000-0000-0000F84F0000}"/>
    <cellStyle name="Normal 24 7 2" xfId="20473" xr:uid="{00000000-0005-0000-0000-0000F94F0000}"/>
    <cellStyle name="Normal 24 7 2 2" xfId="20474" xr:uid="{00000000-0005-0000-0000-0000FA4F0000}"/>
    <cellStyle name="Normal 24 7 3" xfId="20475" xr:uid="{00000000-0005-0000-0000-0000FB4F0000}"/>
    <cellStyle name="Normal 24 8" xfId="20476" xr:uid="{00000000-0005-0000-0000-0000FC4F0000}"/>
    <cellStyle name="Normal 240" xfId="20477" xr:uid="{00000000-0005-0000-0000-0000FD4F0000}"/>
    <cellStyle name="Normal 240 2" xfId="20478" xr:uid="{00000000-0005-0000-0000-0000FE4F0000}"/>
    <cellStyle name="Normal 240 2 2" xfId="20479" xr:uid="{00000000-0005-0000-0000-0000FF4F0000}"/>
    <cellStyle name="Normal 240 2 2 2" xfId="20480" xr:uid="{00000000-0005-0000-0000-000000500000}"/>
    <cellStyle name="Normal 240 2 2 2 2" xfId="20481" xr:uid="{00000000-0005-0000-0000-000001500000}"/>
    <cellStyle name="Normal 240 2 2 3" xfId="20482" xr:uid="{00000000-0005-0000-0000-000002500000}"/>
    <cellStyle name="Normal 240 2 2 3 2" xfId="20483" xr:uid="{00000000-0005-0000-0000-000003500000}"/>
    <cellStyle name="Normal 240 2 2 3 2 2" xfId="20484" xr:uid="{00000000-0005-0000-0000-000004500000}"/>
    <cellStyle name="Normal 240 2 2 3 3" xfId="20485" xr:uid="{00000000-0005-0000-0000-000005500000}"/>
    <cellStyle name="Normal 240 2 2 4" xfId="20486" xr:uid="{00000000-0005-0000-0000-000006500000}"/>
    <cellStyle name="Normal 240 2 2 4 2" xfId="20487" xr:uid="{00000000-0005-0000-0000-000007500000}"/>
    <cellStyle name="Normal 240 2 2 4 2 2" xfId="20488" xr:uid="{00000000-0005-0000-0000-000008500000}"/>
    <cellStyle name="Normal 240 2 2 4 3" xfId="20489" xr:uid="{00000000-0005-0000-0000-000009500000}"/>
    <cellStyle name="Normal 240 2 2 5" xfId="20490" xr:uid="{00000000-0005-0000-0000-00000A500000}"/>
    <cellStyle name="Normal 240 2 3" xfId="20491" xr:uid="{00000000-0005-0000-0000-00000B500000}"/>
    <cellStyle name="Normal 240 2 3 2" xfId="20492" xr:uid="{00000000-0005-0000-0000-00000C500000}"/>
    <cellStyle name="Normal 240 2 3 2 2" xfId="20493" xr:uid="{00000000-0005-0000-0000-00000D500000}"/>
    <cellStyle name="Normal 240 2 3 2 2 2" xfId="20494" xr:uid="{00000000-0005-0000-0000-00000E500000}"/>
    <cellStyle name="Normal 240 2 3 2 3" xfId="20495" xr:uid="{00000000-0005-0000-0000-00000F500000}"/>
    <cellStyle name="Normal 240 2 3 2 3 2" xfId="20496" xr:uid="{00000000-0005-0000-0000-000010500000}"/>
    <cellStyle name="Normal 240 2 3 2 3 2 2" xfId="20497" xr:uid="{00000000-0005-0000-0000-000011500000}"/>
    <cellStyle name="Normal 240 2 3 2 3 3" xfId="20498" xr:uid="{00000000-0005-0000-0000-000012500000}"/>
    <cellStyle name="Normal 240 2 3 2 4" xfId="20499" xr:uid="{00000000-0005-0000-0000-000013500000}"/>
    <cellStyle name="Normal 240 2 3 3" xfId="20500" xr:uid="{00000000-0005-0000-0000-000014500000}"/>
    <cellStyle name="Normal 240 2 3 3 2" xfId="20501" xr:uid="{00000000-0005-0000-0000-000015500000}"/>
    <cellStyle name="Normal 240 2 3 3 2 2" xfId="20502" xr:uid="{00000000-0005-0000-0000-000016500000}"/>
    <cellStyle name="Normal 240 2 3 3 3" xfId="20503" xr:uid="{00000000-0005-0000-0000-000017500000}"/>
    <cellStyle name="Normal 240 2 3 4" xfId="20504" xr:uid="{00000000-0005-0000-0000-000018500000}"/>
    <cellStyle name="Normal 240 2 3 4 2" xfId="20505" xr:uid="{00000000-0005-0000-0000-000019500000}"/>
    <cellStyle name="Normal 240 2 3 4 2 2" xfId="20506" xr:uid="{00000000-0005-0000-0000-00001A500000}"/>
    <cellStyle name="Normal 240 2 3 4 3" xfId="20507" xr:uid="{00000000-0005-0000-0000-00001B500000}"/>
    <cellStyle name="Normal 240 2 3 5" xfId="20508" xr:uid="{00000000-0005-0000-0000-00001C500000}"/>
    <cellStyle name="Normal 240 2 3 5 2" xfId="20509" xr:uid="{00000000-0005-0000-0000-00001D500000}"/>
    <cellStyle name="Normal 240 2 3 5 2 2" xfId="20510" xr:uid="{00000000-0005-0000-0000-00001E500000}"/>
    <cellStyle name="Normal 240 2 3 5 3" xfId="20511" xr:uid="{00000000-0005-0000-0000-00001F500000}"/>
    <cellStyle name="Normal 240 2 3 6" xfId="20512" xr:uid="{00000000-0005-0000-0000-000020500000}"/>
    <cellStyle name="Normal 240 2 4" xfId="20513" xr:uid="{00000000-0005-0000-0000-000021500000}"/>
    <cellStyle name="Normal 240 2 4 2" xfId="20514" xr:uid="{00000000-0005-0000-0000-000022500000}"/>
    <cellStyle name="Normal 240 2 4 2 2" xfId="20515" xr:uid="{00000000-0005-0000-0000-000023500000}"/>
    <cellStyle name="Normal 240 2 4 3" xfId="20516" xr:uid="{00000000-0005-0000-0000-000024500000}"/>
    <cellStyle name="Normal 240 2 5" xfId="20517" xr:uid="{00000000-0005-0000-0000-000025500000}"/>
    <cellStyle name="Normal 240 2 5 2" xfId="20518" xr:uid="{00000000-0005-0000-0000-000026500000}"/>
    <cellStyle name="Normal 240 2 5 2 2" xfId="20519" xr:uid="{00000000-0005-0000-0000-000027500000}"/>
    <cellStyle name="Normal 240 2 5 3" xfId="20520" xr:uid="{00000000-0005-0000-0000-000028500000}"/>
    <cellStyle name="Normal 240 2 6" xfId="20521" xr:uid="{00000000-0005-0000-0000-000029500000}"/>
    <cellStyle name="Normal 240 2 6 2" xfId="20522" xr:uid="{00000000-0005-0000-0000-00002A500000}"/>
    <cellStyle name="Normal 240 2 6 2 2" xfId="20523" xr:uid="{00000000-0005-0000-0000-00002B500000}"/>
    <cellStyle name="Normal 240 2 6 3" xfId="20524" xr:uid="{00000000-0005-0000-0000-00002C500000}"/>
    <cellStyle name="Normal 240 2 7" xfId="20525" xr:uid="{00000000-0005-0000-0000-00002D500000}"/>
    <cellStyle name="Normal 240 3" xfId="20526" xr:uid="{00000000-0005-0000-0000-00002E500000}"/>
    <cellStyle name="Normal 240 3 2" xfId="20527" xr:uid="{00000000-0005-0000-0000-00002F500000}"/>
    <cellStyle name="Normal 240 3 2 2" xfId="20528" xr:uid="{00000000-0005-0000-0000-000030500000}"/>
    <cellStyle name="Normal 240 3 3" xfId="20529" xr:uid="{00000000-0005-0000-0000-000031500000}"/>
    <cellStyle name="Normal 240 3 3 2" xfId="20530" xr:uid="{00000000-0005-0000-0000-000032500000}"/>
    <cellStyle name="Normal 240 3 3 2 2" xfId="20531" xr:uid="{00000000-0005-0000-0000-000033500000}"/>
    <cellStyle name="Normal 240 3 3 3" xfId="20532" xr:uid="{00000000-0005-0000-0000-000034500000}"/>
    <cellStyle name="Normal 240 3 4" xfId="20533" xr:uid="{00000000-0005-0000-0000-000035500000}"/>
    <cellStyle name="Normal 240 3 4 2" xfId="20534" xr:uid="{00000000-0005-0000-0000-000036500000}"/>
    <cellStyle name="Normal 240 3 4 2 2" xfId="20535" xr:uid="{00000000-0005-0000-0000-000037500000}"/>
    <cellStyle name="Normal 240 3 4 3" xfId="20536" xr:uid="{00000000-0005-0000-0000-000038500000}"/>
    <cellStyle name="Normal 240 3 5" xfId="20537" xr:uid="{00000000-0005-0000-0000-000039500000}"/>
    <cellStyle name="Normal 240 4" xfId="20538" xr:uid="{00000000-0005-0000-0000-00003A500000}"/>
    <cellStyle name="Normal 240 4 2" xfId="20539" xr:uid="{00000000-0005-0000-0000-00003B500000}"/>
    <cellStyle name="Normal 240 4 2 2" xfId="20540" xr:uid="{00000000-0005-0000-0000-00003C500000}"/>
    <cellStyle name="Normal 240 4 2 2 2" xfId="20541" xr:uid="{00000000-0005-0000-0000-00003D500000}"/>
    <cellStyle name="Normal 240 4 2 3" xfId="20542" xr:uid="{00000000-0005-0000-0000-00003E500000}"/>
    <cellStyle name="Normal 240 4 2 3 2" xfId="20543" xr:uid="{00000000-0005-0000-0000-00003F500000}"/>
    <cellStyle name="Normal 240 4 2 3 2 2" xfId="20544" xr:uid="{00000000-0005-0000-0000-000040500000}"/>
    <cellStyle name="Normal 240 4 2 3 3" xfId="20545" xr:uid="{00000000-0005-0000-0000-000041500000}"/>
    <cellStyle name="Normal 240 4 2 4" xfId="20546" xr:uid="{00000000-0005-0000-0000-000042500000}"/>
    <cellStyle name="Normal 240 4 3" xfId="20547" xr:uid="{00000000-0005-0000-0000-000043500000}"/>
    <cellStyle name="Normal 240 4 3 2" xfId="20548" xr:uid="{00000000-0005-0000-0000-000044500000}"/>
    <cellStyle name="Normal 240 4 3 2 2" xfId="20549" xr:uid="{00000000-0005-0000-0000-000045500000}"/>
    <cellStyle name="Normal 240 4 3 3" xfId="20550" xr:uid="{00000000-0005-0000-0000-000046500000}"/>
    <cellStyle name="Normal 240 4 4" xfId="20551" xr:uid="{00000000-0005-0000-0000-000047500000}"/>
    <cellStyle name="Normal 240 4 4 2" xfId="20552" xr:uid="{00000000-0005-0000-0000-000048500000}"/>
    <cellStyle name="Normal 240 4 4 2 2" xfId="20553" xr:uid="{00000000-0005-0000-0000-000049500000}"/>
    <cellStyle name="Normal 240 4 4 3" xfId="20554" xr:uid="{00000000-0005-0000-0000-00004A500000}"/>
    <cellStyle name="Normal 240 4 5" xfId="20555" xr:uid="{00000000-0005-0000-0000-00004B500000}"/>
    <cellStyle name="Normal 240 4 5 2" xfId="20556" xr:uid="{00000000-0005-0000-0000-00004C500000}"/>
    <cellStyle name="Normal 240 4 5 2 2" xfId="20557" xr:uid="{00000000-0005-0000-0000-00004D500000}"/>
    <cellStyle name="Normal 240 4 5 3" xfId="20558" xr:uid="{00000000-0005-0000-0000-00004E500000}"/>
    <cellStyle name="Normal 240 4 6" xfId="20559" xr:uid="{00000000-0005-0000-0000-00004F500000}"/>
    <cellStyle name="Normal 240 5" xfId="20560" xr:uid="{00000000-0005-0000-0000-000050500000}"/>
    <cellStyle name="Normal 240 5 2" xfId="20561" xr:uid="{00000000-0005-0000-0000-000051500000}"/>
    <cellStyle name="Normal 240 5 2 2" xfId="20562" xr:uid="{00000000-0005-0000-0000-000052500000}"/>
    <cellStyle name="Normal 240 5 3" xfId="20563" xr:uid="{00000000-0005-0000-0000-000053500000}"/>
    <cellStyle name="Normal 240 6" xfId="20564" xr:uid="{00000000-0005-0000-0000-000054500000}"/>
    <cellStyle name="Normal 240 6 2" xfId="20565" xr:uid="{00000000-0005-0000-0000-000055500000}"/>
    <cellStyle name="Normal 240 6 2 2" xfId="20566" xr:uid="{00000000-0005-0000-0000-000056500000}"/>
    <cellStyle name="Normal 240 6 3" xfId="20567" xr:uid="{00000000-0005-0000-0000-000057500000}"/>
    <cellStyle name="Normal 240 7" xfId="20568" xr:uid="{00000000-0005-0000-0000-000058500000}"/>
    <cellStyle name="Normal 240 7 2" xfId="20569" xr:uid="{00000000-0005-0000-0000-000059500000}"/>
    <cellStyle name="Normal 240 7 2 2" xfId="20570" xr:uid="{00000000-0005-0000-0000-00005A500000}"/>
    <cellStyle name="Normal 240 7 3" xfId="20571" xr:uid="{00000000-0005-0000-0000-00005B500000}"/>
    <cellStyle name="Normal 240 8" xfId="20572" xr:uid="{00000000-0005-0000-0000-00005C500000}"/>
    <cellStyle name="Normal 241" xfId="20573" xr:uid="{00000000-0005-0000-0000-00005D500000}"/>
    <cellStyle name="Normal 241 2" xfId="20574" xr:uid="{00000000-0005-0000-0000-00005E500000}"/>
    <cellStyle name="Normal 241 2 2" xfId="20575" xr:uid="{00000000-0005-0000-0000-00005F500000}"/>
    <cellStyle name="Normal 241 2 2 2" xfId="20576" xr:uid="{00000000-0005-0000-0000-000060500000}"/>
    <cellStyle name="Normal 241 2 2 2 2" xfId="20577" xr:uid="{00000000-0005-0000-0000-000061500000}"/>
    <cellStyle name="Normal 241 2 2 3" xfId="20578" xr:uid="{00000000-0005-0000-0000-000062500000}"/>
    <cellStyle name="Normal 241 2 2 3 2" xfId="20579" xr:uid="{00000000-0005-0000-0000-000063500000}"/>
    <cellStyle name="Normal 241 2 2 3 2 2" xfId="20580" xr:uid="{00000000-0005-0000-0000-000064500000}"/>
    <cellStyle name="Normal 241 2 2 3 3" xfId="20581" xr:uid="{00000000-0005-0000-0000-000065500000}"/>
    <cellStyle name="Normal 241 2 2 4" xfId="20582" xr:uid="{00000000-0005-0000-0000-000066500000}"/>
    <cellStyle name="Normal 241 2 2 4 2" xfId="20583" xr:uid="{00000000-0005-0000-0000-000067500000}"/>
    <cellStyle name="Normal 241 2 2 4 2 2" xfId="20584" xr:uid="{00000000-0005-0000-0000-000068500000}"/>
    <cellStyle name="Normal 241 2 2 4 3" xfId="20585" xr:uid="{00000000-0005-0000-0000-000069500000}"/>
    <cellStyle name="Normal 241 2 2 5" xfId="20586" xr:uid="{00000000-0005-0000-0000-00006A500000}"/>
    <cellStyle name="Normal 241 2 3" xfId="20587" xr:uid="{00000000-0005-0000-0000-00006B500000}"/>
    <cellStyle name="Normal 241 2 3 2" xfId="20588" xr:uid="{00000000-0005-0000-0000-00006C500000}"/>
    <cellStyle name="Normal 241 2 3 2 2" xfId="20589" xr:uid="{00000000-0005-0000-0000-00006D500000}"/>
    <cellStyle name="Normal 241 2 3 2 2 2" xfId="20590" xr:uid="{00000000-0005-0000-0000-00006E500000}"/>
    <cellStyle name="Normal 241 2 3 2 3" xfId="20591" xr:uid="{00000000-0005-0000-0000-00006F500000}"/>
    <cellStyle name="Normal 241 2 3 2 3 2" xfId="20592" xr:uid="{00000000-0005-0000-0000-000070500000}"/>
    <cellStyle name="Normal 241 2 3 2 3 2 2" xfId="20593" xr:uid="{00000000-0005-0000-0000-000071500000}"/>
    <cellStyle name="Normal 241 2 3 2 3 3" xfId="20594" xr:uid="{00000000-0005-0000-0000-000072500000}"/>
    <cellStyle name="Normal 241 2 3 2 4" xfId="20595" xr:uid="{00000000-0005-0000-0000-000073500000}"/>
    <cellStyle name="Normal 241 2 3 3" xfId="20596" xr:uid="{00000000-0005-0000-0000-000074500000}"/>
    <cellStyle name="Normal 241 2 3 3 2" xfId="20597" xr:uid="{00000000-0005-0000-0000-000075500000}"/>
    <cellStyle name="Normal 241 2 3 3 2 2" xfId="20598" xr:uid="{00000000-0005-0000-0000-000076500000}"/>
    <cellStyle name="Normal 241 2 3 3 3" xfId="20599" xr:uid="{00000000-0005-0000-0000-000077500000}"/>
    <cellStyle name="Normal 241 2 3 4" xfId="20600" xr:uid="{00000000-0005-0000-0000-000078500000}"/>
    <cellStyle name="Normal 241 2 3 4 2" xfId="20601" xr:uid="{00000000-0005-0000-0000-000079500000}"/>
    <cellStyle name="Normal 241 2 3 4 2 2" xfId="20602" xr:uid="{00000000-0005-0000-0000-00007A500000}"/>
    <cellStyle name="Normal 241 2 3 4 3" xfId="20603" xr:uid="{00000000-0005-0000-0000-00007B500000}"/>
    <cellStyle name="Normal 241 2 3 5" xfId="20604" xr:uid="{00000000-0005-0000-0000-00007C500000}"/>
    <cellStyle name="Normal 241 2 3 5 2" xfId="20605" xr:uid="{00000000-0005-0000-0000-00007D500000}"/>
    <cellStyle name="Normal 241 2 3 5 2 2" xfId="20606" xr:uid="{00000000-0005-0000-0000-00007E500000}"/>
    <cellStyle name="Normal 241 2 3 5 3" xfId="20607" xr:uid="{00000000-0005-0000-0000-00007F500000}"/>
    <cellStyle name="Normal 241 2 3 6" xfId="20608" xr:uid="{00000000-0005-0000-0000-000080500000}"/>
    <cellStyle name="Normal 241 2 4" xfId="20609" xr:uid="{00000000-0005-0000-0000-000081500000}"/>
    <cellStyle name="Normal 241 2 4 2" xfId="20610" xr:uid="{00000000-0005-0000-0000-000082500000}"/>
    <cellStyle name="Normal 241 2 4 2 2" xfId="20611" xr:uid="{00000000-0005-0000-0000-000083500000}"/>
    <cellStyle name="Normal 241 2 4 3" xfId="20612" xr:uid="{00000000-0005-0000-0000-000084500000}"/>
    <cellStyle name="Normal 241 2 5" xfId="20613" xr:uid="{00000000-0005-0000-0000-000085500000}"/>
    <cellStyle name="Normal 241 2 5 2" xfId="20614" xr:uid="{00000000-0005-0000-0000-000086500000}"/>
    <cellStyle name="Normal 241 2 5 2 2" xfId="20615" xr:uid="{00000000-0005-0000-0000-000087500000}"/>
    <cellStyle name="Normal 241 2 5 3" xfId="20616" xr:uid="{00000000-0005-0000-0000-000088500000}"/>
    <cellStyle name="Normal 241 2 6" xfId="20617" xr:uid="{00000000-0005-0000-0000-000089500000}"/>
    <cellStyle name="Normal 241 2 6 2" xfId="20618" xr:uid="{00000000-0005-0000-0000-00008A500000}"/>
    <cellStyle name="Normal 241 2 6 2 2" xfId="20619" xr:uid="{00000000-0005-0000-0000-00008B500000}"/>
    <cellStyle name="Normal 241 2 6 3" xfId="20620" xr:uid="{00000000-0005-0000-0000-00008C500000}"/>
    <cellStyle name="Normal 241 2 7" xfId="20621" xr:uid="{00000000-0005-0000-0000-00008D500000}"/>
    <cellStyle name="Normal 241 3" xfId="20622" xr:uid="{00000000-0005-0000-0000-00008E500000}"/>
    <cellStyle name="Normal 241 3 2" xfId="20623" xr:uid="{00000000-0005-0000-0000-00008F500000}"/>
    <cellStyle name="Normal 241 3 2 2" xfId="20624" xr:uid="{00000000-0005-0000-0000-000090500000}"/>
    <cellStyle name="Normal 241 3 3" xfId="20625" xr:uid="{00000000-0005-0000-0000-000091500000}"/>
    <cellStyle name="Normal 241 3 3 2" xfId="20626" xr:uid="{00000000-0005-0000-0000-000092500000}"/>
    <cellStyle name="Normal 241 3 3 2 2" xfId="20627" xr:uid="{00000000-0005-0000-0000-000093500000}"/>
    <cellStyle name="Normal 241 3 3 3" xfId="20628" xr:uid="{00000000-0005-0000-0000-000094500000}"/>
    <cellStyle name="Normal 241 3 4" xfId="20629" xr:uid="{00000000-0005-0000-0000-000095500000}"/>
    <cellStyle name="Normal 241 3 4 2" xfId="20630" xr:uid="{00000000-0005-0000-0000-000096500000}"/>
    <cellStyle name="Normal 241 3 4 2 2" xfId="20631" xr:uid="{00000000-0005-0000-0000-000097500000}"/>
    <cellStyle name="Normal 241 3 4 3" xfId="20632" xr:uid="{00000000-0005-0000-0000-000098500000}"/>
    <cellStyle name="Normal 241 3 5" xfId="20633" xr:uid="{00000000-0005-0000-0000-000099500000}"/>
    <cellStyle name="Normal 241 4" xfId="20634" xr:uid="{00000000-0005-0000-0000-00009A500000}"/>
    <cellStyle name="Normal 241 4 2" xfId="20635" xr:uid="{00000000-0005-0000-0000-00009B500000}"/>
    <cellStyle name="Normal 241 4 2 2" xfId="20636" xr:uid="{00000000-0005-0000-0000-00009C500000}"/>
    <cellStyle name="Normal 241 4 2 2 2" xfId="20637" xr:uid="{00000000-0005-0000-0000-00009D500000}"/>
    <cellStyle name="Normal 241 4 2 3" xfId="20638" xr:uid="{00000000-0005-0000-0000-00009E500000}"/>
    <cellStyle name="Normal 241 4 2 3 2" xfId="20639" xr:uid="{00000000-0005-0000-0000-00009F500000}"/>
    <cellStyle name="Normal 241 4 2 3 2 2" xfId="20640" xr:uid="{00000000-0005-0000-0000-0000A0500000}"/>
    <cellStyle name="Normal 241 4 2 3 3" xfId="20641" xr:uid="{00000000-0005-0000-0000-0000A1500000}"/>
    <cellStyle name="Normal 241 4 2 4" xfId="20642" xr:uid="{00000000-0005-0000-0000-0000A2500000}"/>
    <cellStyle name="Normal 241 4 3" xfId="20643" xr:uid="{00000000-0005-0000-0000-0000A3500000}"/>
    <cellStyle name="Normal 241 4 3 2" xfId="20644" xr:uid="{00000000-0005-0000-0000-0000A4500000}"/>
    <cellStyle name="Normal 241 4 3 2 2" xfId="20645" xr:uid="{00000000-0005-0000-0000-0000A5500000}"/>
    <cellStyle name="Normal 241 4 3 3" xfId="20646" xr:uid="{00000000-0005-0000-0000-0000A6500000}"/>
    <cellStyle name="Normal 241 4 4" xfId="20647" xr:uid="{00000000-0005-0000-0000-0000A7500000}"/>
    <cellStyle name="Normal 241 4 4 2" xfId="20648" xr:uid="{00000000-0005-0000-0000-0000A8500000}"/>
    <cellStyle name="Normal 241 4 4 2 2" xfId="20649" xr:uid="{00000000-0005-0000-0000-0000A9500000}"/>
    <cellStyle name="Normal 241 4 4 3" xfId="20650" xr:uid="{00000000-0005-0000-0000-0000AA500000}"/>
    <cellStyle name="Normal 241 4 5" xfId="20651" xr:uid="{00000000-0005-0000-0000-0000AB500000}"/>
    <cellStyle name="Normal 241 4 5 2" xfId="20652" xr:uid="{00000000-0005-0000-0000-0000AC500000}"/>
    <cellStyle name="Normal 241 4 5 2 2" xfId="20653" xr:uid="{00000000-0005-0000-0000-0000AD500000}"/>
    <cellStyle name="Normal 241 4 5 3" xfId="20654" xr:uid="{00000000-0005-0000-0000-0000AE500000}"/>
    <cellStyle name="Normal 241 4 6" xfId="20655" xr:uid="{00000000-0005-0000-0000-0000AF500000}"/>
    <cellStyle name="Normal 241 5" xfId="20656" xr:uid="{00000000-0005-0000-0000-0000B0500000}"/>
    <cellStyle name="Normal 241 5 2" xfId="20657" xr:uid="{00000000-0005-0000-0000-0000B1500000}"/>
    <cellStyle name="Normal 241 5 2 2" xfId="20658" xr:uid="{00000000-0005-0000-0000-0000B2500000}"/>
    <cellStyle name="Normal 241 5 3" xfId="20659" xr:uid="{00000000-0005-0000-0000-0000B3500000}"/>
    <cellStyle name="Normal 241 6" xfId="20660" xr:uid="{00000000-0005-0000-0000-0000B4500000}"/>
    <cellStyle name="Normal 241 6 2" xfId="20661" xr:uid="{00000000-0005-0000-0000-0000B5500000}"/>
    <cellStyle name="Normal 241 6 2 2" xfId="20662" xr:uid="{00000000-0005-0000-0000-0000B6500000}"/>
    <cellStyle name="Normal 241 6 3" xfId="20663" xr:uid="{00000000-0005-0000-0000-0000B7500000}"/>
    <cellStyle name="Normal 241 7" xfId="20664" xr:uid="{00000000-0005-0000-0000-0000B8500000}"/>
    <cellStyle name="Normal 241 7 2" xfId="20665" xr:uid="{00000000-0005-0000-0000-0000B9500000}"/>
    <cellStyle name="Normal 241 7 2 2" xfId="20666" xr:uid="{00000000-0005-0000-0000-0000BA500000}"/>
    <cellStyle name="Normal 241 7 3" xfId="20667" xr:uid="{00000000-0005-0000-0000-0000BB500000}"/>
    <cellStyle name="Normal 241 8" xfId="20668" xr:uid="{00000000-0005-0000-0000-0000BC500000}"/>
    <cellStyle name="Normal 242" xfId="20669" xr:uid="{00000000-0005-0000-0000-0000BD500000}"/>
    <cellStyle name="Normal 242 2" xfId="20670" xr:uid="{00000000-0005-0000-0000-0000BE500000}"/>
    <cellStyle name="Normal 242 2 2" xfId="20671" xr:uid="{00000000-0005-0000-0000-0000BF500000}"/>
    <cellStyle name="Normal 242 2 2 2" xfId="20672" xr:uid="{00000000-0005-0000-0000-0000C0500000}"/>
    <cellStyle name="Normal 242 2 2 2 2" xfId="20673" xr:uid="{00000000-0005-0000-0000-0000C1500000}"/>
    <cellStyle name="Normal 242 2 2 3" xfId="20674" xr:uid="{00000000-0005-0000-0000-0000C2500000}"/>
    <cellStyle name="Normal 242 2 2 3 2" xfId="20675" xr:uid="{00000000-0005-0000-0000-0000C3500000}"/>
    <cellStyle name="Normal 242 2 2 3 2 2" xfId="20676" xr:uid="{00000000-0005-0000-0000-0000C4500000}"/>
    <cellStyle name="Normal 242 2 2 3 3" xfId="20677" xr:uid="{00000000-0005-0000-0000-0000C5500000}"/>
    <cellStyle name="Normal 242 2 2 4" xfId="20678" xr:uid="{00000000-0005-0000-0000-0000C6500000}"/>
    <cellStyle name="Normal 242 2 2 4 2" xfId="20679" xr:uid="{00000000-0005-0000-0000-0000C7500000}"/>
    <cellStyle name="Normal 242 2 2 4 2 2" xfId="20680" xr:uid="{00000000-0005-0000-0000-0000C8500000}"/>
    <cellStyle name="Normal 242 2 2 4 3" xfId="20681" xr:uid="{00000000-0005-0000-0000-0000C9500000}"/>
    <cellStyle name="Normal 242 2 2 5" xfId="20682" xr:uid="{00000000-0005-0000-0000-0000CA500000}"/>
    <cellStyle name="Normal 242 2 3" xfId="20683" xr:uid="{00000000-0005-0000-0000-0000CB500000}"/>
    <cellStyle name="Normal 242 2 3 2" xfId="20684" xr:uid="{00000000-0005-0000-0000-0000CC500000}"/>
    <cellStyle name="Normal 242 2 3 2 2" xfId="20685" xr:uid="{00000000-0005-0000-0000-0000CD500000}"/>
    <cellStyle name="Normal 242 2 3 2 2 2" xfId="20686" xr:uid="{00000000-0005-0000-0000-0000CE500000}"/>
    <cellStyle name="Normal 242 2 3 2 3" xfId="20687" xr:uid="{00000000-0005-0000-0000-0000CF500000}"/>
    <cellStyle name="Normal 242 2 3 2 3 2" xfId="20688" xr:uid="{00000000-0005-0000-0000-0000D0500000}"/>
    <cellStyle name="Normal 242 2 3 2 3 2 2" xfId="20689" xr:uid="{00000000-0005-0000-0000-0000D1500000}"/>
    <cellStyle name="Normal 242 2 3 2 3 3" xfId="20690" xr:uid="{00000000-0005-0000-0000-0000D2500000}"/>
    <cellStyle name="Normal 242 2 3 2 4" xfId="20691" xr:uid="{00000000-0005-0000-0000-0000D3500000}"/>
    <cellStyle name="Normal 242 2 3 3" xfId="20692" xr:uid="{00000000-0005-0000-0000-0000D4500000}"/>
    <cellStyle name="Normal 242 2 3 3 2" xfId="20693" xr:uid="{00000000-0005-0000-0000-0000D5500000}"/>
    <cellStyle name="Normal 242 2 3 3 2 2" xfId="20694" xr:uid="{00000000-0005-0000-0000-0000D6500000}"/>
    <cellStyle name="Normal 242 2 3 3 3" xfId="20695" xr:uid="{00000000-0005-0000-0000-0000D7500000}"/>
    <cellStyle name="Normal 242 2 3 4" xfId="20696" xr:uid="{00000000-0005-0000-0000-0000D8500000}"/>
    <cellStyle name="Normal 242 2 3 4 2" xfId="20697" xr:uid="{00000000-0005-0000-0000-0000D9500000}"/>
    <cellStyle name="Normal 242 2 3 4 2 2" xfId="20698" xr:uid="{00000000-0005-0000-0000-0000DA500000}"/>
    <cellStyle name="Normal 242 2 3 4 3" xfId="20699" xr:uid="{00000000-0005-0000-0000-0000DB500000}"/>
    <cellStyle name="Normal 242 2 3 5" xfId="20700" xr:uid="{00000000-0005-0000-0000-0000DC500000}"/>
    <cellStyle name="Normal 242 2 3 5 2" xfId="20701" xr:uid="{00000000-0005-0000-0000-0000DD500000}"/>
    <cellStyle name="Normal 242 2 3 5 2 2" xfId="20702" xr:uid="{00000000-0005-0000-0000-0000DE500000}"/>
    <cellStyle name="Normal 242 2 3 5 3" xfId="20703" xr:uid="{00000000-0005-0000-0000-0000DF500000}"/>
    <cellStyle name="Normal 242 2 3 6" xfId="20704" xr:uid="{00000000-0005-0000-0000-0000E0500000}"/>
    <cellStyle name="Normal 242 2 4" xfId="20705" xr:uid="{00000000-0005-0000-0000-0000E1500000}"/>
    <cellStyle name="Normal 242 2 4 2" xfId="20706" xr:uid="{00000000-0005-0000-0000-0000E2500000}"/>
    <cellStyle name="Normal 242 2 4 2 2" xfId="20707" xr:uid="{00000000-0005-0000-0000-0000E3500000}"/>
    <cellStyle name="Normal 242 2 4 3" xfId="20708" xr:uid="{00000000-0005-0000-0000-0000E4500000}"/>
    <cellStyle name="Normal 242 2 5" xfId="20709" xr:uid="{00000000-0005-0000-0000-0000E5500000}"/>
    <cellStyle name="Normal 242 2 5 2" xfId="20710" xr:uid="{00000000-0005-0000-0000-0000E6500000}"/>
    <cellStyle name="Normal 242 2 5 2 2" xfId="20711" xr:uid="{00000000-0005-0000-0000-0000E7500000}"/>
    <cellStyle name="Normal 242 2 5 3" xfId="20712" xr:uid="{00000000-0005-0000-0000-0000E8500000}"/>
    <cellStyle name="Normal 242 2 6" xfId="20713" xr:uid="{00000000-0005-0000-0000-0000E9500000}"/>
    <cellStyle name="Normal 242 2 6 2" xfId="20714" xr:uid="{00000000-0005-0000-0000-0000EA500000}"/>
    <cellStyle name="Normal 242 2 6 2 2" xfId="20715" xr:uid="{00000000-0005-0000-0000-0000EB500000}"/>
    <cellStyle name="Normal 242 2 6 3" xfId="20716" xr:uid="{00000000-0005-0000-0000-0000EC500000}"/>
    <cellStyle name="Normal 242 2 7" xfId="20717" xr:uid="{00000000-0005-0000-0000-0000ED500000}"/>
    <cellStyle name="Normal 242 3" xfId="20718" xr:uid="{00000000-0005-0000-0000-0000EE500000}"/>
    <cellStyle name="Normal 242 3 2" xfId="20719" xr:uid="{00000000-0005-0000-0000-0000EF500000}"/>
    <cellStyle name="Normal 242 3 2 2" xfId="20720" xr:uid="{00000000-0005-0000-0000-0000F0500000}"/>
    <cellStyle name="Normal 242 3 3" xfId="20721" xr:uid="{00000000-0005-0000-0000-0000F1500000}"/>
    <cellStyle name="Normal 242 3 3 2" xfId="20722" xr:uid="{00000000-0005-0000-0000-0000F2500000}"/>
    <cellStyle name="Normal 242 3 3 2 2" xfId="20723" xr:uid="{00000000-0005-0000-0000-0000F3500000}"/>
    <cellStyle name="Normal 242 3 3 3" xfId="20724" xr:uid="{00000000-0005-0000-0000-0000F4500000}"/>
    <cellStyle name="Normal 242 3 4" xfId="20725" xr:uid="{00000000-0005-0000-0000-0000F5500000}"/>
    <cellStyle name="Normal 242 3 4 2" xfId="20726" xr:uid="{00000000-0005-0000-0000-0000F6500000}"/>
    <cellStyle name="Normal 242 3 4 2 2" xfId="20727" xr:uid="{00000000-0005-0000-0000-0000F7500000}"/>
    <cellStyle name="Normal 242 3 4 3" xfId="20728" xr:uid="{00000000-0005-0000-0000-0000F8500000}"/>
    <cellStyle name="Normal 242 3 5" xfId="20729" xr:uid="{00000000-0005-0000-0000-0000F9500000}"/>
    <cellStyle name="Normal 242 4" xfId="20730" xr:uid="{00000000-0005-0000-0000-0000FA500000}"/>
    <cellStyle name="Normal 242 4 2" xfId="20731" xr:uid="{00000000-0005-0000-0000-0000FB500000}"/>
    <cellStyle name="Normal 242 4 2 2" xfId="20732" xr:uid="{00000000-0005-0000-0000-0000FC500000}"/>
    <cellStyle name="Normal 242 4 2 2 2" xfId="20733" xr:uid="{00000000-0005-0000-0000-0000FD500000}"/>
    <cellStyle name="Normal 242 4 2 3" xfId="20734" xr:uid="{00000000-0005-0000-0000-0000FE500000}"/>
    <cellStyle name="Normal 242 4 2 3 2" xfId="20735" xr:uid="{00000000-0005-0000-0000-0000FF500000}"/>
    <cellStyle name="Normal 242 4 2 3 2 2" xfId="20736" xr:uid="{00000000-0005-0000-0000-000000510000}"/>
    <cellStyle name="Normal 242 4 2 3 3" xfId="20737" xr:uid="{00000000-0005-0000-0000-000001510000}"/>
    <cellStyle name="Normal 242 4 2 4" xfId="20738" xr:uid="{00000000-0005-0000-0000-000002510000}"/>
    <cellStyle name="Normal 242 4 3" xfId="20739" xr:uid="{00000000-0005-0000-0000-000003510000}"/>
    <cellStyle name="Normal 242 4 3 2" xfId="20740" xr:uid="{00000000-0005-0000-0000-000004510000}"/>
    <cellStyle name="Normal 242 4 3 2 2" xfId="20741" xr:uid="{00000000-0005-0000-0000-000005510000}"/>
    <cellStyle name="Normal 242 4 3 3" xfId="20742" xr:uid="{00000000-0005-0000-0000-000006510000}"/>
    <cellStyle name="Normal 242 4 4" xfId="20743" xr:uid="{00000000-0005-0000-0000-000007510000}"/>
    <cellStyle name="Normal 242 4 4 2" xfId="20744" xr:uid="{00000000-0005-0000-0000-000008510000}"/>
    <cellStyle name="Normal 242 4 4 2 2" xfId="20745" xr:uid="{00000000-0005-0000-0000-000009510000}"/>
    <cellStyle name="Normal 242 4 4 3" xfId="20746" xr:uid="{00000000-0005-0000-0000-00000A510000}"/>
    <cellStyle name="Normal 242 4 5" xfId="20747" xr:uid="{00000000-0005-0000-0000-00000B510000}"/>
    <cellStyle name="Normal 242 4 5 2" xfId="20748" xr:uid="{00000000-0005-0000-0000-00000C510000}"/>
    <cellStyle name="Normal 242 4 5 2 2" xfId="20749" xr:uid="{00000000-0005-0000-0000-00000D510000}"/>
    <cellStyle name="Normal 242 4 5 3" xfId="20750" xr:uid="{00000000-0005-0000-0000-00000E510000}"/>
    <cellStyle name="Normal 242 4 6" xfId="20751" xr:uid="{00000000-0005-0000-0000-00000F510000}"/>
    <cellStyle name="Normal 242 5" xfId="20752" xr:uid="{00000000-0005-0000-0000-000010510000}"/>
    <cellStyle name="Normal 242 5 2" xfId="20753" xr:uid="{00000000-0005-0000-0000-000011510000}"/>
    <cellStyle name="Normal 242 5 2 2" xfId="20754" xr:uid="{00000000-0005-0000-0000-000012510000}"/>
    <cellStyle name="Normal 242 5 3" xfId="20755" xr:uid="{00000000-0005-0000-0000-000013510000}"/>
    <cellStyle name="Normal 242 6" xfId="20756" xr:uid="{00000000-0005-0000-0000-000014510000}"/>
    <cellStyle name="Normal 242 6 2" xfId="20757" xr:uid="{00000000-0005-0000-0000-000015510000}"/>
    <cellStyle name="Normal 242 6 2 2" xfId="20758" xr:uid="{00000000-0005-0000-0000-000016510000}"/>
    <cellStyle name="Normal 242 6 3" xfId="20759" xr:uid="{00000000-0005-0000-0000-000017510000}"/>
    <cellStyle name="Normal 242 7" xfId="20760" xr:uid="{00000000-0005-0000-0000-000018510000}"/>
    <cellStyle name="Normal 242 7 2" xfId="20761" xr:uid="{00000000-0005-0000-0000-000019510000}"/>
    <cellStyle name="Normal 242 7 2 2" xfId="20762" xr:uid="{00000000-0005-0000-0000-00001A510000}"/>
    <cellStyle name="Normal 242 7 3" xfId="20763" xr:uid="{00000000-0005-0000-0000-00001B510000}"/>
    <cellStyle name="Normal 242 8" xfId="20764" xr:uid="{00000000-0005-0000-0000-00001C510000}"/>
    <cellStyle name="Normal 243" xfId="20765" xr:uid="{00000000-0005-0000-0000-00001D510000}"/>
    <cellStyle name="Normal 243 2" xfId="20766" xr:uid="{00000000-0005-0000-0000-00001E510000}"/>
    <cellStyle name="Normal 243 2 2" xfId="20767" xr:uid="{00000000-0005-0000-0000-00001F510000}"/>
    <cellStyle name="Normal 243 2 2 2" xfId="20768" xr:uid="{00000000-0005-0000-0000-000020510000}"/>
    <cellStyle name="Normal 243 2 2 2 2" xfId="20769" xr:uid="{00000000-0005-0000-0000-000021510000}"/>
    <cellStyle name="Normal 243 2 2 3" xfId="20770" xr:uid="{00000000-0005-0000-0000-000022510000}"/>
    <cellStyle name="Normal 243 2 2 3 2" xfId="20771" xr:uid="{00000000-0005-0000-0000-000023510000}"/>
    <cellStyle name="Normal 243 2 2 3 2 2" xfId="20772" xr:uid="{00000000-0005-0000-0000-000024510000}"/>
    <cellStyle name="Normal 243 2 2 3 3" xfId="20773" xr:uid="{00000000-0005-0000-0000-000025510000}"/>
    <cellStyle name="Normal 243 2 2 4" xfId="20774" xr:uid="{00000000-0005-0000-0000-000026510000}"/>
    <cellStyle name="Normal 243 2 2 4 2" xfId="20775" xr:uid="{00000000-0005-0000-0000-000027510000}"/>
    <cellStyle name="Normal 243 2 2 4 2 2" xfId="20776" xr:uid="{00000000-0005-0000-0000-000028510000}"/>
    <cellStyle name="Normal 243 2 2 4 3" xfId="20777" xr:uid="{00000000-0005-0000-0000-000029510000}"/>
    <cellStyle name="Normal 243 2 2 5" xfId="20778" xr:uid="{00000000-0005-0000-0000-00002A510000}"/>
    <cellStyle name="Normal 243 2 3" xfId="20779" xr:uid="{00000000-0005-0000-0000-00002B510000}"/>
    <cellStyle name="Normal 243 2 3 2" xfId="20780" xr:uid="{00000000-0005-0000-0000-00002C510000}"/>
    <cellStyle name="Normal 243 2 3 2 2" xfId="20781" xr:uid="{00000000-0005-0000-0000-00002D510000}"/>
    <cellStyle name="Normal 243 2 3 2 2 2" xfId="20782" xr:uid="{00000000-0005-0000-0000-00002E510000}"/>
    <cellStyle name="Normal 243 2 3 2 3" xfId="20783" xr:uid="{00000000-0005-0000-0000-00002F510000}"/>
    <cellStyle name="Normal 243 2 3 2 3 2" xfId="20784" xr:uid="{00000000-0005-0000-0000-000030510000}"/>
    <cellStyle name="Normal 243 2 3 2 3 2 2" xfId="20785" xr:uid="{00000000-0005-0000-0000-000031510000}"/>
    <cellStyle name="Normal 243 2 3 2 3 3" xfId="20786" xr:uid="{00000000-0005-0000-0000-000032510000}"/>
    <cellStyle name="Normal 243 2 3 2 4" xfId="20787" xr:uid="{00000000-0005-0000-0000-000033510000}"/>
    <cellStyle name="Normal 243 2 3 3" xfId="20788" xr:uid="{00000000-0005-0000-0000-000034510000}"/>
    <cellStyle name="Normal 243 2 3 3 2" xfId="20789" xr:uid="{00000000-0005-0000-0000-000035510000}"/>
    <cellStyle name="Normal 243 2 3 3 2 2" xfId="20790" xr:uid="{00000000-0005-0000-0000-000036510000}"/>
    <cellStyle name="Normal 243 2 3 3 3" xfId="20791" xr:uid="{00000000-0005-0000-0000-000037510000}"/>
    <cellStyle name="Normal 243 2 3 4" xfId="20792" xr:uid="{00000000-0005-0000-0000-000038510000}"/>
    <cellStyle name="Normal 243 2 3 4 2" xfId="20793" xr:uid="{00000000-0005-0000-0000-000039510000}"/>
    <cellStyle name="Normal 243 2 3 4 2 2" xfId="20794" xr:uid="{00000000-0005-0000-0000-00003A510000}"/>
    <cellStyle name="Normal 243 2 3 4 3" xfId="20795" xr:uid="{00000000-0005-0000-0000-00003B510000}"/>
    <cellStyle name="Normal 243 2 3 5" xfId="20796" xr:uid="{00000000-0005-0000-0000-00003C510000}"/>
    <cellStyle name="Normal 243 2 3 5 2" xfId="20797" xr:uid="{00000000-0005-0000-0000-00003D510000}"/>
    <cellStyle name="Normal 243 2 3 5 2 2" xfId="20798" xr:uid="{00000000-0005-0000-0000-00003E510000}"/>
    <cellStyle name="Normal 243 2 3 5 3" xfId="20799" xr:uid="{00000000-0005-0000-0000-00003F510000}"/>
    <cellStyle name="Normal 243 2 3 6" xfId="20800" xr:uid="{00000000-0005-0000-0000-000040510000}"/>
    <cellStyle name="Normal 243 2 4" xfId="20801" xr:uid="{00000000-0005-0000-0000-000041510000}"/>
    <cellStyle name="Normal 243 2 4 2" xfId="20802" xr:uid="{00000000-0005-0000-0000-000042510000}"/>
    <cellStyle name="Normal 243 2 4 2 2" xfId="20803" xr:uid="{00000000-0005-0000-0000-000043510000}"/>
    <cellStyle name="Normal 243 2 4 3" xfId="20804" xr:uid="{00000000-0005-0000-0000-000044510000}"/>
    <cellStyle name="Normal 243 2 5" xfId="20805" xr:uid="{00000000-0005-0000-0000-000045510000}"/>
    <cellStyle name="Normal 243 2 5 2" xfId="20806" xr:uid="{00000000-0005-0000-0000-000046510000}"/>
    <cellStyle name="Normal 243 2 5 2 2" xfId="20807" xr:uid="{00000000-0005-0000-0000-000047510000}"/>
    <cellStyle name="Normal 243 2 5 3" xfId="20808" xr:uid="{00000000-0005-0000-0000-000048510000}"/>
    <cellStyle name="Normal 243 2 6" xfId="20809" xr:uid="{00000000-0005-0000-0000-000049510000}"/>
    <cellStyle name="Normal 243 2 6 2" xfId="20810" xr:uid="{00000000-0005-0000-0000-00004A510000}"/>
    <cellStyle name="Normal 243 2 6 2 2" xfId="20811" xr:uid="{00000000-0005-0000-0000-00004B510000}"/>
    <cellStyle name="Normal 243 2 6 3" xfId="20812" xr:uid="{00000000-0005-0000-0000-00004C510000}"/>
    <cellStyle name="Normal 243 2 7" xfId="20813" xr:uid="{00000000-0005-0000-0000-00004D510000}"/>
    <cellStyle name="Normal 243 3" xfId="20814" xr:uid="{00000000-0005-0000-0000-00004E510000}"/>
    <cellStyle name="Normal 243 3 2" xfId="20815" xr:uid="{00000000-0005-0000-0000-00004F510000}"/>
    <cellStyle name="Normal 243 3 2 2" xfId="20816" xr:uid="{00000000-0005-0000-0000-000050510000}"/>
    <cellStyle name="Normal 243 3 3" xfId="20817" xr:uid="{00000000-0005-0000-0000-000051510000}"/>
    <cellStyle name="Normal 243 3 3 2" xfId="20818" xr:uid="{00000000-0005-0000-0000-000052510000}"/>
    <cellStyle name="Normal 243 3 3 2 2" xfId="20819" xr:uid="{00000000-0005-0000-0000-000053510000}"/>
    <cellStyle name="Normal 243 3 3 3" xfId="20820" xr:uid="{00000000-0005-0000-0000-000054510000}"/>
    <cellStyle name="Normal 243 3 4" xfId="20821" xr:uid="{00000000-0005-0000-0000-000055510000}"/>
    <cellStyle name="Normal 243 3 4 2" xfId="20822" xr:uid="{00000000-0005-0000-0000-000056510000}"/>
    <cellStyle name="Normal 243 3 4 2 2" xfId="20823" xr:uid="{00000000-0005-0000-0000-000057510000}"/>
    <cellStyle name="Normal 243 3 4 3" xfId="20824" xr:uid="{00000000-0005-0000-0000-000058510000}"/>
    <cellStyle name="Normal 243 3 5" xfId="20825" xr:uid="{00000000-0005-0000-0000-000059510000}"/>
    <cellStyle name="Normal 243 4" xfId="20826" xr:uid="{00000000-0005-0000-0000-00005A510000}"/>
    <cellStyle name="Normal 243 4 2" xfId="20827" xr:uid="{00000000-0005-0000-0000-00005B510000}"/>
    <cellStyle name="Normal 243 4 2 2" xfId="20828" xr:uid="{00000000-0005-0000-0000-00005C510000}"/>
    <cellStyle name="Normal 243 4 2 2 2" xfId="20829" xr:uid="{00000000-0005-0000-0000-00005D510000}"/>
    <cellStyle name="Normal 243 4 2 3" xfId="20830" xr:uid="{00000000-0005-0000-0000-00005E510000}"/>
    <cellStyle name="Normal 243 4 2 3 2" xfId="20831" xr:uid="{00000000-0005-0000-0000-00005F510000}"/>
    <cellStyle name="Normal 243 4 2 3 2 2" xfId="20832" xr:uid="{00000000-0005-0000-0000-000060510000}"/>
    <cellStyle name="Normal 243 4 2 3 3" xfId="20833" xr:uid="{00000000-0005-0000-0000-000061510000}"/>
    <cellStyle name="Normal 243 4 2 4" xfId="20834" xr:uid="{00000000-0005-0000-0000-000062510000}"/>
    <cellStyle name="Normal 243 4 3" xfId="20835" xr:uid="{00000000-0005-0000-0000-000063510000}"/>
    <cellStyle name="Normal 243 4 3 2" xfId="20836" xr:uid="{00000000-0005-0000-0000-000064510000}"/>
    <cellStyle name="Normal 243 4 3 2 2" xfId="20837" xr:uid="{00000000-0005-0000-0000-000065510000}"/>
    <cellStyle name="Normal 243 4 3 3" xfId="20838" xr:uid="{00000000-0005-0000-0000-000066510000}"/>
    <cellStyle name="Normal 243 4 4" xfId="20839" xr:uid="{00000000-0005-0000-0000-000067510000}"/>
    <cellStyle name="Normal 243 4 4 2" xfId="20840" xr:uid="{00000000-0005-0000-0000-000068510000}"/>
    <cellStyle name="Normal 243 4 4 2 2" xfId="20841" xr:uid="{00000000-0005-0000-0000-000069510000}"/>
    <cellStyle name="Normal 243 4 4 3" xfId="20842" xr:uid="{00000000-0005-0000-0000-00006A510000}"/>
    <cellStyle name="Normal 243 4 5" xfId="20843" xr:uid="{00000000-0005-0000-0000-00006B510000}"/>
    <cellStyle name="Normal 243 4 5 2" xfId="20844" xr:uid="{00000000-0005-0000-0000-00006C510000}"/>
    <cellStyle name="Normal 243 4 5 2 2" xfId="20845" xr:uid="{00000000-0005-0000-0000-00006D510000}"/>
    <cellStyle name="Normal 243 4 5 3" xfId="20846" xr:uid="{00000000-0005-0000-0000-00006E510000}"/>
    <cellStyle name="Normal 243 4 6" xfId="20847" xr:uid="{00000000-0005-0000-0000-00006F510000}"/>
    <cellStyle name="Normal 243 5" xfId="20848" xr:uid="{00000000-0005-0000-0000-000070510000}"/>
    <cellStyle name="Normal 243 5 2" xfId="20849" xr:uid="{00000000-0005-0000-0000-000071510000}"/>
    <cellStyle name="Normal 243 5 2 2" xfId="20850" xr:uid="{00000000-0005-0000-0000-000072510000}"/>
    <cellStyle name="Normal 243 5 3" xfId="20851" xr:uid="{00000000-0005-0000-0000-000073510000}"/>
    <cellStyle name="Normal 243 6" xfId="20852" xr:uid="{00000000-0005-0000-0000-000074510000}"/>
    <cellStyle name="Normal 243 6 2" xfId="20853" xr:uid="{00000000-0005-0000-0000-000075510000}"/>
    <cellStyle name="Normal 243 6 2 2" xfId="20854" xr:uid="{00000000-0005-0000-0000-000076510000}"/>
    <cellStyle name="Normal 243 6 3" xfId="20855" xr:uid="{00000000-0005-0000-0000-000077510000}"/>
    <cellStyle name="Normal 243 7" xfId="20856" xr:uid="{00000000-0005-0000-0000-000078510000}"/>
    <cellStyle name="Normal 243 7 2" xfId="20857" xr:uid="{00000000-0005-0000-0000-000079510000}"/>
    <cellStyle name="Normal 243 7 2 2" xfId="20858" xr:uid="{00000000-0005-0000-0000-00007A510000}"/>
    <cellStyle name="Normal 243 7 3" xfId="20859" xr:uid="{00000000-0005-0000-0000-00007B510000}"/>
    <cellStyle name="Normal 243 8" xfId="20860" xr:uid="{00000000-0005-0000-0000-00007C510000}"/>
    <cellStyle name="Normal 244" xfId="20861" xr:uid="{00000000-0005-0000-0000-00007D510000}"/>
    <cellStyle name="Normal 244 2" xfId="20862" xr:uid="{00000000-0005-0000-0000-00007E510000}"/>
    <cellStyle name="Normal 244 2 2" xfId="20863" xr:uid="{00000000-0005-0000-0000-00007F510000}"/>
    <cellStyle name="Normal 244 2 2 2" xfId="20864" xr:uid="{00000000-0005-0000-0000-000080510000}"/>
    <cellStyle name="Normal 244 2 2 2 2" xfId="20865" xr:uid="{00000000-0005-0000-0000-000081510000}"/>
    <cellStyle name="Normal 244 2 2 3" xfId="20866" xr:uid="{00000000-0005-0000-0000-000082510000}"/>
    <cellStyle name="Normal 244 2 2 3 2" xfId="20867" xr:uid="{00000000-0005-0000-0000-000083510000}"/>
    <cellStyle name="Normal 244 2 2 3 2 2" xfId="20868" xr:uid="{00000000-0005-0000-0000-000084510000}"/>
    <cellStyle name="Normal 244 2 2 3 3" xfId="20869" xr:uid="{00000000-0005-0000-0000-000085510000}"/>
    <cellStyle name="Normal 244 2 2 4" xfId="20870" xr:uid="{00000000-0005-0000-0000-000086510000}"/>
    <cellStyle name="Normal 244 2 2 4 2" xfId="20871" xr:uid="{00000000-0005-0000-0000-000087510000}"/>
    <cellStyle name="Normal 244 2 2 4 2 2" xfId="20872" xr:uid="{00000000-0005-0000-0000-000088510000}"/>
    <cellStyle name="Normal 244 2 2 4 3" xfId="20873" xr:uid="{00000000-0005-0000-0000-000089510000}"/>
    <cellStyle name="Normal 244 2 2 5" xfId="20874" xr:uid="{00000000-0005-0000-0000-00008A510000}"/>
    <cellStyle name="Normal 244 2 3" xfId="20875" xr:uid="{00000000-0005-0000-0000-00008B510000}"/>
    <cellStyle name="Normal 244 2 3 2" xfId="20876" xr:uid="{00000000-0005-0000-0000-00008C510000}"/>
    <cellStyle name="Normal 244 2 3 2 2" xfId="20877" xr:uid="{00000000-0005-0000-0000-00008D510000}"/>
    <cellStyle name="Normal 244 2 3 2 2 2" xfId="20878" xr:uid="{00000000-0005-0000-0000-00008E510000}"/>
    <cellStyle name="Normal 244 2 3 2 3" xfId="20879" xr:uid="{00000000-0005-0000-0000-00008F510000}"/>
    <cellStyle name="Normal 244 2 3 2 3 2" xfId="20880" xr:uid="{00000000-0005-0000-0000-000090510000}"/>
    <cellStyle name="Normal 244 2 3 2 3 2 2" xfId="20881" xr:uid="{00000000-0005-0000-0000-000091510000}"/>
    <cellStyle name="Normal 244 2 3 2 3 3" xfId="20882" xr:uid="{00000000-0005-0000-0000-000092510000}"/>
    <cellStyle name="Normal 244 2 3 2 4" xfId="20883" xr:uid="{00000000-0005-0000-0000-000093510000}"/>
    <cellStyle name="Normal 244 2 3 3" xfId="20884" xr:uid="{00000000-0005-0000-0000-000094510000}"/>
    <cellStyle name="Normal 244 2 3 3 2" xfId="20885" xr:uid="{00000000-0005-0000-0000-000095510000}"/>
    <cellStyle name="Normal 244 2 3 3 2 2" xfId="20886" xr:uid="{00000000-0005-0000-0000-000096510000}"/>
    <cellStyle name="Normal 244 2 3 3 3" xfId="20887" xr:uid="{00000000-0005-0000-0000-000097510000}"/>
    <cellStyle name="Normal 244 2 3 4" xfId="20888" xr:uid="{00000000-0005-0000-0000-000098510000}"/>
    <cellStyle name="Normal 244 2 3 4 2" xfId="20889" xr:uid="{00000000-0005-0000-0000-000099510000}"/>
    <cellStyle name="Normal 244 2 3 4 2 2" xfId="20890" xr:uid="{00000000-0005-0000-0000-00009A510000}"/>
    <cellStyle name="Normal 244 2 3 4 3" xfId="20891" xr:uid="{00000000-0005-0000-0000-00009B510000}"/>
    <cellStyle name="Normal 244 2 3 5" xfId="20892" xr:uid="{00000000-0005-0000-0000-00009C510000}"/>
    <cellStyle name="Normal 244 2 3 5 2" xfId="20893" xr:uid="{00000000-0005-0000-0000-00009D510000}"/>
    <cellStyle name="Normal 244 2 3 5 2 2" xfId="20894" xr:uid="{00000000-0005-0000-0000-00009E510000}"/>
    <cellStyle name="Normal 244 2 3 5 3" xfId="20895" xr:uid="{00000000-0005-0000-0000-00009F510000}"/>
    <cellStyle name="Normal 244 2 3 6" xfId="20896" xr:uid="{00000000-0005-0000-0000-0000A0510000}"/>
    <cellStyle name="Normal 244 2 4" xfId="20897" xr:uid="{00000000-0005-0000-0000-0000A1510000}"/>
    <cellStyle name="Normal 244 2 4 2" xfId="20898" xr:uid="{00000000-0005-0000-0000-0000A2510000}"/>
    <cellStyle name="Normal 244 2 4 2 2" xfId="20899" xr:uid="{00000000-0005-0000-0000-0000A3510000}"/>
    <cellStyle name="Normal 244 2 4 3" xfId="20900" xr:uid="{00000000-0005-0000-0000-0000A4510000}"/>
    <cellStyle name="Normal 244 2 5" xfId="20901" xr:uid="{00000000-0005-0000-0000-0000A5510000}"/>
    <cellStyle name="Normal 244 2 5 2" xfId="20902" xr:uid="{00000000-0005-0000-0000-0000A6510000}"/>
    <cellStyle name="Normal 244 2 5 2 2" xfId="20903" xr:uid="{00000000-0005-0000-0000-0000A7510000}"/>
    <cellStyle name="Normal 244 2 5 3" xfId="20904" xr:uid="{00000000-0005-0000-0000-0000A8510000}"/>
    <cellStyle name="Normal 244 2 6" xfId="20905" xr:uid="{00000000-0005-0000-0000-0000A9510000}"/>
    <cellStyle name="Normal 244 2 6 2" xfId="20906" xr:uid="{00000000-0005-0000-0000-0000AA510000}"/>
    <cellStyle name="Normal 244 2 6 2 2" xfId="20907" xr:uid="{00000000-0005-0000-0000-0000AB510000}"/>
    <cellStyle name="Normal 244 2 6 3" xfId="20908" xr:uid="{00000000-0005-0000-0000-0000AC510000}"/>
    <cellStyle name="Normal 244 2 7" xfId="20909" xr:uid="{00000000-0005-0000-0000-0000AD510000}"/>
    <cellStyle name="Normal 244 3" xfId="20910" xr:uid="{00000000-0005-0000-0000-0000AE510000}"/>
    <cellStyle name="Normal 244 3 2" xfId="20911" xr:uid="{00000000-0005-0000-0000-0000AF510000}"/>
    <cellStyle name="Normal 244 3 2 2" xfId="20912" xr:uid="{00000000-0005-0000-0000-0000B0510000}"/>
    <cellStyle name="Normal 244 3 3" xfId="20913" xr:uid="{00000000-0005-0000-0000-0000B1510000}"/>
    <cellStyle name="Normal 244 3 3 2" xfId="20914" xr:uid="{00000000-0005-0000-0000-0000B2510000}"/>
    <cellStyle name="Normal 244 3 3 2 2" xfId="20915" xr:uid="{00000000-0005-0000-0000-0000B3510000}"/>
    <cellStyle name="Normal 244 3 3 3" xfId="20916" xr:uid="{00000000-0005-0000-0000-0000B4510000}"/>
    <cellStyle name="Normal 244 3 4" xfId="20917" xr:uid="{00000000-0005-0000-0000-0000B5510000}"/>
    <cellStyle name="Normal 244 3 4 2" xfId="20918" xr:uid="{00000000-0005-0000-0000-0000B6510000}"/>
    <cellStyle name="Normal 244 3 4 2 2" xfId="20919" xr:uid="{00000000-0005-0000-0000-0000B7510000}"/>
    <cellStyle name="Normal 244 3 4 3" xfId="20920" xr:uid="{00000000-0005-0000-0000-0000B8510000}"/>
    <cellStyle name="Normal 244 3 5" xfId="20921" xr:uid="{00000000-0005-0000-0000-0000B9510000}"/>
    <cellStyle name="Normal 244 4" xfId="20922" xr:uid="{00000000-0005-0000-0000-0000BA510000}"/>
    <cellStyle name="Normal 244 4 2" xfId="20923" xr:uid="{00000000-0005-0000-0000-0000BB510000}"/>
    <cellStyle name="Normal 244 4 2 2" xfId="20924" xr:uid="{00000000-0005-0000-0000-0000BC510000}"/>
    <cellStyle name="Normal 244 4 2 2 2" xfId="20925" xr:uid="{00000000-0005-0000-0000-0000BD510000}"/>
    <cellStyle name="Normal 244 4 2 3" xfId="20926" xr:uid="{00000000-0005-0000-0000-0000BE510000}"/>
    <cellStyle name="Normal 244 4 2 3 2" xfId="20927" xr:uid="{00000000-0005-0000-0000-0000BF510000}"/>
    <cellStyle name="Normal 244 4 2 3 2 2" xfId="20928" xr:uid="{00000000-0005-0000-0000-0000C0510000}"/>
    <cellStyle name="Normal 244 4 2 3 3" xfId="20929" xr:uid="{00000000-0005-0000-0000-0000C1510000}"/>
    <cellStyle name="Normal 244 4 2 4" xfId="20930" xr:uid="{00000000-0005-0000-0000-0000C2510000}"/>
    <cellStyle name="Normal 244 4 3" xfId="20931" xr:uid="{00000000-0005-0000-0000-0000C3510000}"/>
    <cellStyle name="Normal 244 4 3 2" xfId="20932" xr:uid="{00000000-0005-0000-0000-0000C4510000}"/>
    <cellStyle name="Normal 244 4 3 2 2" xfId="20933" xr:uid="{00000000-0005-0000-0000-0000C5510000}"/>
    <cellStyle name="Normal 244 4 3 3" xfId="20934" xr:uid="{00000000-0005-0000-0000-0000C6510000}"/>
    <cellStyle name="Normal 244 4 4" xfId="20935" xr:uid="{00000000-0005-0000-0000-0000C7510000}"/>
    <cellStyle name="Normal 244 4 4 2" xfId="20936" xr:uid="{00000000-0005-0000-0000-0000C8510000}"/>
    <cellStyle name="Normal 244 4 4 2 2" xfId="20937" xr:uid="{00000000-0005-0000-0000-0000C9510000}"/>
    <cellStyle name="Normal 244 4 4 3" xfId="20938" xr:uid="{00000000-0005-0000-0000-0000CA510000}"/>
    <cellStyle name="Normal 244 4 5" xfId="20939" xr:uid="{00000000-0005-0000-0000-0000CB510000}"/>
    <cellStyle name="Normal 244 4 5 2" xfId="20940" xr:uid="{00000000-0005-0000-0000-0000CC510000}"/>
    <cellStyle name="Normal 244 4 5 2 2" xfId="20941" xr:uid="{00000000-0005-0000-0000-0000CD510000}"/>
    <cellStyle name="Normal 244 4 5 3" xfId="20942" xr:uid="{00000000-0005-0000-0000-0000CE510000}"/>
    <cellStyle name="Normal 244 4 6" xfId="20943" xr:uid="{00000000-0005-0000-0000-0000CF510000}"/>
    <cellStyle name="Normal 244 5" xfId="20944" xr:uid="{00000000-0005-0000-0000-0000D0510000}"/>
    <cellStyle name="Normal 244 5 2" xfId="20945" xr:uid="{00000000-0005-0000-0000-0000D1510000}"/>
    <cellStyle name="Normal 244 5 2 2" xfId="20946" xr:uid="{00000000-0005-0000-0000-0000D2510000}"/>
    <cellStyle name="Normal 244 5 3" xfId="20947" xr:uid="{00000000-0005-0000-0000-0000D3510000}"/>
    <cellStyle name="Normal 244 6" xfId="20948" xr:uid="{00000000-0005-0000-0000-0000D4510000}"/>
    <cellStyle name="Normal 244 6 2" xfId="20949" xr:uid="{00000000-0005-0000-0000-0000D5510000}"/>
    <cellStyle name="Normal 244 6 2 2" xfId="20950" xr:uid="{00000000-0005-0000-0000-0000D6510000}"/>
    <cellStyle name="Normal 244 6 3" xfId="20951" xr:uid="{00000000-0005-0000-0000-0000D7510000}"/>
    <cellStyle name="Normal 244 7" xfId="20952" xr:uid="{00000000-0005-0000-0000-0000D8510000}"/>
    <cellStyle name="Normal 244 7 2" xfId="20953" xr:uid="{00000000-0005-0000-0000-0000D9510000}"/>
    <cellStyle name="Normal 244 7 2 2" xfId="20954" xr:uid="{00000000-0005-0000-0000-0000DA510000}"/>
    <cellStyle name="Normal 244 7 3" xfId="20955" xr:uid="{00000000-0005-0000-0000-0000DB510000}"/>
    <cellStyle name="Normal 244 8" xfId="20956" xr:uid="{00000000-0005-0000-0000-0000DC510000}"/>
    <cellStyle name="Normal 245" xfId="20957" xr:uid="{00000000-0005-0000-0000-0000DD510000}"/>
    <cellStyle name="Normal 245 2" xfId="20958" xr:uid="{00000000-0005-0000-0000-0000DE510000}"/>
    <cellStyle name="Normal 245 2 2" xfId="20959" xr:uid="{00000000-0005-0000-0000-0000DF510000}"/>
    <cellStyle name="Normal 245 2 2 2" xfId="20960" xr:uid="{00000000-0005-0000-0000-0000E0510000}"/>
    <cellStyle name="Normal 245 2 2 2 2" xfId="20961" xr:uid="{00000000-0005-0000-0000-0000E1510000}"/>
    <cellStyle name="Normal 245 2 2 3" xfId="20962" xr:uid="{00000000-0005-0000-0000-0000E2510000}"/>
    <cellStyle name="Normal 245 2 2 3 2" xfId="20963" xr:uid="{00000000-0005-0000-0000-0000E3510000}"/>
    <cellStyle name="Normal 245 2 2 3 2 2" xfId="20964" xr:uid="{00000000-0005-0000-0000-0000E4510000}"/>
    <cellStyle name="Normal 245 2 2 3 3" xfId="20965" xr:uid="{00000000-0005-0000-0000-0000E5510000}"/>
    <cellStyle name="Normal 245 2 2 4" xfId="20966" xr:uid="{00000000-0005-0000-0000-0000E6510000}"/>
    <cellStyle name="Normal 245 2 2 4 2" xfId="20967" xr:uid="{00000000-0005-0000-0000-0000E7510000}"/>
    <cellStyle name="Normal 245 2 2 4 2 2" xfId="20968" xr:uid="{00000000-0005-0000-0000-0000E8510000}"/>
    <cellStyle name="Normal 245 2 2 4 3" xfId="20969" xr:uid="{00000000-0005-0000-0000-0000E9510000}"/>
    <cellStyle name="Normal 245 2 2 5" xfId="20970" xr:uid="{00000000-0005-0000-0000-0000EA510000}"/>
    <cellStyle name="Normal 245 2 3" xfId="20971" xr:uid="{00000000-0005-0000-0000-0000EB510000}"/>
    <cellStyle name="Normal 245 2 3 2" xfId="20972" xr:uid="{00000000-0005-0000-0000-0000EC510000}"/>
    <cellStyle name="Normal 245 2 3 2 2" xfId="20973" xr:uid="{00000000-0005-0000-0000-0000ED510000}"/>
    <cellStyle name="Normal 245 2 3 2 2 2" xfId="20974" xr:uid="{00000000-0005-0000-0000-0000EE510000}"/>
    <cellStyle name="Normal 245 2 3 2 3" xfId="20975" xr:uid="{00000000-0005-0000-0000-0000EF510000}"/>
    <cellStyle name="Normal 245 2 3 2 3 2" xfId="20976" xr:uid="{00000000-0005-0000-0000-0000F0510000}"/>
    <cellStyle name="Normal 245 2 3 2 3 2 2" xfId="20977" xr:uid="{00000000-0005-0000-0000-0000F1510000}"/>
    <cellStyle name="Normal 245 2 3 2 3 3" xfId="20978" xr:uid="{00000000-0005-0000-0000-0000F2510000}"/>
    <cellStyle name="Normal 245 2 3 2 4" xfId="20979" xr:uid="{00000000-0005-0000-0000-0000F3510000}"/>
    <cellStyle name="Normal 245 2 3 3" xfId="20980" xr:uid="{00000000-0005-0000-0000-0000F4510000}"/>
    <cellStyle name="Normal 245 2 3 3 2" xfId="20981" xr:uid="{00000000-0005-0000-0000-0000F5510000}"/>
    <cellStyle name="Normal 245 2 3 3 2 2" xfId="20982" xr:uid="{00000000-0005-0000-0000-0000F6510000}"/>
    <cellStyle name="Normal 245 2 3 3 3" xfId="20983" xr:uid="{00000000-0005-0000-0000-0000F7510000}"/>
    <cellStyle name="Normal 245 2 3 4" xfId="20984" xr:uid="{00000000-0005-0000-0000-0000F8510000}"/>
    <cellStyle name="Normal 245 2 3 4 2" xfId="20985" xr:uid="{00000000-0005-0000-0000-0000F9510000}"/>
    <cellStyle name="Normal 245 2 3 4 2 2" xfId="20986" xr:uid="{00000000-0005-0000-0000-0000FA510000}"/>
    <cellStyle name="Normal 245 2 3 4 3" xfId="20987" xr:uid="{00000000-0005-0000-0000-0000FB510000}"/>
    <cellStyle name="Normal 245 2 3 5" xfId="20988" xr:uid="{00000000-0005-0000-0000-0000FC510000}"/>
    <cellStyle name="Normal 245 2 3 5 2" xfId="20989" xr:uid="{00000000-0005-0000-0000-0000FD510000}"/>
    <cellStyle name="Normal 245 2 3 5 2 2" xfId="20990" xr:uid="{00000000-0005-0000-0000-0000FE510000}"/>
    <cellStyle name="Normal 245 2 3 5 3" xfId="20991" xr:uid="{00000000-0005-0000-0000-0000FF510000}"/>
    <cellStyle name="Normal 245 2 3 6" xfId="20992" xr:uid="{00000000-0005-0000-0000-000000520000}"/>
    <cellStyle name="Normal 245 2 4" xfId="20993" xr:uid="{00000000-0005-0000-0000-000001520000}"/>
    <cellStyle name="Normal 245 2 4 2" xfId="20994" xr:uid="{00000000-0005-0000-0000-000002520000}"/>
    <cellStyle name="Normal 245 2 4 2 2" xfId="20995" xr:uid="{00000000-0005-0000-0000-000003520000}"/>
    <cellStyle name="Normal 245 2 4 3" xfId="20996" xr:uid="{00000000-0005-0000-0000-000004520000}"/>
    <cellStyle name="Normal 245 2 5" xfId="20997" xr:uid="{00000000-0005-0000-0000-000005520000}"/>
    <cellStyle name="Normal 245 2 5 2" xfId="20998" xr:uid="{00000000-0005-0000-0000-000006520000}"/>
    <cellStyle name="Normal 245 2 5 2 2" xfId="20999" xr:uid="{00000000-0005-0000-0000-000007520000}"/>
    <cellStyle name="Normal 245 2 5 3" xfId="21000" xr:uid="{00000000-0005-0000-0000-000008520000}"/>
    <cellStyle name="Normal 245 2 6" xfId="21001" xr:uid="{00000000-0005-0000-0000-000009520000}"/>
    <cellStyle name="Normal 245 2 6 2" xfId="21002" xr:uid="{00000000-0005-0000-0000-00000A520000}"/>
    <cellStyle name="Normal 245 2 6 2 2" xfId="21003" xr:uid="{00000000-0005-0000-0000-00000B520000}"/>
    <cellStyle name="Normal 245 2 6 3" xfId="21004" xr:uid="{00000000-0005-0000-0000-00000C520000}"/>
    <cellStyle name="Normal 245 2 7" xfId="21005" xr:uid="{00000000-0005-0000-0000-00000D520000}"/>
    <cellStyle name="Normal 245 3" xfId="21006" xr:uid="{00000000-0005-0000-0000-00000E520000}"/>
    <cellStyle name="Normal 245 3 2" xfId="21007" xr:uid="{00000000-0005-0000-0000-00000F520000}"/>
    <cellStyle name="Normal 245 3 2 2" xfId="21008" xr:uid="{00000000-0005-0000-0000-000010520000}"/>
    <cellStyle name="Normal 245 3 3" xfId="21009" xr:uid="{00000000-0005-0000-0000-000011520000}"/>
    <cellStyle name="Normal 245 3 3 2" xfId="21010" xr:uid="{00000000-0005-0000-0000-000012520000}"/>
    <cellStyle name="Normal 245 3 3 2 2" xfId="21011" xr:uid="{00000000-0005-0000-0000-000013520000}"/>
    <cellStyle name="Normal 245 3 3 3" xfId="21012" xr:uid="{00000000-0005-0000-0000-000014520000}"/>
    <cellStyle name="Normal 245 3 4" xfId="21013" xr:uid="{00000000-0005-0000-0000-000015520000}"/>
    <cellStyle name="Normal 245 3 4 2" xfId="21014" xr:uid="{00000000-0005-0000-0000-000016520000}"/>
    <cellStyle name="Normal 245 3 4 2 2" xfId="21015" xr:uid="{00000000-0005-0000-0000-000017520000}"/>
    <cellStyle name="Normal 245 3 4 3" xfId="21016" xr:uid="{00000000-0005-0000-0000-000018520000}"/>
    <cellStyle name="Normal 245 3 5" xfId="21017" xr:uid="{00000000-0005-0000-0000-000019520000}"/>
    <cellStyle name="Normal 245 4" xfId="21018" xr:uid="{00000000-0005-0000-0000-00001A520000}"/>
    <cellStyle name="Normal 245 4 2" xfId="21019" xr:uid="{00000000-0005-0000-0000-00001B520000}"/>
    <cellStyle name="Normal 245 4 2 2" xfId="21020" xr:uid="{00000000-0005-0000-0000-00001C520000}"/>
    <cellStyle name="Normal 245 4 2 2 2" xfId="21021" xr:uid="{00000000-0005-0000-0000-00001D520000}"/>
    <cellStyle name="Normal 245 4 2 3" xfId="21022" xr:uid="{00000000-0005-0000-0000-00001E520000}"/>
    <cellStyle name="Normal 245 4 2 3 2" xfId="21023" xr:uid="{00000000-0005-0000-0000-00001F520000}"/>
    <cellStyle name="Normal 245 4 2 3 2 2" xfId="21024" xr:uid="{00000000-0005-0000-0000-000020520000}"/>
    <cellStyle name="Normal 245 4 2 3 3" xfId="21025" xr:uid="{00000000-0005-0000-0000-000021520000}"/>
    <cellStyle name="Normal 245 4 2 4" xfId="21026" xr:uid="{00000000-0005-0000-0000-000022520000}"/>
    <cellStyle name="Normal 245 4 3" xfId="21027" xr:uid="{00000000-0005-0000-0000-000023520000}"/>
    <cellStyle name="Normal 245 4 3 2" xfId="21028" xr:uid="{00000000-0005-0000-0000-000024520000}"/>
    <cellStyle name="Normal 245 4 3 2 2" xfId="21029" xr:uid="{00000000-0005-0000-0000-000025520000}"/>
    <cellStyle name="Normal 245 4 3 3" xfId="21030" xr:uid="{00000000-0005-0000-0000-000026520000}"/>
    <cellStyle name="Normal 245 4 4" xfId="21031" xr:uid="{00000000-0005-0000-0000-000027520000}"/>
    <cellStyle name="Normal 245 4 4 2" xfId="21032" xr:uid="{00000000-0005-0000-0000-000028520000}"/>
    <cellStyle name="Normal 245 4 4 2 2" xfId="21033" xr:uid="{00000000-0005-0000-0000-000029520000}"/>
    <cellStyle name="Normal 245 4 4 3" xfId="21034" xr:uid="{00000000-0005-0000-0000-00002A520000}"/>
    <cellStyle name="Normal 245 4 5" xfId="21035" xr:uid="{00000000-0005-0000-0000-00002B520000}"/>
    <cellStyle name="Normal 245 4 5 2" xfId="21036" xr:uid="{00000000-0005-0000-0000-00002C520000}"/>
    <cellStyle name="Normal 245 4 5 2 2" xfId="21037" xr:uid="{00000000-0005-0000-0000-00002D520000}"/>
    <cellStyle name="Normal 245 4 5 3" xfId="21038" xr:uid="{00000000-0005-0000-0000-00002E520000}"/>
    <cellStyle name="Normal 245 4 6" xfId="21039" xr:uid="{00000000-0005-0000-0000-00002F520000}"/>
    <cellStyle name="Normal 245 5" xfId="21040" xr:uid="{00000000-0005-0000-0000-000030520000}"/>
    <cellStyle name="Normal 245 5 2" xfId="21041" xr:uid="{00000000-0005-0000-0000-000031520000}"/>
    <cellStyle name="Normal 245 5 2 2" xfId="21042" xr:uid="{00000000-0005-0000-0000-000032520000}"/>
    <cellStyle name="Normal 245 5 3" xfId="21043" xr:uid="{00000000-0005-0000-0000-000033520000}"/>
    <cellStyle name="Normal 245 6" xfId="21044" xr:uid="{00000000-0005-0000-0000-000034520000}"/>
    <cellStyle name="Normal 245 6 2" xfId="21045" xr:uid="{00000000-0005-0000-0000-000035520000}"/>
    <cellStyle name="Normal 245 6 2 2" xfId="21046" xr:uid="{00000000-0005-0000-0000-000036520000}"/>
    <cellStyle name="Normal 245 6 3" xfId="21047" xr:uid="{00000000-0005-0000-0000-000037520000}"/>
    <cellStyle name="Normal 245 7" xfId="21048" xr:uid="{00000000-0005-0000-0000-000038520000}"/>
    <cellStyle name="Normal 245 7 2" xfId="21049" xr:uid="{00000000-0005-0000-0000-000039520000}"/>
    <cellStyle name="Normal 245 7 2 2" xfId="21050" xr:uid="{00000000-0005-0000-0000-00003A520000}"/>
    <cellStyle name="Normal 245 7 3" xfId="21051" xr:uid="{00000000-0005-0000-0000-00003B520000}"/>
    <cellStyle name="Normal 245 8" xfId="21052" xr:uid="{00000000-0005-0000-0000-00003C520000}"/>
    <cellStyle name="Normal 246" xfId="21053" xr:uid="{00000000-0005-0000-0000-00003D520000}"/>
    <cellStyle name="Normal 246 2" xfId="21054" xr:uid="{00000000-0005-0000-0000-00003E520000}"/>
    <cellStyle name="Normal 246 2 2" xfId="21055" xr:uid="{00000000-0005-0000-0000-00003F520000}"/>
    <cellStyle name="Normal 246 2 2 2" xfId="21056" xr:uid="{00000000-0005-0000-0000-000040520000}"/>
    <cellStyle name="Normal 246 2 2 2 2" xfId="21057" xr:uid="{00000000-0005-0000-0000-000041520000}"/>
    <cellStyle name="Normal 246 2 2 3" xfId="21058" xr:uid="{00000000-0005-0000-0000-000042520000}"/>
    <cellStyle name="Normal 246 2 2 3 2" xfId="21059" xr:uid="{00000000-0005-0000-0000-000043520000}"/>
    <cellStyle name="Normal 246 2 2 3 2 2" xfId="21060" xr:uid="{00000000-0005-0000-0000-000044520000}"/>
    <cellStyle name="Normal 246 2 2 3 3" xfId="21061" xr:uid="{00000000-0005-0000-0000-000045520000}"/>
    <cellStyle name="Normal 246 2 2 4" xfId="21062" xr:uid="{00000000-0005-0000-0000-000046520000}"/>
    <cellStyle name="Normal 246 2 2 4 2" xfId="21063" xr:uid="{00000000-0005-0000-0000-000047520000}"/>
    <cellStyle name="Normal 246 2 2 4 2 2" xfId="21064" xr:uid="{00000000-0005-0000-0000-000048520000}"/>
    <cellStyle name="Normal 246 2 2 4 3" xfId="21065" xr:uid="{00000000-0005-0000-0000-000049520000}"/>
    <cellStyle name="Normal 246 2 2 5" xfId="21066" xr:uid="{00000000-0005-0000-0000-00004A520000}"/>
    <cellStyle name="Normal 246 2 3" xfId="21067" xr:uid="{00000000-0005-0000-0000-00004B520000}"/>
    <cellStyle name="Normal 246 2 3 2" xfId="21068" xr:uid="{00000000-0005-0000-0000-00004C520000}"/>
    <cellStyle name="Normal 246 2 3 2 2" xfId="21069" xr:uid="{00000000-0005-0000-0000-00004D520000}"/>
    <cellStyle name="Normal 246 2 3 2 2 2" xfId="21070" xr:uid="{00000000-0005-0000-0000-00004E520000}"/>
    <cellStyle name="Normal 246 2 3 2 3" xfId="21071" xr:uid="{00000000-0005-0000-0000-00004F520000}"/>
    <cellStyle name="Normal 246 2 3 2 3 2" xfId="21072" xr:uid="{00000000-0005-0000-0000-000050520000}"/>
    <cellStyle name="Normal 246 2 3 2 3 2 2" xfId="21073" xr:uid="{00000000-0005-0000-0000-000051520000}"/>
    <cellStyle name="Normal 246 2 3 2 3 3" xfId="21074" xr:uid="{00000000-0005-0000-0000-000052520000}"/>
    <cellStyle name="Normal 246 2 3 2 4" xfId="21075" xr:uid="{00000000-0005-0000-0000-000053520000}"/>
    <cellStyle name="Normal 246 2 3 3" xfId="21076" xr:uid="{00000000-0005-0000-0000-000054520000}"/>
    <cellStyle name="Normal 246 2 3 3 2" xfId="21077" xr:uid="{00000000-0005-0000-0000-000055520000}"/>
    <cellStyle name="Normal 246 2 3 3 2 2" xfId="21078" xr:uid="{00000000-0005-0000-0000-000056520000}"/>
    <cellStyle name="Normal 246 2 3 3 3" xfId="21079" xr:uid="{00000000-0005-0000-0000-000057520000}"/>
    <cellStyle name="Normal 246 2 3 4" xfId="21080" xr:uid="{00000000-0005-0000-0000-000058520000}"/>
    <cellStyle name="Normal 246 2 3 4 2" xfId="21081" xr:uid="{00000000-0005-0000-0000-000059520000}"/>
    <cellStyle name="Normal 246 2 3 4 2 2" xfId="21082" xr:uid="{00000000-0005-0000-0000-00005A520000}"/>
    <cellStyle name="Normal 246 2 3 4 3" xfId="21083" xr:uid="{00000000-0005-0000-0000-00005B520000}"/>
    <cellStyle name="Normal 246 2 3 5" xfId="21084" xr:uid="{00000000-0005-0000-0000-00005C520000}"/>
    <cellStyle name="Normal 246 2 3 5 2" xfId="21085" xr:uid="{00000000-0005-0000-0000-00005D520000}"/>
    <cellStyle name="Normal 246 2 3 5 2 2" xfId="21086" xr:uid="{00000000-0005-0000-0000-00005E520000}"/>
    <cellStyle name="Normal 246 2 3 5 3" xfId="21087" xr:uid="{00000000-0005-0000-0000-00005F520000}"/>
    <cellStyle name="Normal 246 2 3 6" xfId="21088" xr:uid="{00000000-0005-0000-0000-000060520000}"/>
    <cellStyle name="Normal 246 2 4" xfId="21089" xr:uid="{00000000-0005-0000-0000-000061520000}"/>
    <cellStyle name="Normal 246 2 4 2" xfId="21090" xr:uid="{00000000-0005-0000-0000-000062520000}"/>
    <cellStyle name="Normal 246 2 4 2 2" xfId="21091" xr:uid="{00000000-0005-0000-0000-000063520000}"/>
    <cellStyle name="Normal 246 2 4 3" xfId="21092" xr:uid="{00000000-0005-0000-0000-000064520000}"/>
    <cellStyle name="Normal 246 2 5" xfId="21093" xr:uid="{00000000-0005-0000-0000-000065520000}"/>
    <cellStyle name="Normal 246 2 5 2" xfId="21094" xr:uid="{00000000-0005-0000-0000-000066520000}"/>
    <cellStyle name="Normal 246 2 5 2 2" xfId="21095" xr:uid="{00000000-0005-0000-0000-000067520000}"/>
    <cellStyle name="Normal 246 2 5 3" xfId="21096" xr:uid="{00000000-0005-0000-0000-000068520000}"/>
    <cellStyle name="Normal 246 2 6" xfId="21097" xr:uid="{00000000-0005-0000-0000-000069520000}"/>
    <cellStyle name="Normal 246 2 6 2" xfId="21098" xr:uid="{00000000-0005-0000-0000-00006A520000}"/>
    <cellStyle name="Normal 246 2 6 2 2" xfId="21099" xr:uid="{00000000-0005-0000-0000-00006B520000}"/>
    <cellStyle name="Normal 246 2 6 3" xfId="21100" xr:uid="{00000000-0005-0000-0000-00006C520000}"/>
    <cellStyle name="Normal 246 2 7" xfId="21101" xr:uid="{00000000-0005-0000-0000-00006D520000}"/>
    <cellStyle name="Normal 246 3" xfId="21102" xr:uid="{00000000-0005-0000-0000-00006E520000}"/>
    <cellStyle name="Normal 246 3 2" xfId="21103" xr:uid="{00000000-0005-0000-0000-00006F520000}"/>
    <cellStyle name="Normal 246 3 2 2" xfId="21104" xr:uid="{00000000-0005-0000-0000-000070520000}"/>
    <cellStyle name="Normal 246 3 3" xfId="21105" xr:uid="{00000000-0005-0000-0000-000071520000}"/>
    <cellStyle name="Normal 246 3 3 2" xfId="21106" xr:uid="{00000000-0005-0000-0000-000072520000}"/>
    <cellStyle name="Normal 246 3 3 2 2" xfId="21107" xr:uid="{00000000-0005-0000-0000-000073520000}"/>
    <cellStyle name="Normal 246 3 3 3" xfId="21108" xr:uid="{00000000-0005-0000-0000-000074520000}"/>
    <cellStyle name="Normal 246 3 4" xfId="21109" xr:uid="{00000000-0005-0000-0000-000075520000}"/>
    <cellStyle name="Normal 246 3 4 2" xfId="21110" xr:uid="{00000000-0005-0000-0000-000076520000}"/>
    <cellStyle name="Normal 246 3 4 2 2" xfId="21111" xr:uid="{00000000-0005-0000-0000-000077520000}"/>
    <cellStyle name="Normal 246 3 4 3" xfId="21112" xr:uid="{00000000-0005-0000-0000-000078520000}"/>
    <cellStyle name="Normal 246 3 5" xfId="21113" xr:uid="{00000000-0005-0000-0000-000079520000}"/>
    <cellStyle name="Normal 246 4" xfId="21114" xr:uid="{00000000-0005-0000-0000-00007A520000}"/>
    <cellStyle name="Normal 246 4 2" xfId="21115" xr:uid="{00000000-0005-0000-0000-00007B520000}"/>
    <cellStyle name="Normal 246 4 2 2" xfId="21116" xr:uid="{00000000-0005-0000-0000-00007C520000}"/>
    <cellStyle name="Normal 246 4 2 2 2" xfId="21117" xr:uid="{00000000-0005-0000-0000-00007D520000}"/>
    <cellStyle name="Normal 246 4 2 3" xfId="21118" xr:uid="{00000000-0005-0000-0000-00007E520000}"/>
    <cellStyle name="Normal 246 4 2 3 2" xfId="21119" xr:uid="{00000000-0005-0000-0000-00007F520000}"/>
    <cellStyle name="Normal 246 4 2 3 2 2" xfId="21120" xr:uid="{00000000-0005-0000-0000-000080520000}"/>
    <cellStyle name="Normal 246 4 2 3 3" xfId="21121" xr:uid="{00000000-0005-0000-0000-000081520000}"/>
    <cellStyle name="Normal 246 4 2 4" xfId="21122" xr:uid="{00000000-0005-0000-0000-000082520000}"/>
    <cellStyle name="Normal 246 4 3" xfId="21123" xr:uid="{00000000-0005-0000-0000-000083520000}"/>
    <cellStyle name="Normal 246 4 3 2" xfId="21124" xr:uid="{00000000-0005-0000-0000-000084520000}"/>
    <cellStyle name="Normal 246 4 3 2 2" xfId="21125" xr:uid="{00000000-0005-0000-0000-000085520000}"/>
    <cellStyle name="Normal 246 4 3 3" xfId="21126" xr:uid="{00000000-0005-0000-0000-000086520000}"/>
    <cellStyle name="Normal 246 4 4" xfId="21127" xr:uid="{00000000-0005-0000-0000-000087520000}"/>
    <cellStyle name="Normal 246 4 4 2" xfId="21128" xr:uid="{00000000-0005-0000-0000-000088520000}"/>
    <cellStyle name="Normal 246 4 4 2 2" xfId="21129" xr:uid="{00000000-0005-0000-0000-000089520000}"/>
    <cellStyle name="Normal 246 4 4 3" xfId="21130" xr:uid="{00000000-0005-0000-0000-00008A520000}"/>
    <cellStyle name="Normal 246 4 5" xfId="21131" xr:uid="{00000000-0005-0000-0000-00008B520000}"/>
    <cellStyle name="Normal 246 4 5 2" xfId="21132" xr:uid="{00000000-0005-0000-0000-00008C520000}"/>
    <cellStyle name="Normal 246 4 5 2 2" xfId="21133" xr:uid="{00000000-0005-0000-0000-00008D520000}"/>
    <cellStyle name="Normal 246 4 5 3" xfId="21134" xr:uid="{00000000-0005-0000-0000-00008E520000}"/>
    <cellStyle name="Normal 246 4 6" xfId="21135" xr:uid="{00000000-0005-0000-0000-00008F520000}"/>
    <cellStyle name="Normal 246 5" xfId="21136" xr:uid="{00000000-0005-0000-0000-000090520000}"/>
    <cellStyle name="Normal 246 5 2" xfId="21137" xr:uid="{00000000-0005-0000-0000-000091520000}"/>
    <cellStyle name="Normal 246 5 2 2" xfId="21138" xr:uid="{00000000-0005-0000-0000-000092520000}"/>
    <cellStyle name="Normal 246 5 3" xfId="21139" xr:uid="{00000000-0005-0000-0000-000093520000}"/>
    <cellStyle name="Normal 246 6" xfId="21140" xr:uid="{00000000-0005-0000-0000-000094520000}"/>
    <cellStyle name="Normal 246 6 2" xfId="21141" xr:uid="{00000000-0005-0000-0000-000095520000}"/>
    <cellStyle name="Normal 246 6 2 2" xfId="21142" xr:uid="{00000000-0005-0000-0000-000096520000}"/>
    <cellStyle name="Normal 246 6 3" xfId="21143" xr:uid="{00000000-0005-0000-0000-000097520000}"/>
    <cellStyle name="Normal 246 7" xfId="21144" xr:uid="{00000000-0005-0000-0000-000098520000}"/>
    <cellStyle name="Normal 246 7 2" xfId="21145" xr:uid="{00000000-0005-0000-0000-000099520000}"/>
    <cellStyle name="Normal 246 7 2 2" xfId="21146" xr:uid="{00000000-0005-0000-0000-00009A520000}"/>
    <cellStyle name="Normal 246 7 3" xfId="21147" xr:uid="{00000000-0005-0000-0000-00009B520000}"/>
    <cellStyle name="Normal 246 8" xfId="21148" xr:uid="{00000000-0005-0000-0000-00009C520000}"/>
    <cellStyle name="Normal 247" xfId="21149" xr:uid="{00000000-0005-0000-0000-00009D520000}"/>
    <cellStyle name="Normal 247 2" xfId="21150" xr:uid="{00000000-0005-0000-0000-00009E520000}"/>
    <cellStyle name="Normal 247 2 2" xfId="21151" xr:uid="{00000000-0005-0000-0000-00009F520000}"/>
    <cellStyle name="Normal 247 2 2 2" xfId="21152" xr:uid="{00000000-0005-0000-0000-0000A0520000}"/>
    <cellStyle name="Normal 247 2 2 2 2" xfId="21153" xr:uid="{00000000-0005-0000-0000-0000A1520000}"/>
    <cellStyle name="Normal 247 2 2 3" xfId="21154" xr:uid="{00000000-0005-0000-0000-0000A2520000}"/>
    <cellStyle name="Normal 247 2 2 3 2" xfId="21155" xr:uid="{00000000-0005-0000-0000-0000A3520000}"/>
    <cellStyle name="Normal 247 2 2 3 2 2" xfId="21156" xr:uid="{00000000-0005-0000-0000-0000A4520000}"/>
    <cellStyle name="Normal 247 2 2 3 3" xfId="21157" xr:uid="{00000000-0005-0000-0000-0000A5520000}"/>
    <cellStyle name="Normal 247 2 2 4" xfId="21158" xr:uid="{00000000-0005-0000-0000-0000A6520000}"/>
    <cellStyle name="Normal 247 2 2 4 2" xfId="21159" xr:uid="{00000000-0005-0000-0000-0000A7520000}"/>
    <cellStyle name="Normal 247 2 2 4 2 2" xfId="21160" xr:uid="{00000000-0005-0000-0000-0000A8520000}"/>
    <cellStyle name="Normal 247 2 2 4 3" xfId="21161" xr:uid="{00000000-0005-0000-0000-0000A9520000}"/>
    <cellStyle name="Normal 247 2 2 5" xfId="21162" xr:uid="{00000000-0005-0000-0000-0000AA520000}"/>
    <cellStyle name="Normal 247 2 3" xfId="21163" xr:uid="{00000000-0005-0000-0000-0000AB520000}"/>
    <cellStyle name="Normal 247 2 3 2" xfId="21164" xr:uid="{00000000-0005-0000-0000-0000AC520000}"/>
    <cellStyle name="Normal 247 2 3 2 2" xfId="21165" xr:uid="{00000000-0005-0000-0000-0000AD520000}"/>
    <cellStyle name="Normal 247 2 3 2 2 2" xfId="21166" xr:uid="{00000000-0005-0000-0000-0000AE520000}"/>
    <cellStyle name="Normal 247 2 3 2 3" xfId="21167" xr:uid="{00000000-0005-0000-0000-0000AF520000}"/>
    <cellStyle name="Normal 247 2 3 2 3 2" xfId="21168" xr:uid="{00000000-0005-0000-0000-0000B0520000}"/>
    <cellStyle name="Normal 247 2 3 2 3 2 2" xfId="21169" xr:uid="{00000000-0005-0000-0000-0000B1520000}"/>
    <cellStyle name="Normal 247 2 3 2 3 3" xfId="21170" xr:uid="{00000000-0005-0000-0000-0000B2520000}"/>
    <cellStyle name="Normal 247 2 3 2 4" xfId="21171" xr:uid="{00000000-0005-0000-0000-0000B3520000}"/>
    <cellStyle name="Normal 247 2 3 3" xfId="21172" xr:uid="{00000000-0005-0000-0000-0000B4520000}"/>
    <cellStyle name="Normal 247 2 3 3 2" xfId="21173" xr:uid="{00000000-0005-0000-0000-0000B5520000}"/>
    <cellStyle name="Normal 247 2 3 3 2 2" xfId="21174" xr:uid="{00000000-0005-0000-0000-0000B6520000}"/>
    <cellStyle name="Normal 247 2 3 3 3" xfId="21175" xr:uid="{00000000-0005-0000-0000-0000B7520000}"/>
    <cellStyle name="Normal 247 2 3 4" xfId="21176" xr:uid="{00000000-0005-0000-0000-0000B8520000}"/>
    <cellStyle name="Normal 247 2 3 4 2" xfId="21177" xr:uid="{00000000-0005-0000-0000-0000B9520000}"/>
    <cellStyle name="Normal 247 2 3 4 2 2" xfId="21178" xr:uid="{00000000-0005-0000-0000-0000BA520000}"/>
    <cellStyle name="Normal 247 2 3 4 3" xfId="21179" xr:uid="{00000000-0005-0000-0000-0000BB520000}"/>
    <cellStyle name="Normal 247 2 3 5" xfId="21180" xr:uid="{00000000-0005-0000-0000-0000BC520000}"/>
    <cellStyle name="Normal 247 2 3 5 2" xfId="21181" xr:uid="{00000000-0005-0000-0000-0000BD520000}"/>
    <cellStyle name="Normal 247 2 3 5 2 2" xfId="21182" xr:uid="{00000000-0005-0000-0000-0000BE520000}"/>
    <cellStyle name="Normal 247 2 3 5 3" xfId="21183" xr:uid="{00000000-0005-0000-0000-0000BF520000}"/>
    <cellStyle name="Normal 247 2 3 6" xfId="21184" xr:uid="{00000000-0005-0000-0000-0000C0520000}"/>
    <cellStyle name="Normal 247 2 4" xfId="21185" xr:uid="{00000000-0005-0000-0000-0000C1520000}"/>
    <cellStyle name="Normal 247 2 4 2" xfId="21186" xr:uid="{00000000-0005-0000-0000-0000C2520000}"/>
    <cellStyle name="Normal 247 2 4 2 2" xfId="21187" xr:uid="{00000000-0005-0000-0000-0000C3520000}"/>
    <cellStyle name="Normal 247 2 4 3" xfId="21188" xr:uid="{00000000-0005-0000-0000-0000C4520000}"/>
    <cellStyle name="Normal 247 2 5" xfId="21189" xr:uid="{00000000-0005-0000-0000-0000C5520000}"/>
    <cellStyle name="Normal 247 2 5 2" xfId="21190" xr:uid="{00000000-0005-0000-0000-0000C6520000}"/>
    <cellStyle name="Normal 247 2 5 2 2" xfId="21191" xr:uid="{00000000-0005-0000-0000-0000C7520000}"/>
    <cellStyle name="Normal 247 2 5 3" xfId="21192" xr:uid="{00000000-0005-0000-0000-0000C8520000}"/>
    <cellStyle name="Normal 247 2 6" xfId="21193" xr:uid="{00000000-0005-0000-0000-0000C9520000}"/>
    <cellStyle name="Normal 247 2 6 2" xfId="21194" xr:uid="{00000000-0005-0000-0000-0000CA520000}"/>
    <cellStyle name="Normal 247 2 6 2 2" xfId="21195" xr:uid="{00000000-0005-0000-0000-0000CB520000}"/>
    <cellStyle name="Normal 247 2 6 3" xfId="21196" xr:uid="{00000000-0005-0000-0000-0000CC520000}"/>
    <cellStyle name="Normal 247 2 7" xfId="21197" xr:uid="{00000000-0005-0000-0000-0000CD520000}"/>
    <cellStyle name="Normal 247 3" xfId="21198" xr:uid="{00000000-0005-0000-0000-0000CE520000}"/>
    <cellStyle name="Normal 247 3 2" xfId="21199" xr:uid="{00000000-0005-0000-0000-0000CF520000}"/>
    <cellStyle name="Normal 247 3 2 2" xfId="21200" xr:uid="{00000000-0005-0000-0000-0000D0520000}"/>
    <cellStyle name="Normal 247 3 3" xfId="21201" xr:uid="{00000000-0005-0000-0000-0000D1520000}"/>
    <cellStyle name="Normal 247 3 3 2" xfId="21202" xr:uid="{00000000-0005-0000-0000-0000D2520000}"/>
    <cellStyle name="Normal 247 3 3 2 2" xfId="21203" xr:uid="{00000000-0005-0000-0000-0000D3520000}"/>
    <cellStyle name="Normal 247 3 3 3" xfId="21204" xr:uid="{00000000-0005-0000-0000-0000D4520000}"/>
    <cellStyle name="Normal 247 3 4" xfId="21205" xr:uid="{00000000-0005-0000-0000-0000D5520000}"/>
    <cellStyle name="Normal 247 3 4 2" xfId="21206" xr:uid="{00000000-0005-0000-0000-0000D6520000}"/>
    <cellStyle name="Normal 247 3 4 2 2" xfId="21207" xr:uid="{00000000-0005-0000-0000-0000D7520000}"/>
    <cellStyle name="Normal 247 3 4 3" xfId="21208" xr:uid="{00000000-0005-0000-0000-0000D8520000}"/>
    <cellStyle name="Normal 247 3 5" xfId="21209" xr:uid="{00000000-0005-0000-0000-0000D9520000}"/>
    <cellStyle name="Normal 247 4" xfId="21210" xr:uid="{00000000-0005-0000-0000-0000DA520000}"/>
    <cellStyle name="Normal 247 4 2" xfId="21211" xr:uid="{00000000-0005-0000-0000-0000DB520000}"/>
    <cellStyle name="Normal 247 4 2 2" xfId="21212" xr:uid="{00000000-0005-0000-0000-0000DC520000}"/>
    <cellStyle name="Normal 247 4 2 2 2" xfId="21213" xr:uid="{00000000-0005-0000-0000-0000DD520000}"/>
    <cellStyle name="Normal 247 4 2 3" xfId="21214" xr:uid="{00000000-0005-0000-0000-0000DE520000}"/>
    <cellStyle name="Normal 247 4 2 3 2" xfId="21215" xr:uid="{00000000-0005-0000-0000-0000DF520000}"/>
    <cellStyle name="Normal 247 4 2 3 2 2" xfId="21216" xr:uid="{00000000-0005-0000-0000-0000E0520000}"/>
    <cellStyle name="Normal 247 4 2 3 3" xfId="21217" xr:uid="{00000000-0005-0000-0000-0000E1520000}"/>
    <cellStyle name="Normal 247 4 2 4" xfId="21218" xr:uid="{00000000-0005-0000-0000-0000E2520000}"/>
    <cellStyle name="Normal 247 4 3" xfId="21219" xr:uid="{00000000-0005-0000-0000-0000E3520000}"/>
    <cellStyle name="Normal 247 4 3 2" xfId="21220" xr:uid="{00000000-0005-0000-0000-0000E4520000}"/>
    <cellStyle name="Normal 247 4 3 2 2" xfId="21221" xr:uid="{00000000-0005-0000-0000-0000E5520000}"/>
    <cellStyle name="Normal 247 4 3 3" xfId="21222" xr:uid="{00000000-0005-0000-0000-0000E6520000}"/>
    <cellStyle name="Normal 247 4 4" xfId="21223" xr:uid="{00000000-0005-0000-0000-0000E7520000}"/>
    <cellStyle name="Normal 247 4 4 2" xfId="21224" xr:uid="{00000000-0005-0000-0000-0000E8520000}"/>
    <cellStyle name="Normal 247 4 4 2 2" xfId="21225" xr:uid="{00000000-0005-0000-0000-0000E9520000}"/>
    <cellStyle name="Normal 247 4 4 3" xfId="21226" xr:uid="{00000000-0005-0000-0000-0000EA520000}"/>
    <cellStyle name="Normal 247 4 5" xfId="21227" xr:uid="{00000000-0005-0000-0000-0000EB520000}"/>
    <cellStyle name="Normal 247 4 5 2" xfId="21228" xr:uid="{00000000-0005-0000-0000-0000EC520000}"/>
    <cellStyle name="Normal 247 4 5 2 2" xfId="21229" xr:uid="{00000000-0005-0000-0000-0000ED520000}"/>
    <cellStyle name="Normal 247 4 5 3" xfId="21230" xr:uid="{00000000-0005-0000-0000-0000EE520000}"/>
    <cellStyle name="Normal 247 4 6" xfId="21231" xr:uid="{00000000-0005-0000-0000-0000EF520000}"/>
    <cellStyle name="Normal 247 5" xfId="21232" xr:uid="{00000000-0005-0000-0000-0000F0520000}"/>
    <cellStyle name="Normal 247 5 2" xfId="21233" xr:uid="{00000000-0005-0000-0000-0000F1520000}"/>
    <cellStyle name="Normal 247 5 2 2" xfId="21234" xr:uid="{00000000-0005-0000-0000-0000F2520000}"/>
    <cellStyle name="Normal 247 5 3" xfId="21235" xr:uid="{00000000-0005-0000-0000-0000F3520000}"/>
    <cellStyle name="Normal 247 6" xfId="21236" xr:uid="{00000000-0005-0000-0000-0000F4520000}"/>
    <cellStyle name="Normal 247 6 2" xfId="21237" xr:uid="{00000000-0005-0000-0000-0000F5520000}"/>
    <cellStyle name="Normal 247 6 2 2" xfId="21238" xr:uid="{00000000-0005-0000-0000-0000F6520000}"/>
    <cellStyle name="Normal 247 6 3" xfId="21239" xr:uid="{00000000-0005-0000-0000-0000F7520000}"/>
    <cellStyle name="Normal 247 7" xfId="21240" xr:uid="{00000000-0005-0000-0000-0000F8520000}"/>
    <cellStyle name="Normal 247 7 2" xfId="21241" xr:uid="{00000000-0005-0000-0000-0000F9520000}"/>
    <cellStyle name="Normal 247 7 2 2" xfId="21242" xr:uid="{00000000-0005-0000-0000-0000FA520000}"/>
    <cellStyle name="Normal 247 7 3" xfId="21243" xr:uid="{00000000-0005-0000-0000-0000FB520000}"/>
    <cellStyle name="Normal 247 8" xfId="21244" xr:uid="{00000000-0005-0000-0000-0000FC520000}"/>
    <cellStyle name="Normal 248" xfId="21245" xr:uid="{00000000-0005-0000-0000-0000FD520000}"/>
    <cellStyle name="Normal 248 2" xfId="21246" xr:uid="{00000000-0005-0000-0000-0000FE520000}"/>
    <cellStyle name="Normal 248 2 2" xfId="21247" xr:uid="{00000000-0005-0000-0000-0000FF520000}"/>
    <cellStyle name="Normal 248 2 2 2" xfId="21248" xr:uid="{00000000-0005-0000-0000-000000530000}"/>
    <cellStyle name="Normal 248 2 2 2 2" xfId="21249" xr:uid="{00000000-0005-0000-0000-000001530000}"/>
    <cellStyle name="Normal 248 2 2 3" xfId="21250" xr:uid="{00000000-0005-0000-0000-000002530000}"/>
    <cellStyle name="Normal 248 2 2 3 2" xfId="21251" xr:uid="{00000000-0005-0000-0000-000003530000}"/>
    <cellStyle name="Normal 248 2 2 3 2 2" xfId="21252" xr:uid="{00000000-0005-0000-0000-000004530000}"/>
    <cellStyle name="Normal 248 2 2 3 3" xfId="21253" xr:uid="{00000000-0005-0000-0000-000005530000}"/>
    <cellStyle name="Normal 248 2 2 4" xfId="21254" xr:uid="{00000000-0005-0000-0000-000006530000}"/>
    <cellStyle name="Normal 248 2 2 4 2" xfId="21255" xr:uid="{00000000-0005-0000-0000-000007530000}"/>
    <cellStyle name="Normal 248 2 2 4 2 2" xfId="21256" xr:uid="{00000000-0005-0000-0000-000008530000}"/>
    <cellStyle name="Normal 248 2 2 4 3" xfId="21257" xr:uid="{00000000-0005-0000-0000-000009530000}"/>
    <cellStyle name="Normal 248 2 2 5" xfId="21258" xr:uid="{00000000-0005-0000-0000-00000A530000}"/>
    <cellStyle name="Normal 248 2 3" xfId="21259" xr:uid="{00000000-0005-0000-0000-00000B530000}"/>
    <cellStyle name="Normal 248 2 3 2" xfId="21260" xr:uid="{00000000-0005-0000-0000-00000C530000}"/>
    <cellStyle name="Normal 248 2 3 2 2" xfId="21261" xr:uid="{00000000-0005-0000-0000-00000D530000}"/>
    <cellStyle name="Normal 248 2 3 2 2 2" xfId="21262" xr:uid="{00000000-0005-0000-0000-00000E530000}"/>
    <cellStyle name="Normal 248 2 3 2 3" xfId="21263" xr:uid="{00000000-0005-0000-0000-00000F530000}"/>
    <cellStyle name="Normal 248 2 3 2 3 2" xfId="21264" xr:uid="{00000000-0005-0000-0000-000010530000}"/>
    <cellStyle name="Normal 248 2 3 2 3 2 2" xfId="21265" xr:uid="{00000000-0005-0000-0000-000011530000}"/>
    <cellStyle name="Normal 248 2 3 2 3 3" xfId="21266" xr:uid="{00000000-0005-0000-0000-000012530000}"/>
    <cellStyle name="Normal 248 2 3 2 4" xfId="21267" xr:uid="{00000000-0005-0000-0000-000013530000}"/>
    <cellStyle name="Normal 248 2 3 3" xfId="21268" xr:uid="{00000000-0005-0000-0000-000014530000}"/>
    <cellStyle name="Normal 248 2 3 3 2" xfId="21269" xr:uid="{00000000-0005-0000-0000-000015530000}"/>
    <cellStyle name="Normal 248 2 3 3 2 2" xfId="21270" xr:uid="{00000000-0005-0000-0000-000016530000}"/>
    <cellStyle name="Normal 248 2 3 3 3" xfId="21271" xr:uid="{00000000-0005-0000-0000-000017530000}"/>
    <cellStyle name="Normal 248 2 3 4" xfId="21272" xr:uid="{00000000-0005-0000-0000-000018530000}"/>
    <cellStyle name="Normal 248 2 3 4 2" xfId="21273" xr:uid="{00000000-0005-0000-0000-000019530000}"/>
    <cellStyle name="Normal 248 2 3 4 2 2" xfId="21274" xr:uid="{00000000-0005-0000-0000-00001A530000}"/>
    <cellStyle name="Normal 248 2 3 4 3" xfId="21275" xr:uid="{00000000-0005-0000-0000-00001B530000}"/>
    <cellStyle name="Normal 248 2 3 5" xfId="21276" xr:uid="{00000000-0005-0000-0000-00001C530000}"/>
    <cellStyle name="Normal 248 2 3 5 2" xfId="21277" xr:uid="{00000000-0005-0000-0000-00001D530000}"/>
    <cellStyle name="Normal 248 2 3 5 2 2" xfId="21278" xr:uid="{00000000-0005-0000-0000-00001E530000}"/>
    <cellStyle name="Normal 248 2 3 5 3" xfId="21279" xr:uid="{00000000-0005-0000-0000-00001F530000}"/>
    <cellStyle name="Normal 248 2 3 6" xfId="21280" xr:uid="{00000000-0005-0000-0000-000020530000}"/>
    <cellStyle name="Normal 248 2 4" xfId="21281" xr:uid="{00000000-0005-0000-0000-000021530000}"/>
    <cellStyle name="Normal 248 2 4 2" xfId="21282" xr:uid="{00000000-0005-0000-0000-000022530000}"/>
    <cellStyle name="Normal 248 2 4 2 2" xfId="21283" xr:uid="{00000000-0005-0000-0000-000023530000}"/>
    <cellStyle name="Normal 248 2 4 3" xfId="21284" xr:uid="{00000000-0005-0000-0000-000024530000}"/>
    <cellStyle name="Normal 248 2 5" xfId="21285" xr:uid="{00000000-0005-0000-0000-000025530000}"/>
    <cellStyle name="Normal 248 2 5 2" xfId="21286" xr:uid="{00000000-0005-0000-0000-000026530000}"/>
    <cellStyle name="Normal 248 2 5 2 2" xfId="21287" xr:uid="{00000000-0005-0000-0000-000027530000}"/>
    <cellStyle name="Normal 248 2 5 3" xfId="21288" xr:uid="{00000000-0005-0000-0000-000028530000}"/>
    <cellStyle name="Normal 248 2 6" xfId="21289" xr:uid="{00000000-0005-0000-0000-000029530000}"/>
    <cellStyle name="Normal 248 2 6 2" xfId="21290" xr:uid="{00000000-0005-0000-0000-00002A530000}"/>
    <cellStyle name="Normal 248 2 6 2 2" xfId="21291" xr:uid="{00000000-0005-0000-0000-00002B530000}"/>
    <cellStyle name="Normal 248 2 6 3" xfId="21292" xr:uid="{00000000-0005-0000-0000-00002C530000}"/>
    <cellStyle name="Normal 248 2 7" xfId="21293" xr:uid="{00000000-0005-0000-0000-00002D530000}"/>
    <cellStyle name="Normal 248 3" xfId="21294" xr:uid="{00000000-0005-0000-0000-00002E530000}"/>
    <cellStyle name="Normal 248 3 2" xfId="21295" xr:uid="{00000000-0005-0000-0000-00002F530000}"/>
    <cellStyle name="Normal 248 3 2 2" xfId="21296" xr:uid="{00000000-0005-0000-0000-000030530000}"/>
    <cellStyle name="Normal 248 3 3" xfId="21297" xr:uid="{00000000-0005-0000-0000-000031530000}"/>
    <cellStyle name="Normal 248 3 3 2" xfId="21298" xr:uid="{00000000-0005-0000-0000-000032530000}"/>
    <cellStyle name="Normal 248 3 3 2 2" xfId="21299" xr:uid="{00000000-0005-0000-0000-000033530000}"/>
    <cellStyle name="Normal 248 3 3 3" xfId="21300" xr:uid="{00000000-0005-0000-0000-000034530000}"/>
    <cellStyle name="Normal 248 3 4" xfId="21301" xr:uid="{00000000-0005-0000-0000-000035530000}"/>
    <cellStyle name="Normal 248 3 4 2" xfId="21302" xr:uid="{00000000-0005-0000-0000-000036530000}"/>
    <cellStyle name="Normal 248 3 4 2 2" xfId="21303" xr:uid="{00000000-0005-0000-0000-000037530000}"/>
    <cellStyle name="Normal 248 3 4 3" xfId="21304" xr:uid="{00000000-0005-0000-0000-000038530000}"/>
    <cellStyle name="Normal 248 3 5" xfId="21305" xr:uid="{00000000-0005-0000-0000-000039530000}"/>
    <cellStyle name="Normal 248 4" xfId="21306" xr:uid="{00000000-0005-0000-0000-00003A530000}"/>
    <cellStyle name="Normal 248 4 2" xfId="21307" xr:uid="{00000000-0005-0000-0000-00003B530000}"/>
    <cellStyle name="Normal 248 4 2 2" xfId="21308" xr:uid="{00000000-0005-0000-0000-00003C530000}"/>
    <cellStyle name="Normal 248 4 2 2 2" xfId="21309" xr:uid="{00000000-0005-0000-0000-00003D530000}"/>
    <cellStyle name="Normal 248 4 2 3" xfId="21310" xr:uid="{00000000-0005-0000-0000-00003E530000}"/>
    <cellStyle name="Normal 248 4 2 3 2" xfId="21311" xr:uid="{00000000-0005-0000-0000-00003F530000}"/>
    <cellStyle name="Normal 248 4 2 3 2 2" xfId="21312" xr:uid="{00000000-0005-0000-0000-000040530000}"/>
    <cellStyle name="Normal 248 4 2 3 3" xfId="21313" xr:uid="{00000000-0005-0000-0000-000041530000}"/>
    <cellStyle name="Normal 248 4 2 4" xfId="21314" xr:uid="{00000000-0005-0000-0000-000042530000}"/>
    <cellStyle name="Normal 248 4 3" xfId="21315" xr:uid="{00000000-0005-0000-0000-000043530000}"/>
    <cellStyle name="Normal 248 4 3 2" xfId="21316" xr:uid="{00000000-0005-0000-0000-000044530000}"/>
    <cellStyle name="Normal 248 4 3 2 2" xfId="21317" xr:uid="{00000000-0005-0000-0000-000045530000}"/>
    <cellStyle name="Normal 248 4 3 3" xfId="21318" xr:uid="{00000000-0005-0000-0000-000046530000}"/>
    <cellStyle name="Normal 248 4 4" xfId="21319" xr:uid="{00000000-0005-0000-0000-000047530000}"/>
    <cellStyle name="Normal 248 4 4 2" xfId="21320" xr:uid="{00000000-0005-0000-0000-000048530000}"/>
    <cellStyle name="Normal 248 4 4 2 2" xfId="21321" xr:uid="{00000000-0005-0000-0000-000049530000}"/>
    <cellStyle name="Normal 248 4 4 3" xfId="21322" xr:uid="{00000000-0005-0000-0000-00004A530000}"/>
    <cellStyle name="Normal 248 4 5" xfId="21323" xr:uid="{00000000-0005-0000-0000-00004B530000}"/>
    <cellStyle name="Normal 248 4 5 2" xfId="21324" xr:uid="{00000000-0005-0000-0000-00004C530000}"/>
    <cellStyle name="Normal 248 4 5 2 2" xfId="21325" xr:uid="{00000000-0005-0000-0000-00004D530000}"/>
    <cellStyle name="Normal 248 4 5 3" xfId="21326" xr:uid="{00000000-0005-0000-0000-00004E530000}"/>
    <cellStyle name="Normal 248 4 6" xfId="21327" xr:uid="{00000000-0005-0000-0000-00004F530000}"/>
    <cellStyle name="Normal 248 5" xfId="21328" xr:uid="{00000000-0005-0000-0000-000050530000}"/>
    <cellStyle name="Normal 248 5 2" xfId="21329" xr:uid="{00000000-0005-0000-0000-000051530000}"/>
    <cellStyle name="Normal 248 5 2 2" xfId="21330" xr:uid="{00000000-0005-0000-0000-000052530000}"/>
    <cellStyle name="Normal 248 5 3" xfId="21331" xr:uid="{00000000-0005-0000-0000-000053530000}"/>
    <cellStyle name="Normal 248 6" xfId="21332" xr:uid="{00000000-0005-0000-0000-000054530000}"/>
    <cellStyle name="Normal 248 6 2" xfId="21333" xr:uid="{00000000-0005-0000-0000-000055530000}"/>
    <cellStyle name="Normal 248 6 2 2" xfId="21334" xr:uid="{00000000-0005-0000-0000-000056530000}"/>
    <cellStyle name="Normal 248 6 3" xfId="21335" xr:uid="{00000000-0005-0000-0000-000057530000}"/>
    <cellStyle name="Normal 248 7" xfId="21336" xr:uid="{00000000-0005-0000-0000-000058530000}"/>
    <cellStyle name="Normal 248 7 2" xfId="21337" xr:uid="{00000000-0005-0000-0000-000059530000}"/>
    <cellStyle name="Normal 248 7 2 2" xfId="21338" xr:uid="{00000000-0005-0000-0000-00005A530000}"/>
    <cellStyle name="Normal 248 7 3" xfId="21339" xr:uid="{00000000-0005-0000-0000-00005B530000}"/>
    <cellStyle name="Normal 248 8" xfId="21340" xr:uid="{00000000-0005-0000-0000-00005C530000}"/>
    <cellStyle name="Normal 249" xfId="21341" xr:uid="{00000000-0005-0000-0000-00005D530000}"/>
    <cellStyle name="Normal 249 2" xfId="21342" xr:uid="{00000000-0005-0000-0000-00005E530000}"/>
    <cellStyle name="Normal 249 2 2" xfId="21343" xr:uid="{00000000-0005-0000-0000-00005F530000}"/>
    <cellStyle name="Normal 249 2 2 2" xfId="21344" xr:uid="{00000000-0005-0000-0000-000060530000}"/>
    <cellStyle name="Normal 249 2 2 2 2" xfId="21345" xr:uid="{00000000-0005-0000-0000-000061530000}"/>
    <cellStyle name="Normal 249 2 2 3" xfId="21346" xr:uid="{00000000-0005-0000-0000-000062530000}"/>
    <cellStyle name="Normal 249 2 2 3 2" xfId="21347" xr:uid="{00000000-0005-0000-0000-000063530000}"/>
    <cellStyle name="Normal 249 2 2 3 2 2" xfId="21348" xr:uid="{00000000-0005-0000-0000-000064530000}"/>
    <cellStyle name="Normal 249 2 2 3 3" xfId="21349" xr:uid="{00000000-0005-0000-0000-000065530000}"/>
    <cellStyle name="Normal 249 2 2 4" xfId="21350" xr:uid="{00000000-0005-0000-0000-000066530000}"/>
    <cellStyle name="Normal 249 2 2 4 2" xfId="21351" xr:uid="{00000000-0005-0000-0000-000067530000}"/>
    <cellStyle name="Normal 249 2 2 4 2 2" xfId="21352" xr:uid="{00000000-0005-0000-0000-000068530000}"/>
    <cellStyle name="Normal 249 2 2 4 3" xfId="21353" xr:uid="{00000000-0005-0000-0000-000069530000}"/>
    <cellStyle name="Normal 249 2 2 5" xfId="21354" xr:uid="{00000000-0005-0000-0000-00006A530000}"/>
    <cellStyle name="Normal 249 2 3" xfId="21355" xr:uid="{00000000-0005-0000-0000-00006B530000}"/>
    <cellStyle name="Normal 249 2 3 2" xfId="21356" xr:uid="{00000000-0005-0000-0000-00006C530000}"/>
    <cellStyle name="Normal 249 2 3 2 2" xfId="21357" xr:uid="{00000000-0005-0000-0000-00006D530000}"/>
    <cellStyle name="Normal 249 2 3 2 2 2" xfId="21358" xr:uid="{00000000-0005-0000-0000-00006E530000}"/>
    <cellStyle name="Normal 249 2 3 2 3" xfId="21359" xr:uid="{00000000-0005-0000-0000-00006F530000}"/>
    <cellStyle name="Normal 249 2 3 2 3 2" xfId="21360" xr:uid="{00000000-0005-0000-0000-000070530000}"/>
    <cellStyle name="Normal 249 2 3 2 3 2 2" xfId="21361" xr:uid="{00000000-0005-0000-0000-000071530000}"/>
    <cellStyle name="Normal 249 2 3 2 3 3" xfId="21362" xr:uid="{00000000-0005-0000-0000-000072530000}"/>
    <cellStyle name="Normal 249 2 3 2 4" xfId="21363" xr:uid="{00000000-0005-0000-0000-000073530000}"/>
    <cellStyle name="Normal 249 2 3 3" xfId="21364" xr:uid="{00000000-0005-0000-0000-000074530000}"/>
    <cellStyle name="Normal 249 2 3 3 2" xfId="21365" xr:uid="{00000000-0005-0000-0000-000075530000}"/>
    <cellStyle name="Normal 249 2 3 3 2 2" xfId="21366" xr:uid="{00000000-0005-0000-0000-000076530000}"/>
    <cellStyle name="Normal 249 2 3 3 3" xfId="21367" xr:uid="{00000000-0005-0000-0000-000077530000}"/>
    <cellStyle name="Normal 249 2 3 4" xfId="21368" xr:uid="{00000000-0005-0000-0000-000078530000}"/>
    <cellStyle name="Normal 249 2 3 4 2" xfId="21369" xr:uid="{00000000-0005-0000-0000-000079530000}"/>
    <cellStyle name="Normal 249 2 3 4 2 2" xfId="21370" xr:uid="{00000000-0005-0000-0000-00007A530000}"/>
    <cellStyle name="Normal 249 2 3 4 3" xfId="21371" xr:uid="{00000000-0005-0000-0000-00007B530000}"/>
    <cellStyle name="Normal 249 2 3 5" xfId="21372" xr:uid="{00000000-0005-0000-0000-00007C530000}"/>
    <cellStyle name="Normal 249 2 3 5 2" xfId="21373" xr:uid="{00000000-0005-0000-0000-00007D530000}"/>
    <cellStyle name="Normal 249 2 3 5 2 2" xfId="21374" xr:uid="{00000000-0005-0000-0000-00007E530000}"/>
    <cellStyle name="Normal 249 2 3 5 3" xfId="21375" xr:uid="{00000000-0005-0000-0000-00007F530000}"/>
    <cellStyle name="Normal 249 2 3 6" xfId="21376" xr:uid="{00000000-0005-0000-0000-000080530000}"/>
    <cellStyle name="Normal 249 2 4" xfId="21377" xr:uid="{00000000-0005-0000-0000-000081530000}"/>
    <cellStyle name="Normal 249 2 4 2" xfId="21378" xr:uid="{00000000-0005-0000-0000-000082530000}"/>
    <cellStyle name="Normal 249 2 4 2 2" xfId="21379" xr:uid="{00000000-0005-0000-0000-000083530000}"/>
    <cellStyle name="Normal 249 2 4 3" xfId="21380" xr:uid="{00000000-0005-0000-0000-000084530000}"/>
    <cellStyle name="Normal 249 2 5" xfId="21381" xr:uid="{00000000-0005-0000-0000-000085530000}"/>
    <cellStyle name="Normal 249 2 5 2" xfId="21382" xr:uid="{00000000-0005-0000-0000-000086530000}"/>
    <cellStyle name="Normal 249 2 5 2 2" xfId="21383" xr:uid="{00000000-0005-0000-0000-000087530000}"/>
    <cellStyle name="Normal 249 2 5 3" xfId="21384" xr:uid="{00000000-0005-0000-0000-000088530000}"/>
    <cellStyle name="Normal 249 2 6" xfId="21385" xr:uid="{00000000-0005-0000-0000-000089530000}"/>
    <cellStyle name="Normal 249 2 6 2" xfId="21386" xr:uid="{00000000-0005-0000-0000-00008A530000}"/>
    <cellStyle name="Normal 249 2 6 2 2" xfId="21387" xr:uid="{00000000-0005-0000-0000-00008B530000}"/>
    <cellStyle name="Normal 249 2 6 3" xfId="21388" xr:uid="{00000000-0005-0000-0000-00008C530000}"/>
    <cellStyle name="Normal 249 2 7" xfId="21389" xr:uid="{00000000-0005-0000-0000-00008D530000}"/>
    <cellStyle name="Normal 249 3" xfId="21390" xr:uid="{00000000-0005-0000-0000-00008E530000}"/>
    <cellStyle name="Normal 249 3 2" xfId="21391" xr:uid="{00000000-0005-0000-0000-00008F530000}"/>
    <cellStyle name="Normal 249 3 2 2" xfId="21392" xr:uid="{00000000-0005-0000-0000-000090530000}"/>
    <cellStyle name="Normal 249 3 3" xfId="21393" xr:uid="{00000000-0005-0000-0000-000091530000}"/>
    <cellStyle name="Normal 249 3 3 2" xfId="21394" xr:uid="{00000000-0005-0000-0000-000092530000}"/>
    <cellStyle name="Normal 249 3 3 2 2" xfId="21395" xr:uid="{00000000-0005-0000-0000-000093530000}"/>
    <cellStyle name="Normal 249 3 3 3" xfId="21396" xr:uid="{00000000-0005-0000-0000-000094530000}"/>
    <cellStyle name="Normal 249 3 4" xfId="21397" xr:uid="{00000000-0005-0000-0000-000095530000}"/>
    <cellStyle name="Normal 249 3 4 2" xfId="21398" xr:uid="{00000000-0005-0000-0000-000096530000}"/>
    <cellStyle name="Normal 249 3 4 2 2" xfId="21399" xr:uid="{00000000-0005-0000-0000-000097530000}"/>
    <cellStyle name="Normal 249 3 4 3" xfId="21400" xr:uid="{00000000-0005-0000-0000-000098530000}"/>
    <cellStyle name="Normal 249 3 5" xfId="21401" xr:uid="{00000000-0005-0000-0000-000099530000}"/>
    <cellStyle name="Normal 249 4" xfId="21402" xr:uid="{00000000-0005-0000-0000-00009A530000}"/>
    <cellStyle name="Normal 249 4 2" xfId="21403" xr:uid="{00000000-0005-0000-0000-00009B530000}"/>
    <cellStyle name="Normal 249 4 2 2" xfId="21404" xr:uid="{00000000-0005-0000-0000-00009C530000}"/>
    <cellStyle name="Normal 249 4 2 2 2" xfId="21405" xr:uid="{00000000-0005-0000-0000-00009D530000}"/>
    <cellStyle name="Normal 249 4 2 3" xfId="21406" xr:uid="{00000000-0005-0000-0000-00009E530000}"/>
    <cellStyle name="Normal 249 4 2 3 2" xfId="21407" xr:uid="{00000000-0005-0000-0000-00009F530000}"/>
    <cellStyle name="Normal 249 4 2 3 2 2" xfId="21408" xr:uid="{00000000-0005-0000-0000-0000A0530000}"/>
    <cellStyle name="Normal 249 4 2 3 3" xfId="21409" xr:uid="{00000000-0005-0000-0000-0000A1530000}"/>
    <cellStyle name="Normal 249 4 2 4" xfId="21410" xr:uid="{00000000-0005-0000-0000-0000A2530000}"/>
    <cellStyle name="Normal 249 4 3" xfId="21411" xr:uid="{00000000-0005-0000-0000-0000A3530000}"/>
    <cellStyle name="Normal 249 4 3 2" xfId="21412" xr:uid="{00000000-0005-0000-0000-0000A4530000}"/>
    <cellStyle name="Normal 249 4 3 2 2" xfId="21413" xr:uid="{00000000-0005-0000-0000-0000A5530000}"/>
    <cellStyle name="Normal 249 4 3 3" xfId="21414" xr:uid="{00000000-0005-0000-0000-0000A6530000}"/>
    <cellStyle name="Normal 249 4 4" xfId="21415" xr:uid="{00000000-0005-0000-0000-0000A7530000}"/>
    <cellStyle name="Normal 249 4 4 2" xfId="21416" xr:uid="{00000000-0005-0000-0000-0000A8530000}"/>
    <cellStyle name="Normal 249 4 4 2 2" xfId="21417" xr:uid="{00000000-0005-0000-0000-0000A9530000}"/>
    <cellStyle name="Normal 249 4 4 3" xfId="21418" xr:uid="{00000000-0005-0000-0000-0000AA530000}"/>
    <cellStyle name="Normal 249 4 5" xfId="21419" xr:uid="{00000000-0005-0000-0000-0000AB530000}"/>
    <cellStyle name="Normal 249 4 5 2" xfId="21420" xr:uid="{00000000-0005-0000-0000-0000AC530000}"/>
    <cellStyle name="Normal 249 4 5 2 2" xfId="21421" xr:uid="{00000000-0005-0000-0000-0000AD530000}"/>
    <cellStyle name="Normal 249 4 5 3" xfId="21422" xr:uid="{00000000-0005-0000-0000-0000AE530000}"/>
    <cellStyle name="Normal 249 4 6" xfId="21423" xr:uid="{00000000-0005-0000-0000-0000AF530000}"/>
    <cellStyle name="Normal 249 5" xfId="21424" xr:uid="{00000000-0005-0000-0000-0000B0530000}"/>
    <cellStyle name="Normal 249 5 2" xfId="21425" xr:uid="{00000000-0005-0000-0000-0000B1530000}"/>
    <cellStyle name="Normal 249 5 2 2" xfId="21426" xr:uid="{00000000-0005-0000-0000-0000B2530000}"/>
    <cellStyle name="Normal 249 5 3" xfId="21427" xr:uid="{00000000-0005-0000-0000-0000B3530000}"/>
    <cellStyle name="Normal 249 6" xfId="21428" xr:uid="{00000000-0005-0000-0000-0000B4530000}"/>
    <cellStyle name="Normal 249 6 2" xfId="21429" xr:uid="{00000000-0005-0000-0000-0000B5530000}"/>
    <cellStyle name="Normal 249 6 2 2" xfId="21430" xr:uid="{00000000-0005-0000-0000-0000B6530000}"/>
    <cellStyle name="Normal 249 6 3" xfId="21431" xr:uid="{00000000-0005-0000-0000-0000B7530000}"/>
    <cellStyle name="Normal 249 7" xfId="21432" xr:uid="{00000000-0005-0000-0000-0000B8530000}"/>
    <cellStyle name="Normal 249 7 2" xfId="21433" xr:uid="{00000000-0005-0000-0000-0000B9530000}"/>
    <cellStyle name="Normal 249 7 2 2" xfId="21434" xr:uid="{00000000-0005-0000-0000-0000BA530000}"/>
    <cellStyle name="Normal 249 7 3" xfId="21435" xr:uid="{00000000-0005-0000-0000-0000BB530000}"/>
    <cellStyle name="Normal 249 8" xfId="21436" xr:uid="{00000000-0005-0000-0000-0000BC530000}"/>
    <cellStyle name="Normal 25" xfId="21437" xr:uid="{00000000-0005-0000-0000-0000BD530000}"/>
    <cellStyle name="Normal 25 2" xfId="21438" xr:uid="{00000000-0005-0000-0000-0000BE530000}"/>
    <cellStyle name="Normal 25 2 2" xfId="21439" xr:uid="{00000000-0005-0000-0000-0000BF530000}"/>
    <cellStyle name="Normal 25 2 2 2" xfId="21440" xr:uid="{00000000-0005-0000-0000-0000C0530000}"/>
    <cellStyle name="Normal 25 2 2 2 2" xfId="21441" xr:uid="{00000000-0005-0000-0000-0000C1530000}"/>
    <cellStyle name="Normal 25 2 2 3" xfId="21442" xr:uid="{00000000-0005-0000-0000-0000C2530000}"/>
    <cellStyle name="Normal 25 2 2 3 2" xfId="21443" xr:uid="{00000000-0005-0000-0000-0000C3530000}"/>
    <cellStyle name="Normal 25 2 2 3 2 2" xfId="21444" xr:uid="{00000000-0005-0000-0000-0000C4530000}"/>
    <cellStyle name="Normal 25 2 2 3 3" xfId="21445" xr:uid="{00000000-0005-0000-0000-0000C5530000}"/>
    <cellStyle name="Normal 25 2 2 4" xfId="21446" xr:uid="{00000000-0005-0000-0000-0000C6530000}"/>
    <cellStyle name="Normal 25 2 2 4 2" xfId="21447" xr:uid="{00000000-0005-0000-0000-0000C7530000}"/>
    <cellStyle name="Normal 25 2 2 4 2 2" xfId="21448" xr:uid="{00000000-0005-0000-0000-0000C8530000}"/>
    <cellStyle name="Normal 25 2 2 4 3" xfId="21449" xr:uid="{00000000-0005-0000-0000-0000C9530000}"/>
    <cellStyle name="Normal 25 2 2 5" xfId="21450" xr:uid="{00000000-0005-0000-0000-0000CA530000}"/>
    <cellStyle name="Normal 25 2 3" xfId="21451" xr:uid="{00000000-0005-0000-0000-0000CB530000}"/>
    <cellStyle name="Normal 25 2 3 2" xfId="21452" xr:uid="{00000000-0005-0000-0000-0000CC530000}"/>
    <cellStyle name="Normal 25 2 3 2 2" xfId="21453" xr:uid="{00000000-0005-0000-0000-0000CD530000}"/>
    <cellStyle name="Normal 25 2 3 3" xfId="21454" xr:uid="{00000000-0005-0000-0000-0000CE530000}"/>
    <cellStyle name="Normal 25 2 4" xfId="21455" xr:uid="{00000000-0005-0000-0000-0000CF530000}"/>
    <cellStyle name="Normal 25 2 4 2" xfId="21456" xr:uid="{00000000-0005-0000-0000-0000D0530000}"/>
    <cellStyle name="Normal 25 2 4 2 2" xfId="21457" xr:uid="{00000000-0005-0000-0000-0000D1530000}"/>
    <cellStyle name="Normal 25 2 4 3" xfId="21458" xr:uid="{00000000-0005-0000-0000-0000D2530000}"/>
    <cellStyle name="Normal 25 2 5" xfId="21459" xr:uid="{00000000-0005-0000-0000-0000D3530000}"/>
    <cellStyle name="Normal 25 2 5 2" xfId="21460" xr:uid="{00000000-0005-0000-0000-0000D4530000}"/>
    <cellStyle name="Normal 25 2 5 2 2" xfId="21461" xr:uid="{00000000-0005-0000-0000-0000D5530000}"/>
    <cellStyle name="Normal 25 2 5 3" xfId="21462" xr:uid="{00000000-0005-0000-0000-0000D6530000}"/>
    <cellStyle name="Normal 25 2 6" xfId="21463" xr:uid="{00000000-0005-0000-0000-0000D7530000}"/>
    <cellStyle name="Normal 25 3" xfId="21464" xr:uid="{00000000-0005-0000-0000-0000D8530000}"/>
    <cellStyle name="Normal 25 3 2" xfId="21465" xr:uid="{00000000-0005-0000-0000-0000D9530000}"/>
    <cellStyle name="Normal 25 3 2 2" xfId="21466" xr:uid="{00000000-0005-0000-0000-0000DA530000}"/>
    <cellStyle name="Normal 25 3 3" xfId="21467" xr:uid="{00000000-0005-0000-0000-0000DB530000}"/>
    <cellStyle name="Normal 25 3 3 2" xfId="21468" xr:uid="{00000000-0005-0000-0000-0000DC530000}"/>
    <cellStyle name="Normal 25 3 3 2 2" xfId="21469" xr:uid="{00000000-0005-0000-0000-0000DD530000}"/>
    <cellStyle name="Normal 25 3 3 3" xfId="21470" xr:uid="{00000000-0005-0000-0000-0000DE530000}"/>
    <cellStyle name="Normal 25 3 4" xfId="21471" xr:uid="{00000000-0005-0000-0000-0000DF530000}"/>
    <cellStyle name="Normal 25 3 4 2" xfId="21472" xr:uid="{00000000-0005-0000-0000-0000E0530000}"/>
    <cellStyle name="Normal 25 3 4 2 2" xfId="21473" xr:uid="{00000000-0005-0000-0000-0000E1530000}"/>
    <cellStyle name="Normal 25 3 4 3" xfId="21474" xr:uid="{00000000-0005-0000-0000-0000E2530000}"/>
    <cellStyle name="Normal 25 3 5" xfId="21475" xr:uid="{00000000-0005-0000-0000-0000E3530000}"/>
    <cellStyle name="Normal 25 4" xfId="21476" xr:uid="{00000000-0005-0000-0000-0000E4530000}"/>
    <cellStyle name="Normal 25 4 2" xfId="21477" xr:uid="{00000000-0005-0000-0000-0000E5530000}"/>
    <cellStyle name="Normal 25 4 2 2" xfId="21478" xr:uid="{00000000-0005-0000-0000-0000E6530000}"/>
    <cellStyle name="Normal 25 4 3" xfId="21479" xr:uid="{00000000-0005-0000-0000-0000E7530000}"/>
    <cellStyle name="Normal 25 4 3 2" xfId="21480" xr:uid="{00000000-0005-0000-0000-0000E8530000}"/>
    <cellStyle name="Normal 25 4 3 2 2" xfId="21481" xr:uid="{00000000-0005-0000-0000-0000E9530000}"/>
    <cellStyle name="Normal 25 4 3 3" xfId="21482" xr:uid="{00000000-0005-0000-0000-0000EA530000}"/>
    <cellStyle name="Normal 25 4 4" xfId="21483" xr:uid="{00000000-0005-0000-0000-0000EB530000}"/>
    <cellStyle name="Normal 25 4 4 2" xfId="21484" xr:uid="{00000000-0005-0000-0000-0000EC530000}"/>
    <cellStyle name="Normal 25 4 4 2 2" xfId="21485" xr:uid="{00000000-0005-0000-0000-0000ED530000}"/>
    <cellStyle name="Normal 25 4 4 3" xfId="21486" xr:uid="{00000000-0005-0000-0000-0000EE530000}"/>
    <cellStyle name="Normal 25 4 5" xfId="21487" xr:uid="{00000000-0005-0000-0000-0000EF530000}"/>
    <cellStyle name="Normal 25 5" xfId="21488" xr:uid="{00000000-0005-0000-0000-0000F0530000}"/>
    <cellStyle name="Normal 25 5 2" xfId="21489" xr:uid="{00000000-0005-0000-0000-0000F1530000}"/>
    <cellStyle name="Normal 25 5 2 2" xfId="21490" xr:uid="{00000000-0005-0000-0000-0000F2530000}"/>
    <cellStyle name="Normal 25 5 3" xfId="21491" xr:uid="{00000000-0005-0000-0000-0000F3530000}"/>
    <cellStyle name="Normal 25 6" xfId="21492" xr:uid="{00000000-0005-0000-0000-0000F4530000}"/>
    <cellStyle name="Normal 25 6 2" xfId="21493" xr:uid="{00000000-0005-0000-0000-0000F5530000}"/>
    <cellStyle name="Normal 25 6 2 2" xfId="21494" xr:uid="{00000000-0005-0000-0000-0000F6530000}"/>
    <cellStyle name="Normal 25 6 3" xfId="21495" xr:uid="{00000000-0005-0000-0000-0000F7530000}"/>
    <cellStyle name="Normal 25 7" xfId="21496" xr:uid="{00000000-0005-0000-0000-0000F8530000}"/>
    <cellStyle name="Normal 25 7 2" xfId="21497" xr:uid="{00000000-0005-0000-0000-0000F9530000}"/>
    <cellStyle name="Normal 25 7 2 2" xfId="21498" xr:uid="{00000000-0005-0000-0000-0000FA530000}"/>
    <cellStyle name="Normal 25 7 3" xfId="21499" xr:uid="{00000000-0005-0000-0000-0000FB530000}"/>
    <cellStyle name="Normal 25 8" xfId="21500" xr:uid="{00000000-0005-0000-0000-0000FC530000}"/>
    <cellStyle name="Normal 250" xfId="21501" xr:uid="{00000000-0005-0000-0000-0000FD530000}"/>
    <cellStyle name="Normal 250 2" xfId="21502" xr:uid="{00000000-0005-0000-0000-0000FE530000}"/>
    <cellStyle name="Normal 250 2 2" xfId="21503" xr:uid="{00000000-0005-0000-0000-0000FF530000}"/>
    <cellStyle name="Normal 250 2 2 2" xfId="21504" xr:uid="{00000000-0005-0000-0000-000000540000}"/>
    <cellStyle name="Normal 250 2 2 2 2" xfId="21505" xr:uid="{00000000-0005-0000-0000-000001540000}"/>
    <cellStyle name="Normal 250 2 2 3" xfId="21506" xr:uid="{00000000-0005-0000-0000-000002540000}"/>
    <cellStyle name="Normal 250 2 2 3 2" xfId="21507" xr:uid="{00000000-0005-0000-0000-000003540000}"/>
    <cellStyle name="Normal 250 2 2 3 2 2" xfId="21508" xr:uid="{00000000-0005-0000-0000-000004540000}"/>
    <cellStyle name="Normal 250 2 2 3 3" xfId="21509" xr:uid="{00000000-0005-0000-0000-000005540000}"/>
    <cellStyle name="Normal 250 2 2 4" xfId="21510" xr:uid="{00000000-0005-0000-0000-000006540000}"/>
    <cellStyle name="Normal 250 2 2 4 2" xfId="21511" xr:uid="{00000000-0005-0000-0000-000007540000}"/>
    <cellStyle name="Normal 250 2 2 4 2 2" xfId="21512" xr:uid="{00000000-0005-0000-0000-000008540000}"/>
    <cellStyle name="Normal 250 2 2 4 3" xfId="21513" xr:uid="{00000000-0005-0000-0000-000009540000}"/>
    <cellStyle name="Normal 250 2 2 5" xfId="21514" xr:uid="{00000000-0005-0000-0000-00000A540000}"/>
    <cellStyle name="Normal 250 2 3" xfId="21515" xr:uid="{00000000-0005-0000-0000-00000B540000}"/>
    <cellStyle name="Normal 250 2 3 2" xfId="21516" xr:uid="{00000000-0005-0000-0000-00000C540000}"/>
    <cellStyle name="Normal 250 2 3 2 2" xfId="21517" xr:uid="{00000000-0005-0000-0000-00000D540000}"/>
    <cellStyle name="Normal 250 2 3 2 2 2" xfId="21518" xr:uid="{00000000-0005-0000-0000-00000E540000}"/>
    <cellStyle name="Normal 250 2 3 2 3" xfId="21519" xr:uid="{00000000-0005-0000-0000-00000F540000}"/>
    <cellStyle name="Normal 250 2 3 2 3 2" xfId="21520" xr:uid="{00000000-0005-0000-0000-000010540000}"/>
    <cellStyle name="Normal 250 2 3 2 3 2 2" xfId="21521" xr:uid="{00000000-0005-0000-0000-000011540000}"/>
    <cellStyle name="Normal 250 2 3 2 3 3" xfId="21522" xr:uid="{00000000-0005-0000-0000-000012540000}"/>
    <cellStyle name="Normal 250 2 3 2 4" xfId="21523" xr:uid="{00000000-0005-0000-0000-000013540000}"/>
    <cellStyle name="Normal 250 2 3 3" xfId="21524" xr:uid="{00000000-0005-0000-0000-000014540000}"/>
    <cellStyle name="Normal 250 2 3 3 2" xfId="21525" xr:uid="{00000000-0005-0000-0000-000015540000}"/>
    <cellStyle name="Normal 250 2 3 3 2 2" xfId="21526" xr:uid="{00000000-0005-0000-0000-000016540000}"/>
    <cellStyle name="Normal 250 2 3 3 3" xfId="21527" xr:uid="{00000000-0005-0000-0000-000017540000}"/>
    <cellStyle name="Normal 250 2 3 4" xfId="21528" xr:uid="{00000000-0005-0000-0000-000018540000}"/>
    <cellStyle name="Normal 250 2 3 4 2" xfId="21529" xr:uid="{00000000-0005-0000-0000-000019540000}"/>
    <cellStyle name="Normal 250 2 3 4 2 2" xfId="21530" xr:uid="{00000000-0005-0000-0000-00001A540000}"/>
    <cellStyle name="Normal 250 2 3 4 3" xfId="21531" xr:uid="{00000000-0005-0000-0000-00001B540000}"/>
    <cellStyle name="Normal 250 2 3 5" xfId="21532" xr:uid="{00000000-0005-0000-0000-00001C540000}"/>
    <cellStyle name="Normal 250 2 3 5 2" xfId="21533" xr:uid="{00000000-0005-0000-0000-00001D540000}"/>
    <cellStyle name="Normal 250 2 3 5 2 2" xfId="21534" xr:uid="{00000000-0005-0000-0000-00001E540000}"/>
    <cellStyle name="Normal 250 2 3 5 3" xfId="21535" xr:uid="{00000000-0005-0000-0000-00001F540000}"/>
    <cellStyle name="Normal 250 2 3 6" xfId="21536" xr:uid="{00000000-0005-0000-0000-000020540000}"/>
    <cellStyle name="Normal 250 2 4" xfId="21537" xr:uid="{00000000-0005-0000-0000-000021540000}"/>
    <cellStyle name="Normal 250 2 4 2" xfId="21538" xr:uid="{00000000-0005-0000-0000-000022540000}"/>
    <cellStyle name="Normal 250 2 4 2 2" xfId="21539" xr:uid="{00000000-0005-0000-0000-000023540000}"/>
    <cellStyle name="Normal 250 2 4 3" xfId="21540" xr:uid="{00000000-0005-0000-0000-000024540000}"/>
    <cellStyle name="Normal 250 2 5" xfId="21541" xr:uid="{00000000-0005-0000-0000-000025540000}"/>
    <cellStyle name="Normal 250 2 5 2" xfId="21542" xr:uid="{00000000-0005-0000-0000-000026540000}"/>
    <cellStyle name="Normal 250 2 5 2 2" xfId="21543" xr:uid="{00000000-0005-0000-0000-000027540000}"/>
    <cellStyle name="Normal 250 2 5 3" xfId="21544" xr:uid="{00000000-0005-0000-0000-000028540000}"/>
    <cellStyle name="Normal 250 2 6" xfId="21545" xr:uid="{00000000-0005-0000-0000-000029540000}"/>
    <cellStyle name="Normal 250 2 6 2" xfId="21546" xr:uid="{00000000-0005-0000-0000-00002A540000}"/>
    <cellStyle name="Normal 250 2 6 2 2" xfId="21547" xr:uid="{00000000-0005-0000-0000-00002B540000}"/>
    <cellStyle name="Normal 250 2 6 3" xfId="21548" xr:uid="{00000000-0005-0000-0000-00002C540000}"/>
    <cellStyle name="Normal 250 2 7" xfId="21549" xr:uid="{00000000-0005-0000-0000-00002D540000}"/>
    <cellStyle name="Normal 250 3" xfId="21550" xr:uid="{00000000-0005-0000-0000-00002E540000}"/>
    <cellStyle name="Normal 250 3 2" xfId="21551" xr:uid="{00000000-0005-0000-0000-00002F540000}"/>
    <cellStyle name="Normal 250 3 2 2" xfId="21552" xr:uid="{00000000-0005-0000-0000-000030540000}"/>
    <cellStyle name="Normal 250 3 3" xfId="21553" xr:uid="{00000000-0005-0000-0000-000031540000}"/>
    <cellStyle name="Normal 250 3 3 2" xfId="21554" xr:uid="{00000000-0005-0000-0000-000032540000}"/>
    <cellStyle name="Normal 250 3 3 2 2" xfId="21555" xr:uid="{00000000-0005-0000-0000-000033540000}"/>
    <cellStyle name="Normal 250 3 3 3" xfId="21556" xr:uid="{00000000-0005-0000-0000-000034540000}"/>
    <cellStyle name="Normal 250 3 4" xfId="21557" xr:uid="{00000000-0005-0000-0000-000035540000}"/>
    <cellStyle name="Normal 250 3 4 2" xfId="21558" xr:uid="{00000000-0005-0000-0000-000036540000}"/>
    <cellStyle name="Normal 250 3 4 2 2" xfId="21559" xr:uid="{00000000-0005-0000-0000-000037540000}"/>
    <cellStyle name="Normal 250 3 4 3" xfId="21560" xr:uid="{00000000-0005-0000-0000-000038540000}"/>
    <cellStyle name="Normal 250 3 5" xfId="21561" xr:uid="{00000000-0005-0000-0000-000039540000}"/>
    <cellStyle name="Normal 250 4" xfId="21562" xr:uid="{00000000-0005-0000-0000-00003A540000}"/>
    <cellStyle name="Normal 250 4 2" xfId="21563" xr:uid="{00000000-0005-0000-0000-00003B540000}"/>
    <cellStyle name="Normal 250 4 2 2" xfId="21564" xr:uid="{00000000-0005-0000-0000-00003C540000}"/>
    <cellStyle name="Normal 250 4 2 2 2" xfId="21565" xr:uid="{00000000-0005-0000-0000-00003D540000}"/>
    <cellStyle name="Normal 250 4 2 3" xfId="21566" xr:uid="{00000000-0005-0000-0000-00003E540000}"/>
    <cellStyle name="Normal 250 4 2 3 2" xfId="21567" xr:uid="{00000000-0005-0000-0000-00003F540000}"/>
    <cellStyle name="Normal 250 4 2 3 2 2" xfId="21568" xr:uid="{00000000-0005-0000-0000-000040540000}"/>
    <cellStyle name="Normal 250 4 2 3 3" xfId="21569" xr:uid="{00000000-0005-0000-0000-000041540000}"/>
    <cellStyle name="Normal 250 4 2 4" xfId="21570" xr:uid="{00000000-0005-0000-0000-000042540000}"/>
    <cellStyle name="Normal 250 4 3" xfId="21571" xr:uid="{00000000-0005-0000-0000-000043540000}"/>
    <cellStyle name="Normal 250 4 3 2" xfId="21572" xr:uid="{00000000-0005-0000-0000-000044540000}"/>
    <cellStyle name="Normal 250 4 3 2 2" xfId="21573" xr:uid="{00000000-0005-0000-0000-000045540000}"/>
    <cellStyle name="Normal 250 4 3 3" xfId="21574" xr:uid="{00000000-0005-0000-0000-000046540000}"/>
    <cellStyle name="Normal 250 4 4" xfId="21575" xr:uid="{00000000-0005-0000-0000-000047540000}"/>
    <cellStyle name="Normal 250 4 4 2" xfId="21576" xr:uid="{00000000-0005-0000-0000-000048540000}"/>
    <cellStyle name="Normal 250 4 4 2 2" xfId="21577" xr:uid="{00000000-0005-0000-0000-000049540000}"/>
    <cellStyle name="Normal 250 4 4 3" xfId="21578" xr:uid="{00000000-0005-0000-0000-00004A540000}"/>
    <cellStyle name="Normal 250 4 5" xfId="21579" xr:uid="{00000000-0005-0000-0000-00004B540000}"/>
    <cellStyle name="Normal 250 4 5 2" xfId="21580" xr:uid="{00000000-0005-0000-0000-00004C540000}"/>
    <cellStyle name="Normal 250 4 5 2 2" xfId="21581" xr:uid="{00000000-0005-0000-0000-00004D540000}"/>
    <cellStyle name="Normal 250 4 5 3" xfId="21582" xr:uid="{00000000-0005-0000-0000-00004E540000}"/>
    <cellStyle name="Normal 250 4 6" xfId="21583" xr:uid="{00000000-0005-0000-0000-00004F540000}"/>
    <cellStyle name="Normal 250 5" xfId="21584" xr:uid="{00000000-0005-0000-0000-000050540000}"/>
    <cellStyle name="Normal 250 5 2" xfId="21585" xr:uid="{00000000-0005-0000-0000-000051540000}"/>
    <cellStyle name="Normal 250 5 2 2" xfId="21586" xr:uid="{00000000-0005-0000-0000-000052540000}"/>
    <cellStyle name="Normal 250 5 3" xfId="21587" xr:uid="{00000000-0005-0000-0000-000053540000}"/>
    <cellStyle name="Normal 250 6" xfId="21588" xr:uid="{00000000-0005-0000-0000-000054540000}"/>
    <cellStyle name="Normal 250 6 2" xfId="21589" xr:uid="{00000000-0005-0000-0000-000055540000}"/>
    <cellStyle name="Normal 250 6 2 2" xfId="21590" xr:uid="{00000000-0005-0000-0000-000056540000}"/>
    <cellStyle name="Normal 250 6 3" xfId="21591" xr:uid="{00000000-0005-0000-0000-000057540000}"/>
    <cellStyle name="Normal 250 7" xfId="21592" xr:uid="{00000000-0005-0000-0000-000058540000}"/>
    <cellStyle name="Normal 250 7 2" xfId="21593" xr:uid="{00000000-0005-0000-0000-000059540000}"/>
    <cellStyle name="Normal 250 7 2 2" xfId="21594" xr:uid="{00000000-0005-0000-0000-00005A540000}"/>
    <cellStyle name="Normal 250 7 3" xfId="21595" xr:uid="{00000000-0005-0000-0000-00005B540000}"/>
    <cellStyle name="Normal 250 8" xfId="21596" xr:uid="{00000000-0005-0000-0000-00005C540000}"/>
    <cellStyle name="Normal 251" xfId="21597" xr:uid="{00000000-0005-0000-0000-00005D540000}"/>
    <cellStyle name="Normal 251 2" xfId="21598" xr:uid="{00000000-0005-0000-0000-00005E540000}"/>
    <cellStyle name="Normal 251 2 2" xfId="21599" xr:uid="{00000000-0005-0000-0000-00005F540000}"/>
    <cellStyle name="Normal 251 2 2 2" xfId="21600" xr:uid="{00000000-0005-0000-0000-000060540000}"/>
    <cellStyle name="Normal 251 2 2 2 2" xfId="21601" xr:uid="{00000000-0005-0000-0000-000061540000}"/>
    <cellStyle name="Normal 251 2 2 3" xfId="21602" xr:uid="{00000000-0005-0000-0000-000062540000}"/>
    <cellStyle name="Normal 251 2 2 3 2" xfId="21603" xr:uid="{00000000-0005-0000-0000-000063540000}"/>
    <cellStyle name="Normal 251 2 2 3 2 2" xfId="21604" xr:uid="{00000000-0005-0000-0000-000064540000}"/>
    <cellStyle name="Normal 251 2 2 3 3" xfId="21605" xr:uid="{00000000-0005-0000-0000-000065540000}"/>
    <cellStyle name="Normal 251 2 2 4" xfId="21606" xr:uid="{00000000-0005-0000-0000-000066540000}"/>
    <cellStyle name="Normal 251 2 2 4 2" xfId="21607" xr:uid="{00000000-0005-0000-0000-000067540000}"/>
    <cellStyle name="Normal 251 2 2 4 2 2" xfId="21608" xr:uid="{00000000-0005-0000-0000-000068540000}"/>
    <cellStyle name="Normal 251 2 2 4 3" xfId="21609" xr:uid="{00000000-0005-0000-0000-000069540000}"/>
    <cellStyle name="Normal 251 2 2 5" xfId="21610" xr:uid="{00000000-0005-0000-0000-00006A540000}"/>
    <cellStyle name="Normal 251 2 3" xfId="21611" xr:uid="{00000000-0005-0000-0000-00006B540000}"/>
    <cellStyle name="Normal 251 2 3 2" xfId="21612" xr:uid="{00000000-0005-0000-0000-00006C540000}"/>
    <cellStyle name="Normal 251 2 3 2 2" xfId="21613" xr:uid="{00000000-0005-0000-0000-00006D540000}"/>
    <cellStyle name="Normal 251 2 3 2 2 2" xfId="21614" xr:uid="{00000000-0005-0000-0000-00006E540000}"/>
    <cellStyle name="Normal 251 2 3 2 3" xfId="21615" xr:uid="{00000000-0005-0000-0000-00006F540000}"/>
    <cellStyle name="Normal 251 2 3 2 3 2" xfId="21616" xr:uid="{00000000-0005-0000-0000-000070540000}"/>
    <cellStyle name="Normal 251 2 3 2 3 2 2" xfId="21617" xr:uid="{00000000-0005-0000-0000-000071540000}"/>
    <cellStyle name="Normal 251 2 3 2 3 3" xfId="21618" xr:uid="{00000000-0005-0000-0000-000072540000}"/>
    <cellStyle name="Normal 251 2 3 2 4" xfId="21619" xr:uid="{00000000-0005-0000-0000-000073540000}"/>
    <cellStyle name="Normal 251 2 3 3" xfId="21620" xr:uid="{00000000-0005-0000-0000-000074540000}"/>
    <cellStyle name="Normal 251 2 3 3 2" xfId="21621" xr:uid="{00000000-0005-0000-0000-000075540000}"/>
    <cellStyle name="Normal 251 2 3 3 2 2" xfId="21622" xr:uid="{00000000-0005-0000-0000-000076540000}"/>
    <cellStyle name="Normal 251 2 3 3 3" xfId="21623" xr:uid="{00000000-0005-0000-0000-000077540000}"/>
    <cellStyle name="Normal 251 2 3 4" xfId="21624" xr:uid="{00000000-0005-0000-0000-000078540000}"/>
    <cellStyle name="Normal 251 2 3 4 2" xfId="21625" xr:uid="{00000000-0005-0000-0000-000079540000}"/>
    <cellStyle name="Normal 251 2 3 4 2 2" xfId="21626" xr:uid="{00000000-0005-0000-0000-00007A540000}"/>
    <cellStyle name="Normal 251 2 3 4 3" xfId="21627" xr:uid="{00000000-0005-0000-0000-00007B540000}"/>
    <cellStyle name="Normal 251 2 3 5" xfId="21628" xr:uid="{00000000-0005-0000-0000-00007C540000}"/>
    <cellStyle name="Normal 251 2 3 5 2" xfId="21629" xr:uid="{00000000-0005-0000-0000-00007D540000}"/>
    <cellStyle name="Normal 251 2 3 5 2 2" xfId="21630" xr:uid="{00000000-0005-0000-0000-00007E540000}"/>
    <cellStyle name="Normal 251 2 3 5 3" xfId="21631" xr:uid="{00000000-0005-0000-0000-00007F540000}"/>
    <cellStyle name="Normal 251 2 3 6" xfId="21632" xr:uid="{00000000-0005-0000-0000-000080540000}"/>
    <cellStyle name="Normal 251 2 4" xfId="21633" xr:uid="{00000000-0005-0000-0000-000081540000}"/>
    <cellStyle name="Normal 251 2 4 2" xfId="21634" xr:uid="{00000000-0005-0000-0000-000082540000}"/>
    <cellStyle name="Normal 251 2 4 2 2" xfId="21635" xr:uid="{00000000-0005-0000-0000-000083540000}"/>
    <cellStyle name="Normal 251 2 4 3" xfId="21636" xr:uid="{00000000-0005-0000-0000-000084540000}"/>
    <cellStyle name="Normal 251 2 5" xfId="21637" xr:uid="{00000000-0005-0000-0000-000085540000}"/>
    <cellStyle name="Normal 251 2 5 2" xfId="21638" xr:uid="{00000000-0005-0000-0000-000086540000}"/>
    <cellStyle name="Normal 251 2 5 2 2" xfId="21639" xr:uid="{00000000-0005-0000-0000-000087540000}"/>
    <cellStyle name="Normal 251 2 5 3" xfId="21640" xr:uid="{00000000-0005-0000-0000-000088540000}"/>
    <cellStyle name="Normal 251 2 6" xfId="21641" xr:uid="{00000000-0005-0000-0000-000089540000}"/>
    <cellStyle name="Normal 251 2 6 2" xfId="21642" xr:uid="{00000000-0005-0000-0000-00008A540000}"/>
    <cellStyle name="Normal 251 2 6 2 2" xfId="21643" xr:uid="{00000000-0005-0000-0000-00008B540000}"/>
    <cellStyle name="Normal 251 2 6 3" xfId="21644" xr:uid="{00000000-0005-0000-0000-00008C540000}"/>
    <cellStyle name="Normal 251 2 7" xfId="21645" xr:uid="{00000000-0005-0000-0000-00008D540000}"/>
    <cellStyle name="Normal 251 3" xfId="21646" xr:uid="{00000000-0005-0000-0000-00008E540000}"/>
    <cellStyle name="Normal 251 3 2" xfId="21647" xr:uid="{00000000-0005-0000-0000-00008F540000}"/>
    <cellStyle name="Normal 251 3 2 2" xfId="21648" xr:uid="{00000000-0005-0000-0000-000090540000}"/>
    <cellStyle name="Normal 251 3 3" xfId="21649" xr:uid="{00000000-0005-0000-0000-000091540000}"/>
    <cellStyle name="Normal 251 3 3 2" xfId="21650" xr:uid="{00000000-0005-0000-0000-000092540000}"/>
    <cellStyle name="Normal 251 3 3 2 2" xfId="21651" xr:uid="{00000000-0005-0000-0000-000093540000}"/>
    <cellStyle name="Normal 251 3 3 3" xfId="21652" xr:uid="{00000000-0005-0000-0000-000094540000}"/>
    <cellStyle name="Normal 251 3 4" xfId="21653" xr:uid="{00000000-0005-0000-0000-000095540000}"/>
    <cellStyle name="Normal 251 3 4 2" xfId="21654" xr:uid="{00000000-0005-0000-0000-000096540000}"/>
    <cellStyle name="Normal 251 3 4 2 2" xfId="21655" xr:uid="{00000000-0005-0000-0000-000097540000}"/>
    <cellStyle name="Normal 251 3 4 3" xfId="21656" xr:uid="{00000000-0005-0000-0000-000098540000}"/>
    <cellStyle name="Normal 251 3 5" xfId="21657" xr:uid="{00000000-0005-0000-0000-000099540000}"/>
    <cellStyle name="Normal 251 4" xfId="21658" xr:uid="{00000000-0005-0000-0000-00009A540000}"/>
    <cellStyle name="Normal 251 4 2" xfId="21659" xr:uid="{00000000-0005-0000-0000-00009B540000}"/>
    <cellStyle name="Normal 251 4 2 2" xfId="21660" xr:uid="{00000000-0005-0000-0000-00009C540000}"/>
    <cellStyle name="Normal 251 4 2 2 2" xfId="21661" xr:uid="{00000000-0005-0000-0000-00009D540000}"/>
    <cellStyle name="Normal 251 4 2 3" xfId="21662" xr:uid="{00000000-0005-0000-0000-00009E540000}"/>
    <cellStyle name="Normal 251 4 2 3 2" xfId="21663" xr:uid="{00000000-0005-0000-0000-00009F540000}"/>
    <cellStyle name="Normal 251 4 2 3 2 2" xfId="21664" xr:uid="{00000000-0005-0000-0000-0000A0540000}"/>
    <cellStyle name="Normal 251 4 2 3 3" xfId="21665" xr:uid="{00000000-0005-0000-0000-0000A1540000}"/>
    <cellStyle name="Normal 251 4 2 4" xfId="21666" xr:uid="{00000000-0005-0000-0000-0000A2540000}"/>
    <cellStyle name="Normal 251 4 3" xfId="21667" xr:uid="{00000000-0005-0000-0000-0000A3540000}"/>
    <cellStyle name="Normal 251 4 3 2" xfId="21668" xr:uid="{00000000-0005-0000-0000-0000A4540000}"/>
    <cellStyle name="Normal 251 4 3 2 2" xfId="21669" xr:uid="{00000000-0005-0000-0000-0000A5540000}"/>
    <cellStyle name="Normal 251 4 3 3" xfId="21670" xr:uid="{00000000-0005-0000-0000-0000A6540000}"/>
    <cellStyle name="Normal 251 4 4" xfId="21671" xr:uid="{00000000-0005-0000-0000-0000A7540000}"/>
    <cellStyle name="Normal 251 4 4 2" xfId="21672" xr:uid="{00000000-0005-0000-0000-0000A8540000}"/>
    <cellStyle name="Normal 251 4 4 2 2" xfId="21673" xr:uid="{00000000-0005-0000-0000-0000A9540000}"/>
    <cellStyle name="Normal 251 4 4 3" xfId="21674" xr:uid="{00000000-0005-0000-0000-0000AA540000}"/>
    <cellStyle name="Normal 251 4 5" xfId="21675" xr:uid="{00000000-0005-0000-0000-0000AB540000}"/>
    <cellStyle name="Normal 251 4 5 2" xfId="21676" xr:uid="{00000000-0005-0000-0000-0000AC540000}"/>
    <cellStyle name="Normal 251 4 5 2 2" xfId="21677" xr:uid="{00000000-0005-0000-0000-0000AD540000}"/>
    <cellStyle name="Normal 251 4 5 3" xfId="21678" xr:uid="{00000000-0005-0000-0000-0000AE540000}"/>
    <cellStyle name="Normal 251 4 6" xfId="21679" xr:uid="{00000000-0005-0000-0000-0000AF540000}"/>
    <cellStyle name="Normal 251 5" xfId="21680" xr:uid="{00000000-0005-0000-0000-0000B0540000}"/>
    <cellStyle name="Normal 251 5 2" xfId="21681" xr:uid="{00000000-0005-0000-0000-0000B1540000}"/>
    <cellStyle name="Normal 251 5 2 2" xfId="21682" xr:uid="{00000000-0005-0000-0000-0000B2540000}"/>
    <cellStyle name="Normal 251 5 3" xfId="21683" xr:uid="{00000000-0005-0000-0000-0000B3540000}"/>
    <cellStyle name="Normal 251 6" xfId="21684" xr:uid="{00000000-0005-0000-0000-0000B4540000}"/>
    <cellStyle name="Normal 251 6 2" xfId="21685" xr:uid="{00000000-0005-0000-0000-0000B5540000}"/>
    <cellStyle name="Normal 251 6 2 2" xfId="21686" xr:uid="{00000000-0005-0000-0000-0000B6540000}"/>
    <cellStyle name="Normal 251 6 3" xfId="21687" xr:uid="{00000000-0005-0000-0000-0000B7540000}"/>
    <cellStyle name="Normal 251 7" xfId="21688" xr:uid="{00000000-0005-0000-0000-0000B8540000}"/>
    <cellStyle name="Normal 251 7 2" xfId="21689" xr:uid="{00000000-0005-0000-0000-0000B9540000}"/>
    <cellStyle name="Normal 251 7 2 2" xfId="21690" xr:uid="{00000000-0005-0000-0000-0000BA540000}"/>
    <cellStyle name="Normal 251 7 3" xfId="21691" xr:uid="{00000000-0005-0000-0000-0000BB540000}"/>
    <cellStyle name="Normal 251 8" xfId="21692" xr:uid="{00000000-0005-0000-0000-0000BC540000}"/>
    <cellStyle name="Normal 252" xfId="21693" xr:uid="{00000000-0005-0000-0000-0000BD540000}"/>
    <cellStyle name="Normal 252 2" xfId="21694" xr:uid="{00000000-0005-0000-0000-0000BE540000}"/>
    <cellStyle name="Normal 252 2 2" xfId="21695" xr:uid="{00000000-0005-0000-0000-0000BF540000}"/>
    <cellStyle name="Normal 252 2 2 2" xfId="21696" xr:uid="{00000000-0005-0000-0000-0000C0540000}"/>
    <cellStyle name="Normal 252 2 2 2 2" xfId="21697" xr:uid="{00000000-0005-0000-0000-0000C1540000}"/>
    <cellStyle name="Normal 252 2 2 3" xfId="21698" xr:uid="{00000000-0005-0000-0000-0000C2540000}"/>
    <cellStyle name="Normal 252 2 2 3 2" xfId="21699" xr:uid="{00000000-0005-0000-0000-0000C3540000}"/>
    <cellStyle name="Normal 252 2 2 3 2 2" xfId="21700" xr:uid="{00000000-0005-0000-0000-0000C4540000}"/>
    <cellStyle name="Normal 252 2 2 3 3" xfId="21701" xr:uid="{00000000-0005-0000-0000-0000C5540000}"/>
    <cellStyle name="Normal 252 2 2 4" xfId="21702" xr:uid="{00000000-0005-0000-0000-0000C6540000}"/>
    <cellStyle name="Normal 252 2 2 4 2" xfId="21703" xr:uid="{00000000-0005-0000-0000-0000C7540000}"/>
    <cellStyle name="Normal 252 2 2 4 2 2" xfId="21704" xr:uid="{00000000-0005-0000-0000-0000C8540000}"/>
    <cellStyle name="Normal 252 2 2 4 3" xfId="21705" xr:uid="{00000000-0005-0000-0000-0000C9540000}"/>
    <cellStyle name="Normal 252 2 2 5" xfId="21706" xr:uid="{00000000-0005-0000-0000-0000CA540000}"/>
    <cellStyle name="Normal 252 2 3" xfId="21707" xr:uid="{00000000-0005-0000-0000-0000CB540000}"/>
    <cellStyle name="Normal 252 2 3 2" xfId="21708" xr:uid="{00000000-0005-0000-0000-0000CC540000}"/>
    <cellStyle name="Normal 252 2 3 2 2" xfId="21709" xr:uid="{00000000-0005-0000-0000-0000CD540000}"/>
    <cellStyle name="Normal 252 2 3 2 2 2" xfId="21710" xr:uid="{00000000-0005-0000-0000-0000CE540000}"/>
    <cellStyle name="Normal 252 2 3 2 3" xfId="21711" xr:uid="{00000000-0005-0000-0000-0000CF540000}"/>
    <cellStyle name="Normal 252 2 3 2 3 2" xfId="21712" xr:uid="{00000000-0005-0000-0000-0000D0540000}"/>
    <cellStyle name="Normal 252 2 3 2 3 2 2" xfId="21713" xr:uid="{00000000-0005-0000-0000-0000D1540000}"/>
    <cellStyle name="Normal 252 2 3 2 3 3" xfId="21714" xr:uid="{00000000-0005-0000-0000-0000D2540000}"/>
    <cellStyle name="Normal 252 2 3 2 4" xfId="21715" xr:uid="{00000000-0005-0000-0000-0000D3540000}"/>
    <cellStyle name="Normal 252 2 3 3" xfId="21716" xr:uid="{00000000-0005-0000-0000-0000D4540000}"/>
    <cellStyle name="Normal 252 2 3 3 2" xfId="21717" xr:uid="{00000000-0005-0000-0000-0000D5540000}"/>
    <cellStyle name="Normal 252 2 3 3 2 2" xfId="21718" xr:uid="{00000000-0005-0000-0000-0000D6540000}"/>
    <cellStyle name="Normal 252 2 3 3 3" xfId="21719" xr:uid="{00000000-0005-0000-0000-0000D7540000}"/>
    <cellStyle name="Normal 252 2 3 4" xfId="21720" xr:uid="{00000000-0005-0000-0000-0000D8540000}"/>
    <cellStyle name="Normal 252 2 3 4 2" xfId="21721" xr:uid="{00000000-0005-0000-0000-0000D9540000}"/>
    <cellStyle name="Normal 252 2 3 4 2 2" xfId="21722" xr:uid="{00000000-0005-0000-0000-0000DA540000}"/>
    <cellStyle name="Normal 252 2 3 4 3" xfId="21723" xr:uid="{00000000-0005-0000-0000-0000DB540000}"/>
    <cellStyle name="Normal 252 2 3 5" xfId="21724" xr:uid="{00000000-0005-0000-0000-0000DC540000}"/>
    <cellStyle name="Normal 252 2 3 5 2" xfId="21725" xr:uid="{00000000-0005-0000-0000-0000DD540000}"/>
    <cellStyle name="Normal 252 2 3 5 2 2" xfId="21726" xr:uid="{00000000-0005-0000-0000-0000DE540000}"/>
    <cellStyle name="Normal 252 2 3 5 3" xfId="21727" xr:uid="{00000000-0005-0000-0000-0000DF540000}"/>
    <cellStyle name="Normal 252 2 3 6" xfId="21728" xr:uid="{00000000-0005-0000-0000-0000E0540000}"/>
    <cellStyle name="Normal 252 2 4" xfId="21729" xr:uid="{00000000-0005-0000-0000-0000E1540000}"/>
    <cellStyle name="Normal 252 2 4 2" xfId="21730" xr:uid="{00000000-0005-0000-0000-0000E2540000}"/>
    <cellStyle name="Normal 252 2 4 2 2" xfId="21731" xr:uid="{00000000-0005-0000-0000-0000E3540000}"/>
    <cellStyle name="Normal 252 2 4 3" xfId="21732" xr:uid="{00000000-0005-0000-0000-0000E4540000}"/>
    <cellStyle name="Normal 252 2 5" xfId="21733" xr:uid="{00000000-0005-0000-0000-0000E5540000}"/>
    <cellStyle name="Normal 252 2 5 2" xfId="21734" xr:uid="{00000000-0005-0000-0000-0000E6540000}"/>
    <cellStyle name="Normal 252 2 5 2 2" xfId="21735" xr:uid="{00000000-0005-0000-0000-0000E7540000}"/>
    <cellStyle name="Normal 252 2 5 3" xfId="21736" xr:uid="{00000000-0005-0000-0000-0000E8540000}"/>
    <cellStyle name="Normal 252 2 6" xfId="21737" xr:uid="{00000000-0005-0000-0000-0000E9540000}"/>
    <cellStyle name="Normal 252 2 6 2" xfId="21738" xr:uid="{00000000-0005-0000-0000-0000EA540000}"/>
    <cellStyle name="Normal 252 2 6 2 2" xfId="21739" xr:uid="{00000000-0005-0000-0000-0000EB540000}"/>
    <cellStyle name="Normal 252 2 6 3" xfId="21740" xr:uid="{00000000-0005-0000-0000-0000EC540000}"/>
    <cellStyle name="Normal 252 2 7" xfId="21741" xr:uid="{00000000-0005-0000-0000-0000ED540000}"/>
    <cellStyle name="Normal 252 3" xfId="21742" xr:uid="{00000000-0005-0000-0000-0000EE540000}"/>
    <cellStyle name="Normal 252 3 2" xfId="21743" xr:uid="{00000000-0005-0000-0000-0000EF540000}"/>
    <cellStyle name="Normal 252 3 2 2" xfId="21744" xr:uid="{00000000-0005-0000-0000-0000F0540000}"/>
    <cellStyle name="Normal 252 3 3" xfId="21745" xr:uid="{00000000-0005-0000-0000-0000F1540000}"/>
    <cellStyle name="Normal 252 3 3 2" xfId="21746" xr:uid="{00000000-0005-0000-0000-0000F2540000}"/>
    <cellStyle name="Normal 252 3 3 2 2" xfId="21747" xr:uid="{00000000-0005-0000-0000-0000F3540000}"/>
    <cellStyle name="Normal 252 3 3 3" xfId="21748" xr:uid="{00000000-0005-0000-0000-0000F4540000}"/>
    <cellStyle name="Normal 252 3 4" xfId="21749" xr:uid="{00000000-0005-0000-0000-0000F5540000}"/>
    <cellStyle name="Normal 252 3 4 2" xfId="21750" xr:uid="{00000000-0005-0000-0000-0000F6540000}"/>
    <cellStyle name="Normal 252 3 4 2 2" xfId="21751" xr:uid="{00000000-0005-0000-0000-0000F7540000}"/>
    <cellStyle name="Normal 252 3 4 3" xfId="21752" xr:uid="{00000000-0005-0000-0000-0000F8540000}"/>
    <cellStyle name="Normal 252 3 5" xfId="21753" xr:uid="{00000000-0005-0000-0000-0000F9540000}"/>
    <cellStyle name="Normal 252 4" xfId="21754" xr:uid="{00000000-0005-0000-0000-0000FA540000}"/>
    <cellStyle name="Normal 252 4 2" xfId="21755" xr:uid="{00000000-0005-0000-0000-0000FB540000}"/>
    <cellStyle name="Normal 252 4 2 2" xfId="21756" xr:uid="{00000000-0005-0000-0000-0000FC540000}"/>
    <cellStyle name="Normal 252 4 2 2 2" xfId="21757" xr:uid="{00000000-0005-0000-0000-0000FD540000}"/>
    <cellStyle name="Normal 252 4 2 3" xfId="21758" xr:uid="{00000000-0005-0000-0000-0000FE540000}"/>
    <cellStyle name="Normal 252 4 2 3 2" xfId="21759" xr:uid="{00000000-0005-0000-0000-0000FF540000}"/>
    <cellStyle name="Normal 252 4 2 3 2 2" xfId="21760" xr:uid="{00000000-0005-0000-0000-000000550000}"/>
    <cellStyle name="Normal 252 4 2 3 3" xfId="21761" xr:uid="{00000000-0005-0000-0000-000001550000}"/>
    <cellStyle name="Normal 252 4 2 4" xfId="21762" xr:uid="{00000000-0005-0000-0000-000002550000}"/>
    <cellStyle name="Normal 252 4 3" xfId="21763" xr:uid="{00000000-0005-0000-0000-000003550000}"/>
    <cellStyle name="Normal 252 4 3 2" xfId="21764" xr:uid="{00000000-0005-0000-0000-000004550000}"/>
    <cellStyle name="Normal 252 4 3 2 2" xfId="21765" xr:uid="{00000000-0005-0000-0000-000005550000}"/>
    <cellStyle name="Normal 252 4 3 3" xfId="21766" xr:uid="{00000000-0005-0000-0000-000006550000}"/>
    <cellStyle name="Normal 252 4 4" xfId="21767" xr:uid="{00000000-0005-0000-0000-000007550000}"/>
    <cellStyle name="Normal 252 4 4 2" xfId="21768" xr:uid="{00000000-0005-0000-0000-000008550000}"/>
    <cellStyle name="Normal 252 4 4 2 2" xfId="21769" xr:uid="{00000000-0005-0000-0000-000009550000}"/>
    <cellStyle name="Normal 252 4 4 3" xfId="21770" xr:uid="{00000000-0005-0000-0000-00000A550000}"/>
    <cellStyle name="Normal 252 4 5" xfId="21771" xr:uid="{00000000-0005-0000-0000-00000B550000}"/>
    <cellStyle name="Normal 252 4 5 2" xfId="21772" xr:uid="{00000000-0005-0000-0000-00000C550000}"/>
    <cellStyle name="Normal 252 4 5 2 2" xfId="21773" xr:uid="{00000000-0005-0000-0000-00000D550000}"/>
    <cellStyle name="Normal 252 4 5 3" xfId="21774" xr:uid="{00000000-0005-0000-0000-00000E550000}"/>
    <cellStyle name="Normal 252 4 6" xfId="21775" xr:uid="{00000000-0005-0000-0000-00000F550000}"/>
    <cellStyle name="Normal 252 5" xfId="21776" xr:uid="{00000000-0005-0000-0000-000010550000}"/>
    <cellStyle name="Normal 252 5 2" xfId="21777" xr:uid="{00000000-0005-0000-0000-000011550000}"/>
    <cellStyle name="Normal 252 5 2 2" xfId="21778" xr:uid="{00000000-0005-0000-0000-000012550000}"/>
    <cellStyle name="Normal 252 5 3" xfId="21779" xr:uid="{00000000-0005-0000-0000-000013550000}"/>
    <cellStyle name="Normal 252 6" xfId="21780" xr:uid="{00000000-0005-0000-0000-000014550000}"/>
    <cellStyle name="Normal 252 6 2" xfId="21781" xr:uid="{00000000-0005-0000-0000-000015550000}"/>
    <cellStyle name="Normal 252 6 2 2" xfId="21782" xr:uid="{00000000-0005-0000-0000-000016550000}"/>
    <cellStyle name="Normal 252 6 3" xfId="21783" xr:uid="{00000000-0005-0000-0000-000017550000}"/>
    <cellStyle name="Normal 252 7" xfId="21784" xr:uid="{00000000-0005-0000-0000-000018550000}"/>
    <cellStyle name="Normal 252 7 2" xfId="21785" xr:uid="{00000000-0005-0000-0000-000019550000}"/>
    <cellStyle name="Normal 252 7 2 2" xfId="21786" xr:uid="{00000000-0005-0000-0000-00001A550000}"/>
    <cellStyle name="Normal 252 7 3" xfId="21787" xr:uid="{00000000-0005-0000-0000-00001B550000}"/>
    <cellStyle name="Normal 252 8" xfId="21788" xr:uid="{00000000-0005-0000-0000-00001C550000}"/>
    <cellStyle name="Normal 253" xfId="21789" xr:uid="{00000000-0005-0000-0000-00001D550000}"/>
    <cellStyle name="Normal 253 2" xfId="21790" xr:uid="{00000000-0005-0000-0000-00001E550000}"/>
    <cellStyle name="Normal 253 2 2" xfId="21791" xr:uid="{00000000-0005-0000-0000-00001F550000}"/>
    <cellStyle name="Normal 253 2 2 2" xfId="21792" xr:uid="{00000000-0005-0000-0000-000020550000}"/>
    <cellStyle name="Normal 253 2 2 2 2" xfId="21793" xr:uid="{00000000-0005-0000-0000-000021550000}"/>
    <cellStyle name="Normal 253 2 2 3" xfId="21794" xr:uid="{00000000-0005-0000-0000-000022550000}"/>
    <cellStyle name="Normal 253 2 2 3 2" xfId="21795" xr:uid="{00000000-0005-0000-0000-000023550000}"/>
    <cellStyle name="Normal 253 2 2 3 2 2" xfId="21796" xr:uid="{00000000-0005-0000-0000-000024550000}"/>
    <cellStyle name="Normal 253 2 2 3 3" xfId="21797" xr:uid="{00000000-0005-0000-0000-000025550000}"/>
    <cellStyle name="Normal 253 2 2 4" xfId="21798" xr:uid="{00000000-0005-0000-0000-000026550000}"/>
    <cellStyle name="Normal 253 2 2 4 2" xfId="21799" xr:uid="{00000000-0005-0000-0000-000027550000}"/>
    <cellStyle name="Normal 253 2 2 4 2 2" xfId="21800" xr:uid="{00000000-0005-0000-0000-000028550000}"/>
    <cellStyle name="Normal 253 2 2 4 3" xfId="21801" xr:uid="{00000000-0005-0000-0000-000029550000}"/>
    <cellStyle name="Normal 253 2 2 5" xfId="21802" xr:uid="{00000000-0005-0000-0000-00002A550000}"/>
    <cellStyle name="Normal 253 2 3" xfId="21803" xr:uid="{00000000-0005-0000-0000-00002B550000}"/>
    <cellStyle name="Normal 253 2 3 2" xfId="21804" xr:uid="{00000000-0005-0000-0000-00002C550000}"/>
    <cellStyle name="Normal 253 2 3 2 2" xfId="21805" xr:uid="{00000000-0005-0000-0000-00002D550000}"/>
    <cellStyle name="Normal 253 2 3 2 2 2" xfId="21806" xr:uid="{00000000-0005-0000-0000-00002E550000}"/>
    <cellStyle name="Normal 253 2 3 2 3" xfId="21807" xr:uid="{00000000-0005-0000-0000-00002F550000}"/>
    <cellStyle name="Normal 253 2 3 2 3 2" xfId="21808" xr:uid="{00000000-0005-0000-0000-000030550000}"/>
    <cellStyle name="Normal 253 2 3 2 3 2 2" xfId="21809" xr:uid="{00000000-0005-0000-0000-000031550000}"/>
    <cellStyle name="Normal 253 2 3 2 3 3" xfId="21810" xr:uid="{00000000-0005-0000-0000-000032550000}"/>
    <cellStyle name="Normal 253 2 3 2 4" xfId="21811" xr:uid="{00000000-0005-0000-0000-000033550000}"/>
    <cellStyle name="Normal 253 2 3 3" xfId="21812" xr:uid="{00000000-0005-0000-0000-000034550000}"/>
    <cellStyle name="Normal 253 2 3 3 2" xfId="21813" xr:uid="{00000000-0005-0000-0000-000035550000}"/>
    <cellStyle name="Normal 253 2 3 3 2 2" xfId="21814" xr:uid="{00000000-0005-0000-0000-000036550000}"/>
    <cellStyle name="Normal 253 2 3 3 3" xfId="21815" xr:uid="{00000000-0005-0000-0000-000037550000}"/>
    <cellStyle name="Normal 253 2 3 4" xfId="21816" xr:uid="{00000000-0005-0000-0000-000038550000}"/>
    <cellStyle name="Normal 253 2 3 4 2" xfId="21817" xr:uid="{00000000-0005-0000-0000-000039550000}"/>
    <cellStyle name="Normal 253 2 3 4 2 2" xfId="21818" xr:uid="{00000000-0005-0000-0000-00003A550000}"/>
    <cellStyle name="Normal 253 2 3 4 3" xfId="21819" xr:uid="{00000000-0005-0000-0000-00003B550000}"/>
    <cellStyle name="Normal 253 2 3 5" xfId="21820" xr:uid="{00000000-0005-0000-0000-00003C550000}"/>
    <cellStyle name="Normal 253 2 3 5 2" xfId="21821" xr:uid="{00000000-0005-0000-0000-00003D550000}"/>
    <cellStyle name="Normal 253 2 3 5 2 2" xfId="21822" xr:uid="{00000000-0005-0000-0000-00003E550000}"/>
    <cellStyle name="Normal 253 2 3 5 3" xfId="21823" xr:uid="{00000000-0005-0000-0000-00003F550000}"/>
    <cellStyle name="Normal 253 2 3 6" xfId="21824" xr:uid="{00000000-0005-0000-0000-000040550000}"/>
    <cellStyle name="Normal 253 2 4" xfId="21825" xr:uid="{00000000-0005-0000-0000-000041550000}"/>
    <cellStyle name="Normal 253 2 4 2" xfId="21826" xr:uid="{00000000-0005-0000-0000-000042550000}"/>
    <cellStyle name="Normal 253 2 4 2 2" xfId="21827" xr:uid="{00000000-0005-0000-0000-000043550000}"/>
    <cellStyle name="Normal 253 2 4 3" xfId="21828" xr:uid="{00000000-0005-0000-0000-000044550000}"/>
    <cellStyle name="Normal 253 2 5" xfId="21829" xr:uid="{00000000-0005-0000-0000-000045550000}"/>
    <cellStyle name="Normal 253 2 5 2" xfId="21830" xr:uid="{00000000-0005-0000-0000-000046550000}"/>
    <cellStyle name="Normal 253 2 5 2 2" xfId="21831" xr:uid="{00000000-0005-0000-0000-000047550000}"/>
    <cellStyle name="Normal 253 2 5 3" xfId="21832" xr:uid="{00000000-0005-0000-0000-000048550000}"/>
    <cellStyle name="Normal 253 2 6" xfId="21833" xr:uid="{00000000-0005-0000-0000-000049550000}"/>
    <cellStyle name="Normal 253 2 6 2" xfId="21834" xr:uid="{00000000-0005-0000-0000-00004A550000}"/>
    <cellStyle name="Normal 253 2 6 2 2" xfId="21835" xr:uid="{00000000-0005-0000-0000-00004B550000}"/>
    <cellStyle name="Normal 253 2 6 3" xfId="21836" xr:uid="{00000000-0005-0000-0000-00004C550000}"/>
    <cellStyle name="Normal 253 2 7" xfId="21837" xr:uid="{00000000-0005-0000-0000-00004D550000}"/>
    <cellStyle name="Normal 253 3" xfId="21838" xr:uid="{00000000-0005-0000-0000-00004E550000}"/>
    <cellStyle name="Normal 253 3 2" xfId="21839" xr:uid="{00000000-0005-0000-0000-00004F550000}"/>
    <cellStyle name="Normal 253 3 2 2" xfId="21840" xr:uid="{00000000-0005-0000-0000-000050550000}"/>
    <cellStyle name="Normal 253 3 3" xfId="21841" xr:uid="{00000000-0005-0000-0000-000051550000}"/>
    <cellStyle name="Normal 253 3 3 2" xfId="21842" xr:uid="{00000000-0005-0000-0000-000052550000}"/>
    <cellStyle name="Normal 253 3 3 2 2" xfId="21843" xr:uid="{00000000-0005-0000-0000-000053550000}"/>
    <cellStyle name="Normal 253 3 3 3" xfId="21844" xr:uid="{00000000-0005-0000-0000-000054550000}"/>
    <cellStyle name="Normal 253 3 4" xfId="21845" xr:uid="{00000000-0005-0000-0000-000055550000}"/>
    <cellStyle name="Normal 253 3 4 2" xfId="21846" xr:uid="{00000000-0005-0000-0000-000056550000}"/>
    <cellStyle name="Normal 253 3 4 2 2" xfId="21847" xr:uid="{00000000-0005-0000-0000-000057550000}"/>
    <cellStyle name="Normal 253 3 4 3" xfId="21848" xr:uid="{00000000-0005-0000-0000-000058550000}"/>
    <cellStyle name="Normal 253 3 5" xfId="21849" xr:uid="{00000000-0005-0000-0000-000059550000}"/>
    <cellStyle name="Normal 253 4" xfId="21850" xr:uid="{00000000-0005-0000-0000-00005A550000}"/>
    <cellStyle name="Normal 253 4 2" xfId="21851" xr:uid="{00000000-0005-0000-0000-00005B550000}"/>
    <cellStyle name="Normal 253 4 2 2" xfId="21852" xr:uid="{00000000-0005-0000-0000-00005C550000}"/>
    <cellStyle name="Normal 253 4 2 2 2" xfId="21853" xr:uid="{00000000-0005-0000-0000-00005D550000}"/>
    <cellStyle name="Normal 253 4 2 3" xfId="21854" xr:uid="{00000000-0005-0000-0000-00005E550000}"/>
    <cellStyle name="Normal 253 4 2 3 2" xfId="21855" xr:uid="{00000000-0005-0000-0000-00005F550000}"/>
    <cellStyle name="Normal 253 4 2 3 2 2" xfId="21856" xr:uid="{00000000-0005-0000-0000-000060550000}"/>
    <cellStyle name="Normal 253 4 2 3 3" xfId="21857" xr:uid="{00000000-0005-0000-0000-000061550000}"/>
    <cellStyle name="Normal 253 4 2 4" xfId="21858" xr:uid="{00000000-0005-0000-0000-000062550000}"/>
    <cellStyle name="Normal 253 4 3" xfId="21859" xr:uid="{00000000-0005-0000-0000-000063550000}"/>
    <cellStyle name="Normal 253 4 3 2" xfId="21860" xr:uid="{00000000-0005-0000-0000-000064550000}"/>
    <cellStyle name="Normal 253 4 3 2 2" xfId="21861" xr:uid="{00000000-0005-0000-0000-000065550000}"/>
    <cellStyle name="Normal 253 4 3 3" xfId="21862" xr:uid="{00000000-0005-0000-0000-000066550000}"/>
    <cellStyle name="Normal 253 4 4" xfId="21863" xr:uid="{00000000-0005-0000-0000-000067550000}"/>
    <cellStyle name="Normal 253 4 4 2" xfId="21864" xr:uid="{00000000-0005-0000-0000-000068550000}"/>
    <cellStyle name="Normal 253 4 4 2 2" xfId="21865" xr:uid="{00000000-0005-0000-0000-000069550000}"/>
    <cellStyle name="Normal 253 4 4 3" xfId="21866" xr:uid="{00000000-0005-0000-0000-00006A550000}"/>
    <cellStyle name="Normal 253 4 5" xfId="21867" xr:uid="{00000000-0005-0000-0000-00006B550000}"/>
    <cellStyle name="Normal 253 4 5 2" xfId="21868" xr:uid="{00000000-0005-0000-0000-00006C550000}"/>
    <cellStyle name="Normal 253 4 5 2 2" xfId="21869" xr:uid="{00000000-0005-0000-0000-00006D550000}"/>
    <cellStyle name="Normal 253 4 5 3" xfId="21870" xr:uid="{00000000-0005-0000-0000-00006E550000}"/>
    <cellStyle name="Normal 253 4 6" xfId="21871" xr:uid="{00000000-0005-0000-0000-00006F550000}"/>
    <cellStyle name="Normal 253 5" xfId="21872" xr:uid="{00000000-0005-0000-0000-000070550000}"/>
    <cellStyle name="Normal 253 5 2" xfId="21873" xr:uid="{00000000-0005-0000-0000-000071550000}"/>
    <cellStyle name="Normal 253 5 2 2" xfId="21874" xr:uid="{00000000-0005-0000-0000-000072550000}"/>
    <cellStyle name="Normal 253 5 3" xfId="21875" xr:uid="{00000000-0005-0000-0000-000073550000}"/>
    <cellStyle name="Normal 253 6" xfId="21876" xr:uid="{00000000-0005-0000-0000-000074550000}"/>
    <cellStyle name="Normal 253 6 2" xfId="21877" xr:uid="{00000000-0005-0000-0000-000075550000}"/>
    <cellStyle name="Normal 253 6 2 2" xfId="21878" xr:uid="{00000000-0005-0000-0000-000076550000}"/>
    <cellStyle name="Normal 253 6 3" xfId="21879" xr:uid="{00000000-0005-0000-0000-000077550000}"/>
    <cellStyle name="Normal 253 7" xfId="21880" xr:uid="{00000000-0005-0000-0000-000078550000}"/>
    <cellStyle name="Normal 253 7 2" xfId="21881" xr:uid="{00000000-0005-0000-0000-000079550000}"/>
    <cellStyle name="Normal 253 7 2 2" xfId="21882" xr:uid="{00000000-0005-0000-0000-00007A550000}"/>
    <cellStyle name="Normal 253 7 3" xfId="21883" xr:uid="{00000000-0005-0000-0000-00007B550000}"/>
    <cellStyle name="Normal 253 8" xfId="21884" xr:uid="{00000000-0005-0000-0000-00007C550000}"/>
    <cellStyle name="Normal 254" xfId="21885" xr:uid="{00000000-0005-0000-0000-00007D550000}"/>
    <cellStyle name="Normal 254 2" xfId="21886" xr:uid="{00000000-0005-0000-0000-00007E550000}"/>
    <cellStyle name="Normal 254 2 2" xfId="21887" xr:uid="{00000000-0005-0000-0000-00007F550000}"/>
    <cellStyle name="Normal 254 2 2 2" xfId="21888" xr:uid="{00000000-0005-0000-0000-000080550000}"/>
    <cellStyle name="Normal 254 2 2 2 2" xfId="21889" xr:uid="{00000000-0005-0000-0000-000081550000}"/>
    <cellStyle name="Normal 254 2 2 3" xfId="21890" xr:uid="{00000000-0005-0000-0000-000082550000}"/>
    <cellStyle name="Normal 254 2 2 3 2" xfId="21891" xr:uid="{00000000-0005-0000-0000-000083550000}"/>
    <cellStyle name="Normal 254 2 2 3 2 2" xfId="21892" xr:uid="{00000000-0005-0000-0000-000084550000}"/>
    <cellStyle name="Normal 254 2 2 3 3" xfId="21893" xr:uid="{00000000-0005-0000-0000-000085550000}"/>
    <cellStyle name="Normal 254 2 2 4" xfId="21894" xr:uid="{00000000-0005-0000-0000-000086550000}"/>
    <cellStyle name="Normal 254 2 2 4 2" xfId="21895" xr:uid="{00000000-0005-0000-0000-000087550000}"/>
    <cellStyle name="Normal 254 2 2 4 2 2" xfId="21896" xr:uid="{00000000-0005-0000-0000-000088550000}"/>
    <cellStyle name="Normal 254 2 2 4 3" xfId="21897" xr:uid="{00000000-0005-0000-0000-000089550000}"/>
    <cellStyle name="Normal 254 2 2 5" xfId="21898" xr:uid="{00000000-0005-0000-0000-00008A550000}"/>
    <cellStyle name="Normal 254 2 3" xfId="21899" xr:uid="{00000000-0005-0000-0000-00008B550000}"/>
    <cellStyle name="Normal 254 2 3 2" xfId="21900" xr:uid="{00000000-0005-0000-0000-00008C550000}"/>
    <cellStyle name="Normal 254 2 3 2 2" xfId="21901" xr:uid="{00000000-0005-0000-0000-00008D550000}"/>
    <cellStyle name="Normal 254 2 3 2 2 2" xfId="21902" xr:uid="{00000000-0005-0000-0000-00008E550000}"/>
    <cellStyle name="Normal 254 2 3 2 3" xfId="21903" xr:uid="{00000000-0005-0000-0000-00008F550000}"/>
    <cellStyle name="Normal 254 2 3 2 3 2" xfId="21904" xr:uid="{00000000-0005-0000-0000-000090550000}"/>
    <cellStyle name="Normal 254 2 3 2 3 2 2" xfId="21905" xr:uid="{00000000-0005-0000-0000-000091550000}"/>
    <cellStyle name="Normal 254 2 3 2 3 3" xfId="21906" xr:uid="{00000000-0005-0000-0000-000092550000}"/>
    <cellStyle name="Normal 254 2 3 2 4" xfId="21907" xr:uid="{00000000-0005-0000-0000-000093550000}"/>
    <cellStyle name="Normal 254 2 3 3" xfId="21908" xr:uid="{00000000-0005-0000-0000-000094550000}"/>
    <cellStyle name="Normal 254 2 3 3 2" xfId="21909" xr:uid="{00000000-0005-0000-0000-000095550000}"/>
    <cellStyle name="Normal 254 2 3 3 2 2" xfId="21910" xr:uid="{00000000-0005-0000-0000-000096550000}"/>
    <cellStyle name="Normal 254 2 3 3 3" xfId="21911" xr:uid="{00000000-0005-0000-0000-000097550000}"/>
    <cellStyle name="Normal 254 2 3 4" xfId="21912" xr:uid="{00000000-0005-0000-0000-000098550000}"/>
    <cellStyle name="Normal 254 2 3 4 2" xfId="21913" xr:uid="{00000000-0005-0000-0000-000099550000}"/>
    <cellStyle name="Normal 254 2 3 4 2 2" xfId="21914" xr:uid="{00000000-0005-0000-0000-00009A550000}"/>
    <cellStyle name="Normal 254 2 3 4 3" xfId="21915" xr:uid="{00000000-0005-0000-0000-00009B550000}"/>
    <cellStyle name="Normal 254 2 3 5" xfId="21916" xr:uid="{00000000-0005-0000-0000-00009C550000}"/>
    <cellStyle name="Normal 254 2 3 5 2" xfId="21917" xr:uid="{00000000-0005-0000-0000-00009D550000}"/>
    <cellStyle name="Normal 254 2 3 5 2 2" xfId="21918" xr:uid="{00000000-0005-0000-0000-00009E550000}"/>
    <cellStyle name="Normal 254 2 3 5 3" xfId="21919" xr:uid="{00000000-0005-0000-0000-00009F550000}"/>
    <cellStyle name="Normal 254 2 3 6" xfId="21920" xr:uid="{00000000-0005-0000-0000-0000A0550000}"/>
    <cellStyle name="Normal 254 2 4" xfId="21921" xr:uid="{00000000-0005-0000-0000-0000A1550000}"/>
    <cellStyle name="Normal 254 2 4 2" xfId="21922" xr:uid="{00000000-0005-0000-0000-0000A2550000}"/>
    <cellStyle name="Normal 254 2 4 2 2" xfId="21923" xr:uid="{00000000-0005-0000-0000-0000A3550000}"/>
    <cellStyle name="Normal 254 2 4 3" xfId="21924" xr:uid="{00000000-0005-0000-0000-0000A4550000}"/>
    <cellStyle name="Normal 254 2 5" xfId="21925" xr:uid="{00000000-0005-0000-0000-0000A5550000}"/>
    <cellStyle name="Normal 254 2 5 2" xfId="21926" xr:uid="{00000000-0005-0000-0000-0000A6550000}"/>
    <cellStyle name="Normal 254 2 5 2 2" xfId="21927" xr:uid="{00000000-0005-0000-0000-0000A7550000}"/>
    <cellStyle name="Normal 254 2 5 3" xfId="21928" xr:uid="{00000000-0005-0000-0000-0000A8550000}"/>
    <cellStyle name="Normal 254 2 6" xfId="21929" xr:uid="{00000000-0005-0000-0000-0000A9550000}"/>
    <cellStyle name="Normal 254 2 6 2" xfId="21930" xr:uid="{00000000-0005-0000-0000-0000AA550000}"/>
    <cellStyle name="Normal 254 2 6 2 2" xfId="21931" xr:uid="{00000000-0005-0000-0000-0000AB550000}"/>
    <cellStyle name="Normal 254 2 6 3" xfId="21932" xr:uid="{00000000-0005-0000-0000-0000AC550000}"/>
    <cellStyle name="Normal 254 2 7" xfId="21933" xr:uid="{00000000-0005-0000-0000-0000AD550000}"/>
    <cellStyle name="Normal 254 3" xfId="21934" xr:uid="{00000000-0005-0000-0000-0000AE550000}"/>
    <cellStyle name="Normal 254 3 2" xfId="21935" xr:uid="{00000000-0005-0000-0000-0000AF550000}"/>
    <cellStyle name="Normal 254 3 2 2" xfId="21936" xr:uid="{00000000-0005-0000-0000-0000B0550000}"/>
    <cellStyle name="Normal 254 3 3" xfId="21937" xr:uid="{00000000-0005-0000-0000-0000B1550000}"/>
    <cellStyle name="Normal 254 3 3 2" xfId="21938" xr:uid="{00000000-0005-0000-0000-0000B2550000}"/>
    <cellStyle name="Normal 254 3 3 2 2" xfId="21939" xr:uid="{00000000-0005-0000-0000-0000B3550000}"/>
    <cellStyle name="Normal 254 3 3 3" xfId="21940" xr:uid="{00000000-0005-0000-0000-0000B4550000}"/>
    <cellStyle name="Normal 254 3 4" xfId="21941" xr:uid="{00000000-0005-0000-0000-0000B5550000}"/>
    <cellStyle name="Normal 254 3 4 2" xfId="21942" xr:uid="{00000000-0005-0000-0000-0000B6550000}"/>
    <cellStyle name="Normal 254 3 4 2 2" xfId="21943" xr:uid="{00000000-0005-0000-0000-0000B7550000}"/>
    <cellStyle name="Normal 254 3 4 3" xfId="21944" xr:uid="{00000000-0005-0000-0000-0000B8550000}"/>
    <cellStyle name="Normal 254 3 5" xfId="21945" xr:uid="{00000000-0005-0000-0000-0000B9550000}"/>
    <cellStyle name="Normal 254 4" xfId="21946" xr:uid="{00000000-0005-0000-0000-0000BA550000}"/>
    <cellStyle name="Normal 254 4 2" xfId="21947" xr:uid="{00000000-0005-0000-0000-0000BB550000}"/>
    <cellStyle name="Normal 254 4 2 2" xfId="21948" xr:uid="{00000000-0005-0000-0000-0000BC550000}"/>
    <cellStyle name="Normal 254 4 2 2 2" xfId="21949" xr:uid="{00000000-0005-0000-0000-0000BD550000}"/>
    <cellStyle name="Normal 254 4 2 3" xfId="21950" xr:uid="{00000000-0005-0000-0000-0000BE550000}"/>
    <cellStyle name="Normal 254 4 2 3 2" xfId="21951" xr:uid="{00000000-0005-0000-0000-0000BF550000}"/>
    <cellStyle name="Normal 254 4 2 3 2 2" xfId="21952" xr:uid="{00000000-0005-0000-0000-0000C0550000}"/>
    <cellStyle name="Normal 254 4 2 3 3" xfId="21953" xr:uid="{00000000-0005-0000-0000-0000C1550000}"/>
    <cellStyle name="Normal 254 4 2 4" xfId="21954" xr:uid="{00000000-0005-0000-0000-0000C2550000}"/>
    <cellStyle name="Normal 254 4 3" xfId="21955" xr:uid="{00000000-0005-0000-0000-0000C3550000}"/>
    <cellStyle name="Normal 254 4 3 2" xfId="21956" xr:uid="{00000000-0005-0000-0000-0000C4550000}"/>
    <cellStyle name="Normal 254 4 3 2 2" xfId="21957" xr:uid="{00000000-0005-0000-0000-0000C5550000}"/>
    <cellStyle name="Normal 254 4 3 3" xfId="21958" xr:uid="{00000000-0005-0000-0000-0000C6550000}"/>
    <cellStyle name="Normal 254 4 4" xfId="21959" xr:uid="{00000000-0005-0000-0000-0000C7550000}"/>
    <cellStyle name="Normal 254 4 4 2" xfId="21960" xr:uid="{00000000-0005-0000-0000-0000C8550000}"/>
    <cellStyle name="Normal 254 4 4 2 2" xfId="21961" xr:uid="{00000000-0005-0000-0000-0000C9550000}"/>
    <cellStyle name="Normal 254 4 4 3" xfId="21962" xr:uid="{00000000-0005-0000-0000-0000CA550000}"/>
    <cellStyle name="Normal 254 4 5" xfId="21963" xr:uid="{00000000-0005-0000-0000-0000CB550000}"/>
    <cellStyle name="Normal 254 4 5 2" xfId="21964" xr:uid="{00000000-0005-0000-0000-0000CC550000}"/>
    <cellStyle name="Normal 254 4 5 2 2" xfId="21965" xr:uid="{00000000-0005-0000-0000-0000CD550000}"/>
    <cellStyle name="Normal 254 4 5 3" xfId="21966" xr:uid="{00000000-0005-0000-0000-0000CE550000}"/>
    <cellStyle name="Normal 254 4 6" xfId="21967" xr:uid="{00000000-0005-0000-0000-0000CF550000}"/>
    <cellStyle name="Normal 254 5" xfId="21968" xr:uid="{00000000-0005-0000-0000-0000D0550000}"/>
    <cellStyle name="Normal 254 5 2" xfId="21969" xr:uid="{00000000-0005-0000-0000-0000D1550000}"/>
    <cellStyle name="Normal 254 5 2 2" xfId="21970" xr:uid="{00000000-0005-0000-0000-0000D2550000}"/>
    <cellStyle name="Normal 254 5 3" xfId="21971" xr:uid="{00000000-0005-0000-0000-0000D3550000}"/>
    <cellStyle name="Normal 254 6" xfId="21972" xr:uid="{00000000-0005-0000-0000-0000D4550000}"/>
    <cellStyle name="Normal 254 6 2" xfId="21973" xr:uid="{00000000-0005-0000-0000-0000D5550000}"/>
    <cellStyle name="Normal 254 6 2 2" xfId="21974" xr:uid="{00000000-0005-0000-0000-0000D6550000}"/>
    <cellStyle name="Normal 254 6 3" xfId="21975" xr:uid="{00000000-0005-0000-0000-0000D7550000}"/>
    <cellStyle name="Normal 254 7" xfId="21976" xr:uid="{00000000-0005-0000-0000-0000D8550000}"/>
    <cellStyle name="Normal 254 7 2" xfId="21977" xr:uid="{00000000-0005-0000-0000-0000D9550000}"/>
    <cellStyle name="Normal 254 7 2 2" xfId="21978" xr:uid="{00000000-0005-0000-0000-0000DA550000}"/>
    <cellStyle name="Normal 254 7 3" xfId="21979" xr:uid="{00000000-0005-0000-0000-0000DB550000}"/>
    <cellStyle name="Normal 254 8" xfId="21980" xr:uid="{00000000-0005-0000-0000-0000DC550000}"/>
    <cellStyle name="Normal 255" xfId="21981" xr:uid="{00000000-0005-0000-0000-0000DD550000}"/>
    <cellStyle name="Normal 255 2" xfId="21982" xr:uid="{00000000-0005-0000-0000-0000DE550000}"/>
    <cellStyle name="Normal 255 2 2" xfId="21983" xr:uid="{00000000-0005-0000-0000-0000DF550000}"/>
    <cellStyle name="Normal 255 2 2 2" xfId="21984" xr:uid="{00000000-0005-0000-0000-0000E0550000}"/>
    <cellStyle name="Normal 255 2 2 2 2" xfId="21985" xr:uid="{00000000-0005-0000-0000-0000E1550000}"/>
    <cellStyle name="Normal 255 2 2 3" xfId="21986" xr:uid="{00000000-0005-0000-0000-0000E2550000}"/>
    <cellStyle name="Normal 255 2 2 3 2" xfId="21987" xr:uid="{00000000-0005-0000-0000-0000E3550000}"/>
    <cellStyle name="Normal 255 2 2 3 2 2" xfId="21988" xr:uid="{00000000-0005-0000-0000-0000E4550000}"/>
    <cellStyle name="Normal 255 2 2 3 3" xfId="21989" xr:uid="{00000000-0005-0000-0000-0000E5550000}"/>
    <cellStyle name="Normal 255 2 2 4" xfId="21990" xr:uid="{00000000-0005-0000-0000-0000E6550000}"/>
    <cellStyle name="Normal 255 2 2 4 2" xfId="21991" xr:uid="{00000000-0005-0000-0000-0000E7550000}"/>
    <cellStyle name="Normal 255 2 2 4 2 2" xfId="21992" xr:uid="{00000000-0005-0000-0000-0000E8550000}"/>
    <cellStyle name="Normal 255 2 2 4 3" xfId="21993" xr:uid="{00000000-0005-0000-0000-0000E9550000}"/>
    <cellStyle name="Normal 255 2 2 5" xfId="21994" xr:uid="{00000000-0005-0000-0000-0000EA550000}"/>
    <cellStyle name="Normal 255 2 3" xfId="21995" xr:uid="{00000000-0005-0000-0000-0000EB550000}"/>
    <cellStyle name="Normal 255 2 3 2" xfId="21996" xr:uid="{00000000-0005-0000-0000-0000EC550000}"/>
    <cellStyle name="Normal 255 2 3 2 2" xfId="21997" xr:uid="{00000000-0005-0000-0000-0000ED550000}"/>
    <cellStyle name="Normal 255 2 3 2 2 2" xfId="21998" xr:uid="{00000000-0005-0000-0000-0000EE550000}"/>
    <cellStyle name="Normal 255 2 3 2 3" xfId="21999" xr:uid="{00000000-0005-0000-0000-0000EF550000}"/>
    <cellStyle name="Normal 255 2 3 2 3 2" xfId="22000" xr:uid="{00000000-0005-0000-0000-0000F0550000}"/>
    <cellStyle name="Normal 255 2 3 2 3 2 2" xfId="22001" xr:uid="{00000000-0005-0000-0000-0000F1550000}"/>
    <cellStyle name="Normal 255 2 3 2 3 3" xfId="22002" xr:uid="{00000000-0005-0000-0000-0000F2550000}"/>
    <cellStyle name="Normal 255 2 3 2 4" xfId="22003" xr:uid="{00000000-0005-0000-0000-0000F3550000}"/>
    <cellStyle name="Normal 255 2 3 3" xfId="22004" xr:uid="{00000000-0005-0000-0000-0000F4550000}"/>
    <cellStyle name="Normal 255 2 3 3 2" xfId="22005" xr:uid="{00000000-0005-0000-0000-0000F5550000}"/>
    <cellStyle name="Normal 255 2 3 3 2 2" xfId="22006" xr:uid="{00000000-0005-0000-0000-0000F6550000}"/>
    <cellStyle name="Normal 255 2 3 3 3" xfId="22007" xr:uid="{00000000-0005-0000-0000-0000F7550000}"/>
    <cellStyle name="Normal 255 2 3 4" xfId="22008" xr:uid="{00000000-0005-0000-0000-0000F8550000}"/>
    <cellStyle name="Normal 255 2 3 4 2" xfId="22009" xr:uid="{00000000-0005-0000-0000-0000F9550000}"/>
    <cellStyle name="Normal 255 2 3 4 2 2" xfId="22010" xr:uid="{00000000-0005-0000-0000-0000FA550000}"/>
    <cellStyle name="Normal 255 2 3 4 3" xfId="22011" xr:uid="{00000000-0005-0000-0000-0000FB550000}"/>
    <cellStyle name="Normal 255 2 3 5" xfId="22012" xr:uid="{00000000-0005-0000-0000-0000FC550000}"/>
    <cellStyle name="Normal 255 2 3 5 2" xfId="22013" xr:uid="{00000000-0005-0000-0000-0000FD550000}"/>
    <cellStyle name="Normal 255 2 3 5 2 2" xfId="22014" xr:uid="{00000000-0005-0000-0000-0000FE550000}"/>
    <cellStyle name="Normal 255 2 3 5 3" xfId="22015" xr:uid="{00000000-0005-0000-0000-0000FF550000}"/>
    <cellStyle name="Normal 255 2 3 6" xfId="22016" xr:uid="{00000000-0005-0000-0000-000000560000}"/>
    <cellStyle name="Normal 255 2 4" xfId="22017" xr:uid="{00000000-0005-0000-0000-000001560000}"/>
    <cellStyle name="Normal 255 2 4 2" xfId="22018" xr:uid="{00000000-0005-0000-0000-000002560000}"/>
    <cellStyle name="Normal 255 2 4 2 2" xfId="22019" xr:uid="{00000000-0005-0000-0000-000003560000}"/>
    <cellStyle name="Normal 255 2 4 3" xfId="22020" xr:uid="{00000000-0005-0000-0000-000004560000}"/>
    <cellStyle name="Normal 255 2 5" xfId="22021" xr:uid="{00000000-0005-0000-0000-000005560000}"/>
    <cellStyle name="Normal 255 2 5 2" xfId="22022" xr:uid="{00000000-0005-0000-0000-000006560000}"/>
    <cellStyle name="Normal 255 2 5 2 2" xfId="22023" xr:uid="{00000000-0005-0000-0000-000007560000}"/>
    <cellStyle name="Normal 255 2 5 3" xfId="22024" xr:uid="{00000000-0005-0000-0000-000008560000}"/>
    <cellStyle name="Normal 255 2 6" xfId="22025" xr:uid="{00000000-0005-0000-0000-000009560000}"/>
    <cellStyle name="Normal 255 2 6 2" xfId="22026" xr:uid="{00000000-0005-0000-0000-00000A560000}"/>
    <cellStyle name="Normal 255 2 6 2 2" xfId="22027" xr:uid="{00000000-0005-0000-0000-00000B560000}"/>
    <cellStyle name="Normal 255 2 6 3" xfId="22028" xr:uid="{00000000-0005-0000-0000-00000C560000}"/>
    <cellStyle name="Normal 255 2 7" xfId="22029" xr:uid="{00000000-0005-0000-0000-00000D560000}"/>
    <cellStyle name="Normal 255 3" xfId="22030" xr:uid="{00000000-0005-0000-0000-00000E560000}"/>
    <cellStyle name="Normal 255 3 2" xfId="22031" xr:uid="{00000000-0005-0000-0000-00000F560000}"/>
    <cellStyle name="Normal 255 3 2 2" xfId="22032" xr:uid="{00000000-0005-0000-0000-000010560000}"/>
    <cellStyle name="Normal 255 3 3" xfId="22033" xr:uid="{00000000-0005-0000-0000-000011560000}"/>
    <cellStyle name="Normal 255 3 3 2" xfId="22034" xr:uid="{00000000-0005-0000-0000-000012560000}"/>
    <cellStyle name="Normal 255 3 3 2 2" xfId="22035" xr:uid="{00000000-0005-0000-0000-000013560000}"/>
    <cellStyle name="Normal 255 3 3 3" xfId="22036" xr:uid="{00000000-0005-0000-0000-000014560000}"/>
    <cellStyle name="Normal 255 3 4" xfId="22037" xr:uid="{00000000-0005-0000-0000-000015560000}"/>
    <cellStyle name="Normal 255 3 4 2" xfId="22038" xr:uid="{00000000-0005-0000-0000-000016560000}"/>
    <cellStyle name="Normal 255 3 4 2 2" xfId="22039" xr:uid="{00000000-0005-0000-0000-000017560000}"/>
    <cellStyle name="Normal 255 3 4 3" xfId="22040" xr:uid="{00000000-0005-0000-0000-000018560000}"/>
    <cellStyle name="Normal 255 3 5" xfId="22041" xr:uid="{00000000-0005-0000-0000-000019560000}"/>
    <cellStyle name="Normal 255 4" xfId="22042" xr:uid="{00000000-0005-0000-0000-00001A560000}"/>
    <cellStyle name="Normal 255 4 2" xfId="22043" xr:uid="{00000000-0005-0000-0000-00001B560000}"/>
    <cellStyle name="Normal 255 4 2 2" xfId="22044" xr:uid="{00000000-0005-0000-0000-00001C560000}"/>
    <cellStyle name="Normal 255 4 2 2 2" xfId="22045" xr:uid="{00000000-0005-0000-0000-00001D560000}"/>
    <cellStyle name="Normal 255 4 2 3" xfId="22046" xr:uid="{00000000-0005-0000-0000-00001E560000}"/>
    <cellStyle name="Normal 255 4 2 3 2" xfId="22047" xr:uid="{00000000-0005-0000-0000-00001F560000}"/>
    <cellStyle name="Normal 255 4 2 3 2 2" xfId="22048" xr:uid="{00000000-0005-0000-0000-000020560000}"/>
    <cellStyle name="Normal 255 4 2 3 3" xfId="22049" xr:uid="{00000000-0005-0000-0000-000021560000}"/>
    <cellStyle name="Normal 255 4 2 4" xfId="22050" xr:uid="{00000000-0005-0000-0000-000022560000}"/>
    <cellStyle name="Normal 255 4 3" xfId="22051" xr:uid="{00000000-0005-0000-0000-000023560000}"/>
    <cellStyle name="Normal 255 4 3 2" xfId="22052" xr:uid="{00000000-0005-0000-0000-000024560000}"/>
    <cellStyle name="Normal 255 4 3 2 2" xfId="22053" xr:uid="{00000000-0005-0000-0000-000025560000}"/>
    <cellStyle name="Normal 255 4 3 3" xfId="22054" xr:uid="{00000000-0005-0000-0000-000026560000}"/>
    <cellStyle name="Normal 255 4 4" xfId="22055" xr:uid="{00000000-0005-0000-0000-000027560000}"/>
    <cellStyle name="Normal 255 4 4 2" xfId="22056" xr:uid="{00000000-0005-0000-0000-000028560000}"/>
    <cellStyle name="Normal 255 4 4 2 2" xfId="22057" xr:uid="{00000000-0005-0000-0000-000029560000}"/>
    <cellStyle name="Normal 255 4 4 3" xfId="22058" xr:uid="{00000000-0005-0000-0000-00002A560000}"/>
    <cellStyle name="Normal 255 4 5" xfId="22059" xr:uid="{00000000-0005-0000-0000-00002B560000}"/>
    <cellStyle name="Normal 255 4 5 2" xfId="22060" xr:uid="{00000000-0005-0000-0000-00002C560000}"/>
    <cellStyle name="Normal 255 4 5 2 2" xfId="22061" xr:uid="{00000000-0005-0000-0000-00002D560000}"/>
    <cellStyle name="Normal 255 4 5 3" xfId="22062" xr:uid="{00000000-0005-0000-0000-00002E560000}"/>
    <cellStyle name="Normal 255 4 6" xfId="22063" xr:uid="{00000000-0005-0000-0000-00002F560000}"/>
    <cellStyle name="Normal 255 5" xfId="22064" xr:uid="{00000000-0005-0000-0000-000030560000}"/>
    <cellStyle name="Normal 255 5 2" xfId="22065" xr:uid="{00000000-0005-0000-0000-000031560000}"/>
    <cellStyle name="Normal 255 5 2 2" xfId="22066" xr:uid="{00000000-0005-0000-0000-000032560000}"/>
    <cellStyle name="Normal 255 5 3" xfId="22067" xr:uid="{00000000-0005-0000-0000-000033560000}"/>
    <cellStyle name="Normal 255 6" xfId="22068" xr:uid="{00000000-0005-0000-0000-000034560000}"/>
    <cellStyle name="Normal 255 6 2" xfId="22069" xr:uid="{00000000-0005-0000-0000-000035560000}"/>
    <cellStyle name="Normal 255 6 2 2" xfId="22070" xr:uid="{00000000-0005-0000-0000-000036560000}"/>
    <cellStyle name="Normal 255 6 3" xfId="22071" xr:uid="{00000000-0005-0000-0000-000037560000}"/>
    <cellStyle name="Normal 255 7" xfId="22072" xr:uid="{00000000-0005-0000-0000-000038560000}"/>
    <cellStyle name="Normal 255 7 2" xfId="22073" xr:uid="{00000000-0005-0000-0000-000039560000}"/>
    <cellStyle name="Normal 255 7 2 2" xfId="22074" xr:uid="{00000000-0005-0000-0000-00003A560000}"/>
    <cellStyle name="Normal 255 7 3" xfId="22075" xr:uid="{00000000-0005-0000-0000-00003B560000}"/>
    <cellStyle name="Normal 255 8" xfId="22076" xr:uid="{00000000-0005-0000-0000-00003C560000}"/>
    <cellStyle name="Normal 256" xfId="22077" xr:uid="{00000000-0005-0000-0000-00003D560000}"/>
    <cellStyle name="Normal 256 2" xfId="22078" xr:uid="{00000000-0005-0000-0000-00003E560000}"/>
    <cellStyle name="Normal 256 2 2" xfId="22079" xr:uid="{00000000-0005-0000-0000-00003F560000}"/>
    <cellStyle name="Normal 256 2 2 2" xfId="22080" xr:uid="{00000000-0005-0000-0000-000040560000}"/>
    <cellStyle name="Normal 256 2 2 2 2" xfId="22081" xr:uid="{00000000-0005-0000-0000-000041560000}"/>
    <cellStyle name="Normal 256 2 2 3" xfId="22082" xr:uid="{00000000-0005-0000-0000-000042560000}"/>
    <cellStyle name="Normal 256 2 2 3 2" xfId="22083" xr:uid="{00000000-0005-0000-0000-000043560000}"/>
    <cellStyle name="Normal 256 2 2 3 2 2" xfId="22084" xr:uid="{00000000-0005-0000-0000-000044560000}"/>
    <cellStyle name="Normal 256 2 2 3 3" xfId="22085" xr:uid="{00000000-0005-0000-0000-000045560000}"/>
    <cellStyle name="Normal 256 2 2 4" xfId="22086" xr:uid="{00000000-0005-0000-0000-000046560000}"/>
    <cellStyle name="Normal 256 2 2 4 2" xfId="22087" xr:uid="{00000000-0005-0000-0000-000047560000}"/>
    <cellStyle name="Normal 256 2 2 4 2 2" xfId="22088" xr:uid="{00000000-0005-0000-0000-000048560000}"/>
    <cellStyle name="Normal 256 2 2 4 3" xfId="22089" xr:uid="{00000000-0005-0000-0000-000049560000}"/>
    <cellStyle name="Normal 256 2 2 5" xfId="22090" xr:uid="{00000000-0005-0000-0000-00004A560000}"/>
    <cellStyle name="Normal 256 2 3" xfId="22091" xr:uid="{00000000-0005-0000-0000-00004B560000}"/>
    <cellStyle name="Normal 256 2 3 2" xfId="22092" xr:uid="{00000000-0005-0000-0000-00004C560000}"/>
    <cellStyle name="Normal 256 2 3 2 2" xfId="22093" xr:uid="{00000000-0005-0000-0000-00004D560000}"/>
    <cellStyle name="Normal 256 2 3 2 2 2" xfId="22094" xr:uid="{00000000-0005-0000-0000-00004E560000}"/>
    <cellStyle name="Normal 256 2 3 2 3" xfId="22095" xr:uid="{00000000-0005-0000-0000-00004F560000}"/>
    <cellStyle name="Normal 256 2 3 2 3 2" xfId="22096" xr:uid="{00000000-0005-0000-0000-000050560000}"/>
    <cellStyle name="Normal 256 2 3 2 3 2 2" xfId="22097" xr:uid="{00000000-0005-0000-0000-000051560000}"/>
    <cellStyle name="Normal 256 2 3 2 3 3" xfId="22098" xr:uid="{00000000-0005-0000-0000-000052560000}"/>
    <cellStyle name="Normal 256 2 3 2 4" xfId="22099" xr:uid="{00000000-0005-0000-0000-000053560000}"/>
    <cellStyle name="Normal 256 2 3 3" xfId="22100" xr:uid="{00000000-0005-0000-0000-000054560000}"/>
    <cellStyle name="Normal 256 2 3 3 2" xfId="22101" xr:uid="{00000000-0005-0000-0000-000055560000}"/>
    <cellStyle name="Normal 256 2 3 3 2 2" xfId="22102" xr:uid="{00000000-0005-0000-0000-000056560000}"/>
    <cellStyle name="Normal 256 2 3 3 3" xfId="22103" xr:uid="{00000000-0005-0000-0000-000057560000}"/>
    <cellStyle name="Normal 256 2 3 4" xfId="22104" xr:uid="{00000000-0005-0000-0000-000058560000}"/>
    <cellStyle name="Normal 256 2 3 4 2" xfId="22105" xr:uid="{00000000-0005-0000-0000-000059560000}"/>
    <cellStyle name="Normal 256 2 3 4 2 2" xfId="22106" xr:uid="{00000000-0005-0000-0000-00005A560000}"/>
    <cellStyle name="Normal 256 2 3 4 3" xfId="22107" xr:uid="{00000000-0005-0000-0000-00005B560000}"/>
    <cellStyle name="Normal 256 2 3 5" xfId="22108" xr:uid="{00000000-0005-0000-0000-00005C560000}"/>
    <cellStyle name="Normal 256 2 3 5 2" xfId="22109" xr:uid="{00000000-0005-0000-0000-00005D560000}"/>
    <cellStyle name="Normal 256 2 3 5 2 2" xfId="22110" xr:uid="{00000000-0005-0000-0000-00005E560000}"/>
    <cellStyle name="Normal 256 2 3 5 3" xfId="22111" xr:uid="{00000000-0005-0000-0000-00005F560000}"/>
    <cellStyle name="Normal 256 2 3 6" xfId="22112" xr:uid="{00000000-0005-0000-0000-000060560000}"/>
    <cellStyle name="Normal 256 2 4" xfId="22113" xr:uid="{00000000-0005-0000-0000-000061560000}"/>
    <cellStyle name="Normal 256 2 4 2" xfId="22114" xr:uid="{00000000-0005-0000-0000-000062560000}"/>
    <cellStyle name="Normal 256 2 4 2 2" xfId="22115" xr:uid="{00000000-0005-0000-0000-000063560000}"/>
    <cellStyle name="Normal 256 2 4 3" xfId="22116" xr:uid="{00000000-0005-0000-0000-000064560000}"/>
    <cellStyle name="Normal 256 2 5" xfId="22117" xr:uid="{00000000-0005-0000-0000-000065560000}"/>
    <cellStyle name="Normal 256 2 5 2" xfId="22118" xr:uid="{00000000-0005-0000-0000-000066560000}"/>
    <cellStyle name="Normal 256 2 5 2 2" xfId="22119" xr:uid="{00000000-0005-0000-0000-000067560000}"/>
    <cellStyle name="Normal 256 2 5 3" xfId="22120" xr:uid="{00000000-0005-0000-0000-000068560000}"/>
    <cellStyle name="Normal 256 2 6" xfId="22121" xr:uid="{00000000-0005-0000-0000-000069560000}"/>
    <cellStyle name="Normal 256 2 6 2" xfId="22122" xr:uid="{00000000-0005-0000-0000-00006A560000}"/>
    <cellStyle name="Normal 256 2 6 2 2" xfId="22123" xr:uid="{00000000-0005-0000-0000-00006B560000}"/>
    <cellStyle name="Normal 256 2 6 3" xfId="22124" xr:uid="{00000000-0005-0000-0000-00006C560000}"/>
    <cellStyle name="Normal 256 2 7" xfId="22125" xr:uid="{00000000-0005-0000-0000-00006D560000}"/>
    <cellStyle name="Normal 256 3" xfId="22126" xr:uid="{00000000-0005-0000-0000-00006E560000}"/>
    <cellStyle name="Normal 256 3 2" xfId="22127" xr:uid="{00000000-0005-0000-0000-00006F560000}"/>
    <cellStyle name="Normal 256 3 2 2" xfId="22128" xr:uid="{00000000-0005-0000-0000-000070560000}"/>
    <cellStyle name="Normal 256 3 3" xfId="22129" xr:uid="{00000000-0005-0000-0000-000071560000}"/>
    <cellStyle name="Normal 256 3 3 2" xfId="22130" xr:uid="{00000000-0005-0000-0000-000072560000}"/>
    <cellStyle name="Normal 256 3 3 2 2" xfId="22131" xr:uid="{00000000-0005-0000-0000-000073560000}"/>
    <cellStyle name="Normal 256 3 3 3" xfId="22132" xr:uid="{00000000-0005-0000-0000-000074560000}"/>
    <cellStyle name="Normal 256 3 4" xfId="22133" xr:uid="{00000000-0005-0000-0000-000075560000}"/>
    <cellStyle name="Normal 256 3 4 2" xfId="22134" xr:uid="{00000000-0005-0000-0000-000076560000}"/>
    <cellStyle name="Normal 256 3 4 2 2" xfId="22135" xr:uid="{00000000-0005-0000-0000-000077560000}"/>
    <cellStyle name="Normal 256 3 4 3" xfId="22136" xr:uid="{00000000-0005-0000-0000-000078560000}"/>
    <cellStyle name="Normal 256 3 5" xfId="22137" xr:uid="{00000000-0005-0000-0000-000079560000}"/>
    <cellStyle name="Normal 256 4" xfId="22138" xr:uid="{00000000-0005-0000-0000-00007A560000}"/>
    <cellStyle name="Normal 256 4 2" xfId="22139" xr:uid="{00000000-0005-0000-0000-00007B560000}"/>
    <cellStyle name="Normal 256 4 2 2" xfId="22140" xr:uid="{00000000-0005-0000-0000-00007C560000}"/>
    <cellStyle name="Normal 256 4 2 2 2" xfId="22141" xr:uid="{00000000-0005-0000-0000-00007D560000}"/>
    <cellStyle name="Normal 256 4 2 3" xfId="22142" xr:uid="{00000000-0005-0000-0000-00007E560000}"/>
    <cellStyle name="Normal 256 4 2 3 2" xfId="22143" xr:uid="{00000000-0005-0000-0000-00007F560000}"/>
    <cellStyle name="Normal 256 4 2 3 2 2" xfId="22144" xr:uid="{00000000-0005-0000-0000-000080560000}"/>
    <cellStyle name="Normal 256 4 2 3 3" xfId="22145" xr:uid="{00000000-0005-0000-0000-000081560000}"/>
    <cellStyle name="Normal 256 4 2 4" xfId="22146" xr:uid="{00000000-0005-0000-0000-000082560000}"/>
    <cellStyle name="Normal 256 4 3" xfId="22147" xr:uid="{00000000-0005-0000-0000-000083560000}"/>
    <cellStyle name="Normal 256 4 3 2" xfId="22148" xr:uid="{00000000-0005-0000-0000-000084560000}"/>
    <cellStyle name="Normal 256 4 3 2 2" xfId="22149" xr:uid="{00000000-0005-0000-0000-000085560000}"/>
    <cellStyle name="Normal 256 4 3 3" xfId="22150" xr:uid="{00000000-0005-0000-0000-000086560000}"/>
    <cellStyle name="Normal 256 4 4" xfId="22151" xr:uid="{00000000-0005-0000-0000-000087560000}"/>
    <cellStyle name="Normal 256 4 4 2" xfId="22152" xr:uid="{00000000-0005-0000-0000-000088560000}"/>
    <cellStyle name="Normal 256 4 4 2 2" xfId="22153" xr:uid="{00000000-0005-0000-0000-000089560000}"/>
    <cellStyle name="Normal 256 4 4 3" xfId="22154" xr:uid="{00000000-0005-0000-0000-00008A560000}"/>
    <cellStyle name="Normal 256 4 5" xfId="22155" xr:uid="{00000000-0005-0000-0000-00008B560000}"/>
    <cellStyle name="Normal 256 4 5 2" xfId="22156" xr:uid="{00000000-0005-0000-0000-00008C560000}"/>
    <cellStyle name="Normal 256 4 5 2 2" xfId="22157" xr:uid="{00000000-0005-0000-0000-00008D560000}"/>
    <cellStyle name="Normal 256 4 5 3" xfId="22158" xr:uid="{00000000-0005-0000-0000-00008E560000}"/>
    <cellStyle name="Normal 256 4 6" xfId="22159" xr:uid="{00000000-0005-0000-0000-00008F560000}"/>
    <cellStyle name="Normal 256 5" xfId="22160" xr:uid="{00000000-0005-0000-0000-000090560000}"/>
    <cellStyle name="Normal 256 5 2" xfId="22161" xr:uid="{00000000-0005-0000-0000-000091560000}"/>
    <cellStyle name="Normal 256 5 2 2" xfId="22162" xr:uid="{00000000-0005-0000-0000-000092560000}"/>
    <cellStyle name="Normal 256 5 3" xfId="22163" xr:uid="{00000000-0005-0000-0000-000093560000}"/>
    <cellStyle name="Normal 256 6" xfId="22164" xr:uid="{00000000-0005-0000-0000-000094560000}"/>
    <cellStyle name="Normal 256 6 2" xfId="22165" xr:uid="{00000000-0005-0000-0000-000095560000}"/>
    <cellStyle name="Normal 256 6 2 2" xfId="22166" xr:uid="{00000000-0005-0000-0000-000096560000}"/>
    <cellStyle name="Normal 256 6 3" xfId="22167" xr:uid="{00000000-0005-0000-0000-000097560000}"/>
    <cellStyle name="Normal 256 7" xfId="22168" xr:uid="{00000000-0005-0000-0000-000098560000}"/>
    <cellStyle name="Normal 256 7 2" xfId="22169" xr:uid="{00000000-0005-0000-0000-000099560000}"/>
    <cellStyle name="Normal 256 7 2 2" xfId="22170" xr:uid="{00000000-0005-0000-0000-00009A560000}"/>
    <cellStyle name="Normal 256 7 3" xfId="22171" xr:uid="{00000000-0005-0000-0000-00009B560000}"/>
    <cellStyle name="Normal 256 8" xfId="22172" xr:uid="{00000000-0005-0000-0000-00009C560000}"/>
    <cellStyle name="Normal 257" xfId="22173" xr:uid="{00000000-0005-0000-0000-00009D560000}"/>
    <cellStyle name="Normal 257 2" xfId="22174" xr:uid="{00000000-0005-0000-0000-00009E560000}"/>
    <cellStyle name="Normal 257 2 2" xfId="22175" xr:uid="{00000000-0005-0000-0000-00009F560000}"/>
    <cellStyle name="Normal 257 2 2 2" xfId="22176" xr:uid="{00000000-0005-0000-0000-0000A0560000}"/>
    <cellStyle name="Normal 257 2 3" xfId="22177" xr:uid="{00000000-0005-0000-0000-0000A1560000}"/>
    <cellStyle name="Normal 257 2 3 2" xfId="22178" xr:uid="{00000000-0005-0000-0000-0000A2560000}"/>
    <cellStyle name="Normal 257 2 3 2 2" xfId="22179" xr:uid="{00000000-0005-0000-0000-0000A3560000}"/>
    <cellStyle name="Normal 257 2 3 3" xfId="22180" xr:uid="{00000000-0005-0000-0000-0000A4560000}"/>
    <cellStyle name="Normal 257 2 4" xfId="22181" xr:uid="{00000000-0005-0000-0000-0000A5560000}"/>
    <cellStyle name="Normal 257 2 4 2" xfId="22182" xr:uid="{00000000-0005-0000-0000-0000A6560000}"/>
    <cellStyle name="Normal 257 2 4 2 2" xfId="22183" xr:uid="{00000000-0005-0000-0000-0000A7560000}"/>
    <cellStyle name="Normal 257 2 4 3" xfId="22184" xr:uid="{00000000-0005-0000-0000-0000A8560000}"/>
    <cellStyle name="Normal 257 2 5" xfId="22185" xr:uid="{00000000-0005-0000-0000-0000A9560000}"/>
    <cellStyle name="Normal 257 3" xfId="22186" xr:uid="{00000000-0005-0000-0000-0000AA560000}"/>
    <cellStyle name="Normal 257 3 2" xfId="22187" xr:uid="{00000000-0005-0000-0000-0000AB560000}"/>
    <cellStyle name="Normal 257 3 2 2" xfId="22188" xr:uid="{00000000-0005-0000-0000-0000AC560000}"/>
    <cellStyle name="Normal 257 3 2 2 2" xfId="22189" xr:uid="{00000000-0005-0000-0000-0000AD560000}"/>
    <cellStyle name="Normal 257 3 2 3" xfId="22190" xr:uid="{00000000-0005-0000-0000-0000AE560000}"/>
    <cellStyle name="Normal 257 3 2 3 2" xfId="22191" xr:uid="{00000000-0005-0000-0000-0000AF560000}"/>
    <cellStyle name="Normal 257 3 2 3 2 2" xfId="22192" xr:uid="{00000000-0005-0000-0000-0000B0560000}"/>
    <cellStyle name="Normal 257 3 2 3 3" xfId="22193" xr:uid="{00000000-0005-0000-0000-0000B1560000}"/>
    <cellStyle name="Normal 257 3 2 4" xfId="22194" xr:uid="{00000000-0005-0000-0000-0000B2560000}"/>
    <cellStyle name="Normal 257 3 3" xfId="22195" xr:uid="{00000000-0005-0000-0000-0000B3560000}"/>
    <cellStyle name="Normal 257 3 3 2" xfId="22196" xr:uid="{00000000-0005-0000-0000-0000B4560000}"/>
    <cellStyle name="Normal 257 3 3 2 2" xfId="22197" xr:uid="{00000000-0005-0000-0000-0000B5560000}"/>
    <cellStyle name="Normal 257 3 3 3" xfId="22198" xr:uid="{00000000-0005-0000-0000-0000B6560000}"/>
    <cellStyle name="Normal 257 3 4" xfId="22199" xr:uid="{00000000-0005-0000-0000-0000B7560000}"/>
    <cellStyle name="Normal 257 3 4 2" xfId="22200" xr:uid="{00000000-0005-0000-0000-0000B8560000}"/>
    <cellStyle name="Normal 257 3 4 2 2" xfId="22201" xr:uid="{00000000-0005-0000-0000-0000B9560000}"/>
    <cellStyle name="Normal 257 3 4 3" xfId="22202" xr:uid="{00000000-0005-0000-0000-0000BA560000}"/>
    <cellStyle name="Normal 257 3 5" xfId="22203" xr:uid="{00000000-0005-0000-0000-0000BB560000}"/>
    <cellStyle name="Normal 257 3 5 2" xfId="22204" xr:uid="{00000000-0005-0000-0000-0000BC560000}"/>
    <cellStyle name="Normal 257 3 5 2 2" xfId="22205" xr:uid="{00000000-0005-0000-0000-0000BD560000}"/>
    <cellStyle name="Normal 257 3 5 3" xfId="22206" xr:uid="{00000000-0005-0000-0000-0000BE560000}"/>
    <cellStyle name="Normal 257 3 6" xfId="22207" xr:uid="{00000000-0005-0000-0000-0000BF560000}"/>
    <cellStyle name="Normal 257 4" xfId="22208" xr:uid="{00000000-0005-0000-0000-0000C0560000}"/>
    <cellStyle name="Normal 257 4 2" xfId="22209" xr:uid="{00000000-0005-0000-0000-0000C1560000}"/>
    <cellStyle name="Normal 257 4 2 2" xfId="22210" xr:uid="{00000000-0005-0000-0000-0000C2560000}"/>
    <cellStyle name="Normal 257 4 3" xfId="22211" xr:uid="{00000000-0005-0000-0000-0000C3560000}"/>
    <cellStyle name="Normal 257 5" xfId="22212" xr:uid="{00000000-0005-0000-0000-0000C4560000}"/>
    <cellStyle name="Normal 257 5 2" xfId="22213" xr:uid="{00000000-0005-0000-0000-0000C5560000}"/>
    <cellStyle name="Normal 257 5 2 2" xfId="22214" xr:uid="{00000000-0005-0000-0000-0000C6560000}"/>
    <cellStyle name="Normal 257 5 3" xfId="22215" xr:uid="{00000000-0005-0000-0000-0000C7560000}"/>
    <cellStyle name="Normal 257 6" xfId="22216" xr:uid="{00000000-0005-0000-0000-0000C8560000}"/>
    <cellStyle name="Normal 257 6 2" xfId="22217" xr:uid="{00000000-0005-0000-0000-0000C9560000}"/>
    <cellStyle name="Normal 257 6 2 2" xfId="22218" xr:uid="{00000000-0005-0000-0000-0000CA560000}"/>
    <cellStyle name="Normal 257 6 3" xfId="22219" xr:uid="{00000000-0005-0000-0000-0000CB560000}"/>
    <cellStyle name="Normal 257 7" xfId="22220" xr:uid="{00000000-0005-0000-0000-0000CC560000}"/>
    <cellStyle name="Normal 258" xfId="22221" xr:uid="{00000000-0005-0000-0000-0000CD560000}"/>
    <cellStyle name="Normal 258 2" xfId="22222" xr:uid="{00000000-0005-0000-0000-0000CE560000}"/>
    <cellStyle name="Normal 258 2 2" xfId="22223" xr:uid="{00000000-0005-0000-0000-0000CF560000}"/>
    <cellStyle name="Normal 258 2 2 2" xfId="22224" xr:uid="{00000000-0005-0000-0000-0000D0560000}"/>
    <cellStyle name="Normal 258 2 3" xfId="22225" xr:uid="{00000000-0005-0000-0000-0000D1560000}"/>
    <cellStyle name="Normal 258 2 3 2" xfId="22226" xr:uid="{00000000-0005-0000-0000-0000D2560000}"/>
    <cellStyle name="Normal 258 2 3 2 2" xfId="22227" xr:uid="{00000000-0005-0000-0000-0000D3560000}"/>
    <cellStyle name="Normal 258 2 3 3" xfId="22228" xr:uid="{00000000-0005-0000-0000-0000D4560000}"/>
    <cellStyle name="Normal 258 2 4" xfId="22229" xr:uid="{00000000-0005-0000-0000-0000D5560000}"/>
    <cellStyle name="Normal 258 2 4 2" xfId="22230" xr:uid="{00000000-0005-0000-0000-0000D6560000}"/>
    <cellStyle name="Normal 258 2 4 2 2" xfId="22231" xr:uid="{00000000-0005-0000-0000-0000D7560000}"/>
    <cellStyle name="Normal 258 2 4 3" xfId="22232" xr:uid="{00000000-0005-0000-0000-0000D8560000}"/>
    <cellStyle name="Normal 258 2 5" xfId="22233" xr:uid="{00000000-0005-0000-0000-0000D9560000}"/>
    <cellStyle name="Normal 258 3" xfId="22234" xr:uid="{00000000-0005-0000-0000-0000DA560000}"/>
    <cellStyle name="Normal 258 3 2" xfId="22235" xr:uid="{00000000-0005-0000-0000-0000DB560000}"/>
    <cellStyle name="Normal 258 3 2 2" xfId="22236" xr:uid="{00000000-0005-0000-0000-0000DC560000}"/>
    <cellStyle name="Normal 258 3 2 2 2" xfId="22237" xr:uid="{00000000-0005-0000-0000-0000DD560000}"/>
    <cellStyle name="Normal 258 3 2 3" xfId="22238" xr:uid="{00000000-0005-0000-0000-0000DE560000}"/>
    <cellStyle name="Normal 258 3 2 3 2" xfId="22239" xr:uid="{00000000-0005-0000-0000-0000DF560000}"/>
    <cellStyle name="Normal 258 3 2 3 2 2" xfId="22240" xr:uid="{00000000-0005-0000-0000-0000E0560000}"/>
    <cellStyle name="Normal 258 3 2 3 3" xfId="22241" xr:uid="{00000000-0005-0000-0000-0000E1560000}"/>
    <cellStyle name="Normal 258 3 2 4" xfId="22242" xr:uid="{00000000-0005-0000-0000-0000E2560000}"/>
    <cellStyle name="Normal 258 3 3" xfId="22243" xr:uid="{00000000-0005-0000-0000-0000E3560000}"/>
    <cellStyle name="Normal 258 3 3 2" xfId="22244" xr:uid="{00000000-0005-0000-0000-0000E4560000}"/>
    <cellStyle name="Normal 258 3 3 2 2" xfId="22245" xr:uid="{00000000-0005-0000-0000-0000E5560000}"/>
    <cellStyle name="Normal 258 3 3 3" xfId="22246" xr:uid="{00000000-0005-0000-0000-0000E6560000}"/>
    <cellStyle name="Normal 258 3 4" xfId="22247" xr:uid="{00000000-0005-0000-0000-0000E7560000}"/>
    <cellStyle name="Normal 258 3 4 2" xfId="22248" xr:uid="{00000000-0005-0000-0000-0000E8560000}"/>
    <cellStyle name="Normal 258 3 4 2 2" xfId="22249" xr:uid="{00000000-0005-0000-0000-0000E9560000}"/>
    <cellStyle name="Normal 258 3 4 3" xfId="22250" xr:uid="{00000000-0005-0000-0000-0000EA560000}"/>
    <cellStyle name="Normal 258 3 5" xfId="22251" xr:uid="{00000000-0005-0000-0000-0000EB560000}"/>
    <cellStyle name="Normal 258 3 5 2" xfId="22252" xr:uid="{00000000-0005-0000-0000-0000EC560000}"/>
    <cellStyle name="Normal 258 3 5 2 2" xfId="22253" xr:uid="{00000000-0005-0000-0000-0000ED560000}"/>
    <cellStyle name="Normal 258 3 5 3" xfId="22254" xr:uid="{00000000-0005-0000-0000-0000EE560000}"/>
    <cellStyle name="Normal 258 3 6" xfId="22255" xr:uid="{00000000-0005-0000-0000-0000EF560000}"/>
    <cellStyle name="Normal 258 4" xfId="22256" xr:uid="{00000000-0005-0000-0000-0000F0560000}"/>
    <cellStyle name="Normal 258 4 2" xfId="22257" xr:uid="{00000000-0005-0000-0000-0000F1560000}"/>
    <cellStyle name="Normal 258 4 2 2" xfId="22258" xr:uid="{00000000-0005-0000-0000-0000F2560000}"/>
    <cellStyle name="Normal 258 4 3" xfId="22259" xr:uid="{00000000-0005-0000-0000-0000F3560000}"/>
    <cellStyle name="Normal 258 5" xfId="22260" xr:uid="{00000000-0005-0000-0000-0000F4560000}"/>
    <cellStyle name="Normal 258 5 2" xfId="22261" xr:uid="{00000000-0005-0000-0000-0000F5560000}"/>
    <cellStyle name="Normal 258 5 2 2" xfId="22262" xr:uid="{00000000-0005-0000-0000-0000F6560000}"/>
    <cellStyle name="Normal 258 5 3" xfId="22263" xr:uid="{00000000-0005-0000-0000-0000F7560000}"/>
    <cellStyle name="Normal 258 6" xfId="22264" xr:uid="{00000000-0005-0000-0000-0000F8560000}"/>
    <cellStyle name="Normal 258 6 2" xfId="22265" xr:uid="{00000000-0005-0000-0000-0000F9560000}"/>
    <cellStyle name="Normal 258 6 2 2" xfId="22266" xr:uid="{00000000-0005-0000-0000-0000FA560000}"/>
    <cellStyle name="Normal 258 6 3" xfId="22267" xr:uid="{00000000-0005-0000-0000-0000FB560000}"/>
    <cellStyle name="Normal 258 7" xfId="22268" xr:uid="{00000000-0005-0000-0000-0000FC560000}"/>
    <cellStyle name="Normal 259" xfId="22269" xr:uid="{00000000-0005-0000-0000-0000FD560000}"/>
    <cellStyle name="Normal 259 2" xfId="22270" xr:uid="{00000000-0005-0000-0000-0000FE560000}"/>
    <cellStyle name="Normal 259 2 2" xfId="22271" xr:uid="{00000000-0005-0000-0000-0000FF560000}"/>
    <cellStyle name="Normal 259 2 2 2" xfId="22272" xr:uid="{00000000-0005-0000-0000-000000570000}"/>
    <cellStyle name="Normal 259 2 3" xfId="22273" xr:uid="{00000000-0005-0000-0000-000001570000}"/>
    <cellStyle name="Normal 259 2 3 2" xfId="22274" xr:uid="{00000000-0005-0000-0000-000002570000}"/>
    <cellStyle name="Normal 259 2 3 2 2" xfId="22275" xr:uid="{00000000-0005-0000-0000-000003570000}"/>
    <cellStyle name="Normal 259 2 3 3" xfId="22276" xr:uid="{00000000-0005-0000-0000-000004570000}"/>
    <cellStyle name="Normal 259 2 4" xfId="22277" xr:uid="{00000000-0005-0000-0000-000005570000}"/>
    <cellStyle name="Normal 259 2 4 2" xfId="22278" xr:uid="{00000000-0005-0000-0000-000006570000}"/>
    <cellStyle name="Normal 259 2 4 2 2" xfId="22279" xr:uid="{00000000-0005-0000-0000-000007570000}"/>
    <cellStyle name="Normal 259 2 4 3" xfId="22280" xr:uid="{00000000-0005-0000-0000-000008570000}"/>
    <cellStyle name="Normal 259 2 5" xfId="22281" xr:uid="{00000000-0005-0000-0000-000009570000}"/>
    <cellStyle name="Normal 259 3" xfId="22282" xr:uid="{00000000-0005-0000-0000-00000A570000}"/>
    <cellStyle name="Normal 259 3 2" xfId="22283" xr:uid="{00000000-0005-0000-0000-00000B570000}"/>
    <cellStyle name="Normal 259 3 2 2" xfId="22284" xr:uid="{00000000-0005-0000-0000-00000C570000}"/>
    <cellStyle name="Normal 259 3 2 2 2" xfId="22285" xr:uid="{00000000-0005-0000-0000-00000D570000}"/>
    <cellStyle name="Normal 259 3 2 3" xfId="22286" xr:uid="{00000000-0005-0000-0000-00000E570000}"/>
    <cellStyle name="Normal 259 3 2 3 2" xfId="22287" xr:uid="{00000000-0005-0000-0000-00000F570000}"/>
    <cellStyle name="Normal 259 3 2 3 2 2" xfId="22288" xr:uid="{00000000-0005-0000-0000-000010570000}"/>
    <cellStyle name="Normal 259 3 2 3 3" xfId="22289" xr:uid="{00000000-0005-0000-0000-000011570000}"/>
    <cellStyle name="Normal 259 3 2 4" xfId="22290" xr:uid="{00000000-0005-0000-0000-000012570000}"/>
    <cellStyle name="Normal 259 3 3" xfId="22291" xr:uid="{00000000-0005-0000-0000-000013570000}"/>
    <cellStyle name="Normal 259 3 3 2" xfId="22292" xr:uid="{00000000-0005-0000-0000-000014570000}"/>
    <cellStyle name="Normal 259 3 3 2 2" xfId="22293" xr:uid="{00000000-0005-0000-0000-000015570000}"/>
    <cellStyle name="Normal 259 3 3 3" xfId="22294" xr:uid="{00000000-0005-0000-0000-000016570000}"/>
    <cellStyle name="Normal 259 3 4" xfId="22295" xr:uid="{00000000-0005-0000-0000-000017570000}"/>
    <cellStyle name="Normal 259 3 4 2" xfId="22296" xr:uid="{00000000-0005-0000-0000-000018570000}"/>
    <cellStyle name="Normal 259 3 4 2 2" xfId="22297" xr:uid="{00000000-0005-0000-0000-000019570000}"/>
    <cellStyle name="Normal 259 3 4 3" xfId="22298" xr:uid="{00000000-0005-0000-0000-00001A570000}"/>
    <cellStyle name="Normal 259 3 5" xfId="22299" xr:uid="{00000000-0005-0000-0000-00001B570000}"/>
    <cellStyle name="Normal 259 3 5 2" xfId="22300" xr:uid="{00000000-0005-0000-0000-00001C570000}"/>
    <cellStyle name="Normal 259 3 5 2 2" xfId="22301" xr:uid="{00000000-0005-0000-0000-00001D570000}"/>
    <cellStyle name="Normal 259 3 5 3" xfId="22302" xr:uid="{00000000-0005-0000-0000-00001E570000}"/>
    <cellStyle name="Normal 259 3 6" xfId="22303" xr:uid="{00000000-0005-0000-0000-00001F570000}"/>
    <cellStyle name="Normal 259 4" xfId="22304" xr:uid="{00000000-0005-0000-0000-000020570000}"/>
    <cellStyle name="Normal 259 4 2" xfId="22305" xr:uid="{00000000-0005-0000-0000-000021570000}"/>
    <cellStyle name="Normal 259 4 2 2" xfId="22306" xr:uid="{00000000-0005-0000-0000-000022570000}"/>
    <cellStyle name="Normal 259 4 3" xfId="22307" xr:uid="{00000000-0005-0000-0000-000023570000}"/>
    <cellStyle name="Normal 259 5" xfId="22308" xr:uid="{00000000-0005-0000-0000-000024570000}"/>
    <cellStyle name="Normal 259 5 2" xfId="22309" xr:uid="{00000000-0005-0000-0000-000025570000}"/>
    <cellStyle name="Normal 259 5 2 2" xfId="22310" xr:uid="{00000000-0005-0000-0000-000026570000}"/>
    <cellStyle name="Normal 259 5 3" xfId="22311" xr:uid="{00000000-0005-0000-0000-000027570000}"/>
    <cellStyle name="Normal 259 6" xfId="22312" xr:uid="{00000000-0005-0000-0000-000028570000}"/>
    <cellStyle name="Normal 259 6 2" xfId="22313" xr:uid="{00000000-0005-0000-0000-000029570000}"/>
    <cellStyle name="Normal 259 6 2 2" xfId="22314" xr:uid="{00000000-0005-0000-0000-00002A570000}"/>
    <cellStyle name="Normal 259 6 3" xfId="22315" xr:uid="{00000000-0005-0000-0000-00002B570000}"/>
    <cellStyle name="Normal 259 7" xfId="22316" xr:uid="{00000000-0005-0000-0000-00002C570000}"/>
    <cellStyle name="Normal 26" xfId="22317" xr:uid="{00000000-0005-0000-0000-00002D570000}"/>
    <cellStyle name="Normal 26 2" xfId="22318" xr:uid="{00000000-0005-0000-0000-00002E570000}"/>
    <cellStyle name="Normal 26 2 2" xfId="22319" xr:uid="{00000000-0005-0000-0000-00002F570000}"/>
    <cellStyle name="Normal 26 2 2 2" xfId="22320" xr:uid="{00000000-0005-0000-0000-000030570000}"/>
    <cellStyle name="Normal 26 2 2 2 2" xfId="22321" xr:uid="{00000000-0005-0000-0000-000031570000}"/>
    <cellStyle name="Normal 26 2 2 3" xfId="22322" xr:uid="{00000000-0005-0000-0000-000032570000}"/>
    <cellStyle name="Normal 26 2 2 3 2" xfId="22323" xr:uid="{00000000-0005-0000-0000-000033570000}"/>
    <cellStyle name="Normal 26 2 2 3 2 2" xfId="22324" xr:uid="{00000000-0005-0000-0000-000034570000}"/>
    <cellStyle name="Normal 26 2 2 3 3" xfId="22325" xr:uid="{00000000-0005-0000-0000-000035570000}"/>
    <cellStyle name="Normal 26 2 2 4" xfId="22326" xr:uid="{00000000-0005-0000-0000-000036570000}"/>
    <cellStyle name="Normal 26 2 2 4 2" xfId="22327" xr:uid="{00000000-0005-0000-0000-000037570000}"/>
    <cellStyle name="Normal 26 2 2 4 2 2" xfId="22328" xr:uid="{00000000-0005-0000-0000-000038570000}"/>
    <cellStyle name="Normal 26 2 2 4 3" xfId="22329" xr:uid="{00000000-0005-0000-0000-000039570000}"/>
    <cellStyle name="Normal 26 2 2 5" xfId="22330" xr:uid="{00000000-0005-0000-0000-00003A570000}"/>
    <cellStyle name="Normal 26 2 3" xfId="22331" xr:uid="{00000000-0005-0000-0000-00003B570000}"/>
    <cellStyle name="Normal 26 2 3 2" xfId="22332" xr:uid="{00000000-0005-0000-0000-00003C570000}"/>
    <cellStyle name="Normal 26 2 3 2 2" xfId="22333" xr:uid="{00000000-0005-0000-0000-00003D570000}"/>
    <cellStyle name="Normal 26 2 3 3" xfId="22334" xr:uid="{00000000-0005-0000-0000-00003E570000}"/>
    <cellStyle name="Normal 26 2 4" xfId="22335" xr:uid="{00000000-0005-0000-0000-00003F570000}"/>
    <cellStyle name="Normal 26 2 4 2" xfId="22336" xr:uid="{00000000-0005-0000-0000-000040570000}"/>
    <cellStyle name="Normal 26 2 4 2 2" xfId="22337" xr:uid="{00000000-0005-0000-0000-000041570000}"/>
    <cellStyle name="Normal 26 2 4 3" xfId="22338" xr:uid="{00000000-0005-0000-0000-000042570000}"/>
    <cellStyle name="Normal 26 2 5" xfId="22339" xr:uid="{00000000-0005-0000-0000-000043570000}"/>
    <cellStyle name="Normal 26 2 5 2" xfId="22340" xr:uid="{00000000-0005-0000-0000-000044570000}"/>
    <cellStyle name="Normal 26 2 5 2 2" xfId="22341" xr:uid="{00000000-0005-0000-0000-000045570000}"/>
    <cellStyle name="Normal 26 2 5 3" xfId="22342" xr:uid="{00000000-0005-0000-0000-000046570000}"/>
    <cellStyle name="Normal 26 2 6" xfId="22343" xr:uid="{00000000-0005-0000-0000-000047570000}"/>
    <cellStyle name="Normal 26 3" xfId="22344" xr:uid="{00000000-0005-0000-0000-000048570000}"/>
    <cellStyle name="Normal 26 3 2" xfId="22345" xr:uid="{00000000-0005-0000-0000-000049570000}"/>
    <cellStyle name="Normal 26 3 2 2" xfId="22346" xr:uid="{00000000-0005-0000-0000-00004A570000}"/>
    <cellStyle name="Normal 26 3 3" xfId="22347" xr:uid="{00000000-0005-0000-0000-00004B570000}"/>
    <cellStyle name="Normal 26 3 3 2" xfId="22348" xr:uid="{00000000-0005-0000-0000-00004C570000}"/>
    <cellStyle name="Normal 26 3 3 2 2" xfId="22349" xr:uid="{00000000-0005-0000-0000-00004D570000}"/>
    <cellStyle name="Normal 26 3 3 3" xfId="22350" xr:uid="{00000000-0005-0000-0000-00004E570000}"/>
    <cellStyle name="Normal 26 3 4" xfId="22351" xr:uid="{00000000-0005-0000-0000-00004F570000}"/>
    <cellStyle name="Normal 26 3 4 2" xfId="22352" xr:uid="{00000000-0005-0000-0000-000050570000}"/>
    <cellStyle name="Normal 26 3 4 2 2" xfId="22353" xr:uid="{00000000-0005-0000-0000-000051570000}"/>
    <cellStyle name="Normal 26 3 4 3" xfId="22354" xr:uid="{00000000-0005-0000-0000-000052570000}"/>
    <cellStyle name="Normal 26 3 5" xfId="22355" xr:uid="{00000000-0005-0000-0000-000053570000}"/>
    <cellStyle name="Normal 26 4" xfId="22356" xr:uid="{00000000-0005-0000-0000-000054570000}"/>
    <cellStyle name="Normal 26 4 2" xfId="22357" xr:uid="{00000000-0005-0000-0000-000055570000}"/>
    <cellStyle name="Normal 26 4 2 2" xfId="22358" xr:uid="{00000000-0005-0000-0000-000056570000}"/>
    <cellStyle name="Normal 26 4 3" xfId="22359" xr:uid="{00000000-0005-0000-0000-000057570000}"/>
    <cellStyle name="Normal 26 4 3 2" xfId="22360" xr:uid="{00000000-0005-0000-0000-000058570000}"/>
    <cellStyle name="Normal 26 4 3 2 2" xfId="22361" xr:uid="{00000000-0005-0000-0000-000059570000}"/>
    <cellStyle name="Normal 26 4 3 3" xfId="22362" xr:uid="{00000000-0005-0000-0000-00005A570000}"/>
    <cellStyle name="Normal 26 4 4" xfId="22363" xr:uid="{00000000-0005-0000-0000-00005B570000}"/>
    <cellStyle name="Normal 26 4 4 2" xfId="22364" xr:uid="{00000000-0005-0000-0000-00005C570000}"/>
    <cellStyle name="Normal 26 4 4 2 2" xfId="22365" xr:uid="{00000000-0005-0000-0000-00005D570000}"/>
    <cellStyle name="Normal 26 4 4 3" xfId="22366" xr:uid="{00000000-0005-0000-0000-00005E570000}"/>
    <cellStyle name="Normal 26 4 5" xfId="22367" xr:uid="{00000000-0005-0000-0000-00005F570000}"/>
    <cellStyle name="Normal 26 5" xfId="22368" xr:uid="{00000000-0005-0000-0000-000060570000}"/>
    <cellStyle name="Normal 26 5 2" xfId="22369" xr:uid="{00000000-0005-0000-0000-000061570000}"/>
    <cellStyle name="Normal 26 5 2 2" xfId="22370" xr:uid="{00000000-0005-0000-0000-000062570000}"/>
    <cellStyle name="Normal 26 5 3" xfId="22371" xr:uid="{00000000-0005-0000-0000-000063570000}"/>
    <cellStyle name="Normal 26 6" xfId="22372" xr:uid="{00000000-0005-0000-0000-000064570000}"/>
    <cellStyle name="Normal 26 6 2" xfId="22373" xr:uid="{00000000-0005-0000-0000-000065570000}"/>
    <cellStyle name="Normal 26 6 2 2" xfId="22374" xr:uid="{00000000-0005-0000-0000-000066570000}"/>
    <cellStyle name="Normal 26 6 3" xfId="22375" xr:uid="{00000000-0005-0000-0000-000067570000}"/>
    <cellStyle name="Normal 26 7" xfId="22376" xr:uid="{00000000-0005-0000-0000-000068570000}"/>
    <cellStyle name="Normal 26 7 2" xfId="22377" xr:uid="{00000000-0005-0000-0000-000069570000}"/>
    <cellStyle name="Normal 26 7 2 2" xfId="22378" xr:uid="{00000000-0005-0000-0000-00006A570000}"/>
    <cellStyle name="Normal 26 7 3" xfId="22379" xr:uid="{00000000-0005-0000-0000-00006B570000}"/>
    <cellStyle name="Normal 26 8" xfId="22380" xr:uid="{00000000-0005-0000-0000-00006C570000}"/>
    <cellStyle name="Normal 260" xfId="22381" xr:uid="{00000000-0005-0000-0000-00006D570000}"/>
    <cellStyle name="Normal 260 2" xfId="22382" xr:uid="{00000000-0005-0000-0000-00006E570000}"/>
    <cellStyle name="Normal 260 2 2" xfId="22383" xr:uid="{00000000-0005-0000-0000-00006F570000}"/>
    <cellStyle name="Normal 260 2 2 2" xfId="22384" xr:uid="{00000000-0005-0000-0000-000070570000}"/>
    <cellStyle name="Normal 260 2 2 2 2" xfId="22385" xr:uid="{00000000-0005-0000-0000-000071570000}"/>
    <cellStyle name="Normal 260 2 2 3" xfId="22386" xr:uid="{00000000-0005-0000-0000-000072570000}"/>
    <cellStyle name="Normal 260 2 2 3 2" xfId="22387" xr:uid="{00000000-0005-0000-0000-000073570000}"/>
    <cellStyle name="Normal 260 2 2 3 2 2" xfId="22388" xr:uid="{00000000-0005-0000-0000-000074570000}"/>
    <cellStyle name="Normal 260 2 2 3 3" xfId="22389" xr:uid="{00000000-0005-0000-0000-000075570000}"/>
    <cellStyle name="Normal 260 2 2 4" xfId="22390" xr:uid="{00000000-0005-0000-0000-000076570000}"/>
    <cellStyle name="Normal 260 2 2 4 2" xfId="22391" xr:uid="{00000000-0005-0000-0000-000077570000}"/>
    <cellStyle name="Normal 260 2 2 4 2 2" xfId="22392" xr:uid="{00000000-0005-0000-0000-000078570000}"/>
    <cellStyle name="Normal 260 2 2 4 3" xfId="22393" xr:uid="{00000000-0005-0000-0000-000079570000}"/>
    <cellStyle name="Normal 260 2 2 5" xfId="22394" xr:uid="{00000000-0005-0000-0000-00007A570000}"/>
    <cellStyle name="Normal 260 2 3" xfId="22395" xr:uid="{00000000-0005-0000-0000-00007B570000}"/>
    <cellStyle name="Normal 260 2 3 2" xfId="22396" xr:uid="{00000000-0005-0000-0000-00007C570000}"/>
    <cellStyle name="Normal 260 2 3 2 2" xfId="22397" xr:uid="{00000000-0005-0000-0000-00007D570000}"/>
    <cellStyle name="Normal 260 2 3 2 2 2" xfId="22398" xr:uid="{00000000-0005-0000-0000-00007E570000}"/>
    <cellStyle name="Normal 260 2 3 2 3" xfId="22399" xr:uid="{00000000-0005-0000-0000-00007F570000}"/>
    <cellStyle name="Normal 260 2 3 2 3 2" xfId="22400" xr:uid="{00000000-0005-0000-0000-000080570000}"/>
    <cellStyle name="Normal 260 2 3 2 3 2 2" xfId="22401" xr:uid="{00000000-0005-0000-0000-000081570000}"/>
    <cellStyle name="Normal 260 2 3 2 3 3" xfId="22402" xr:uid="{00000000-0005-0000-0000-000082570000}"/>
    <cellStyle name="Normal 260 2 3 2 4" xfId="22403" xr:uid="{00000000-0005-0000-0000-000083570000}"/>
    <cellStyle name="Normal 260 2 3 3" xfId="22404" xr:uid="{00000000-0005-0000-0000-000084570000}"/>
    <cellStyle name="Normal 260 2 3 3 2" xfId="22405" xr:uid="{00000000-0005-0000-0000-000085570000}"/>
    <cellStyle name="Normal 260 2 3 3 2 2" xfId="22406" xr:uid="{00000000-0005-0000-0000-000086570000}"/>
    <cellStyle name="Normal 260 2 3 3 3" xfId="22407" xr:uid="{00000000-0005-0000-0000-000087570000}"/>
    <cellStyle name="Normal 260 2 3 4" xfId="22408" xr:uid="{00000000-0005-0000-0000-000088570000}"/>
    <cellStyle name="Normal 260 2 3 4 2" xfId="22409" xr:uid="{00000000-0005-0000-0000-000089570000}"/>
    <cellStyle name="Normal 260 2 3 4 2 2" xfId="22410" xr:uid="{00000000-0005-0000-0000-00008A570000}"/>
    <cellStyle name="Normal 260 2 3 4 3" xfId="22411" xr:uid="{00000000-0005-0000-0000-00008B570000}"/>
    <cellStyle name="Normal 260 2 3 5" xfId="22412" xr:uid="{00000000-0005-0000-0000-00008C570000}"/>
    <cellStyle name="Normal 260 2 3 5 2" xfId="22413" xr:uid="{00000000-0005-0000-0000-00008D570000}"/>
    <cellStyle name="Normal 260 2 3 5 2 2" xfId="22414" xr:uid="{00000000-0005-0000-0000-00008E570000}"/>
    <cellStyle name="Normal 260 2 3 5 3" xfId="22415" xr:uid="{00000000-0005-0000-0000-00008F570000}"/>
    <cellStyle name="Normal 260 2 3 6" xfId="22416" xr:uid="{00000000-0005-0000-0000-000090570000}"/>
    <cellStyle name="Normal 260 2 4" xfId="22417" xr:uid="{00000000-0005-0000-0000-000091570000}"/>
    <cellStyle name="Normal 260 2 4 2" xfId="22418" xr:uid="{00000000-0005-0000-0000-000092570000}"/>
    <cellStyle name="Normal 260 2 4 2 2" xfId="22419" xr:uid="{00000000-0005-0000-0000-000093570000}"/>
    <cellStyle name="Normal 260 2 4 3" xfId="22420" xr:uid="{00000000-0005-0000-0000-000094570000}"/>
    <cellStyle name="Normal 260 2 5" xfId="22421" xr:uid="{00000000-0005-0000-0000-000095570000}"/>
    <cellStyle name="Normal 260 2 5 2" xfId="22422" xr:uid="{00000000-0005-0000-0000-000096570000}"/>
    <cellStyle name="Normal 260 2 5 2 2" xfId="22423" xr:uid="{00000000-0005-0000-0000-000097570000}"/>
    <cellStyle name="Normal 260 2 5 3" xfId="22424" xr:uid="{00000000-0005-0000-0000-000098570000}"/>
    <cellStyle name="Normal 260 2 6" xfId="22425" xr:uid="{00000000-0005-0000-0000-000099570000}"/>
    <cellStyle name="Normal 260 2 6 2" xfId="22426" xr:uid="{00000000-0005-0000-0000-00009A570000}"/>
    <cellStyle name="Normal 260 2 6 2 2" xfId="22427" xr:uid="{00000000-0005-0000-0000-00009B570000}"/>
    <cellStyle name="Normal 260 2 6 3" xfId="22428" xr:uid="{00000000-0005-0000-0000-00009C570000}"/>
    <cellStyle name="Normal 260 2 7" xfId="22429" xr:uid="{00000000-0005-0000-0000-00009D570000}"/>
    <cellStyle name="Normal 260 3" xfId="22430" xr:uid="{00000000-0005-0000-0000-00009E570000}"/>
    <cellStyle name="Normal 260 3 2" xfId="22431" xr:uid="{00000000-0005-0000-0000-00009F570000}"/>
    <cellStyle name="Normal 260 3 2 2" xfId="22432" xr:uid="{00000000-0005-0000-0000-0000A0570000}"/>
    <cellStyle name="Normal 260 3 3" xfId="22433" xr:uid="{00000000-0005-0000-0000-0000A1570000}"/>
    <cellStyle name="Normal 260 3 3 2" xfId="22434" xr:uid="{00000000-0005-0000-0000-0000A2570000}"/>
    <cellStyle name="Normal 260 3 3 2 2" xfId="22435" xr:uid="{00000000-0005-0000-0000-0000A3570000}"/>
    <cellStyle name="Normal 260 3 3 3" xfId="22436" xr:uid="{00000000-0005-0000-0000-0000A4570000}"/>
    <cellStyle name="Normal 260 3 4" xfId="22437" xr:uid="{00000000-0005-0000-0000-0000A5570000}"/>
    <cellStyle name="Normal 260 3 4 2" xfId="22438" xr:uid="{00000000-0005-0000-0000-0000A6570000}"/>
    <cellStyle name="Normal 260 3 4 2 2" xfId="22439" xr:uid="{00000000-0005-0000-0000-0000A7570000}"/>
    <cellStyle name="Normal 260 3 4 3" xfId="22440" xr:uid="{00000000-0005-0000-0000-0000A8570000}"/>
    <cellStyle name="Normal 260 3 5" xfId="22441" xr:uid="{00000000-0005-0000-0000-0000A9570000}"/>
    <cellStyle name="Normal 260 4" xfId="22442" xr:uid="{00000000-0005-0000-0000-0000AA570000}"/>
    <cellStyle name="Normal 260 4 2" xfId="22443" xr:uid="{00000000-0005-0000-0000-0000AB570000}"/>
    <cellStyle name="Normal 260 4 2 2" xfId="22444" xr:uid="{00000000-0005-0000-0000-0000AC570000}"/>
    <cellStyle name="Normal 260 4 2 2 2" xfId="22445" xr:uid="{00000000-0005-0000-0000-0000AD570000}"/>
    <cellStyle name="Normal 260 4 2 3" xfId="22446" xr:uid="{00000000-0005-0000-0000-0000AE570000}"/>
    <cellStyle name="Normal 260 4 2 3 2" xfId="22447" xr:uid="{00000000-0005-0000-0000-0000AF570000}"/>
    <cellStyle name="Normal 260 4 2 3 2 2" xfId="22448" xr:uid="{00000000-0005-0000-0000-0000B0570000}"/>
    <cellStyle name="Normal 260 4 2 3 3" xfId="22449" xr:uid="{00000000-0005-0000-0000-0000B1570000}"/>
    <cellStyle name="Normal 260 4 2 4" xfId="22450" xr:uid="{00000000-0005-0000-0000-0000B2570000}"/>
    <cellStyle name="Normal 260 4 3" xfId="22451" xr:uid="{00000000-0005-0000-0000-0000B3570000}"/>
    <cellStyle name="Normal 260 4 3 2" xfId="22452" xr:uid="{00000000-0005-0000-0000-0000B4570000}"/>
    <cellStyle name="Normal 260 4 3 2 2" xfId="22453" xr:uid="{00000000-0005-0000-0000-0000B5570000}"/>
    <cellStyle name="Normal 260 4 3 3" xfId="22454" xr:uid="{00000000-0005-0000-0000-0000B6570000}"/>
    <cellStyle name="Normal 260 4 4" xfId="22455" xr:uid="{00000000-0005-0000-0000-0000B7570000}"/>
    <cellStyle name="Normal 260 4 4 2" xfId="22456" xr:uid="{00000000-0005-0000-0000-0000B8570000}"/>
    <cellStyle name="Normal 260 4 4 2 2" xfId="22457" xr:uid="{00000000-0005-0000-0000-0000B9570000}"/>
    <cellStyle name="Normal 260 4 4 3" xfId="22458" xr:uid="{00000000-0005-0000-0000-0000BA570000}"/>
    <cellStyle name="Normal 260 4 5" xfId="22459" xr:uid="{00000000-0005-0000-0000-0000BB570000}"/>
    <cellStyle name="Normal 260 4 5 2" xfId="22460" xr:uid="{00000000-0005-0000-0000-0000BC570000}"/>
    <cellStyle name="Normal 260 4 5 2 2" xfId="22461" xr:uid="{00000000-0005-0000-0000-0000BD570000}"/>
    <cellStyle name="Normal 260 4 5 3" xfId="22462" xr:uid="{00000000-0005-0000-0000-0000BE570000}"/>
    <cellStyle name="Normal 260 4 6" xfId="22463" xr:uid="{00000000-0005-0000-0000-0000BF570000}"/>
    <cellStyle name="Normal 260 5" xfId="22464" xr:uid="{00000000-0005-0000-0000-0000C0570000}"/>
    <cellStyle name="Normal 260 5 2" xfId="22465" xr:uid="{00000000-0005-0000-0000-0000C1570000}"/>
    <cellStyle name="Normal 260 5 2 2" xfId="22466" xr:uid="{00000000-0005-0000-0000-0000C2570000}"/>
    <cellStyle name="Normal 260 5 3" xfId="22467" xr:uid="{00000000-0005-0000-0000-0000C3570000}"/>
    <cellStyle name="Normal 260 6" xfId="22468" xr:uid="{00000000-0005-0000-0000-0000C4570000}"/>
    <cellStyle name="Normal 260 6 2" xfId="22469" xr:uid="{00000000-0005-0000-0000-0000C5570000}"/>
    <cellStyle name="Normal 260 6 2 2" xfId="22470" xr:uid="{00000000-0005-0000-0000-0000C6570000}"/>
    <cellStyle name="Normal 260 6 3" xfId="22471" xr:uid="{00000000-0005-0000-0000-0000C7570000}"/>
    <cellStyle name="Normal 260 7" xfId="22472" xr:uid="{00000000-0005-0000-0000-0000C8570000}"/>
    <cellStyle name="Normal 260 7 2" xfId="22473" xr:uid="{00000000-0005-0000-0000-0000C9570000}"/>
    <cellStyle name="Normal 260 7 2 2" xfId="22474" xr:uid="{00000000-0005-0000-0000-0000CA570000}"/>
    <cellStyle name="Normal 260 7 3" xfId="22475" xr:uid="{00000000-0005-0000-0000-0000CB570000}"/>
    <cellStyle name="Normal 260 8" xfId="22476" xr:uid="{00000000-0005-0000-0000-0000CC570000}"/>
    <cellStyle name="Normal 261" xfId="22477" xr:uid="{00000000-0005-0000-0000-0000CD570000}"/>
    <cellStyle name="Normal 261 2" xfId="22478" xr:uid="{00000000-0005-0000-0000-0000CE570000}"/>
    <cellStyle name="Normal 261 2 2" xfId="22479" xr:uid="{00000000-0005-0000-0000-0000CF570000}"/>
    <cellStyle name="Normal 261 2 2 2" xfId="22480" xr:uid="{00000000-0005-0000-0000-0000D0570000}"/>
    <cellStyle name="Normal 261 2 2 2 2" xfId="22481" xr:uid="{00000000-0005-0000-0000-0000D1570000}"/>
    <cellStyle name="Normal 261 2 2 3" xfId="22482" xr:uid="{00000000-0005-0000-0000-0000D2570000}"/>
    <cellStyle name="Normal 261 2 2 3 2" xfId="22483" xr:uid="{00000000-0005-0000-0000-0000D3570000}"/>
    <cellStyle name="Normal 261 2 2 3 2 2" xfId="22484" xr:uid="{00000000-0005-0000-0000-0000D4570000}"/>
    <cellStyle name="Normal 261 2 2 3 3" xfId="22485" xr:uid="{00000000-0005-0000-0000-0000D5570000}"/>
    <cellStyle name="Normal 261 2 2 4" xfId="22486" xr:uid="{00000000-0005-0000-0000-0000D6570000}"/>
    <cellStyle name="Normal 261 2 2 4 2" xfId="22487" xr:uid="{00000000-0005-0000-0000-0000D7570000}"/>
    <cellStyle name="Normal 261 2 2 4 2 2" xfId="22488" xr:uid="{00000000-0005-0000-0000-0000D8570000}"/>
    <cellStyle name="Normal 261 2 2 4 3" xfId="22489" xr:uid="{00000000-0005-0000-0000-0000D9570000}"/>
    <cellStyle name="Normal 261 2 2 5" xfId="22490" xr:uid="{00000000-0005-0000-0000-0000DA570000}"/>
    <cellStyle name="Normal 261 2 3" xfId="22491" xr:uid="{00000000-0005-0000-0000-0000DB570000}"/>
    <cellStyle name="Normal 261 2 3 2" xfId="22492" xr:uid="{00000000-0005-0000-0000-0000DC570000}"/>
    <cellStyle name="Normal 261 2 3 2 2" xfId="22493" xr:uid="{00000000-0005-0000-0000-0000DD570000}"/>
    <cellStyle name="Normal 261 2 3 2 2 2" xfId="22494" xr:uid="{00000000-0005-0000-0000-0000DE570000}"/>
    <cellStyle name="Normal 261 2 3 2 3" xfId="22495" xr:uid="{00000000-0005-0000-0000-0000DF570000}"/>
    <cellStyle name="Normal 261 2 3 2 3 2" xfId="22496" xr:uid="{00000000-0005-0000-0000-0000E0570000}"/>
    <cellStyle name="Normal 261 2 3 2 3 2 2" xfId="22497" xr:uid="{00000000-0005-0000-0000-0000E1570000}"/>
    <cellStyle name="Normal 261 2 3 2 3 3" xfId="22498" xr:uid="{00000000-0005-0000-0000-0000E2570000}"/>
    <cellStyle name="Normal 261 2 3 2 4" xfId="22499" xr:uid="{00000000-0005-0000-0000-0000E3570000}"/>
    <cellStyle name="Normal 261 2 3 3" xfId="22500" xr:uid="{00000000-0005-0000-0000-0000E4570000}"/>
    <cellStyle name="Normal 261 2 3 3 2" xfId="22501" xr:uid="{00000000-0005-0000-0000-0000E5570000}"/>
    <cellStyle name="Normal 261 2 3 3 2 2" xfId="22502" xr:uid="{00000000-0005-0000-0000-0000E6570000}"/>
    <cellStyle name="Normal 261 2 3 3 3" xfId="22503" xr:uid="{00000000-0005-0000-0000-0000E7570000}"/>
    <cellStyle name="Normal 261 2 3 4" xfId="22504" xr:uid="{00000000-0005-0000-0000-0000E8570000}"/>
    <cellStyle name="Normal 261 2 3 4 2" xfId="22505" xr:uid="{00000000-0005-0000-0000-0000E9570000}"/>
    <cellStyle name="Normal 261 2 3 4 2 2" xfId="22506" xr:uid="{00000000-0005-0000-0000-0000EA570000}"/>
    <cellStyle name="Normal 261 2 3 4 3" xfId="22507" xr:uid="{00000000-0005-0000-0000-0000EB570000}"/>
    <cellStyle name="Normal 261 2 3 5" xfId="22508" xr:uid="{00000000-0005-0000-0000-0000EC570000}"/>
    <cellStyle name="Normal 261 2 3 5 2" xfId="22509" xr:uid="{00000000-0005-0000-0000-0000ED570000}"/>
    <cellStyle name="Normal 261 2 3 5 2 2" xfId="22510" xr:uid="{00000000-0005-0000-0000-0000EE570000}"/>
    <cellStyle name="Normal 261 2 3 5 3" xfId="22511" xr:uid="{00000000-0005-0000-0000-0000EF570000}"/>
    <cellStyle name="Normal 261 2 3 6" xfId="22512" xr:uid="{00000000-0005-0000-0000-0000F0570000}"/>
    <cellStyle name="Normal 261 2 4" xfId="22513" xr:uid="{00000000-0005-0000-0000-0000F1570000}"/>
    <cellStyle name="Normal 261 2 4 2" xfId="22514" xr:uid="{00000000-0005-0000-0000-0000F2570000}"/>
    <cellStyle name="Normal 261 2 4 2 2" xfId="22515" xr:uid="{00000000-0005-0000-0000-0000F3570000}"/>
    <cellStyle name="Normal 261 2 4 3" xfId="22516" xr:uid="{00000000-0005-0000-0000-0000F4570000}"/>
    <cellStyle name="Normal 261 2 5" xfId="22517" xr:uid="{00000000-0005-0000-0000-0000F5570000}"/>
    <cellStyle name="Normal 261 2 5 2" xfId="22518" xr:uid="{00000000-0005-0000-0000-0000F6570000}"/>
    <cellStyle name="Normal 261 2 5 2 2" xfId="22519" xr:uid="{00000000-0005-0000-0000-0000F7570000}"/>
    <cellStyle name="Normal 261 2 5 3" xfId="22520" xr:uid="{00000000-0005-0000-0000-0000F8570000}"/>
    <cellStyle name="Normal 261 2 6" xfId="22521" xr:uid="{00000000-0005-0000-0000-0000F9570000}"/>
    <cellStyle name="Normal 261 2 6 2" xfId="22522" xr:uid="{00000000-0005-0000-0000-0000FA570000}"/>
    <cellStyle name="Normal 261 2 6 2 2" xfId="22523" xr:uid="{00000000-0005-0000-0000-0000FB570000}"/>
    <cellStyle name="Normal 261 2 6 3" xfId="22524" xr:uid="{00000000-0005-0000-0000-0000FC570000}"/>
    <cellStyle name="Normal 261 2 7" xfId="22525" xr:uid="{00000000-0005-0000-0000-0000FD570000}"/>
    <cellStyle name="Normal 261 3" xfId="22526" xr:uid="{00000000-0005-0000-0000-0000FE570000}"/>
    <cellStyle name="Normal 261 3 2" xfId="22527" xr:uid="{00000000-0005-0000-0000-0000FF570000}"/>
    <cellStyle name="Normal 261 3 2 2" xfId="22528" xr:uid="{00000000-0005-0000-0000-000000580000}"/>
    <cellStyle name="Normal 261 3 3" xfId="22529" xr:uid="{00000000-0005-0000-0000-000001580000}"/>
    <cellStyle name="Normal 261 3 3 2" xfId="22530" xr:uid="{00000000-0005-0000-0000-000002580000}"/>
    <cellStyle name="Normal 261 3 3 2 2" xfId="22531" xr:uid="{00000000-0005-0000-0000-000003580000}"/>
    <cellStyle name="Normal 261 3 3 3" xfId="22532" xr:uid="{00000000-0005-0000-0000-000004580000}"/>
    <cellStyle name="Normal 261 3 4" xfId="22533" xr:uid="{00000000-0005-0000-0000-000005580000}"/>
    <cellStyle name="Normal 261 3 4 2" xfId="22534" xr:uid="{00000000-0005-0000-0000-000006580000}"/>
    <cellStyle name="Normal 261 3 4 2 2" xfId="22535" xr:uid="{00000000-0005-0000-0000-000007580000}"/>
    <cellStyle name="Normal 261 3 4 3" xfId="22536" xr:uid="{00000000-0005-0000-0000-000008580000}"/>
    <cellStyle name="Normal 261 3 5" xfId="22537" xr:uid="{00000000-0005-0000-0000-000009580000}"/>
    <cellStyle name="Normal 261 4" xfId="22538" xr:uid="{00000000-0005-0000-0000-00000A580000}"/>
    <cellStyle name="Normal 261 4 2" xfId="22539" xr:uid="{00000000-0005-0000-0000-00000B580000}"/>
    <cellStyle name="Normal 261 4 2 2" xfId="22540" xr:uid="{00000000-0005-0000-0000-00000C580000}"/>
    <cellStyle name="Normal 261 4 2 2 2" xfId="22541" xr:uid="{00000000-0005-0000-0000-00000D580000}"/>
    <cellStyle name="Normal 261 4 2 3" xfId="22542" xr:uid="{00000000-0005-0000-0000-00000E580000}"/>
    <cellStyle name="Normal 261 4 2 3 2" xfId="22543" xr:uid="{00000000-0005-0000-0000-00000F580000}"/>
    <cellStyle name="Normal 261 4 2 3 2 2" xfId="22544" xr:uid="{00000000-0005-0000-0000-000010580000}"/>
    <cellStyle name="Normal 261 4 2 3 3" xfId="22545" xr:uid="{00000000-0005-0000-0000-000011580000}"/>
    <cellStyle name="Normal 261 4 2 4" xfId="22546" xr:uid="{00000000-0005-0000-0000-000012580000}"/>
    <cellStyle name="Normal 261 4 3" xfId="22547" xr:uid="{00000000-0005-0000-0000-000013580000}"/>
    <cellStyle name="Normal 261 4 3 2" xfId="22548" xr:uid="{00000000-0005-0000-0000-000014580000}"/>
    <cellStyle name="Normal 261 4 3 2 2" xfId="22549" xr:uid="{00000000-0005-0000-0000-000015580000}"/>
    <cellStyle name="Normal 261 4 3 3" xfId="22550" xr:uid="{00000000-0005-0000-0000-000016580000}"/>
    <cellStyle name="Normal 261 4 4" xfId="22551" xr:uid="{00000000-0005-0000-0000-000017580000}"/>
    <cellStyle name="Normal 261 4 4 2" xfId="22552" xr:uid="{00000000-0005-0000-0000-000018580000}"/>
    <cellStyle name="Normal 261 4 4 2 2" xfId="22553" xr:uid="{00000000-0005-0000-0000-000019580000}"/>
    <cellStyle name="Normal 261 4 4 3" xfId="22554" xr:uid="{00000000-0005-0000-0000-00001A580000}"/>
    <cellStyle name="Normal 261 4 5" xfId="22555" xr:uid="{00000000-0005-0000-0000-00001B580000}"/>
    <cellStyle name="Normal 261 4 5 2" xfId="22556" xr:uid="{00000000-0005-0000-0000-00001C580000}"/>
    <cellStyle name="Normal 261 4 5 2 2" xfId="22557" xr:uid="{00000000-0005-0000-0000-00001D580000}"/>
    <cellStyle name="Normal 261 4 5 3" xfId="22558" xr:uid="{00000000-0005-0000-0000-00001E580000}"/>
    <cellStyle name="Normal 261 4 6" xfId="22559" xr:uid="{00000000-0005-0000-0000-00001F580000}"/>
    <cellStyle name="Normal 261 5" xfId="22560" xr:uid="{00000000-0005-0000-0000-000020580000}"/>
    <cellStyle name="Normal 261 5 2" xfId="22561" xr:uid="{00000000-0005-0000-0000-000021580000}"/>
    <cellStyle name="Normal 261 5 2 2" xfId="22562" xr:uid="{00000000-0005-0000-0000-000022580000}"/>
    <cellStyle name="Normal 261 5 3" xfId="22563" xr:uid="{00000000-0005-0000-0000-000023580000}"/>
    <cellStyle name="Normal 261 6" xfId="22564" xr:uid="{00000000-0005-0000-0000-000024580000}"/>
    <cellStyle name="Normal 261 6 2" xfId="22565" xr:uid="{00000000-0005-0000-0000-000025580000}"/>
    <cellStyle name="Normal 261 6 2 2" xfId="22566" xr:uid="{00000000-0005-0000-0000-000026580000}"/>
    <cellStyle name="Normal 261 6 3" xfId="22567" xr:uid="{00000000-0005-0000-0000-000027580000}"/>
    <cellStyle name="Normal 261 7" xfId="22568" xr:uid="{00000000-0005-0000-0000-000028580000}"/>
    <cellStyle name="Normal 261 7 2" xfId="22569" xr:uid="{00000000-0005-0000-0000-000029580000}"/>
    <cellStyle name="Normal 261 7 2 2" xfId="22570" xr:uid="{00000000-0005-0000-0000-00002A580000}"/>
    <cellStyle name="Normal 261 7 3" xfId="22571" xr:uid="{00000000-0005-0000-0000-00002B580000}"/>
    <cellStyle name="Normal 261 8" xfId="22572" xr:uid="{00000000-0005-0000-0000-00002C580000}"/>
    <cellStyle name="Normal 262" xfId="22573" xr:uid="{00000000-0005-0000-0000-00002D580000}"/>
    <cellStyle name="Normal 262 2" xfId="22574" xr:uid="{00000000-0005-0000-0000-00002E580000}"/>
    <cellStyle name="Normal 262 2 2" xfId="22575" xr:uid="{00000000-0005-0000-0000-00002F580000}"/>
    <cellStyle name="Normal 262 2 2 2" xfId="22576" xr:uid="{00000000-0005-0000-0000-000030580000}"/>
    <cellStyle name="Normal 262 2 2 2 2" xfId="22577" xr:uid="{00000000-0005-0000-0000-000031580000}"/>
    <cellStyle name="Normal 262 2 2 3" xfId="22578" xr:uid="{00000000-0005-0000-0000-000032580000}"/>
    <cellStyle name="Normal 262 2 2 3 2" xfId="22579" xr:uid="{00000000-0005-0000-0000-000033580000}"/>
    <cellStyle name="Normal 262 2 2 3 2 2" xfId="22580" xr:uid="{00000000-0005-0000-0000-000034580000}"/>
    <cellStyle name="Normal 262 2 2 3 3" xfId="22581" xr:uid="{00000000-0005-0000-0000-000035580000}"/>
    <cellStyle name="Normal 262 2 2 4" xfId="22582" xr:uid="{00000000-0005-0000-0000-000036580000}"/>
    <cellStyle name="Normal 262 2 2 4 2" xfId="22583" xr:uid="{00000000-0005-0000-0000-000037580000}"/>
    <cellStyle name="Normal 262 2 2 4 2 2" xfId="22584" xr:uid="{00000000-0005-0000-0000-000038580000}"/>
    <cellStyle name="Normal 262 2 2 4 3" xfId="22585" xr:uid="{00000000-0005-0000-0000-000039580000}"/>
    <cellStyle name="Normal 262 2 2 5" xfId="22586" xr:uid="{00000000-0005-0000-0000-00003A580000}"/>
    <cellStyle name="Normal 262 2 3" xfId="22587" xr:uid="{00000000-0005-0000-0000-00003B580000}"/>
    <cellStyle name="Normal 262 2 3 2" xfId="22588" xr:uid="{00000000-0005-0000-0000-00003C580000}"/>
    <cellStyle name="Normal 262 2 3 2 2" xfId="22589" xr:uid="{00000000-0005-0000-0000-00003D580000}"/>
    <cellStyle name="Normal 262 2 3 2 2 2" xfId="22590" xr:uid="{00000000-0005-0000-0000-00003E580000}"/>
    <cellStyle name="Normal 262 2 3 2 3" xfId="22591" xr:uid="{00000000-0005-0000-0000-00003F580000}"/>
    <cellStyle name="Normal 262 2 3 2 3 2" xfId="22592" xr:uid="{00000000-0005-0000-0000-000040580000}"/>
    <cellStyle name="Normal 262 2 3 2 3 2 2" xfId="22593" xr:uid="{00000000-0005-0000-0000-000041580000}"/>
    <cellStyle name="Normal 262 2 3 2 3 3" xfId="22594" xr:uid="{00000000-0005-0000-0000-000042580000}"/>
    <cellStyle name="Normal 262 2 3 2 4" xfId="22595" xr:uid="{00000000-0005-0000-0000-000043580000}"/>
    <cellStyle name="Normal 262 2 3 3" xfId="22596" xr:uid="{00000000-0005-0000-0000-000044580000}"/>
    <cellStyle name="Normal 262 2 3 3 2" xfId="22597" xr:uid="{00000000-0005-0000-0000-000045580000}"/>
    <cellStyle name="Normal 262 2 3 3 2 2" xfId="22598" xr:uid="{00000000-0005-0000-0000-000046580000}"/>
    <cellStyle name="Normal 262 2 3 3 3" xfId="22599" xr:uid="{00000000-0005-0000-0000-000047580000}"/>
    <cellStyle name="Normal 262 2 3 4" xfId="22600" xr:uid="{00000000-0005-0000-0000-000048580000}"/>
    <cellStyle name="Normal 262 2 3 4 2" xfId="22601" xr:uid="{00000000-0005-0000-0000-000049580000}"/>
    <cellStyle name="Normal 262 2 3 4 2 2" xfId="22602" xr:uid="{00000000-0005-0000-0000-00004A580000}"/>
    <cellStyle name="Normal 262 2 3 4 3" xfId="22603" xr:uid="{00000000-0005-0000-0000-00004B580000}"/>
    <cellStyle name="Normal 262 2 3 5" xfId="22604" xr:uid="{00000000-0005-0000-0000-00004C580000}"/>
    <cellStyle name="Normal 262 2 3 5 2" xfId="22605" xr:uid="{00000000-0005-0000-0000-00004D580000}"/>
    <cellStyle name="Normal 262 2 3 5 2 2" xfId="22606" xr:uid="{00000000-0005-0000-0000-00004E580000}"/>
    <cellStyle name="Normal 262 2 3 5 3" xfId="22607" xr:uid="{00000000-0005-0000-0000-00004F580000}"/>
    <cellStyle name="Normal 262 2 3 6" xfId="22608" xr:uid="{00000000-0005-0000-0000-000050580000}"/>
    <cellStyle name="Normal 262 2 4" xfId="22609" xr:uid="{00000000-0005-0000-0000-000051580000}"/>
    <cellStyle name="Normal 262 2 4 2" xfId="22610" xr:uid="{00000000-0005-0000-0000-000052580000}"/>
    <cellStyle name="Normal 262 2 4 2 2" xfId="22611" xr:uid="{00000000-0005-0000-0000-000053580000}"/>
    <cellStyle name="Normal 262 2 4 3" xfId="22612" xr:uid="{00000000-0005-0000-0000-000054580000}"/>
    <cellStyle name="Normal 262 2 5" xfId="22613" xr:uid="{00000000-0005-0000-0000-000055580000}"/>
    <cellStyle name="Normal 262 2 5 2" xfId="22614" xr:uid="{00000000-0005-0000-0000-000056580000}"/>
    <cellStyle name="Normal 262 2 5 2 2" xfId="22615" xr:uid="{00000000-0005-0000-0000-000057580000}"/>
    <cellStyle name="Normal 262 2 5 3" xfId="22616" xr:uid="{00000000-0005-0000-0000-000058580000}"/>
    <cellStyle name="Normal 262 2 6" xfId="22617" xr:uid="{00000000-0005-0000-0000-000059580000}"/>
    <cellStyle name="Normal 262 2 6 2" xfId="22618" xr:uid="{00000000-0005-0000-0000-00005A580000}"/>
    <cellStyle name="Normal 262 2 6 2 2" xfId="22619" xr:uid="{00000000-0005-0000-0000-00005B580000}"/>
    <cellStyle name="Normal 262 2 6 3" xfId="22620" xr:uid="{00000000-0005-0000-0000-00005C580000}"/>
    <cellStyle name="Normal 262 2 7" xfId="22621" xr:uid="{00000000-0005-0000-0000-00005D580000}"/>
    <cellStyle name="Normal 262 3" xfId="22622" xr:uid="{00000000-0005-0000-0000-00005E580000}"/>
    <cellStyle name="Normal 262 3 2" xfId="22623" xr:uid="{00000000-0005-0000-0000-00005F580000}"/>
    <cellStyle name="Normal 262 3 2 2" xfId="22624" xr:uid="{00000000-0005-0000-0000-000060580000}"/>
    <cellStyle name="Normal 262 3 3" xfId="22625" xr:uid="{00000000-0005-0000-0000-000061580000}"/>
    <cellStyle name="Normal 262 3 3 2" xfId="22626" xr:uid="{00000000-0005-0000-0000-000062580000}"/>
    <cellStyle name="Normal 262 3 3 2 2" xfId="22627" xr:uid="{00000000-0005-0000-0000-000063580000}"/>
    <cellStyle name="Normal 262 3 3 3" xfId="22628" xr:uid="{00000000-0005-0000-0000-000064580000}"/>
    <cellStyle name="Normal 262 3 4" xfId="22629" xr:uid="{00000000-0005-0000-0000-000065580000}"/>
    <cellStyle name="Normal 262 3 4 2" xfId="22630" xr:uid="{00000000-0005-0000-0000-000066580000}"/>
    <cellStyle name="Normal 262 3 4 2 2" xfId="22631" xr:uid="{00000000-0005-0000-0000-000067580000}"/>
    <cellStyle name="Normal 262 3 4 3" xfId="22632" xr:uid="{00000000-0005-0000-0000-000068580000}"/>
    <cellStyle name="Normal 262 3 5" xfId="22633" xr:uid="{00000000-0005-0000-0000-000069580000}"/>
    <cellStyle name="Normal 262 4" xfId="22634" xr:uid="{00000000-0005-0000-0000-00006A580000}"/>
    <cellStyle name="Normal 262 4 2" xfId="22635" xr:uid="{00000000-0005-0000-0000-00006B580000}"/>
    <cellStyle name="Normal 262 4 2 2" xfId="22636" xr:uid="{00000000-0005-0000-0000-00006C580000}"/>
    <cellStyle name="Normal 262 4 2 2 2" xfId="22637" xr:uid="{00000000-0005-0000-0000-00006D580000}"/>
    <cellStyle name="Normal 262 4 2 3" xfId="22638" xr:uid="{00000000-0005-0000-0000-00006E580000}"/>
    <cellStyle name="Normal 262 4 2 3 2" xfId="22639" xr:uid="{00000000-0005-0000-0000-00006F580000}"/>
    <cellStyle name="Normal 262 4 2 3 2 2" xfId="22640" xr:uid="{00000000-0005-0000-0000-000070580000}"/>
    <cellStyle name="Normal 262 4 2 3 3" xfId="22641" xr:uid="{00000000-0005-0000-0000-000071580000}"/>
    <cellStyle name="Normal 262 4 2 4" xfId="22642" xr:uid="{00000000-0005-0000-0000-000072580000}"/>
    <cellStyle name="Normal 262 4 3" xfId="22643" xr:uid="{00000000-0005-0000-0000-000073580000}"/>
    <cellStyle name="Normal 262 4 3 2" xfId="22644" xr:uid="{00000000-0005-0000-0000-000074580000}"/>
    <cellStyle name="Normal 262 4 3 2 2" xfId="22645" xr:uid="{00000000-0005-0000-0000-000075580000}"/>
    <cellStyle name="Normal 262 4 3 3" xfId="22646" xr:uid="{00000000-0005-0000-0000-000076580000}"/>
    <cellStyle name="Normal 262 4 4" xfId="22647" xr:uid="{00000000-0005-0000-0000-000077580000}"/>
    <cellStyle name="Normal 262 4 4 2" xfId="22648" xr:uid="{00000000-0005-0000-0000-000078580000}"/>
    <cellStyle name="Normal 262 4 4 2 2" xfId="22649" xr:uid="{00000000-0005-0000-0000-000079580000}"/>
    <cellStyle name="Normal 262 4 4 3" xfId="22650" xr:uid="{00000000-0005-0000-0000-00007A580000}"/>
    <cellStyle name="Normal 262 4 5" xfId="22651" xr:uid="{00000000-0005-0000-0000-00007B580000}"/>
    <cellStyle name="Normal 262 4 5 2" xfId="22652" xr:uid="{00000000-0005-0000-0000-00007C580000}"/>
    <cellStyle name="Normal 262 4 5 2 2" xfId="22653" xr:uid="{00000000-0005-0000-0000-00007D580000}"/>
    <cellStyle name="Normal 262 4 5 3" xfId="22654" xr:uid="{00000000-0005-0000-0000-00007E580000}"/>
    <cellStyle name="Normal 262 4 6" xfId="22655" xr:uid="{00000000-0005-0000-0000-00007F580000}"/>
    <cellStyle name="Normal 262 5" xfId="22656" xr:uid="{00000000-0005-0000-0000-000080580000}"/>
    <cellStyle name="Normal 262 5 2" xfId="22657" xr:uid="{00000000-0005-0000-0000-000081580000}"/>
    <cellStyle name="Normal 262 5 2 2" xfId="22658" xr:uid="{00000000-0005-0000-0000-000082580000}"/>
    <cellStyle name="Normal 262 5 3" xfId="22659" xr:uid="{00000000-0005-0000-0000-000083580000}"/>
    <cellStyle name="Normal 262 6" xfId="22660" xr:uid="{00000000-0005-0000-0000-000084580000}"/>
    <cellStyle name="Normal 262 6 2" xfId="22661" xr:uid="{00000000-0005-0000-0000-000085580000}"/>
    <cellStyle name="Normal 262 6 2 2" xfId="22662" xr:uid="{00000000-0005-0000-0000-000086580000}"/>
    <cellStyle name="Normal 262 6 3" xfId="22663" xr:uid="{00000000-0005-0000-0000-000087580000}"/>
    <cellStyle name="Normal 262 7" xfId="22664" xr:uid="{00000000-0005-0000-0000-000088580000}"/>
    <cellStyle name="Normal 262 7 2" xfId="22665" xr:uid="{00000000-0005-0000-0000-000089580000}"/>
    <cellStyle name="Normal 262 7 2 2" xfId="22666" xr:uid="{00000000-0005-0000-0000-00008A580000}"/>
    <cellStyle name="Normal 262 7 3" xfId="22667" xr:uid="{00000000-0005-0000-0000-00008B580000}"/>
    <cellStyle name="Normal 262 8" xfId="22668" xr:uid="{00000000-0005-0000-0000-00008C580000}"/>
    <cellStyle name="Normal 263" xfId="22669" xr:uid="{00000000-0005-0000-0000-00008D580000}"/>
    <cellStyle name="Normal 263 2" xfId="22670" xr:uid="{00000000-0005-0000-0000-00008E580000}"/>
    <cellStyle name="Normal 263 2 2" xfId="22671" xr:uid="{00000000-0005-0000-0000-00008F580000}"/>
    <cellStyle name="Normal 263 2 2 2" xfId="22672" xr:uid="{00000000-0005-0000-0000-000090580000}"/>
    <cellStyle name="Normal 263 2 2 2 2" xfId="22673" xr:uid="{00000000-0005-0000-0000-000091580000}"/>
    <cellStyle name="Normal 263 2 2 3" xfId="22674" xr:uid="{00000000-0005-0000-0000-000092580000}"/>
    <cellStyle name="Normal 263 2 2 3 2" xfId="22675" xr:uid="{00000000-0005-0000-0000-000093580000}"/>
    <cellStyle name="Normal 263 2 2 3 2 2" xfId="22676" xr:uid="{00000000-0005-0000-0000-000094580000}"/>
    <cellStyle name="Normal 263 2 2 3 3" xfId="22677" xr:uid="{00000000-0005-0000-0000-000095580000}"/>
    <cellStyle name="Normal 263 2 2 4" xfId="22678" xr:uid="{00000000-0005-0000-0000-000096580000}"/>
    <cellStyle name="Normal 263 2 2 4 2" xfId="22679" xr:uid="{00000000-0005-0000-0000-000097580000}"/>
    <cellStyle name="Normal 263 2 2 4 2 2" xfId="22680" xr:uid="{00000000-0005-0000-0000-000098580000}"/>
    <cellStyle name="Normal 263 2 2 4 3" xfId="22681" xr:uid="{00000000-0005-0000-0000-000099580000}"/>
    <cellStyle name="Normal 263 2 2 5" xfId="22682" xr:uid="{00000000-0005-0000-0000-00009A580000}"/>
    <cellStyle name="Normal 263 2 3" xfId="22683" xr:uid="{00000000-0005-0000-0000-00009B580000}"/>
    <cellStyle name="Normal 263 2 3 2" xfId="22684" xr:uid="{00000000-0005-0000-0000-00009C580000}"/>
    <cellStyle name="Normal 263 2 3 2 2" xfId="22685" xr:uid="{00000000-0005-0000-0000-00009D580000}"/>
    <cellStyle name="Normal 263 2 3 2 2 2" xfId="22686" xr:uid="{00000000-0005-0000-0000-00009E580000}"/>
    <cellStyle name="Normal 263 2 3 2 3" xfId="22687" xr:uid="{00000000-0005-0000-0000-00009F580000}"/>
    <cellStyle name="Normal 263 2 3 2 3 2" xfId="22688" xr:uid="{00000000-0005-0000-0000-0000A0580000}"/>
    <cellStyle name="Normal 263 2 3 2 3 2 2" xfId="22689" xr:uid="{00000000-0005-0000-0000-0000A1580000}"/>
    <cellStyle name="Normal 263 2 3 2 3 3" xfId="22690" xr:uid="{00000000-0005-0000-0000-0000A2580000}"/>
    <cellStyle name="Normal 263 2 3 2 4" xfId="22691" xr:uid="{00000000-0005-0000-0000-0000A3580000}"/>
    <cellStyle name="Normal 263 2 3 3" xfId="22692" xr:uid="{00000000-0005-0000-0000-0000A4580000}"/>
    <cellStyle name="Normal 263 2 3 3 2" xfId="22693" xr:uid="{00000000-0005-0000-0000-0000A5580000}"/>
    <cellStyle name="Normal 263 2 3 3 2 2" xfId="22694" xr:uid="{00000000-0005-0000-0000-0000A6580000}"/>
    <cellStyle name="Normal 263 2 3 3 3" xfId="22695" xr:uid="{00000000-0005-0000-0000-0000A7580000}"/>
    <cellStyle name="Normal 263 2 3 4" xfId="22696" xr:uid="{00000000-0005-0000-0000-0000A8580000}"/>
    <cellStyle name="Normal 263 2 3 4 2" xfId="22697" xr:uid="{00000000-0005-0000-0000-0000A9580000}"/>
    <cellStyle name="Normal 263 2 3 4 2 2" xfId="22698" xr:uid="{00000000-0005-0000-0000-0000AA580000}"/>
    <cellStyle name="Normal 263 2 3 4 3" xfId="22699" xr:uid="{00000000-0005-0000-0000-0000AB580000}"/>
    <cellStyle name="Normal 263 2 3 5" xfId="22700" xr:uid="{00000000-0005-0000-0000-0000AC580000}"/>
    <cellStyle name="Normal 263 2 3 5 2" xfId="22701" xr:uid="{00000000-0005-0000-0000-0000AD580000}"/>
    <cellStyle name="Normal 263 2 3 5 2 2" xfId="22702" xr:uid="{00000000-0005-0000-0000-0000AE580000}"/>
    <cellStyle name="Normal 263 2 3 5 3" xfId="22703" xr:uid="{00000000-0005-0000-0000-0000AF580000}"/>
    <cellStyle name="Normal 263 2 3 6" xfId="22704" xr:uid="{00000000-0005-0000-0000-0000B0580000}"/>
    <cellStyle name="Normal 263 2 4" xfId="22705" xr:uid="{00000000-0005-0000-0000-0000B1580000}"/>
    <cellStyle name="Normal 263 2 4 2" xfId="22706" xr:uid="{00000000-0005-0000-0000-0000B2580000}"/>
    <cellStyle name="Normal 263 2 4 2 2" xfId="22707" xr:uid="{00000000-0005-0000-0000-0000B3580000}"/>
    <cellStyle name="Normal 263 2 4 3" xfId="22708" xr:uid="{00000000-0005-0000-0000-0000B4580000}"/>
    <cellStyle name="Normal 263 2 5" xfId="22709" xr:uid="{00000000-0005-0000-0000-0000B5580000}"/>
    <cellStyle name="Normal 263 2 5 2" xfId="22710" xr:uid="{00000000-0005-0000-0000-0000B6580000}"/>
    <cellStyle name="Normal 263 2 5 2 2" xfId="22711" xr:uid="{00000000-0005-0000-0000-0000B7580000}"/>
    <cellStyle name="Normal 263 2 5 3" xfId="22712" xr:uid="{00000000-0005-0000-0000-0000B8580000}"/>
    <cellStyle name="Normal 263 2 6" xfId="22713" xr:uid="{00000000-0005-0000-0000-0000B9580000}"/>
    <cellStyle name="Normal 263 2 6 2" xfId="22714" xr:uid="{00000000-0005-0000-0000-0000BA580000}"/>
    <cellStyle name="Normal 263 2 6 2 2" xfId="22715" xr:uid="{00000000-0005-0000-0000-0000BB580000}"/>
    <cellStyle name="Normal 263 2 6 3" xfId="22716" xr:uid="{00000000-0005-0000-0000-0000BC580000}"/>
    <cellStyle name="Normal 263 2 7" xfId="22717" xr:uid="{00000000-0005-0000-0000-0000BD580000}"/>
    <cellStyle name="Normal 263 3" xfId="22718" xr:uid="{00000000-0005-0000-0000-0000BE580000}"/>
    <cellStyle name="Normal 263 3 2" xfId="22719" xr:uid="{00000000-0005-0000-0000-0000BF580000}"/>
    <cellStyle name="Normal 263 3 2 2" xfId="22720" xr:uid="{00000000-0005-0000-0000-0000C0580000}"/>
    <cellStyle name="Normal 263 3 3" xfId="22721" xr:uid="{00000000-0005-0000-0000-0000C1580000}"/>
    <cellStyle name="Normal 263 3 3 2" xfId="22722" xr:uid="{00000000-0005-0000-0000-0000C2580000}"/>
    <cellStyle name="Normal 263 3 3 2 2" xfId="22723" xr:uid="{00000000-0005-0000-0000-0000C3580000}"/>
    <cellStyle name="Normal 263 3 3 3" xfId="22724" xr:uid="{00000000-0005-0000-0000-0000C4580000}"/>
    <cellStyle name="Normal 263 3 4" xfId="22725" xr:uid="{00000000-0005-0000-0000-0000C5580000}"/>
    <cellStyle name="Normal 263 3 4 2" xfId="22726" xr:uid="{00000000-0005-0000-0000-0000C6580000}"/>
    <cellStyle name="Normal 263 3 4 2 2" xfId="22727" xr:uid="{00000000-0005-0000-0000-0000C7580000}"/>
    <cellStyle name="Normal 263 3 4 3" xfId="22728" xr:uid="{00000000-0005-0000-0000-0000C8580000}"/>
    <cellStyle name="Normal 263 3 5" xfId="22729" xr:uid="{00000000-0005-0000-0000-0000C9580000}"/>
    <cellStyle name="Normal 263 4" xfId="22730" xr:uid="{00000000-0005-0000-0000-0000CA580000}"/>
    <cellStyle name="Normal 263 4 2" xfId="22731" xr:uid="{00000000-0005-0000-0000-0000CB580000}"/>
    <cellStyle name="Normal 263 4 2 2" xfId="22732" xr:uid="{00000000-0005-0000-0000-0000CC580000}"/>
    <cellStyle name="Normal 263 4 2 2 2" xfId="22733" xr:uid="{00000000-0005-0000-0000-0000CD580000}"/>
    <cellStyle name="Normal 263 4 2 3" xfId="22734" xr:uid="{00000000-0005-0000-0000-0000CE580000}"/>
    <cellStyle name="Normal 263 4 2 3 2" xfId="22735" xr:uid="{00000000-0005-0000-0000-0000CF580000}"/>
    <cellStyle name="Normal 263 4 2 3 2 2" xfId="22736" xr:uid="{00000000-0005-0000-0000-0000D0580000}"/>
    <cellStyle name="Normal 263 4 2 3 3" xfId="22737" xr:uid="{00000000-0005-0000-0000-0000D1580000}"/>
    <cellStyle name="Normal 263 4 2 4" xfId="22738" xr:uid="{00000000-0005-0000-0000-0000D2580000}"/>
    <cellStyle name="Normal 263 4 3" xfId="22739" xr:uid="{00000000-0005-0000-0000-0000D3580000}"/>
    <cellStyle name="Normal 263 4 3 2" xfId="22740" xr:uid="{00000000-0005-0000-0000-0000D4580000}"/>
    <cellStyle name="Normal 263 4 3 2 2" xfId="22741" xr:uid="{00000000-0005-0000-0000-0000D5580000}"/>
    <cellStyle name="Normal 263 4 3 3" xfId="22742" xr:uid="{00000000-0005-0000-0000-0000D6580000}"/>
    <cellStyle name="Normal 263 4 4" xfId="22743" xr:uid="{00000000-0005-0000-0000-0000D7580000}"/>
    <cellStyle name="Normal 263 4 4 2" xfId="22744" xr:uid="{00000000-0005-0000-0000-0000D8580000}"/>
    <cellStyle name="Normal 263 4 4 2 2" xfId="22745" xr:uid="{00000000-0005-0000-0000-0000D9580000}"/>
    <cellStyle name="Normal 263 4 4 3" xfId="22746" xr:uid="{00000000-0005-0000-0000-0000DA580000}"/>
    <cellStyle name="Normal 263 4 5" xfId="22747" xr:uid="{00000000-0005-0000-0000-0000DB580000}"/>
    <cellStyle name="Normal 263 4 5 2" xfId="22748" xr:uid="{00000000-0005-0000-0000-0000DC580000}"/>
    <cellStyle name="Normal 263 4 5 2 2" xfId="22749" xr:uid="{00000000-0005-0000-0000-0000DD580000}"/>
    <cellStyle name="Normal 263 4 5 3" xfId="22750" xr:uid="{00000000-0005-0000-0000-0000DE580000}"/>
    <cellStyle name="Normal 263 4 6" xfId="22751" xr:uid="{00000000-0005-0000-0000-0000DF580000}"/>
    <cellStyle name="Normal 263 5" xfId="22752" xr:uid="{00000000-0005-0000-0000-0000E0580000}"/>
    <cellStyle name="Normal 263 5 2" xfId="22753" xr:uid="{00000000-0005-0000-0000-0000E1580000}"/>
    <cellStyle name="Normal 263 5 2 2" xfId="22754" xr:uid="{00000000-0005-0000-0000-0000E2580000}"/>
    <cellStyle name="Normal 263 5 3" xfId="22755" xr:uid="{00000000-0005-0000-0000-0000E3580000}"/>
    <cellStyle name="Normal 263 6" xfId="22756" xr:uid="{00000000-0005-0000-0000-0000E4580000}"/>
    <cellStyle name="Normal 263 6 2" xfId="22757" xr:uid="{00000000-0005-0000-0000-0000E5580000}"/>
    <cellStyle name="Normal 263 6 2 2" xfId="22758" xr:uid="{00000000-0005-0000-0000-0000E6580000}"/>
    <cellStyle name="Normal 263 6 3" xfId="22759" xr:uid="{00000000-0005-0000-0000-0000E7580000}"/>
    <cellStyle name="Normal 263 7" xfId="22760" xr:uid="{00000000-0005-0000-0000-0000E8580000}"/>
    <cellStyle name="Normal 263 7 2" xfId="22761" xr:uid="{00000000-0005-0000-0000-0000E9580000}"/>
    <cellStyle name="Normal 263 7 2 2" xfId="22762" xr:uid="{00000000-0005-0000-0000-0000EA580000}"/>
    <cellStyle name="Normal 263 7 3" xfId="22763" xr:uid="{00000000-0005-0000-0000-0000EB580000}"/>
    <cellStyle name="Normal 263 8" xfId="22764" xr:uid="{00000000-0005-0000-0000-0000EC580000}"/>
    <cellStyle name="Normal 264" xfId="22765" xr:uid="{00000000-0005-0000-0000-0000ED580000}"/>
    <cellStyle name="Normal 264 2" xfId="22766" xr:uid="{00000000-0005-0000-0000-0000EE580000}"/>
    <cellStyle name="Normal 264 2 2" xfId="22767" xr:uid="{00000000-0005-0000-0000-0000EF580000}"/>
    <cellStyle name="Normal 264 2 2 2" xfId="22768" xr:uid="{00000000-0005-0000-0000-0000F0580000}"/>
    <cellStyle name="Normal 264 2 3" xfId="22769" xr:uid="{00000000-0005-0000-0000-0000F1580000}"/>
    <cellStyle name="Normal 264 2 3 2" xfId="22770" xr:uid="{00000000-0005-0000-0000-0000F2580000}"/>
    <cellStyle name="Normal 264 2 3 2 2" xfId="22771" xr:uid="{00000000-0005-0000-0000-0000F3580000}"/>
    <cellStyle name="Normal 264 2 3 3" xfId="22772" xr:uid="{00000000-0005-0000-0000-0000F4580000}"/>
    <cellStyle name="Normal 264 2 4" xfId="22773" xr:uid="{00000000-0005-0000-0000-0000F5580000}"/>
    <cellStyle name="Normal 264 2 4 2" xfId="22774" xr:uid="{00000000-0005-0000-0000-0000F6580000}"/>
    <cellStyle name="Normal 264 2 4 2 2" xfId="22775" xr:uid="{00000000-0005-0000-0000-0000F7580000}"/>
    <cellStyle name="Normal 264 2 4 3" xfId="22776" xr:uid="{00000000-0005-0000-0000-0000F8580000}"/>
    <cellStyle name="Normal 264 2 5" xfId="22777" xr:uid="{00000000-0005-0000-0000-0000F9580000}"/>
    <cellStyle name="Normal 264 3" xfId="22778" xr:uid="{00000000-0005-0000-0000-0000FA580000}"/>
    <cellStyle name="Normal 264 3 2" xfId="22779" xr:uid="{00000000-0005-0000-0000-0000FB580000}"/>
    <cellStyle name="Normal 264 3 2 2" xfId="22780" xr:uid="{00000000-0005-0000-0000-0000FC580000}"/>
    <cellStyle name="Normal 264 3 2 2 2" xfId="22781" xr:uid="{00000000-0005-0000-0000-0000FD580000}"/>
    <cellStyle name="Normal 264 3 2 3" xfId="22782" xr:uid="{00000000-0005-0000-0000-0000FE580000}"/>
    <cellStyle name="Normal 264 3 2 3 2" xfId="22783" xr:uid="{00000000-0005-0000-0000-0000FF580000}"/>
    <cellStyle name="Normal 264 3 2 3 2 2" xfId="22784" xr:uid="{00000000-0005-0000-0000-000000590000}"/>
    <cellStyle name="Normal 264 3 2 3 3" xfId="22785" xr:uid="{00000000-0005-0000-0000-000001590000}"/>
    <cellStyle name="Normal 264 3 2 4" xfId="22786" xr:uid="{00000000-0005-0000-0000-000002590000}"/>
    <cellStyle name="Normal 264 3 3" xfId="22787" xr:uid="{00000000-0005-0000-0000-000003590000}"/>
    <cellStyle name="Normal 264 3 3 2" xfId="22788" xr:uid="{00000000-0005-0000-0000-000004590000}"/>
    <cellStyle name="Normal 264 3 3 2 2" xfId="22789" xr:uid="{00000000-0005-0000-0000-000005590000}"/>
    <cellStyle name="Normal 264 3 3 3" xfId="22790" xr:uid="{00000000-0005-0000-0000-000006590000}"/>
    <cellStyle name="Normal 264 3 4" xfId="22791" xr:uid="{00000000-0005-0000-0000-000007590000}"/>
    <cellStyle name="Normal 264 3 4 2" xfId="22792" xr:uid="{00000000-0005-0000-0000-000008590000}"/>
    <cellStyle name="Normal 264 3 4 2 2" xfId="22793" xr:uid="{00000000-0005-0000-0000-000009590000}"/>
    <cellStyle name="Normal 264 3 4 3" xfId="22794" xr:uid="{00000000-0005-0000-0000-00000A590000}"/>
    <cellStyle name="Normal 264 3 5" xfId="22795" xr:uid="{00000000-0005-0000-0000-00000B590000}"/>
    <cellStyle name="Normal 264 3 5 2" xfId="22796" xr:uid="{00000000-0005-0000-0000-00000C590000}"/>
    <cellStyle name="Normal 264 3 5 2 2" xfId="22797" xr:uid="{00000000-0005-0000-0000-00000D590000}"/>
    <cellStyle name="Normal 264 3 5 3" xfId="22798" xr:uid="{00000000-0005-0000-0000-00000E590000}"/>
    <cellStyle name="Normal 264 3 6" xfId="22799" xr:uid="{00000000-0005-0000-0000-00000F590000}"/>
    <cellStyle name="Normal 264 4" xfId="22800" xr:uid="{00000000-0005-0000-0000-000010590000}"/>
    <cellStyle name="Normal 264 4 2" xfId="22801" xr:uid="{00000000-0005-0000-0000-000011590000}"/>
    <cellStyle name="Normal 264 4 2 2" xfId="22802" xr:uid="{00000000-0005-0000-0000-000012590000}"/>
    <cellStyle name="Normal 264 4 3" xfId="22803" xr:uid="{00000000-0005-0000-0000-000013590000}"/>
    <cellStyle name="Normal 264 5" xfId="22804" xr:uid="{00000000-0005-0000-0000-000014590000}"/>
    <cellStyle name="Normal 264 5 2" xfId="22805" xr:uid="{00000000-0005-0000-0000-000015590000}"/>
    <cellStyle name="Normal 264 5 2 2" xfId="22806" xr:uid="{00000000-0005-0000-0000-000016590000}"/>
    <cellStyle name="Normal 264 5 3" xfId="22807" xr:uid="{00000000-0005-0000-0000-000017590000}"/>
    <cellStyle name="Normal 264 6" xfId="22808" xr:uid="{00000000-0005-0000-0000-000018590000}"/>
    <cellStyle name="Normal 264 6 2" xfId="22809" xr:uid="{00000000-0005-0000-0000-000019590000}"/>
    <cellStyle name="Normal 264 6 2 2" xfId="22810" xr:uid="{00000000-0005-0000-0000-00001A590000}"/>
    <cellStyle name="Normal 264 6 3" xfId="22811" xr:uid="{00000000-0005-0000-0000-00001B590000}"/>
    <cellStyle name="Normal 264 7" xfId="22812" xr:uid="{00000000-0005-0000-0000-00001C590000}"/>
    <cellStyle name="Normal 265" xfId="22813" xr:uid="{00000000-0005-0000-0000-00001D590000}"/>
    <cellStyle name="Normal 265 2" xfId="22814" xr:uid="{00000000-0005-0000-0000-00001E590000}"/>
    <cellStyle name="Normal 265 2 2" xfId="22815" xr:uid="{00000000-0005-0000-0000-00001F590000}"/>
    <cellStyle name="Normal 265 2 2 2" xfId="22816" xr:uid="{00000000-0005-0000-0000-000020590000}"/>
    <cellStyle name="Normal 265 2 3" xfId="22817" xr:uid="{00000000-0005-0000-0000-000021590000}"/>
    <cellStyle name="Normal 265 2 3 2" xfId="22818" xr:uid="{00000000-0005-0000-0000-000022590000}"/>
    <cellStyle name="Normal 265 2 3 2 2" xfId="22819" xr:uid="{00000000-0005-0000-0000-000023590000}"/>
    <cellStyle name="Normal 265 2 3 3" xfId="22820" xr:uid="{00000000-0005-0000-0000-000024590000}"/>
    <cellStyle name="Normal 265 2 4" xfId="22821" xr:uid="{00000000-0005-0000-0000-000025590000}"/>
    <cellStyle name="Normal 265 2 4 2" xfId="22822" xr:uid="{00000000-0005-0000-0000-000026590000}"/>
    <cellStyle name="Normal 265 2 4 2 2" xfId="22823" xr:uid="{00000000-0005-0000-0000-000027590000}"/>
    <cellStyle name="Normal 265 2 4 3" xfId="22824" xr:uid="{00000000-0005-0000-0000-000028590000}"/>
    <cellStyle name="Normal 265 2 5" xfId="22825" xr:uid="{00000000-0005-0000-0000-000029590000}"/>
    <cellStyle name="Normal 265 3" xfId="22826" xr:uid="{00000000-0005-0000-0000-00002A590000}"/>
    <cellStyle name="Normal 265 3 2" xfId="22827" xr:uid="{00000000-0005-0000-0000-00002B590000}"/>
    <cellStyle name="Normal 265 3 2 2" xfId="22828" xr:uid="{00000000-0005-0000-0000-00002C590000}"/>
    <cellStyle name="Normal 265 3 2 2 2" xfId="22829" xr:uid="{00000000-0005-0000-0000-00002D590000}"/>
    <cellStyle name="Normal 265 3 2 3" xfId="22830" xr:uid="{00000000-0005-0000-0000-00002E590000}"/>
    <cellStyle name="Normal 265 3 2 3 2" xfId="22831" xr:uid="{00000000-0005-0000-0000-00002F590000}"/>
    <cellStyle name="Normal 265 3 2 3 2 2" xfId="22832" xr:uid="{00000000-0005-0000-0000-000030590000}"/>
    <cellStyle name="Normal 265 3 2 3 3" xfId="22833" xr:uid="{00000000-0005-0000-0000-000031590000}"/>
    <cellStyle name="Normal 265 3 2 4" xfId="22834" xr:uid="{00000000-0005-0000-0000-000032590000}"/>
    <cellStyle name="Normal 265 3 3" xfId="22835" xr:uid="{00000000-0005-0000-0000-000033590000}"/>
    <cellStyle name="Normal 265 3 3 2" xfId="22836" xr:uid="{00000000-0005-0000-0000-000034590000}"/>
    <cellStyle name="Normal 265 3 3 2 2" xfId="22837" xr:uid="{00000000-0005-0000-0000-000035590000}"/>
    <cellStyle name="Normal 265 3 3 3" xfId="22838" xr:uid="{00000000-0005-0000-0000-000036590000}"/>
    <cellStyle name="Normal 265 3 4" xfId="22839" xr:uid="{00000000-0005-0000-0000-000037590000}"/>
    <cellStyle name="Normal 265 3 4 2" xfId="22840" xr:uid="{00000000-0005-0000-0000-000038590000}"/>
    <cellStyle name="Normal 265 3 4 2 2" xfId="22841" xr:uid="{00000000-0005-0000-0000-000039590000}"/>
    <cellStyle name="Normal 265 3 4 3" xfId="22842" xr:uid="{00000000-0005-0000-0000-00003A590000}"/>
    <cellStyle name="Normal 265 3 5" xfId="22843" xr:uid="{00000000-0005-0000-0000-00003B590000}"/>
    <cellStyle name="Normal 265 3 5 2" xfId="22844" xr:uid="{00000000-0005-0000-0000-00003C590000}"/>
    <cellStyle name="Normal 265 3 5 2 2" xfId="22845" xr:uid="{00000000-0005-0000-0000-00003D590000}"/>
    <cellStyle name="Normal 265 3 5 3" xfId="22846" xr:uid="{00000000-0005-0000-0000-00003E590000}"/>
    <cellStyle name="Normal 265 3 6" xfId="22847" xr:uid="{00000000-0005-0000-0000-00003F590000}"/>
    <cellStyle name="Normal 265 4" xfId="22848" xr:uid="{00000000-0005-0000-0000-000040590000}"/>
    <cellStyle name="Normal 265 4 2" xfId="22849" xr:uid="{00000000-0005-0000-0000-000041590000}"/>
    <cellStyle name="Normal 265 4 2 2" xfId="22850" xr:uid="{00000000-0005-0000-0000-000042590000}"/>
    <cellStyle name="Normal 265 4 3" xfId="22851" xr:uid="{00000000-0005-0000-0000-000043590000}"/>
    <cellStyle name="Normal 265 5" xfId="22852" xr:uid="{00000000-0005-0000-0000-000044590000}"/>
    <cellStyle name="Normal 265 5 2" xfId="22853" xr:uid="{00000000-0005-0000-0000-000045590000}"/>
    <cellStyle name="Normal 265 5 2 2" xfId="22854" xr:uid="{00000000-0005-0000-0000-000046590000}"/>
    <cellStyle name="Normal 265 5 3" xfId="22855" xr:uid="{00000000-0005-0000-0000-000047590000}"/>
    <cellStyle name="Normal 265 6" xfId="22856" xr:uid="{00000000-0005-0000-0000-000048590000}"/>
    <cellStyle name="Normal 265 6 2" xfId="22857" xr:uid="{00000000-0005-0000-0000-000049590000}"/>
    <cellStyle name="Normal 265 6 2 2" xfId="22858" xr:uid="{00000000-0005-0000-0000-00004A590000}"/>
    <cellStyle name="Normal 265 6 3" xfId="22859" xr:uid="{00000000-0005-0000-0000-00004B590000}"/>
    <cellStyle name="Normal 265 7" xfId="22860" xr:uid="{00000000-0005-0000-0000-00004C590000}"/>
    <cellStyle name="Normal 266" xfId="22861" xr:uid="{00000000-0005-0000-0000-00004D590000}"/>
    <cellStyle name="Normal 266 2" xfId="22862" xr:uid="{00000000-0005-0000-0000-00004E590000}"/>
    <cellStyle name="Normal 266 2 2" xfId="22863" xr:uid="{00000000-0005-0000-0000-00004F590000}"/>
    <cellStyle name="Normal 266 2 2 2" xfId="22864" xr:uid="{00000000-0005-0000-0000-000050590000}"/>
    <cellStyle name="Normal 266 2 3" xfId="22865" xr:uid="{00000000-0005-0000-0000-000051590000}"/>
    <cellStyle name="Normal 266 2 3 2" xfId="22866" xr:uid="{00000000-0005-0000-0000-000052590000}"/>
    <cellStyle name="Normal 266 2 3 2 2" xfId="22867" xr:uid="{00000000-0005-0000-0000-000053590000}"/>
    <cellStyle name="Normal 266 2 3 3" xfId="22868" xr:uid="{00000000-0005-0000-0000-000054590000}"/>
    <cellStyle name="Normal 266 2 4" xfId="22869" xr:uid="{00000000-0005-0000-0000-000055590000}"/>
    <cellStyle name="Normal 266 2 4 2" xfId="22870" xr:uid="{00000000-0005-0000-0000-000056590000}"/>
    <cellStyle name="Normal 266 2 4 2 2" xfId="22871" xr:uid="{00000000-0005-0000-0000-000057590000}"/>
    <cellStyle name="Normal 266 2 4 3" xfId="22872" xr:uid="{00000000-0005-0000-0000-000058590000}"/>
    <cellStyle name="Normal 266 2 5" xfId="22873" xr:uid="{00000000-0005-0000-0000-000059590000}"/>
    <cellStyle name="Normal 266 3" xfId="22874" xr:uid="{00000000-0005-0000-0000-00005A590000}"/>
    <cellStyle name="Normal 266 3 2" xfId="22875" xr:uid="{00000000-0005-0000-0000-00005B590000}"/>
    <cellStyle name="Normal 266 3 2 2" xfId="22876" xr:uid="{00000000-0005-0000-0000-00005C590000}"/>
    <cellStyle name="Normal 266 3 2 2 2" xfId="22877" xr:uid="{00000000-0005-0000-0000-00005D590000}"/>
    <cellStyle name="Normal 266 3 2 3" xfId="22878" xr:uid="{00000000-0005-0000-0000-00005E590000}"/>
    <cellStyle name="Normal 266 3 2 3 2" xfId="22879" xr:uid="{00000000-0005-0000-0000-00005F590000}"/>
    <cellStyle name="Normal 266 3 2 3 2 2" xfId="22880" xr:uid="{00000000-0005-0000-0000-000060590000}"/>
    <cellStyle name="Normal 266 3 2 3 3" xfId="22881" xr:uid="{00000000-0005-0000-0000-000061590000}"/>
    <cellStyle name="Normal 266 3 2 4" xfId="22882" xr:uid="{00000000-0005-0000-0000-000062590000}"/>
    <cellStyle name="Normal 266 3 3" xfId="22883" xr:uid="{00000000-0005-0000-0000-000063590000}"/>
    <cellStyle name="Normal 266 3 3 2" xfId="22884" xr:uid="{00000000-0005-0000-0000-000064590000}"/>
    <cellStyle name="Normal 266 3 3 2 2" xfId="22885" xr:uid="{00000000-0005-0000-0000-000065590000}"/>
    <cellStyle name="Normal 266 3 3 3" xfId="22886" xr:uid="{00000000-0005-0000-0000-000066590000}"/>
    <cellStyle name="Normal 266 3 4" xfId="22887" xr:uid="{00000000-0005-0000-0000-000067590000}"/>
    <cellStyle name="Normal 266 3 4 2" xfId="22888" xr:uid="{00000000-0005-0000-0000-000068590000}"/>
    <cellStyle name="Normal 266 3 4 2 2" xfId="22889" xr:uid="{00000000-0005-0000-0000-000069590000}"/>
    <cellStyle name="Normal 266 3 4 3" xfId="22890" xr:uid="{00000000-0005-0000-0000-00006A590000}"/>
    <cellStyle name="Normal 266 3 5" xfId="22891" xr:uid="{00000000-0005-0000-0000-00006B590000}"/>
    <cellStyle name="Normal 266 3 5 2" xfId="22892" xr:uid="{00000000-0005-0000-0000-00006C590000}"/>
    <cellStyle name="Normal 266 3 5 2 2" xfId="22893" xr:uid="{00000000-0005-0000-0000-00006D590000}"/>
    <cellStyle name="Normal 266 3 5 3" xfId="22894" xr:uid="{00000000-0005-0000-0000-00006E590000}"/>
    <cellStyle name="Normal 266 3 6" xfId="22895" xr:uid="{00000000-0005-0000-0000-00006F590000}"/>
    <cellStyle name="Normal 266 4" xfId="22896" xr:uid="{00000000-0005-0000-0000-000070590000}"/>
    <cellStyle name="Normal 266 4 2" xfId="22897" xr:uid="{00000000-0005-0000-0000-000071590000}"/>
    <cellStyle name="Normal 266 4 2 2" xfId="22898" xr:uid="{00000000-0005-0000-0000-000072590000}"/>
    <cellStyle name="Normal 266 4 3" xfId="22899" xr:uid="{00000000-0005-0000-0000-000073590000}"/>
    <cellStyle name="Normal 266 5" xfId="22900" xr:uid="{00000000-0005-0000-0000-000074590000}"/>
    <cellStyle name="Normal 266 5 2" xfId="22901" xr:uid="{00000000-0005-0000-0000-000075590000}"/>
    <cellStyle name="Normal 266 5 2 2" xfId="22902" xr:uid="{00000000-0005-0000-0000-000076590000}"/>
    <cellStyle name="Normal 266 5 3" xfId="22903" xr:uid="{00000000-0005-0000-0000-000077590000}"/>
    <cellStyle name="Normal 266 6" xfId="22904" xr:uid="{00000000-0005-0000-0000-000078590000}"/>
    <cellStyle name="Normal 266 6 2" xfId="22905" xr:uid="{00000000-0005-0000-0000-000079590000}"/>
    <cellStyle name="Normal 266 6 2 2" xfId="22906" xr:uid="{00000000-0005-0000-0000-00007A590000}"/>
    <cellStyle name="Normal 266 6 3" xfId="22907" xr:uid="{00000000-0005-0000-0000-00007B590000}"/>
    <cellStyle name="Normal 266 7" xfId="22908" xr:uid="{00000000-0005-0000-0000-00007C590000}"/>
    <cellStyle name="Normal 267" xfId="22909" xr:uid="{00000000-0005-0000-0000-00007D590000}"/>
    <cellStyle name="Normal 267 2" xfId="22910" xr:uid="{00000000-0005-0000-0000-00007E590000}"/>
    <cellStyle name="Normal 267 2 2" xfId="22911" xr:uid="{00000000-0005-0000-0000-00007F590000}"/>
    <cellStyle name="Normal 267 2 2 2" xfId="22912" xr:uid="{00000000-0005-0000-0000-000080590000}"/>
    <cellStyle name="Normal 267 2 3" xfId="22913" xr:uid="{00000000-0005-0000-0000-000081590000}"/>
    <cellStyle name="Normal 267 2 3 2" xfId="22914" xr:uid="{00000000-0005-0000-0000-000082590000}"/>
    <cellStyle name="Normal 267 2 3 2 2" xfId="22915" xr:uid="{00000000-0005-0000-0000-000083590000}"/>
    <cellStyle name="Normal 267 2 3 3" xfId="22916" xr:uid="{00000000-0005-0000-0000-000084590000}"/>
    <cellStyle name="Normal 267 2 4" xfId="22917" xr:uid="{00000000-0005-0000-0000-000085590000}"/>
    <cellStyle name="Normal 267 2 4 2" xfId="22918" xr:uid="{00000000-0005-0000-0000-000086590000}"/>
    <cellStyle name="Normal 267 2 4 2 2" xfId="22919" xr:uid="{00000000-0005-0000-0000-000087590000}"/>
    <cellStyle name="Normal 267 2 4 3" xfId="22920" xr:uid="{00000000-0005-0000-0000-000088590000}"/>
    <cellStyle name="Normal 267 2 5" xfId="22921" xr:uid="{00000000-0005-0000-0000-000089590000}"/>
    <cellStyle name="Normal 267 3" xfId="22922" xr:uid="{00000000-0005-0000-0000-00008A590000}"/>
    <cellStyle name="Normal 267 3 2" xfId="22923" xr:uid="{00000000-0005-0000-0000-00008B590000}"/>
    <cellStyle name="Normal 267 3 2 2" xfId="22924" xr:uid="{00000000-0005-0000-0000-00008C590000}"/>
    <cellStyle name="Normal 267 3 2 2 2" xfId="22925" xr:uid="{00000000-0005-0000-0000-00008D590000}"/>
    <cellStyle name="Normal 267 3 2 3" xfId="22926" xr:uid="{00000000-0005-0000-0000-00008E590000}"/>
    <cellStyle name="Normal 267 3 2 3 2" xfId="22927" xr:uid="{00000000-0005-0000-0000-00008F590000}"/>
    <cellStyle name="Normal 267 3 2 3 2 2" xfId="22928" xr:uid="{00000000-0005-0000-0000-000090590000}"/>
    <cellStyle name="Normal 267 3 2 3 3" xfId="22929" xr:uid="{00000000-0005-0000-0000-000091590000}"/>
    <cellStyle name="Normal 267 3 2 4" xfId="22930" xr:uid="{00000000-0005-0000-0000-000092590000}"/>
    <cellStyle name="Normal 267 3 3" xfId="22931" xr:uid="{00000000-0005-0000-0000-000093590000}"/>
    <cellStyle name="Normal 267 3 3 2" xfId="22932" xr:uid="{00000000-0005-0000-0000-000094590000}"/>
    <cellStyle name="Normal 267 3 3 2 2" xfId="22933" xr:uid="{00000000-0005-0000-0000-000095590000}"/>
    <cellStyle name="Normal 267 3 3 3" xfId="22934" xr:uid="{00000000-0005-0000-0000-000096590000}"/>
    <cellStyle name="Normal 267 3 4" xfId="22935" xr:uid="{00000000-0005-0000-0000-000097590000}"/>
    <cellStyle name="Normal 267 3 4 2" xfId="22936" xr:uid="{00000000-0005-0000-0000-000098590000}"/>
    <cellStyle name="Normal 267 3 4 2 2" xfId="22937" xr:uid="{00000000-0005-0000-0000-000099590000}"/>
    <cellStyle name="Normal 267 3 4 3" xfId="22938" xr:uid="{00000000-0005-0000-0000-00009A590000}"/>
    <cellStyle name="Normal 267 3 5" xfId="22939" xr:uid="{00000000-0005-0000-0000-00009B590000}"/>
    <cellStyle name="Normal 267 3 5 2" xfId="22940" xr:uid="{00000000-0005-0000-0000-00009C590000}"/>
    <cellStyle name="Normal 267 3 5 2 2" xfId="22941" xr:uid="{00000000-0005-0000-0000-00009D590000}"/>
    <cellStyle name="Normal 267 3 5 3" xfId="22942" xr:uid="{00000000-0005-0000-0000-00009E590000}"/>
    <cellStyle name="Normal 267 3 6" xfId="22943" xr:uid="{00000000-0005-0000-0000-00009F590000}"/>
    <cellStyle name="Normal 267 4" xfId="22944" xr:uid="{00000000-0005-0000-0000-0000A0590000}"/>
    <cellStyle name="Normal 267 4 2" xfId="22945" xr:uid="{00000000-0005-0000-0000-0000A1590000}"/>
    <cellStyle name="Normal 267 4 2 2" xfId="22946" xr:uid="{00000000-0005-0000-0000-0000A2590000}"/>
    <cellStyle name="Normal 267 4 3" xfId="22947" xr:uid="{00000000-0005-0000-0000-0000A3590000}"/>
    <cellStyle name="Normal 267 5" xfId="22948" xr:uid="{00000000-0005-0000-0000-0000A4590000}"/>
    <cellStyle name="Normal 267 5 2" xfId="22949" xr:uid="{00000000-0005-0000-0000-0000A5590000}"/>
    <cellStyle name="Normal 267 5 2 2" xfId="22950" xr:uid="{00000000-0005-0000-0000-0000A6590000}"/>
    <cellStyle name="Normal 267 5 3" xfId="22951" xr:uid="{00000000-0005-0000-0000-0000A7590000}"/>
    <cellStyle name="Normal 267 6" xfId="22952" xr:uid="{00000000-0005-0000-0000-0000A8590000}"/>
    <cellStyle name="Normal 267 6 2" xfId="22953" xr:uid="{00000000-0005-0000-0000-0000A9590000}"/>
    <cellStyle name="Normal 267 6 2 2" xfId="22954" xr:uid="{00000000-0005-0000-0000-0000AA590000}"/>
    <cellStyle name="Normal 267 6 3" xfId="22955" xr:uid="{00000000-0005-0000-0000-0000AB590000}"/>
    <cellStyle name="Normal 267 7" xfId="22956" xr:uid="{00000000-0005-0000-0000-0000AC590000}"/>
    <cellStyle name="Normal 268" xfId="22957" xr:uid="{00000000-0005-0000-0000-0000AD590000}"/>
    <cellStyle name="Normal 268 2" xfId="22958" xr:uid="{00000000-0005-0000-0000-0000AE590000}"/>
    <cellStyle name="Normal 268 2 2" xfId="22959" xr:uid="{00000000-0005-0000-0000-0000AF590000}"/>
    <cellStyle name="Normal 268 2 2 2" xfId="22960" xr:uid="{00000000-0005-0000-0000-0000B0590000}"/>
    <cellStyle name="Normal 268 2 3" xfId="22961" xr:uid="{00000000-0005-0000-0000-0000B1590000}"/>
    <cellStyle name="Normal 268 2 3 2" xfId="22962" xr:uid="{00000000-0005-0000-0000-0000B2590000}"/>
    <cellStyle name="Normal 268 2 3 2 2" xfId="22963" xr:uid="{00000000-0005-0000-0000-0000B3590000}"/>
    <cellStyle name="Normal 268 2 3 3" xfId="22964" xr:uid="{00000000-0005-0000-0000-0000B4590000}"/>
    <cellStyle name="Normal 268 2 4" xfId="22965" xr:uid="{00000000-0005-0000-0000-0000B5590000}"/>
    <cellStyle name="Normal 268 2 4 2" xfId="22966" xr:uid="{00000000-0005-0000-0000-0000B6590000}"/>
    <cellStyle name="Normal 268 2 4 2 2" xfId="22967" xr:uid="{00000000-0005-0000-0000-0000B7590000}"/>
    <cellStyle name="Normal 268 2 4 3" xfId="22968" xr:uid="{00000000-0005-0000-0000-0000B8590000}"/>
    <cellStyle name="Normal 268 2 5" xfId="22969" xr:uid="{00000000-0005-0000-0000-0000B9590000}"/>
    <cellStyle name="Normal 268 3" xfId="22970" xr:uid="{00000000-0005-0000-0000-0000BA590000}"/>
    <cellStyle name="Normal 268 3 2" xfId="22971" xr:uid="{00000000-0005-0000-0000-0000BB590000}"/>
    <cellStyle name="Normal 268 3 2 2" xfId="22972" xr:uid="{00000000-0005-0000-0000-0000BC590000}"/>
    <cellStyle name="Normal 268 3 2 2 2" xfId="22973" xr:uid="{00000000-0005-0000-0000-0000BD590000}"/>
    <cellStyle name="Normal 268 3 2 3" xfId="22974" xr:uid="{00000000-0005-0000-0000-0000BE590000}"/>
    <cellStyle name="Normal 268 3 2 3 2" xfId="22975" xr:uid="{00000000-0005-0000-0000-0000BF590000}"/>
    <cellStyle name="Normal 268 3 2 3 2 2" xfId="22976" xr:uid="{00000000-0005-0000-0000-0000C0590000}"/>
    <cellStyle name="Normal 268 3 2 3 3" xfId="22977" xr:uid="{00000000-0005-0000-0000-0000C1590000}"/>
    <cellStyle name="Normal 268 3 2 4" xfId="22978" xr:uid="{00000000-0005-0000-0000-0000C2590000}"/>
    <cellStyle name="Normal 268 3 3" xfId="22979" xr:uid="{00000000-0005-0000-0000-0000C3590000}"/>
    <cellStyle name="Normal 268 3 3 2" xfId="22980" xr:uid="{00000000-0005-0000-0000-0000C4590000}"/>
    <cellStyle name="Normal 268 3 3 2 2" xfId="22981" xr:uid="{00000000-0005-0000-0000-0000C5590000}"/>
    <cellStyle name="Normal 268 3 3 3" xfId="22982" xr:uid="{00000000-0005-0000-0000-0000C6590000}"/>
    <cellStyle name="Normal 268 3 4" xfId="22983" xr:uid="{00000000-0005-0000-0000-0000C7590000}"/>
    <cellStyle name="Normal 268 3 4 2" xfId="22984" xr:uid="{00000000-0005-0000-0000-0000C8590000}"/>
    <cellStyle name="Normal 268 3 4 2 2" xfId="22985" xr:uid="{00000000-0005-0000-0000-0000C9590000}"/>
    <cellStyle name="Normal 268 3 4 3" xfId="22986" xr:uid="{00000000-0005-0000-0000-0000CA590000}"/>
    <cellStyle name="Normal 268 3 5" xfId="22987" xr:uid="{00000000-0005-0000-0000-0000CB590000}"/>
    <cellStyle name="Normal 268 3 5 2" xfId="22988" xr:uid="{00000000-0005-0000-0000-0000CC590000}"/>
    <cellStyle name="Normal 268 3 5 2 2" xfId="22989" xr:uid="{00000000-0005-0000-0000-0000CD590000}"/>
    <cellStyle name="Normal 268 3 5 3" xfId="22990" xr:uid="{00000000-0005-0000-0000-0000CE590000}"/>
    <cellStyle name="Normal 268 3 6" xfId="22991" xr:uid="{00000000-0005-0000-0000-0000CF590000}"/>
    <cellStyle name="Normal 268 4" xfId="22992" xr:uid="{00000000-0005-0000-0000-0000D0590000}"/>
    <cellStyle name="Normal 268 4 2" xfId="22993" xr:uid="{00000000-0005-0000-0000-0000D1590000}"/>
    <cellStyle name="Normal 268 4 2 2" xfId="22994" xr:uid="{00000000-0005-0000-0000-0000D2590000}"/>
    <cellStyle name="Normal 268 4 3" xfId="22995" xr:uid="{00000000-0005-0000-0000-0000D3590000}"/>
    <cellStyle name="Normal 268 5" xfId="22996" xr:uid="{00000000-0005-0000-0000-0000D4590000}"/>
    <cellStyle name="Normal 268 5 2" xfId="22997" xr:uid="{00000000-0005-0000-0000-0000D5590000}"/>
    <cellStyle name="Normal 268 5 2 2" xfId="22998" xr:uid="{00000000-0005-0000-0000-0000D6590000}"/>
    <cellStyle name="Normal 268 5 3" xfId="22999" xr:uid="{00000000-0005-0000-0000-0000D7590000}"/>
    <cellStyle name="Normal 268 6" xfId="23000" xr:uid="{00000000-0005-0000-0000-0000D8590000}"/>
    <cellStyle name="Normal 268 6 2" xfId="23001" xr:uid="{00000000-0005-0000-0000-0000D9590000}"/>
    <cellStyle name="Normal 268 6 2 2" xfId="23002" xr:uid="{00000000-0005-0000-0000-0000DA590000}"/>
    <cellStyle name="Normal 268 6 3" xfId="23003" xr:uid="{00000000-0005-0000-0000-0000DB590000}"/>
    <cellStyle name="Normal 268 7" xfId="23004" xr:uid="{00000000-0005-0000-0000-0000DC590000}"/>
    <cellStyle name="Normal 269" xfId="23005" xr:uid="{00000000-0005-0000-0000-0000DD590000}"/>
    <cellStyle name="Normal 269 2" xfId="23006" xr:uid="{00000000-0005-0000-0000-0000DE590000}"/>
    <cellStyle name="Normal 269 2 2" xfId="23007" xr:uid="{00000000-0005-0000-0000-0000DF590000}"/>
    <cellStyle name="Normal 269 2 2 2" xfId="23008" xr:uid="{00000000-0005-0000-0000-0000E0590000}"/>
    <cellStyle name="Normal 269 2 3" xfId="23009" xr:uid="{00000000-0005-0000-0000-0000E1590000}"/>
    <cellStyle name="Normal 269 2 3 2" xfId="23010" xr:uid="{00000000-0005-0000-0000-0000E2590000}"/>
    <cellStyle name="Normal 269 2 3 2 2" xfId="23011" xr:uid="{00000000-0005-0000-0000-0000E3590000}"/>
    <cellStyle name="Normal 269 2 3 3" xfId="23012" xr:uid="{00000000-0005-0000-0000-0000E4590000}"/>
    <cellStyle name="Normal 269 2 4" xfId="23013" xr:uid="{00000000-0005-0000-0000-0000E5590000}"/>
    <cellStyle name="Normal 269 2 4 2" xfId="23014" xr:uid="{00000000-0005-0000-0000-0000E6590000}"/>
    <cellStyle name="Normal 269 2 4 2 2" xfId="23015" xr:uid="{00000000-0005-0000-0000-0000E7590000}"/>
    <cellStyle name="Normal 269 2 4 3" xfId="23016" xr:uid="{00000000-0005-0000-0000-0000E8590000}"/>
    <cellStyle name="Normal 269 2 5" xfId="23017" xr:uid="{00000000-0005-0000-0000-0000E9590000}"/>
    <cellStyle name="Normal 269 3" xfId="23018" xr:uid="{00000000-0005-0000-0000-0000EA590000}"/>
    <cellStyle name="Normal 269 3 2" xfId="23019" xr:uid="{00000000-0005-0000-0000-0000EB590000}"/>
    <cellStyle name="Normal 269 3 2 2" xfId="23020" xr:uid="{00000000-0005-0000-0000-0000EC590000}"/>
    <cellStyle name="Normal 269 3 2 2 2" xfId="23021" xr:uid="{00000000-0005-0000-0000-0000ED590000}"/>
    <cellStyle name="Normal 269 3 2 3" xfId="23022" xr:uid="{00000000-0005-0000-0000-0000EE590000}"/>
    <cellStyle name="Normal 269 3 2 3 2" xfId="23023" xr:uid="{00000000-0005-0000-0000-0000EF590000}"/>
    <cellStyle name="Normal 269 3 2 3 2 2" xfId="23024" xr:uid="{00000000-0005-0000-0000-0000F0590000}"/>
    <cellStyle name="Normal 269 3 2 3 3" xfId="23025" xr:uid="{00000000-0005-0000-0000-0000F1590000}"/>
    <cellStyle name="Normal 269 3 2 4" xfId="23026" xr:uid="{00000000-0005-0000-0000-0000F2590000}"/>
    <cellStyle name="Normal 269 3 3" xfId="23027" xr:uid="{00000000-0005-0000-0000-0000F3590000}"/>
    <cellStyle name="Normal 269 3 3 2" xfId="23028" xr:uid="{00000000-0005-0000-0000-0000F4590000}"/>
    <cellStyle name="Normal 269 3 3 2 2" xfId="23029" xr:uid="{00000000-0005-0000-0000-0000F5590000}"/>
    <cellStyle name="Normal 269 3 3 3" xfId="23030" xr:uid="{00000000-0005-0000-0000-0000F6590000}"/>
    <cellStyle name="Normal 269 3 4" xfId="23031" xr:uid="{00000000-0005-0000-0000-0000F7590000}"/>
    <cellStyle name="Normal 269 3 4 2" xfId="23032" xr:uid="{00000000-0005-0000-0000-0000F8590000}"/>
    <cellStyle name="Normal 269 3 4 2 2" xfId="23033" xr:uid="{00000000-0005-0000-0000-0000F9590000}"/>
    <cellStyle name="Normal 269 3 4 3" xfId="23034" xr:uid="{00000000-0005-0000-0000-0000FA590000}"/>
    <cellStyle name="Normal 269 3 5" xfId="23035" xr:uid="{00000000-0005-0000-0000-0000FB590000}"/>
    <cellStyle name="Normal 269 3 5 2" xfId="23036" xr:uid="{00000000-0005-0000-0000-0000FC590000}"/>
    <cellStyle name="Normal 269 3 5 2 2" xfId="23037" xr:uid="{00000000-0005-0000-0000-0000FD590000}"/>
    <cellStyle name="Normal 269 3 5 3" xfId="23038" xr:uid="{00000000-0005-0000-0000-0000FE590000}"/>
    <cellStyle name="Normal 269 3 6" xfId="23039" xr:uid="{00000000-0005-0000-0000-0000FF590000}"/>
    <cellStyle name="Normal 269 4" xfId="23040" xr:uid="{00000000-0005-0000-0000-0000005A0000}"/>
    <cellStyle name="Normal 269 4 2" xfId="23041" xr:uid="{00000000-0005-0000-0000-0000015A0000}"/>
    <cellStyle name="Normal 269 4 2 2" xfId="23042" xr:uid="{00000000-0005-0000-0000-0000025A0000}"/>
    <cellStyle name="Normal 269 4 3" xfId="23043" xr:uid="{00000000-0005-0000-0000-0000035A0000}"/>
    <cellStyle name="Normal 269 5" xfId="23044" xr:uid="{00000000-0005-0000-0000-0000045A0000}"/>
    <cellStyle name="Normal 269 5 2" xfId="23045" xr:uid="{00000000-0005-0000-0000-0000055A0000}"/>
    <cellStyle name="Normal 269 5 2 2" xfId="23046" xr:uid="{00000000-0005-0000-0000-0000065A0000}"/>
    <cellStyle name="Normal 269 5 3" xfId="23047" xr:uid="{00000000-0005-0000-0000-0000075A0000}"/>
    <cellStyle name="Normal 269 6" xfId="23048" xr:uid="{00000000-0005-0000-0000-0000085A0000}"/>
    <cellStyle name="Normal 269 6 2" xfId="23049" xr:uid="{00000000-0005-0000-0000-0000095A0000}"/>
    <cellStyle name="Normal 269 6 2 2" xfId="23050" xr:uid="{00000000-0005-0000-0000-00000A5A0000}"/>
    <cellStyle name="Normal 269 6 3" xfId="23051" xr:uid="{00000000-0005-0000-0000-00000B5A0000}"/>
    <cellStyle name="Normal 269 7" xfId="23052" xr:uid="{00000000-0005-0000-0000-00000C5A0000}"/>
    <cellStyle name="Normal 27" xfId="23053" xr:uid="{00000000-0005-0000-0000-00000D5A0000}"/>
    <cellStyle name="Normal 27 2" xfId="23054" xr:uid="{00000000-0005-0000-0000-00000E5A0000}"/>
    <cellStyle name="Normal 27 2 2" xfId="23055" xr:uid="{00000000-0005-0000-0000-00000F5A0000}"/>
    <cellStyle name="Normal 27 2 2 2" xfId="23056" xr:uid="{00000000-0005-0000-0000-0000105A0000}"/>
    <cellStyle name="Normal 27 2 2 2 2" xfId="23057" xr:uid="{00000000-0005-0000-0000-0000115A0000}"/>
    <cellStyle name="Normal 27 2 2 3" xfId="23058" xr:uid="{00000000-0005-0000-0000-0000125A0000}"/>
    <cellStyle name="Normal 27 2 2 3 2" xfId="23059" xr:uid="{00000000-0005-0000-0000-0000135A0000}"/>
    <cellStyle name="Normal 27 2 2 3 2 2" xfId="23060" xr:uid="{00000000-0005-0000-0000-0000145A0000}"/>
    <cellStyle name="Normal 27 2 2 3 3" xfId="23061" xr:uid="{00000000-0005-0000-0000-0000155A0000}"/>
    <cellStyle name="Normal 27 2 2 4" xfId="23062" xr:uid="{00000000-0005-0000-0000-0000165A0000}"/>
    <cellStyle name="Normal 27 2 2 4 2" xfId="23063" xr:uid="{00000000-0005-0000-0000-0000175A0000}"/>
    <cellStyle name="Normal 27 2 2 4 2 2" xfId="23064" xr:uid="{00000000-0005-0000-0000-0000185A0000}"/>
    <cellStyle name="Normal 27 2 2 4 3" xfId="23065" xr:uid="{00000000-0005-0000-0000-0000195A0000}"/>
    <cellStyle name="Normal 27 2 2 5" xfId="23066" xr:uid="{00000000-0005-0000-0000-00001A5A0000}"/>
    <cellStyle name="Normal 27 2 3" xfId="23067" xr:uid="{00000000-0005-0000-0000-00001B5A0000}"/>
    <cellStyle name="Normal 27 2 3 2" xfId="23068" xr:uid="{00000000-0005-0000-0000-00001C5A0000}"/>
    <cellStyle name="Normal 27 2 3 2 2" xfId="23069" xr:uid="{00000000-0005-0000-0000-00001D5A0000}"/>
    <cellStyle name="Normal 27 2 3 3" xfId="23070" xr:uid="{00000000-0005-0000-0000-00001E5A0000}"/>
    <cellStyle name="Normal 27 2 4" xfId="23071" xr:uid="{00000000-0005-0000-0000-00001F5A0000}"/>
    <cellStyle name="Normal 27 2 4 2" xfId="23072" xr:uid="{00000000-0005-0000-0000-0000205A0000}"/>
    <cellStyle name="Normal 27 2 4 2 2" xfId="23073" xr:uid="{00000000-0005-0000-0000-0000215A0000}"/>
    <cellStyle name="Normal 27 2 4 3" xfId="23074" xr:uid="{00000000-0005-0000-0000-0000225A0000}"/>
    <cellStyle name="Normal 27 2 5" xfId="23075" xr:uid="{00000000-0005-0000-0000-0000235A0000}"/>
    <cellStyle name="Normal 27 2 5 2" xfId="23076" xr:uid="{00000000-0005-0000-0000-0000245A0000}"/>
    <cellStyle name="Normal 27 2 5 2 2" xfId="23077" xr:uid="{00000000-0005-0000-0000-0000255A0000}"/>
    <cellStyle name="Normal 27 2 5 3" xfId="23078" xr:uid="{00000000-0005-0000-0000-0000265A0000}"/>
    <cellStyle name="Normal 27 2 6" xfId="23079" xr:uid="{00000000-0005-0000-0000-0000275A0000}"/>
    <cellStyle name="Normal 27 3" xfId="23080" xr:uid="{00000000-0005-0000-0000-0000285A0000}"/>
    <cellStyle name="Normal 27 3 2" xfId="23081" xr:uid="{00000000-0005-0000-0000-0000295A0000}"/>
    <cellStyle name="Normal 27 3 2 2" xfId="23082" xr:uid="{00000000-0005-0000-0000-00002A5A0000}"/>
    <cellStyle name="Normal 27 3 3" xfId="23083" xr:uid="{00000000-0005-0000-0000-00002B5A0000}"/>
    <cellStyle name="Normal 27 3 3 2" xfId="23084" xr:uid="{00000000-0005-0000-0000-00002C5A0000}"/>
    <cellStyle name="Normal 27 3 3 2 2" xfId="23085" xr:uid="{00000000-0005-0000-0000-00002D5A0000}"/>
    <cellStyle name="Normal 27 3 3 3" xfId="23086" xr:uid="{00000000-0005-0000-0000-00002E5A0000}"/>
    <cellStyle name="Normal 27 3 4" xfId="23087" xr:uid="{00000000-0005-0000-0000-00002F5A0000}"/>
    <cellStyle name="Normal 27 3 4 2" xfId="23088" xr:uid="{00000000-0005-0000-0000-0000305A0000}"/>
    <cellStyle name="Normal 27 3 4 2 2" xfId="23089" xr:uid="{00000000-0005-0000-0000-0000315A0000}"/>
    <cellStyle name="Normal 27 3 4 3" xfId="23090" xr:uid="{00000000-0005-0000-0000-0000325A0000}"/>
    <cellStyle name="Normal 27 3 5" xfId="23091" xr:uid="{00000000-0005-0000-0000-0000335A0000}"/>
    <cellStyle name="Normal 27 4" xfId="23092" xr:uid="{00000000-0005-0000-0000-0000345A0000}"/>
    <cellStyle name="Normal 27 4 2" xfId="23093" xr:uid="{00000000-0005-0000-0000-0000355A0000}"/>
    <cellStyle name="Normal 27 4 2 2" xfId="23094" xr:uid="{00000000-0005-0000-0000-0000365A0000}"/>
    <cellStyle name="Normal 27 4 3" xfId="23095" xr:uid="{00000000-0005-0000-0000-0000375A0000}"/>
    <cellStyle name="Normal 27 4 3 2" xfId="23096" xr:uid="{00000000-0005-0000-0000-0000385A0000}"/>
    <cellStyle name="Normal 27 4 3 2 2" xfId="23097" xr:uid="{00000000-0005-0000-0000-0000395A0000}"/>
    <cellStyle name="Normal 27 4 3 3" xfId="23098" xr:uid="{00000000-0005-0000-0000-00003A5A0000}"/>
    <cellStyle name="Normal 27 4 4" xfId="23099" xr:uid="{00000000-0005-0000-0000-00003B5A0000}"/>
    <cellStyle name="Normal 27 4 4 2" xfId="23100" xr:uid="{00000000-0005-0000-0000-00003C5A0000}"/>
    <cellStyle name="Normal 27 4 4 2 2" xfId="23101" xr:uid="{00000000-0005-0000-0000-00003D5A0000}"/>
    <cellStyle name="Normal 27 4 4 3" xfId="23102" xr:uid="{00000000-0005-0000-0000-00003E5A0000}"/>
    <cellStyle name="Normal 27 4 5" xfId="23103" xr:uid="{00000000-0005-0000-0000-00003F5A0000}"/>
    <cellStyle name="Normal 27 5" xfId="23104" xr:uid="{00000000-0005-0000-0000-0000405A0000}"/>
    <cellStyle name="Normal 27 5 2" xfId="23105" xr:uid="{00000000-0005-0000-0000-0000415A0000}"/>
    <cellStyle name="Normal 27 5 2 2" xfId="23106" xr:uid="{00000000-0005-0000-0000-0000425A0000}"/>
    <cellStyle name="Normal 27 5 3" xfId="23107" xr:uid="{00000000-0005-0000-0000-0000435A0000}"/>
    <cellStyle name="Normal 27 6" xfId="23108" xr:uid="{00000000-0005-0000-0000-0000445A0000}"/>
    <cellStyle name="Normal 27 6 2" xfId="23109" xr:uid="{00000000-0005-0000-0000-0000455A0000}"/>
    <cellStyle name="Normal 27 6 2 2" xfId="23110" xr:uid="{00000000-0005-0000-0000-0000465A0000}"/>
    <cellStyle name="Normal 27 6 3" xfId="23111" xr:uid="{00000000-0005-0000-0000-0000475A0000}"/>
    <cellStyle name="Normal 27 7" xfId="23112" xr:uid="{00000000-0005-0000-0000-0000485A0000}"/>
    <cellStyle name="Normal 27 7 2" xfId="23113" xr:uid="{00000000-0005-0000-0000-0000495A0000}"/>
    <cellStyle name="Normal 27 7 2 2" xfId="23114" xr:uid="{00000000-0005-0000-0000-00004A5A0000}"/>
    <cellStyle name="Normal 27 7 3" xfId="23115" xr:uid="{00000000-0005-0000-0000-00004B5A0000}"/>
    <cellStyle name="Normal 27 8" xfId="23116" xr:uid="{00000000-0005-0000-0000-00004C5A0000}"/>
    <cellStyle name="Normal 270" xfId="23117" xr:uid="{00000000-0005-0000-0000-00004D5A0000}"/>
    <cellStyle name="Normal 270 2" xfId="23118" xr:uid="{00000000-0005-0000-0000-00004E5A0000}"/>
    <cellStyle name="Normal 270 2 2" xfId="23119" xr:uid="{00000000-0005-0000-0000-00004F5A0000}"/>
    <cellStyle name="Normal 270 2 2 2" xfId="23120" xr:uid="{00000000-0005-0000-0000-0000505A0000}"/>
    <cellStyle name="Normal 270 2 3" xfId="23121" xr:uid="{00000000-0005-0000-0000-0000515A0000}"/>
    <cellStyle name="Normal 270 2 3 2" xfId="23122" xr:uid="{00000000-0005-0000-0000-0000525A0000}"/>
    <cellStyle name="Normal 270 2 3 2 2" xfId="23123" xr:uid="{00000000-0005-0000-0000-0000535A0000}"/>
    <cellStyle name="Normal 270 2 3 3" xfId="23124" xr:uid="{00000000-0005-0000-0000-0000545A0000}"/>
    <cellStyle name="Normal 270 2 4" xfId="23125" xr:uid="{00000000-0005-0000-0000-0000555A0000}"/>
    <cellStyle name="Normal 270 2 4 2" xfId="23126" xr:uid="{00000000-0005-0000-0000-0000565A0000}"/>
    <cellStyle name="Normal 270 2 4 2 2" xfId="23127" xr:uid="{00000000-0005-0000-0000-0000575A0000}"/>
    <cellStyle name="Normal 270 2 4 3" xfId="23128" xr:uid="{00000000-0005-0000-0000-0000585A0000}"/>
    <cellStyle name="Normal 270 2 5" xfId="23129" xr:uid="{00000000-0005-0000-0000-0000595A0000}"/>
    <cellStyle name="Normal 270 3" xfId="23130" xr:uid="{00000000-0005-0000-0000-00005A5A0000}"/>
    <cellStyle name="Normal 270 3 2" xfId="23131" xr:uid="{00000000-0005-0000-0000-00005B5A0000}"/>
    <cellStyle name="Normal 270 3 2 2" xfId="23132" xr:uid="{00000000-0005-0000-0000-00005C5A0000}"/>
    <cellStyle name="Normal 270 3 2 2 2" xfId="23133" xr:uid="{00000000-0005-0000-0000-00005D5A0000}"/>
    <cellStyle name="Normal 270 3 2 3" xfId="23134" xr:uid="{00000000-0005-0000-0000-00005E5A0000}"/>
    <cellStyle name="Normal 270 3 2 3 2" xfId="23135" xr:uid="{00000000-0005-0000-0000-00005F5A0000}"/>
    <cellStyle name="Normal 270 3 2 3 2 2" xfId="23136" xr:uid="{00000000-0005-0000-0000-0000605A0000}"/>
    <cellStyle name="Normal 270 3 2 3 3" xfId="23137" xr:uid="{00000000-0005-0000-0000-0000615A0000}"/>
    <cellStyle name="Normal 270 3 2 4" xfId="23138" xr:uid="{00000000-0005-0000-0000-0000625A0000}"/>
    <cellStyle name="Normal 270 3 3" xfId="23139" xr:uid="{00000000-0005-0000-0000-0000635A0000}"/>
    <cellStyle name="Normal 270 3 3 2" xfId="23140" xr:uid="{00000000-0005-0000-0000-0000645A0000}"/>
    <cellStyle name="Normal 270 3 3 2 2" xfId="23141" xr:uid="{00000000-0005-0000-0000-0000655A0000}"/>
    <cellStyle name="Normal 270 3 3 3" xfId="23142" xr:uid="{00000000-0005-0000-0000-0000665A0000}"/>
    <cellStyle name="Normal 270 3 4" xfId="23143" xr:uid="{00000000-0005-0000-0000-0000675A0000}"/>
    <cellStyle name="Normal 270 3 4 2" xfId="23144" xr:uid="{00000000-0005-0000-0000-0000685A0000}"/>
    <cellStyle name="Normal 270 3 4 2 2" xfId="23145" xr:uid="{00000000-0005-0000-0000-0000695A0000}"/>
    <cellStyle name="Normal 270 3 4 3" xfId="23146" xr:uid="{00000000-0005-0000-0000-00006A5A0000}"/>
    <cellStyle name="Normal 270 3 5" xfId="23147" xr:uid="{00000000-0005-0000-0000-00006B5A0000}"/>
    <cellStyle name="Normal 270 3 5 2" xfId="23148" xr:uid="{00000000-0005-0000-0000-00006C5A0000}"/>
    <cellStyle name="Normal 270 3 5 2 2" xfId="23149" xr:uid="{00000000-0005-0000-0000-00006D5A0000}"/>
    <cellStyle name="Normal 270 3 5 3" xfId="23150" xr:uid="{00000000-0005-0000-0000-00006E5A0000}"/>
    <cellStyle name="Normal 270 3 6" xfId="23151" xr:uid="{00000000-0005-0000-0000-00006F5A0000}"/>
    <cellStyle name="Normal 270 4" xfId="23152" xr:uid="{00000000-0005-0000-0000-0000705A0000}"/>
    <cellStyle name="Normal 270 4 2" xfId="23153" xr:uid="{00000000-0005-0000-0000-0000715A0000}"/>
    <cellStyle name="Normal 270 4 2 2" xfId="23154" xr:uid="{00000000-0005-0000-0000-0000725A0000}"/>
    <cellStyle name="Normal 270 4 3" xfId="23155" xr:uid="{00000000-0005-0000-0000-0000735A0000}"/>
    <cellStyle name="Normal 270 5" xfId="23156" xr:uid="{00000000-0005-0000-0000-0000745A0000}"/>
    <cellStyle name="Normal 270 5 2" xfId="23157" xr:uid="{00000000-0005-0000-0000-0000755A0000}"/>
    <cellStyle name="Normal 270 5 2 2" xfId="23158" xr:uid="{00000000-0005-0000-0000-0000765A0000}"/>
    <cellStyle name="Normal 270 5 3" xfId="23159" xr:uid="{00000000-0005-0000-0000-0000775A0000}"/>
    <cellStyle name="Normal 270 6" xfId="23160" xr:uid="{00000000-0005-0000-0000-0000785A0000}"/>
    <cellStyle name="Normal 270 6 2" xfId="23161" xr:uid="{00000000-0005-0000-0000-0000795A0000}"/>
    <cellStyle name="Normal 270 6 2 2" xfId="23162" xr:uid="{00000000-0005-0000-0000-00007A5A0000}"/>
    <cellStyle name="Normal 270 6 3" xfId="23163" xr:uid="{00000000-0005-0000-0000-00007B5A0000}"/>
    <cellStyle name="Normal 270 7" xfId="23164" xr:uid="{00000000-0005-0000-0000-00007C5A0000}"/>
    <cellStyle name="Normal 271" xfId="23165" xr:uid="{00000000-0005-0000-0000-00007D5A0000}"/>
    <cellStyle name="Normal 271 2" xfId="23166" xr:uid="{00000000-0005-0000-0000-00007E5A0000}"/>
    <cellStyle name="Normal 271 2 2" xfId="23167" xr:uid="{00000000-0005-0000-0000-00007F5A0000}"/>
    <cellStyle name="Normal 271 2 2 2" xfId="23168" xr:uid="{00000000-0005-0000-0000-0000805A0000}"/>
    <cellStyle name="Normal 271 2 3" xfId="23169" xr:uid="{00000000-0005-0000-0000-0000815A0000}"/>
    <cellStyle name="Normal 271 2 3 2" xfId="23170" xr:uid="{00000000-0005-0000-0000-0000825A0000}"/>
    <cellStyle name="Normal 271 2 3 2 2" xfId="23171" xr:uid="{00000000-0005-0000-0000-0000835A0000}"/>
    <cellStyle name="Normal 271 2 3 3" xfId="23172" xr:uid="{00000000-0005-0000-0000-0000845A0000}"/>
    <cellStyle name="Normal 271 2 4" xfId="23173" xr:uid="{00000000-0005-0000-0000-0000855A0000}"/>
    <cellStyle name="Normal 271 2 4 2" xfId="23174" xr:uid="{00000000-0005-0000-0000-0000865A0000}"/>
    <cellStyle name="Normal 271 2 4 2 2" xfId="23175" xr:uid="{00000000-0005-0000-0000-0000875A0000}"/>
    <cellStyle name="Normal 271 2 4 3" xfId="23176" xr:uid="{00000000-0005-0000-0000-0000885A0000}"/>
    <cellStyle name="Normal 271 2 5" xfId="23177" xr:uid="{00000000-0005-0000-0000-0000895A0000}"/>
    <cellStyle name="Normal 271 3" xfId="23178" xr:uid="{00000000-0005-0000-0000-00008A5A0000}"/>
    <cellStyle name="Normal 271 3 2" xfId="23179" xr:uid="{00000000-0005-0000-0000-00008B5A0000}"/>
    <cellStyle name="Normal 271 3 2 2" xfId="23180" xr:uid="{00000000-0005-0000-0000-00008C5A0000}"/>
    <cellStyle name="Normal 271 3 2 2 2" xfId="23181" xr:uid="{00000000-0005-0000-0000-00008D5A0000}"/>
    <cellStyle name="Normal 271 3 2 3" xfId="23182" xr:uid="{00000000-0005-0000-0000-00008E5A0000}"/>
    <cellStyle name="Normal 271 3 2 3 2" xfId="23183" xr:uid="{00000000-0005-0000-0000-00008F5A0000}"/>
    <cellStyle name="Normal 271 3 2 3 2 2" xfId="23184" xr:uid="{00000000-0005-0000-0000-0000905A0000}"/>
    <cellStyle name="Normal 271 3 2 3 3" xfId="23185" xr:uid="{00000000-0005-0000-0000-0000915A0000}"/>
    <cellStyle name="Normal 271 3 2 4" xfId="23186" xr:uid="{00000000-0005-0000-0000-0000925A0000}"/>
    <cellStyle name="Normal 271 3 3" xfId="23187" xr:uid="{00000000-0005-0000-0000-0000935A0000}"/>
    <cellStyle name="Normal 271 3 3 2" xfId="23188" xr:uid="{00000000-0005-0000-0000-0000945A0000}"/>
    <cellStyle name="Normal 271 3 3 2 2" xfId="23189" xr:uid="{00000000-0005-0000-0000-0000955A0000}"/>
    <cellStyle name="Normal 271 3 3 3" xfId="23190" xr:uid="{00000000-0005-0000-0000-0000965A0000}"/>
    <cellStyle name="Normal 271 3 4" xfId="23191" xr:uid="{00000000-0005-0000-0000-0000975A0000}"/>
    <cellStyle name="Normal 271 3 4 2" xfId="23192" xr:uid="{00000000-0005-0000-0000-0000985A0000}"/>
    <cellStyle name="Normal 271 3 4 2 2" xfId="23193" xr:uid="{00000000-0005-0000-0000-0000995A0000}"/>
    <cellStyle name="Normal 271 3 4 3" xfId="23194" xr:uid="{00000000-0005-0000-0000-00009A5A0000}"/>
    <cellStyle name="Normal 271 3 5" xfId="23195" xr:uid="{00000000-0005-0000-0000-00009B5A0000}"/>
    <cellStyle name="Normal 271 3 5 2" xfId="23196" xr:uid="{00000000-0005-0000-0000-00009C5A0000}"/>
    <cellStyle name="Normal 271 3 5 2 2" xfId="23197" xr:uid="{00000000-0005-0000-0000-00009D5A0000}"/>
    <cellStyle name="Normal 271 3 5 3" xfId="23198" xr:uid="{00000000-0005-0000-0000-00009E5A0000}"/>
    <cellStyle name="Normal 271 3 6" xfId="23199" xr:uid="{00000000-0005-0000-0000-00009F5A0000}"/>
    <cellStyle name="Normal 271 4" xfId="23200" xr:uid="{00000000-0005-0000-0000-0000A05A0000}"/>
    <cellStyle name="Normal 271 4 2" xfId="23201" xr:uid="{00000000-0005-0000-0000-0000A15A0000}"/>
    <cellStyle name="Normal 271 4 2 2" xfId="23202" xr:uid="{00000000-0005-0000-0000-0000A25A0000}"/>
    <cellStyle name="Normal 271 4 3" xfId="23203" xr:uid="{00000000-0005-0000-0000-0000A35A0000}"/>
    <cellStyle name="Normal 271 5" xfId="23204" xr:uid="{00000000-0005-0000-0000-0000A45A0000}"/>
    <cellStyle name="Normal 271 5 2" xfId="23205" xr:uid="{00000000-0005-0000-0000-0000A55A0000}"/>
    <cellStyle name="Normal 271 5 2 2" xfId="23206" xr:uid="{00000000-0005-0000-0000-0000A65A0000}"/>
    <cellStyle name="Normal 271 5 3" xfId="23207" xr:uid="{00000000-0005-0000-0000-0000A75A0000}"/>
    <cellStyle name="Normal 271 6" xfId="23208" xr:uid="{00000000-0005-0000-0000-0000A85A0000}"/>
    <cellStyle name="Normal 271 6 2" xfId="23209" xr:uid="{00000000-0005-0000-0000-0000A95A0000}"/>
    <cellStyle name="Normal 271 6 2 2" xfId="23210" xr:uid="{00000000-0005-0000-0000-0000AA5A0000}"/>
    <cellStyle name="Normal 271 6 3" xfId="23211" xr:uid="{00000000-0005-0000-0000-0000AB5A0000}"/>
    <cellStyle name="Normal 271 7" xfId="23212" xr:uid="{00000000-0005-0000-0000-0000AC5A0000}"/>
    <cellStyle name="Normal 272" xfId="23213" xr:uid="{00000000-0005-0000-0000-0000AD5A0000}"/>
    <cellStyle name="Normal 272 2" xfId="23214" xr:uid="{00000000-0005-0000-0000-0000AE5A0000}"/>
    <cellStyle name="Normal 272 2 2" xfId="23215" xr:uid="{00000000-0005-0000-0000-0000AF5A0000}"/>
    <cellStyle name="Normal 272 2 2 2" xfId="23216" xr:uid="{00000000-0005-0000-0000-0000B05A0000}"/>
    <cellStyle name="Normal 272 2 3" xfId="23217" xr:uid="{00000000-0005-0000-0000-0000B15A0000}"/>
    <cellStyle name="Normal 272 2 3 2" xfId="23218" xr:uid="{00000000-0005-0000-0000-0000B25A0000}"/>
    <cellStyle name="Normal 272 2 3 2 2" xfId="23219" xr:uid="{00000000-0005-0000-0000-0000B35A0000}"/>
    <cellStyle name="Normal 272 2 3 3" xfId="23220" xr:uid="{00000000-0005-0000-0000-0000B45A0000}"/>
    <cellStyle name="Normal 272 2 4" xfId="23221" xr:uid="{00000000-0005-0000-0000-0000B55A0000}"/>
    <cellStyle name="Normal 272 2 4 2" xfId="23222" xr:uid="{00000000-0005-0000-0000-0000B65A0000}"/>
    <cellStyle name="Normal 272 2 4 2 2" xfId="23223" xr:uid="{00000000-0005-0000-0000-0000B75A0000}"/>
    <cellStyle name="Normal 272 2 4 3" xfId="23224" xr:uid="{00000000-0005-0000-0000-0000B85A0000}"/>
    <cellStyle name="Normal 272 2 5" xfId="23225" xr:uid="{00000000-0005-0000-0000-0000B95A0000}"/>
    <cellStyle name="Normal 272 3" xfId="23226" xr:uid="{00000000-0005-0000-0000-0000BA5A0000}"/>
    <cellStyle name="Normal 272 3 2" xfId="23227" xr:uid="{00000000-0005-0000-0000-0000BB5A0000}"/>
    <cellStyle name="Normal 272 3 2 2" xfId="23228" xr:uid="{00000000-0005-0000-0000-0000BC5A0000}"/>
    <cellStyle name="Normal 272 3 2 2 2" xfId="23229" xr:uid="{00000000-0005-0000-0000-0000BD5A0000}"/>
    <cellStyle name="Normal 272 3 2 3" xfId="23230" xr:uid="{00000000-0005-0000-0000-0000BE5A0000}"/>
    <cellStyle name="Normal 272 3 2 3 2" xfId="23231" xr:uid="{00000000-0005-0000-0000-0000BF5A0000}"/>
    <cellStyle name="Normal 272 3 2 3 2 2" xfId="23232" xr:uid="{00000000-0005-0000-0000-0000C05A0000}"/>
    <cellStyle name="Normal 272 3 2 3 3" xfId="23233" xr:uid="{00000000-0005-0000-0000-0000C15A0000}"/>
    <cellStyle name="Normal 272 3 2 4" xfId="23234" xr:uid="{00000000-0005-0000-0000-0000C25A0000}"/>
    <cellStyle name="Normal 272 3 3" xfId="23235" xr:uid="{00000000-0005-0000-0000-0000C35A0000}"/>
    <cellStyle name="Normal 272 3 3 2" xfId="23236" xr:uid="{00000000-0005-0000-0000-0000C45A0000}"/>
    <cellStyle name="Normal 272 3 3 2 2" xfId="23237" xr:uid="{00000000-0005-0000-0000-0000C55A0000}"/>
    <cellStyle name="Normal 272 3 3 3" xfId="23238" xr:uid="{00000000-0005-0000-0000-0000C65A0000}"/>
    <cellStyle name="Normal 272 3 4" xfId="23239" xr:uid="{00000000-0005-0000-0000-0000C75A0000}"/>
    <cellStyle name="Normal 272 3 4 2" xfId="23240" xr:uid="{00000000-0005-0000-0000-0000C85A0000}"/>
    <cellStyle name="Normal 272 3 4 2 2" xfId="23241" xr:uid="{00000000-0005-0000-0000-0000C95A0000}"/>
    <cellStyle name="Normal 272 3 4 3" xfId="23242" xr:uid="{00000000-0005-0000-0000-0000CA5A0000}"/>
    <cellStyle name="Normal 272 3 5" xfId="23243" xr:uid="{00000000-0005-0000-0000-0000CB5A0000}"/>
    <cellStyle name="Normal 272 3 5 2" xfId="23244" xr:uid="{00000000-0005-0000-0000-0000CC5A0000}"/>
    <cellStyle name="Normal 272 3 5 2 2" xfId="23245" xr:uid="{00000000-0005-0000-0000-0000CD5A0000}"/>
    <cellStyle name="Normal 272 3 5 3" xfId="23246" xr:uid="{00000000-0005-0000-0000-0000CE5A0000}"/>
    <cellStyle name="Normal 272 3 6" xfId="23247" xr:uid="{00000000-0005-0000-0000-0000CF5A0000}"/>
    <cellStyle name="Normal 272 4" xfId="23248" xr:uid="{00000000-0005-0000-0000-0000D05A0000}"/>
    <cellStyle name="Normal 272 4 2" xfId="23249" xr:uid="{00000000-0005-0000-0000-0000D15A0000}"/>
    <cellStyle name="Normal 272 4 2 2" xfId="23250" xr:uid="{00000000-0005-0000-0000-0000D25A0000}"/>
    <cellStyle name="Normal 272 4 3" xfId="23251" xr:uid="{00000000-0005-0000-0000-0000D35A0000}"/>
    <cellStyle name="Normal 272 5" xfId="23252" xr:uid="{00000000-0005-0000-0000-0000D45A0000}"/>
    <cellStyle name="Normal 272 5 2" xfId="23253" xr:uid="{00000000-0005-0000-0000-0000D55A0000}"/>
    <cellStyle name="Normal 272 5 2 2" xfId="23254" xr:uid="{00000000-0005-0000-0000-0000D65A0000}"/>
    <cellStyle name="Normal 272 5 3" xfId="23255" xr:uid="{00000000-0005-0000-0000-0000D75A0000}"/>
    <cellStyle name="Normal 272 6" xfId="23256" xr:uid="{00000000-0005-0000-0000-0000D85A0000}"/>
    <cellStyle name="Normal 272 6 2" xfId="23257" xr:uid="{00000000-0005-0000-0000-0000D95A0000}"/>
    <cellStyle name="Normal 272 6 2 2" xfId="23258" xr:uid="{00000000-0005-0000-0000-0000DA5A0000}"/>
    <cellStyle name="Normal 272 6 3" xfId="23259" xr:uid="{00000000-0005-0000-0000-0000DB5A0000}"/>
    <cellStyle name="Normal 272 7" xfId="23260" xr:uid="{00000000-0005-0000-0000-0000DC5A0000}"/>
    <cellStyle name="Normal 273" xfId="23261" xr:uid="{00000000-0005-0000-0000-0000DD5A0000}"/>
    <cellStyle name="Normal 273 2" xfId="23262" xr:uid="{00000000-0005-0000-0000-0000DE5A0000}"/>
    <cellStyle name="Normal 273 2 2" xfId="23263" xr:uid="{00000000-0005-0000-0000-0000DF5A0000}"/>
    <cellStyle name="Normal 273 2 2 2" xfId="23264" xr:uid="{00000000-0005-0000-0000-0000E05A0000}"/>
    <cellStyle name="Normal 273 2 3" xfId="23265" xr:uid="{00000000-0005-0000-0000-0000E15A0000}"/>
    <cellStyle name="Normal 273 2 3 2" xfId="23266" xr:uid="{00000000-0005-0000-0000-0000E25A0000}"/>
    <cellStyle name="Normal 273 2 3 2 2" xfId="23267" xr:uid="{00000000-0005-0000-0000-0000E35A0000}"/>
    <cellStyle name="Normal 273 2 3 3" xfId="23268" xr:uid="{00000000-0005-0000-0000-0000E45A0000}"/>
    <cellStyle name="Normal 273 2 4" xfId="23269" xr:uid="{00000000-0005-0000-0000-0000E55A0000}"/>
    <cellStyle name="Normal 273 2 4 2" xfId="23270" xr:uid="{00000000-0005-0000-0000-0000E65A0000}"/>
    <cellStyle name="Normal 273 2 4 2 2" xfId="23271" xr:uid="{00000000-0005-0000-0000-0000E75A0000}"/>
    <cellStyle name="Normal 273 2 4 3" xfId="23272" xr:uid="{00000000-0005-0000-0000-0000E85A0000}"/>
    <cellStyle name="Normal 273 2 5" xfId="23273" xr:uid="{00000000-0005-0000-0000-0000E95A0000}"/>
    <cellStyle name="Normal 273 3" xfId="23274" xr:uid="{00000000-0005-0000-0000-0000EA5A0000}"/>
    <cellStyle name="Normal 273 3 2" xfId="23275" xr:uid="{00000000-0005-0000-0000-0000EB5A0000}"/>
    <cellStyle name="Normal 273 3 2 2" xfId="23276" xr:uid="{00000000-0005-0000-0000-0000EC5A0000}"/>
    <cellStyle name="Normal 273 3 2 2 2" xfId="23277" xr:uid="{00000000-0005-0000-0000-0000ED5A0000}"/>
    <cellStyle name="Normal 273 3 2 3" xfId="23278" xr:uid="{00000000-0005-0000-0000-0000EE5A0000}"/>
    <cellStyle name="Normal 273 3 2 3 2" xfId="23279" xr:uid="{00000000-0005-0000-0000-0000EF5A0000}"/>
    <cellStyle name="Normal 273 3 2 3 2 2" xfId="23280" xr:uid="{00000000-0005-0000-0000-0000F05A0000}"/>
    <cellStyle name="Normal 273 3 2 3 3" xfId="23281" xr:uid="{00000000-0005-0000-0000-0000F15A0000}"/>
    <cellStyle name="Normal 273 3 2 4" xfId="23282" xr:uid="{00000000-0005-0000-0000-0000F25A0000}"/>
    <cellStyle name="Normal 273 3 3" xfId="23283" xr:uid="{00000000-0005-0000-0000-0000F35A0000}"/>
    <cellStyle name="Normal 273 3 3 2" xfId="23284" xr:uid="{00000000-0005-0000-0000-0000F45A0000}"/>
    <cellStyle name="Normal 273 3 3 2 2" xfId="23285" xr:uid="{00000000-0005-0000-0000-0000F55A0000}"/>
    <cellStyle name="Normal 273 3 3 3" xfId="23286" xr:uid="{00000000-0005-0000-0000-0000F65A0000}"/>
    <cellStyle name="Normal 273 3 4" xfId="23287" xr:uid="{00000000-0005-0000-0000-0000F75A0000}"/>
    <cellStyle name="Normal 273 3 4 2" xfId="23288" xr:uid="{00000000-0005-0000-0000-0000F85A0000}"/>
    <cellStyle name="Normal 273 3 4 2 2" xfId="23289" xr:uid="{00000000-0005-0000-0000-0000F95A0000}"/>
    <cellStyle name="Normal 273 3 4 3" xfId="23290" xr:uid="{00000000-0005-0000-0000-0000FA5A0000}"/>
    <cellStyle name="Normal 273 3 5" xfId="23291" xr:uid="{00000000-0005-0000-0000-0000FB5A0000}"/>
    <cellStyle name="Normal 273 3 5 2" xfId="23292" xr:uid="{00000000-0005-0000-0000-0000FC5A0000}"/>
    <cellStyle name="Normal 273 3 5 2 2" xfId="23293" xr:uid="{00000000-0005-0000-0000-0000FD5A0000}"/>
    <cellStyle name="Normal 273 3 5 3" xfId="23294" xr:uid="{00000000-0005-0000-0000-0000FE5A0000}"/>
    <cellStyle name="Normal 273 3 6" xfId="23295" xr:uid="{00000000-0005-0000-0000-0000FF5A0000}"/>
    <cellStyle name="Normal 273 4" xfId="23296" xr:uid="{00000000-0005-0000-0000-0000005B0000}"/>
    <cellStyle name="Normal 273 4 2" xfId="23297" xr:uid="{00000000-0005-0000-0000-0000015B0000}"/>
    <cellStyle name="Normal 273 4 2 2" xfId="23298" xr:uid="{00000000-0005-0000-0000-0000025B0000}"/>
    <cellStyle name="Normal 273 4 3" xfId="23299" xr:uid="{00000000-0005-0000-0000-0000035B0000}"/>
    <cellStyle name="Normal 273 5" xfId="23300" xr:uid="{00000000-0005-0000-0000-0000045B0000}"/>
    <cellStyle name="Normal 273 5 2" xfId="23301" xr:uid="{00000000-0005-0000-0000-0000055B0000}"/>
    <cellStyle name="Normal 273 5 2 2" xfId="23302" xr:uid="{00000000-0005-0000-0000-0000065B0000}"/>
    <cellStyle name="Normal 273 5 3" xfId="23303" xr:uid="{00000000-0005-0000-0000-0000075B0000}"/>
    <cellStyle name="Normal 273 6" xfId="23304" xr:uid="{00000000-0005-0000-0000-0000085B0000}"/>
    <cellStyle name="Normal 273 6 2" xfId="23305" xr:uid="{00000000-0005-0000-0000-0000095B0000}"/>
    <cellStyle name="Normal 273 6 2 2" xfId="23306" xr:uid="{00000000-0005-0000-0000-00000A5B0000}"/>
    <cellStyle name="Normal 273 6 3" xfId="23307" xr:uid="{00000000-0005-0000-0000-00000B5B0000}"/>
    <cellStyle name="Normal 273 7" xfId="23308" xr:uid="{00000000-0005-0000-0000-00000C5B0000}"/>
    <cellStyle name="Normal 274" xfId="23309" xr:uid="{00000000-0005-0000-0000-00000D5B0000}"/>
    <cellStyle name="Normal 274 2" xfId="23310" xr:uid="{00000000-0005-0000-0000-00000E5B0000}"/>
    <cellStyle name="Normal 274 2 2" xfId="23311" xr:uid="{00000000-0005-0000-0000-00000F5B0000}"/>
    <cellStyle name="Normal 274 2 2 2" xfId="23312" xr:uid="{00000000-0005-0000-0000-0000105B0000}"/>
    <cellStyle name="Normal 274 2 3" xfId="23313" xr:uid="{00000000-0005-0000-0000-0000115B0000}"/>
    <cellStyle name="Normal 274 2 3 2" xfId="23314" xr:uid="{00000000-0005-0000-0000-0000125B0000}"/>
    <cellStyle name="Normal 274 2 3 2 2" xfId="23315" xr:uid="{00000000-0005-0000-0000-0000135B0000}"/>
    <cellStyle name="Normal 274 2 3 3" xfId="23316" xr:uid="{00000000-0005-0000-0000-0000145B0000}"/>
    <cellStyle name="Normal 274 2 4" xfId="23317" xr:uid="{00000000-0005-0000-0000-0000155B0000}"/>
    <cellStyle name="Normal 274 2 4 2" xfId="23318" xr:uid="{00000000-0005-0000-0000-0000165B0000}"/>
    <cellStyle name="Normal 274 2 4 2 2" xfId="23319" xr:uid="{00000000-0005-0000-0000-0000175B0000}"/>
    <cellStyle name="Normal 274 2 4 3" xfId="23320" xr:uid="{00000000-0005-0000-0000-0000185B0000}"/>
    <cellStyle name="Normal 274 2 5" xfId="23321" xr:uid="{00000000-0005-0000-0000-0000195B0000}"/>
    <cellStyle name="Normal 274 3" xfId="23322" xr:uid="{00000000-0005-0000-0000-00001A5B0000}"/>
    <cellStyle name="Normal 274 3 2" xfId="23323" xr:uid="{00000000-0005-0000-0000-00001B5B0000}"/>
    <cellStyle name="Normal 274 3 2 2" xfId="23324" xr:uid="{00000000-0005-0000-0000-00001C5B0000}"/>
    <cellStyle name="Normal 274 3 2 2 2" xfId="23325" xr:uid="{00000000-0005-0000-0000-00001D5B0000}"/>
    <cellStyle name="Normal 274 3 2 3" xfId="23326" xr:uid="{00000000-0005-0000-0000-00001E5B0000}"/>
    <cellStyle name="Normal 274 3 2 3 2" xfId="23327" xr:uid="{00000000-0005-0000-0000-00001F5B0000}"/>
    <cellStyle name="Normal 274 3 2 3 2 2" xfId="23328" xr:uid="{00000000-0005-0000-0000-0000205B0000}"/>
    <cellStyle name="Normal 274 3 2 3 3" xfId="23329" xr:uid="{00000000-0005-0000-0000-0000215B0000}"/>
    <cellStyle name="Normal 274 3 2 4" xfId="23330" xr:uid="{00000000-0005-0000-0000-0000225B0000}"/>
    <cellStyle name="Normal 274 3 3" xfId="23331" xr:uid="{00000000-0005-0000-0000-0000235B0000}"/>
    <cellStyle name="Normal 274 3 3 2" xfId="23332" xr:uid="{00000000-0005-0000-0000-0000245B0000}"/>
    <cellStyle name="Normal 274 3 3 2 2" xfId="23333" xr:uid="{00000000-0005-0000-0000-0000255B0000}"/>
    <cellStyle name="Normal 274 3 3 3" xfId="23334" xr:uid="{00000000-0005-0000-0000-0000265B0000}"/>
    <cellStyle name="Normal 274 3 4" xfId="23335" xr:uid="{00000000-0005-0000-0000-0000275B0000}"/>
    <cellStyle name="Normal 274 3 4 2" xfId="23336" xr:uid="{00000000-0005-0000-0000-0000285B0000}"/>
    <cellStyle name="Normal 274 3 4 2 2" xfId="23337" xr:uid="{00000000-0005-0000-0000-0000295B0000}"/>
    <cellStyle name="Normal 274 3 4 3" xfId="23338" xr:uid="{00000000-0005-0000-0000-00002A5B0000}"/>
    <cellStyle name="Normal 274 3 5" xfId="23339" xr:uid="{00000000-0005-0000-0000-00002B5B0000}"/>
    <cellStyle name="Normal 274 3 5 2" xfId="23340" xr:uid="{00000000-0005-0000-0000-00002C5B0000}"/>
    <cellStyle name="Normal 274 3 5 2 2" xfId="23341" xr:uid="{00000000-0005-0000-0000-00002D5B0000}"/>
    <cellStyle name="Normal 274 3 5 3" xfId="23342" xr:uid="{00000000-0005-0000-0000-00002E5B0000}"/>
    <cellStyle name="Normal 274 3 6" xfId="23343" xr:uid="{00000000-0005-0000-0000-00002F5B0000}"/>
    <cellStyle name="Normal 274 4" xfId="23344" xr:uid="{00000000-0005-0000-0000-0000305B0000}"/>
    <cellStyle name="Normal 274 4 2" xfId="23345" xr:uid="{00000000-0005-0000-0000-0000315B0000}"/>
    <cellStyle name="Normal 274 4 2 2" xfId="23346" xr:uid="{00000000-0005-0000-0000-0000325B0000}"/>
    <cellStyle name="Normal 274 4 3" xfId="23347" xr:uid="{00000000-0005-0000-0000-0000335B0000}"/>
    <cellStyle name="Normal 274 5" xfId="23348" xr:uid="{00000000-0005-0000-0000-0000345B0000}"/>
    <cellStyle name="Normal 274 5 2" xfId="23349" xr:uid="{00000000-0005-0000-0000-0000355B0000}"/>
    <cellStyle name="Normal 274 5 2 2" xfId="23350" xr:uid="{00000000-0005-0000-0000-0000365B0000}"/>
    <cellStyle name="Normal 274 5 3" xfId="23351" xr:uid="{00000000-0005-0000-0000-0000375B0000}"/>
    <cellStyle name="Normal 274 6" xfId="23352" xr:uid="{00000000-0005-0000-0000-0000385B0000}"/>
    <cellStyle name="Normal 274 6 2" xfId="23353" xr:uid="{00000000-0005-0000-0000-0000395B0000}"/>
    <cellStyle name="Normal 274 6 2 2" xfId="23354" xr:uid="{00000000-0005-0000-0000-00003A5B0000}"/>
    <cellStyle name="Normal 274 6 3" xfId="23355" xr:uid="{00000000-0005-0000-0000-00003B5B0000}"/>
    <cellStyle name="Normal 274 7" xfId="23356" xr:uid="{00000000-0005-0000-0000-00003C5B0000}"/>
    <cellStyle name="Normal 275" xfId="23357" xr:uid="{00000000-0005-0000-0000-00003D5B0000}"/>
    <cellStyle name="Normal 275 2" xfId="23358" xr:uid="{00000000-0005-0000-0000-00003E5B0000}"/>
    <cellStyle name="Normal 275 2 2" xfId="23359" xr:uid="{00000000-0005-0000-0000-00003F5B0000}"/>
    <cellStyle name="Normal 275 2 2 2" xfId="23360" xr:uid="{00000000-0005-0000-0000-0000405B0000}"/>
    <cellStyle name="Normal 275 2 3" xfId="23361" xr:uid="{00000000-0005-0000-0000-0000415B0000}"/>
    <cellStyle name="Normal 275 2 3 2" xfId="23362" xr:uid="{00000000-0005-0000-0000-0000425B0000}"/>
    <cellStyle name="Normal 275 2 3 2 2" xfId="23363" xr:uid="{00000000-0005-0000-0000-0000435B0000}"/>
    <cellStyle name="Normal 275 2 3 3" xfId="23364" xr:uid="{00000000-0005-0000-0000-0000445B0000}"/>
    <cellStyle name="Normal 275 2 4" xfId="23365" xr:uid="{00000000-0005-0000-0000-0000455B0000}"/>
    <cellStyle name="Normal 275 2 4 2" xfId="23366" xr:uid="{00000000-0005-0000-0000-0000465B0000}"/>
    <cellStyle name="Normal 275 2 4 2 2" xfId="23367" xr:uid="{00000000-0005-0000-0000-0000475B0000}"/>
    <cellStyle name="Normal 275 2 4 3" xfId="23368" xr:uid="{00000000-0005-0000-0000-0000485B0000}"/>
    <cellStyle name="Normal 275 2 5" xfId="23369" xr:uid="{00000000-0005-0000-0000-0000495B0000}"/>
    <cellStyle name="Normal 275 3" xfId="23370" xr:uid="{00000000-0005-0000-0000-00004A5B0000}"/>
    <cellStyle name="Normal 275 3 2" xfId="23371" xr:uid="{00000000-0005-0000-0000-00004B5B0000}"/>
    <cellStyle name="Normal 275 3 2 2" xfId="23372" xr:uid="{00000000-0005-0000-0000-00004C5B0000}"/>
    <cellStyle name="Normal 275 3 2 2 2" xfId="23373" xr:uid="{00000000-0005-0000-0000-00004D5B0000}"/>
    <cellStyle name="Normal 275 3 2 3" xfId="23374" xr:uid="{00000000-0005-0000-0000-00004E5B0000}"/>
    <cellStyle name="Normal 275 3 2 3 2" xfId="23375" xr:uid="{00000000-0005-0000-0000-00004F5B0000}"/>
    <cellStyle name="Normal 275 3 2 3 2 2" xfId="23376" xr:uid="{00000000-0005-0000-0000-0000505B0000}"/>
    <cellStyle name="Normal 275 3 2 3 3" xfId="23377" xr:uid="{00000000-0005-0000-0000-0000515B0000}"/>
    <cellStyle name="Normal 275 3 2 4" xfId="23378" xr:uid="{00000000-0005-0000-0000-0000525B0000}"/>
    <cellStyle name="Normal 275 3 3" xfId="23379" xr:uid="{00000000-0005-0000-0000-0000535B0000}"/>
    <cellStyle name="Normal 275 3 3 2" xfId="23380" xr:uid="{00000000-0005-0000-0000-0000545B0000}"/>
    <cellStyle name="Normal 275 3 3 2 2" xfId="23381" xr:uid="{00000000-0005-0000-0000-0000555B0000}"/>
    <cellStyle name="Normal 275 3 3 3" xfId="23382" xr:uid="{00000000-0005-0000-0000-0000565B0000}"/>
    <cellStyle name="Normal 275 3 4" xfId="23383" xr:uid="{00000000-0005-0000-0000-0000575B0000}"/>
    <cellStyle name="Normal 275 3 4 2" xfId="23384" xr:uid="{00000000-0005-0000-0000-0000585B0000}"/>
    <cellStyle name="Normal 275 3 4 2 2" xfId="23385" xr:uid="{00000000-0005-0000-0000-0000595B0000}"/>
    <cellStyle name="Normal 275 3 4 3" xfId="23386" xr:uid="{00000000-0005-0000-0000-00005A5B0000}"/>
    <cellStyle name="Normal 275 3 5" xfId="23387" xr:uid="{00000000-0005-0000-0000-00005B5B0000}"/>
    <cellStyle name="Normal 275 3 5 2" xfId="23388" xr:uid="{00000000-0005-0000-0000-00005C5B0000}"/>
    <cellStyle name="Normal 275 3 5 2 2" xfId="23389" xr:uid="{00000000-0005-0000-0000-00005D5B0000}"/>
    <cellStyle name="Normal 275 3 5 3" xfId="23390" xr:uid="{00000000-0005-0000-0000-00005E5B0000}"/>
    <cellStyle name="Normal 275 3 6" xfId="23391" xr:uid="{00000000-0005-0000-0000-00005F5B0000}"/>
    <cellStyle name="Normal 275 4" xfId="23392" xr:uid="{00000000-0005-0000-0000-0000605B0000}"/>
    <cellStyle name="Normal 275 4 2" xfId="23393" xr:uid="{00000000-0005-0000-0000-0000615B0000}"/>
    <cellStyle name="Normal 275 4 2 2" xfId="23394" xr:uid="{00000000-0005-0000-0000-0000625B0000}"/>
    <cellStyle name="Normal 275 4 3" xfId="23395" xr:uid="{00000000-0005-0000-0000-0000635B0000}"/>
    <cellStyle name="Normal 275 5" xfId="23396" xr:uid="{00000000-0005-0000-0000-0000645B0000}"/>
    <cellStyle name="Normal 275 5 2" xfId="23397" xr:uid="{00000000-0005-0000-0000-0000655B0000}"/>
    <cellStyle name="Normal 275 5 2 2" xfId="23398" xr:uid="{00000000-0005-0000-0000-0000665B0000}"/>
    <cellStyle name="Normal 275 5 3" xfId="23399" xr:uid="{00000000-0005-0000-0000-0000675B0000}"/>
    <cellStyle name="Normal 275 6" xfId="23400" xr:uid="{00000000-0005-0000-0000-0000685B0000}"/>
    <cellStyle name="Normal 275 6 2" xfId="23401" xr:uid="{00000000-0005-0000-0000-0000695B0000}"/>
    <cellStyle name="Normal 275 6 2 2" xfId="23402" xr:uid="{00000000-0005-0000-0000-00006A5B0000}"/>
    <cellStyle name="Normal 275 6 3" xfId="23403" xr:uid="{00000000-0005-0000-0000-00006B5B0000}"/>
    <cellStyle name="Normal 275 7" xfId="23404" xr:uid="{00000000-0005-0000-0000-00006C5B0000}"/>
    <cellStyle name="Normal 276" xfId="23405" xr:uid="{00000000-0005-0000-0000-00006D5B0000}"/>
    <cellStyle name="Normal 276 2" xfId="23406" xr:uid="{00000000-0005-0000-0000-00006E5B0000}"/>
    <cellStyle name="Normal 276 2 2" xfId="23407" xr:uid="{00000000-0005-0000-0000-00006F5B0000}"/>
    <cellStyle name="Normal 276 2 2 2" xfId="23408" xr:uid="{00000000-0005-0000-0000-0000705B0000}"/>
    <cellStyle name="Normal 276 2 3" xfId="23409" xr:uid="{00000000-0005-0000-0000-0000715B0000}"/>
    <cellStyle name="Normal 276 2 3 2" xfId="23410" xr:uid="{00000000-0005-0000-0000-0000725B0000}"/>
    <cellStyle name="Normal 276 2 3 2 2" xfId="23411" xr:uid="{00000000-0005-0000-0000-0000735B0000}"/>
    <cellStyle name="Normal 276 2 3 3" xfId="23412" xr:uid="{00000000-0005-0000-0000-0000745B0000}"/>
    <cellStyle name="Normal 276 2 4" xfId="23413" xr:uid="{00000000-0005-0000-0000-0000755B0000}"/>
    <cellStyle name="Normal 276 2 4 2" xfId="23414" xr:uid="{00000000-0005-0000-0000-0000765B0000}"/>
    <cellStyle name="Normal 276 2 4 2 2" xfId="23415" xr:uid="{00000000-0005-0000-0000-0000775B0000}"/>
    <cellStyle name="Normal 276 2 4 3" xfId="23416" xr:uid="{00000000-0005-0000-0000-0000785B0000}"/>
    <cellStyle name="Normal 276 2 5" xfId="23417" xr:uid="{00000000-0005-0000-0000-0000795B0000}"/>
    <cellStyle name="Normal 276 3" xfId="23418" xr:uid="{00000000-0005-0000-0000-00007A5B0000}"/>
    <cellStyle name="Normal 276 3 2" xfId="23419" xr:uid="{00000000-0005-0000-0000-00007B5B0000}"/>
    <cellStyle name="Normal 276 3 2 2" xfId="23420" xr:uid="{00000000-0005-0000-0000-00007C5B0000}"/>
    <cellStyle name="Normal 276 3 2 2 2" xfId="23421" xr:uid="{00000000-0005-0000-0000-00007D5B0000}"/>
    <cellStyle name="Normal 276 3 2 3" xfId="23422" xr:uid="{00000000-0005-0000-0000-00007E5B0000}"/>
    <cellStyle name="Normal 276 3 2 3 2" xfId="23423" xr:uid="{00000000-0005-0000-0000-00007F5B0000}"/>
    <cellStyle name="Normal 276 3 2 3 2 2" xfId="23424" xr:uid="{00000000-0005-0000-0000-0000805B0000}"/>
    <cellStyle name="Normal 276 3 2 3 3" xfId="23425" xr:uid="{00000000-0005-0000-0000-0000815B0000}"/>
    <cellStyle name="Normal 276 3 2 4" xfId="23426" xr:uid="{00000000-0005-0000-0000-0000825B0000}"/>
    <cellStyle name="Normal 276 3 3" xfId="23427" xr:uid="{00000000-0005-0000-0000-0000835B0000}"/>
    <cellStyle name="Normal 276 3 3 2" xfId="23428" xr:uid="{00000000-0005-0000-0000-0000845B0000}"/>
    <cellStyle name="Normal 276 3 3 2 2" xfId="23429" xr:uid="{00000000-0005-0000-0000-0000855B0000}"/>
    <cellStyle name="Normal 276 3 3 3" xfId="23430" xr:uid="{00000000-0005-0000-0000-0000865B0000}"/>
    <cellStyle name="Normal 276 3 4" xfId="23431" xr:uid="{00000000-0005-0000-0000-0000875B0000}"/>
    <cellStyle name="Normal 276 3 4 2" xfId="23432" xr:uid="{00000000-0005-0000-0000-0000885B0000}"/>
    <cellStyle name="Normal 276 3 4 2 2" xfId="23433" xr:uid="{00000000-0005-0000-0000-0000895B0000}"/>
    <cellStyle name="Normal 276 3 4 3" xfId="23434" xr:uid="{00000000-0005-0000-0000-00008A5B0000}"/>
    <cellStyle name="Normal 276 3 5" xfId="23435" xr:uid="{00000000-0005-0000-0000-00008B5B0000}"/>
    <cellStyle name="Normal 276 3 5 2" xfId="23436" xr:uid="{00000000-0005-0000-0000-00008C5B0000}"/>
    <cellStyle name="Normal 276 3 5 2 2" xfId="23437" xr:uid="{00000000-0005-0000-0000-00008D5B0000}"/>
    <cellStyle name="Normal 276 3 5 3" xfId="23438" xr:uid="{00000000-0005-0000-0000-00008E5B0000}"/>
    <cellStyle name="Normal 276 3 6" xfId="23439" xr:uid="{00000000-0005-0000-0000-00008F5B0000}"/>
    <cellStyle name="Normal 276 4" xfId="23440" xr:uid="{00000000-0005-0000-0000-0000905B0000}"/>
    <cellStyle name="Normal 276 4 2" xfId="23441" xr:uid="{00000000-0005-0000-0000-0000915B0000}"/>
    <cellStyle name="Normal 276 4 2 2" xfId="23442" xr:uid="{00000000-0005-0000-0000-0000925B0000}"/>
    <cellStyle name="Normal 276 4 3" xfId="23443" xr:uid="{00000000-0005-0000-0000-0000935B0000}"/>
    <cellStyle name="Normal 276 5" xfId="23444" xr:uid="{00000000-0005-0000-0000-0000945B0000}"/>
    <cellStyle name="Normal 276 5 2" xfId="23445" xr:uid="{00000000-0005-0000-0000-0000955B0000}"/>
    <cellStyle name="Normal 276 5 2 2" xfId="23446" xr:uid="{00000000-0005-0000-0000-0000965B0000}"/>
    <cellStyle name="Normal 276 5 3" xfId="23447" xr:uid="{00000000-0005-0000-0000-0000975B0000}"/>
    <cellStyle name="Normal 276 6" xfId="23448" xr:uid="{00000000-0005-0000-0000-0000985B0000}"/>
    <cellStyle name="Normal 276 6 2" xfId="23449" xr:uid="{00000000-0005-0000-0000-0000995B0000}"/>
    <cellStyle name="Normal 276 6 2 2" xfId="23450" xr:uid="{00000000-0005-0000-0000-00009A5B0000}"/>
    <cellStyle name="Normal 276 6 3" xfId="23451" xr:uid="{00000000-0005-0000-0000-00009B5B0000}"/>
    <cellStyle name="Normal 276 7" xfId="23452" xr:uid="{00000000-0005-0000-0000-00009C5B0000}"/>
    <cellStyle name="Normal 277" xfId="23453" xr:uid="{00000000-0005-0000-0000-00009D5B0000}"/>
    <cellStyle name="Normal 277 2" xfId="23454" xr:uid="{00000000-0005-0000-0000-00009E5B0000}"/>
    <cellStyle name="Normal 277 2 2" xfId="23455" xr:uid="{00000000-0005-0000-0000-00009F5B0000}"/>
    <cellStyle name="Normal 277 2 2 2" xfId="23456" xr:uid="{00000000-0005-0000-0000-0000A05B0000}"/>
    <cellStyle name="Normal 277 2 3" xfId="23457" xr:uid="{00000000-0005-0000-0000-0000A15B0000}"/>
    <cellStyle name="Normal 277 2 3 2" xfId="23458" xr:uid="{00000000-0005-0000-0000-0000A25B0000}"/>
    <cellStyle name="Normal 277 2 3 2 2" xfId="23459" xr:uid="{00000000-0005-0000-0000-0000A35B0000}"/>
    <cellStyle name="Normal 277 2 3 3" xfId="23460" xr:uid="{00000000-0005-0000-0000-0000A45B0000}"/>
    <cellStyle name="Normal 277 2 4" xfId="23461" xr:uid="{00000000-0005-0000-0000-0000A55B0000}"/>
    <cellStyle name="Normal 277 2 4 2" xfId="23462" xr:uid="{00000000-0005-0000-0000-0000A65B0000}"/>
    <cellStyle name="Normal 277 2 4 2 2" xfId="23463" xr:uid="{00000000-0005-0000-0000-0000A75B0000}"/>
    <cellStyle name="Normal 277 2 4 3" xfId="23464" xr:uid="{00000000-0005-0000-0000-0000A85B0000}"/>
    <cellStyle name="Normal 277 2 5" xfId="23465" xr:uid="{00000000-0005-0000-0000-0000A95B0000}"/>
    <cellStyle name="Normal 277 3" xfId="23466" xr:uid="{00000000-0005-0000-0000-0000AA5B0000}"/>
    <cellStyle name="Normal 277 3 2" xfId="23467" xr:uid="{00000000-0005-0000-0000-0000AB5B0000}"/>
    <cellStyle name="Normal 277 3 2 2" xfId="23468" xr:uid="{00000000-0005-0000-0000-0000AC5B0000}"/>
    <cellStyle name="Normal 277 3 2 2 2" xfId="23469" xr:uid="{00000000-0005-0000-0000-0000AD5B0000}"/>
    <cellStyle name="Normal 277 3 2 3" xfId="23470" xr:uid="{00000000-0005-0000-0000-0000AE5B0000}"/>
    <cellStyle name="Normal 277 3 2 3 2" xfId="23471" xr:uid="{00000000-0005-0000-0000-0000AF5B0000}"/>
    <cellStyle name="Normal 277 3 2 3 2 2" xfId="23472" xr:uid="{00000000-0005-0000-0000-0000B05B0000}"/>
    <cellStyle name="Normal 277 3 2 3 3" xfId="23473" xr:uid="{00000000-0005-0000-0000-0000B15B0000}"/>
    <cellStyle name="Normal 277 3 2 4" xfId="23474" xr:uid="{00000000-0005-0000-0000-0000B25B0000}"/>
    <cellStyle name="Normal 277 3 3" xfId="23475" xr:uid="{00000000-0005-0000-0000-0000B35B0000}"/>
    <cellStyle name="Normal 277 3 3 2" xfId="23476" xr:uid="{00000000-0005-0000-0000-0000B45B0000}"/>
    <cellStyle name="Normal 277 3 3 2 2" xfId="23477" xr:uid="{00000000-0005-0000-0000-0000B55B0000}"/>
    <cellStyle name="Normal 277 3 3 3" xfId="23478" xr:uid="{00000000-0005-0000-0000-0000B65B0000}"/>
    <cellStyle name="Normal 277 3 4" xfId="23479" xr:uid="{00000000-0005-0000-0000-0000B75B0000}"/>
    <cellStyle name="Normal 277 3 4 2" xfId="23480" xr:uid="{00000000-0005-0000-0000-0000B85B0000}"/>
    <cellStyle name="Normal 277 3 4 2 2" xfId="23481" xr:uid="{00000000-0005-0000-0000-0000B95B0000}"/>
    <cellStyle name="Normal 277 3 4 3" xfId="23482" xr:uid="{00000000-0005-0000-0000-0000BA5B0000}"/>
    <cellStyle name="Normal 277 3 5" xfId="23483" xr:uid="{00000000-0005-0000-0000-0000BB5B0000}"/>
    <cellStyle name="Normal 277 3 5 2" xfId="23484" xr:uid="{00000000-0005-0000-0000-0000BC5B0000}"/>
    <cellStyle name="Normal 277 3 5 2 2" xfId="23485" xr:uid="{00000000-0005-0000-0000-0000BD5B0000}"/>
    <cellStyle name="Normal 277 3 5 3" xfId="23486" xr:uid="{00000000-0005-0000-0000-0000BE5B0000}"/>
    <cellStyle name="Normal 277 3 6" xfId="23487" xr:uid="{00000000-0005-0000-0000-0000BF5B0000}"/>
    <cellStyle name="Normal 277 4" xfId="23488" xr:uid="{00000000-0005-0000-0000-0000C05B0000}"/>
    <cellStyle name="Normal 277 4 2" xfId="23489" xr:uid="{00000000-0005-0000-0000-0000C15B0000}"/>
    <cellStyle name="Normal 277 4 2 2" xfId="23490" xr:uid="{00000000-0005-0000-0000-0000C25B0000}"/>
    <cellStyle name="Normal 277 4 3" xfId="23491" xr:uid="{00000000-0005-0000-0000-0000C35B0000}"/>
    <cellStyle name="Normal 277 5" xfId="23492" xr:uid="{00000000-0005-0000-0000-0000C45B0000}"/>
    <cellStyle name="Normal 277 5 2" xfId="23493" xr:uid="{00000000-0005-0000-0000-0000C55B0000}"/>
    <cellStyle name="Normal 277 5 2 2" xfId="23494" xr:uid="{00000000-0005-0000-0000-0000C65B0000}"/>
    <cellStyle name="Normal 277 5 3" xfId="23495" xr:uid="{00000000-0005-0000-0000-0000C75B0000}"/>
    <cellStyle name="Normal 277 6" xfId="23496" xr:uid="{00000000-0005-0000-0000-0000C85B0000}"/>
    <cellStyle name="Normal 277 6 2" xfId="23497" xr:uid="{00000000-0005-0000-0000-0000C95B0000}"/>
    <cellStyle name="Normal 277 6 2 2" xfId="23498" xr:uid="{00000000-0005-0000-0000-0000CA5B0000}"/>
    <cellStyle name="Normal 277 6 3" xfId="23499" xr:uid="{00000000-0005-0000-0000-0000CB5B0000}"/>
    <cellStyle name="Normal 277 7" xfId="23500" xr:uid="{00000000-0005-0000-0000-0000CC5B0000}"/>
    <cellStyle name="Normal 278" xfId="23501" xr:uid="{00000000-0005-0000-0000-0000CD5B0000}"/>
    <cellStyle name="Normal 278 2" xfId="23502" xr:uid="{00000000-0005-0000-0000-0000CE5B0000}"/>
    <cellStyle name="Normal 278 2 2" xfId="23503" xr:uid="{00000000-0005-0000-0000-0000CF5B0000}"/>
    <cellStyle name="Normal 278 2 2 2" xfId="23504" xr:uid="{00000000-0005-0000-0000-0000D05B0000}"/>
    <cellStyle name="Normal 278 2 3" xfId="23505" xr:uid="{00000000-0005-0000-0000-0000D15B0000}"/>
    <cellStyle name="Normal 278 2 3 2" xfId="23506" xr:uid="{00000000-0005-0000-0000-0000D25B0000}"/>
    <cellStyle name="Normal 278 2 3 2 2" xfId="23507" xr:uid="{00000000-0005-0000-0000-0000D35B0000}"/>
    <cellStyle name="Normal 278 2 3 3" xfId="23508" xr:uid="{00000000-0005-0000-0000-0000D45B0000}"/>
    <cellStyle name="Normal 278 2 4" xfId="23509" xr:uid="{00000000-0005-0000-0000-0000D55B0000}"/>
    <cellStyle name="Normal 278 2 4 2" xfId="23510" xr:uid="{00000000-0005-0000-0000-0000D65B0000}"/>
    <cellStyle name="Normal 278 2 4 2 2" xfId="23511" xr:uid="{00000000-0005-0000-0000-0000D75B0000}"/>
    <cellStyle name="Normal 278 2 4 3" xfId="23512" xr:uid="{00000000-0005-0000-0000-0000D85B0000}"/>
    <cellStyle name="Normal 278 2 5" xfId="23513" xr:uid="{00000000-0005-0000-0000-0000D95B0000}"/>
    <cellStyle name="Normal 278 3" xfId="23514" xr:uid="{00000000-0005-0000-0000-0000DA5B0000}"/>
    <cellStyle name="Normal 278 3 2" xfId="23515" xr:uid="{00000000-0005-0000-0000-0000DB5B0000}"/>
    <cellStyle name="Normal 278 3 2 2" xfId="23516" xr:uid="{00000000-0005-0000-0000-0000DC5B0000}"/>
    <cellStyle name="Normal 278 3 2 2 2" xfId="23517" xr:uid="{00000000-0005-0000-0000-0000DD5B0000}"/>
    <cellStyle name="Normal 278 3 2 3" xfId="23518" xr:uid="{00000000-0005-0000-0000-0000DE5B0000}"/>
    <cellStyle name="Normal 278 3 2 3 2" xfId="23519" xr:uid="{00000000-0005-0000-0000-0000DF5B0000}"/>
    <cellStyle name="Normal 278 3 2 3 2 2" xfId="23520" xr:uid="{00000000-0005-0000-0000-0000E05B0000}"/>
    <cellStyle name="Normal 278 3 2 3 3" xfId="23521" xr:uid="{00000000-0005-0000-0000-0000E15B0000}"/>
    <cellStyle name="Normal 278 3 2 4" xfId="23522" xr:uid="{00000000-0005-0000-0000-0000E25B0000}"/>
    <cellStyle name="Normal 278 3 3" xfId="23523" xr:uid="{00000000-0005-0000-0000-0000E35B0000}"/>
    <cellStyle name="Normal 278 3 3 2" xfId="23524" xr:uid="{00000000-0005-0000-0000-0000E45B0000}"/>
    <cellStyle name="Normal 278 3 3 2 2" xfId="23525" xr:uid="{00000000-0005-0000-0000-0000E55B0000}"/>
    <cellStyle name="Normal 278 3 3 3" xfId="23526" xr:uid="{00000000-0005-0000-0000-0000E65B0000}"/>
    <cellStyle name="Normal 278 3 4" xfId="23527" xr:uid="{00000000-0005-0000-0000-0000E75B0000}"/>
    <cellStyle name="Normal 278 3 4 2" xfId="23528" xr:uid="{00000000-0005-0000-0000-0000E85B0000}"/>
    <cellStyle name="Normal 278 3 4 2 2" xfId="23529" xr:uid="{00000000-0005-0000-0000-0000E95B0000}"/>
    <cellStyle name="Normal 278 3 4 3" xfId="23530" xr:uid="{00000000-0005-0000-0000-0000EA5B0000}"/>
    <cellStyle name="Normal 278 3 5" xfId="23531" xr:uid="{00000000-0005-0000-0000-0000EB5B0000}"/>
    <cellStyle name="Normal 278 3 5 2" xfId="23532" xr:uid="{00000000-0005-0000-0000-0000EC5B0000}"/>
    <cellStyle name="Normal 278 3 5 2 2" xfId="23533" xr:uid="{00000000-0005-0000-0000-0000ED5B0000}"/>
    <cellStyle name="Normal 278 3 5 3" xfId="23534" xr:uid="{00000000-0005-0000-0000-0000EE5B0000}"/>
    <cellStyle name="Normal 278 3 6" xfId="23535" xr:uid="{00000000-0005-0000-0000-0000EF5B0000}"/>
    <cellStyle name="Normal 278 4" xfId="23536" xr:uid="{00000000-0005-0000-0000-0000F05B0000}"/>
    <cellStyle name="Normal 278 4 2" xfId="23537" xr:uid="{00000000-0005-0000-0000-0000F15B0000}"/>
    <cellStyle name="Normal 278 4 2 2" xfId="23538" xr:uid="{00000000-0005-0000-0000-0000F25B0000}"/>
    <cellStyle name="Normal 278 4 3" xfId="23539" xr:uid="{00000000-0005-0000-0000-0000F35B0000}"/>
    <cellStyle name="Normal 278 5" xfId="23540" xr:uid="{00000000-0005-0000-0000-0000F45B0000}"/>
    <cellStyle name="Normal 278 5 2" xfId="23541" xr:uid="{00000000-0005-0000-0000-0000F55B0000}"/>
    <cellStyle name="Normal 278 5 2 2" xfId="23542" xr:uid="{00000000-0005-0000-0000-0000F65B0000}"/>
    <cellStyle name="Normal 278 5 3" xfId="23543" xr:uid="{00000000-0005-0000-0000-0000F75B0000}"/>
    <cellStyle name="Normal 278 6" xfId="23544" xr:uid="{00000000-0005-0000-0000-0000F85B0000}"/>
    <cellStyle name="Normal 278 6 2" xfId="23545" xr:uid="{00000000-0005-0000-0000-0000F95B0000}"/>
    <cellStyle name="Normal 278 6 2 2" xfId="23546" xr:uid="{00000000-0005-0000-0000-0000FA5B0000}"/>
    <cellStyle name="Normal 278 6 3" xfId="23547" xr:uid="{00000000-0005-0000-0000-0000FB5B0000}"/>
    <cellStyle name="Normal 278 7" xfId="23548" xr:uid="{00000000-0005-0000-0000-0000FC5B0000}"/>
    <cellStyle name="Normal 279" xfId="23549" xr:uid="{00000000-0005-0000-0000-0000FD5B0000}"/>
    <cellStyle name="Normal 279 2" xfId="23550" xr:uid="{00000000-0005-0000-0000-0000FE5B0000}"/>
    <cellStyle name="Normal 279 2 2" xfId="23551" xr:uid="{00000000-0005-0000-0000-0000FF5B0000}"/>
    <cellStyle name="Normal 279 2 2 2" xfId="23552" xr:uid="{00000000-0005-0000-0000-0000005C0000}"/>
    <cellStyle name="Normal 279 2 3" xfId="23553" xr:uid="{00000000-0005-0000-0000-0000015C0000}"/>
    <cellStyle name="Normal 279 2 3 2" xfId="23554" xr:uid="{00000000-0005-0000-0000-0000025C0000}"/>
    <cellStyle name="Normal 279 2 3 2 2" xfId="23555" xr:uid="{00000000-0005-0000-0000-0000035C0000}"/>
    <cellStyle name="Normal 279 2 3 3" xfId="23556" xr:uid="{00000000-0005-0000-0000-0000045C0000}"/>
    <cellStyle name="Normal 279 2 4" xfId="23557" xr:uid="{00000000-0005-0000-0000-0000055C0000}"/>
    <cellStyle name="Normal 279 2 4 2" xfId="23558" xr:uid="{00000000-0005-0000-0000-0000065C0000}"/>
    <cellStyle name="Normal 279 2 4 2 2" xfId="23559" xr:uid="{00000000-0005-0000-0000-0000075C0000}"/>
    <cellStyle name="Normal 279 2 4 3" xfId="23560" xr:uid="{00000000-0005-0000-0000-0000085C0000}"/>
    <cellStyle name="Normal 279 2 5" xfId="23561" xr:uid="{00000000-0005-0000-0000-0000095C0000}"/>
    <cellStyle name="Normal 279 3" xfId="23562" xr:uid="{00000000-0005-0000-0000-00000A5C0000}"/>
    <cellStyle name="Normal 279 3 2" xfId="23563" xr:uid="{00000000-0005-0000-0000-00000B5C0000}"/>
    <cellStyle name="Normal 279 3 2 2" xfId="23564" xr:uid="{00000000-0005-0000-0000-00000C5C0000}"/>
    <cellStyle name="Normal 279 3 2 2 2" xfId="23565" xr:uid="{00000000-0005-0000-0000-00000D5C0000}"/>
    <cellStyle name="Normal 279 3 2 3" xfId="23566" xr:uid="{00000000-0005-0000-0000-00000E5C0000}"/>
    <cellStyle name="Normal 279 3 2 3 2" xfId="23567" xr:uid="{00000000-0005-0000-0000-00000F5C0000}"/>
    <cellStyle name="Normal 279 3 2 3 2 2" xfId="23568" xr:uid="{00000000-0005-0000-0000-0000105C0000}"/>
    <cellStyle name="Normal 279 3 2 3 3" xfId="23569" xr:uid="{00000000-0005-0000-0000-0000115C0000}"/>
    <cellStyle name="Normal 279 3 2 4" xfId="23570" xr:uid="{00000000-0005-0000-0000-0000125C0000}"/>
    <cellStyle name="Normal 279 3 3" xfId="23571" xr:uid="{00000000-0005-0000-0000-0000135C0000}"/>
    <cellStyle name="Normal 279 3 3 2" xfId="23572" xr:uid="{00000000-0005-0000-0000-0000145C0000}"/>
    <cellStyle name="Normal 279 3 3 2 2" xfId="23573" xr:uid="{00000000-0005-0000-0000-0000155C0000}"/>
    <cellStyle name="Normal 279 3 3 3" xfId="23574" xr:uid="{00000000-0005-0000-0000-0000165C0000}"/>
    <cellStyle name="Normal 279 3 4" xfId="23575" xr:uid="{00000000-0005-0000-0000-0000175C0000}"/>
    <cellStyle name="Normal 279 3 4 2" xfId="23576" xr:uid="{00000000-0005-0000-0000-0000185C0000}"/>
    <cellStyle name="Normal 279 3 4 2 2" xfId="23577" xr:uid="{00000000-0005-0000-0000-0000195C0000}"/>
    <cellStyle name="Normal 279 3 4 3" xfId="23578" xr:uid="{00000000-0005-0000-0000-00001A5C0000}"/>
    <cellStyle name="Normal 279 3 5" xfId="23579" xr:uid="{00000000-0005-0000-0000-00001B5C0000}"/>
    <cellStyle name="Normal 279 3 5 2" xfId="23580" xr:uid="{00000000-0005-0000-0000-00001C5C0000}"/>
    <cellStyle name="Normal 279 3 5 2 2" xfId="23581" xr:uid="{00000000-0005-0000-0000-00001D5C0000}"/>
    <cellStyle name="Normal 279 3 5 3" xfId="23582" xr:uid="{00000000-0005-0000-0000-00001E5C0000}"/>
    <cellStyle name="Normal 279 3 6" xfId="23583" xr:uid="{00000000-0005-0000-0000-00001F5C0000}"/>
    <cellStyle name="Normal 279 4" xfId="23584" xr:uid="{00000000-0005-0000-0000-0000205C0000}"/>
    <cellStyle name="Normal 279 4 2" xfId="23585" xr:uid="{00000000-0005-0000-0000-0000215C0000}"/>
    <cellStyle name="Normal 279 4 2 2" xfId="23586" xr:uid="{00000000-0005-0000-0000-0000225C0000}"/>
    <cellStyle name="Normal 279 4 3" xfId="23587" xr:uid="{00000000-0005-0000-0000-0000235C0000}"/>
    <cellStyle name="Normal 279 5" xfId="23588" xr:uid="{00000000-0005-0000-0000-0000245C0000}"/>
    <cellStyle name="Normal 279 5 2" xfId="23589" xr:uid="{00000000-0005-0000-0000-0000255C0000}"/>
    <cellStyle name="Normal 279 5 2 2" xfId="23590" xr:uid="{00000000-0005-0000-0000-0000265C0000}"/>
    <cellStyle name="Normal 279 5 3" xfId="23591" xr:uid="{00000000-0005-0000-0000-0000275C0000}"/>
    <cellStyle name="Normal 279 6" xfId="23592" xr:uid="{00000000-0005-0000-0000-0000285C0000}"/>
    <cellStyle name="Normal 279 6 2" xfId="23593" xr:uid="{00000000-0005-0000-0000-0000295C0000}"/>
    <cellStyle name="Normal 279 6 2 2" xfId="23594" xr:uid="{00000000-0005-0000-0000-00002A5C0000}"/>
    <cellStyle name="Normal 279 6 3" xfId="23595" xr:uid="{00000000-0005-0000-0000-00002B5C0000}"/>
    <cellStyle name="Normal 279 7" xfId="23596" xr:uid="{00000000-0005-0000-0000-00002C5C0000}"/>
    <cellStyle name="Normal 28" xfId="23597" xr:uid="{00000000-0005-0000-0000-00002D5C0000}"/>
    <cellStyle name="Normal 28 2" xfId="23598" xr:uid="{00000000-0005-0000-0000-00002E5C0000}"/>
    <cellStyle name="Normal 28 2 2" xfId="23599" xr:uid="{00000000-0005-0000-0000-00002F5C0000}"/>
    <cellStyle name="Normal 28 2 2 2" xfId="23600" xr:uid="{00000000-0005-0000-0000-0000305C0000}"/>
    <cellStyle name="Normal 28 2 2 2 2" xfId="23601" xr:uid="{00000000-0005-0000-0000-0000315C0000}"/>
    <cellStyle name="Normal 28 2 2 3" xfId="23602" xr:uid="{00000000-0005-0000-0000-0000325C0000}"/>
    <cellStyle name="Normal 28 2 2 3 2" xfId="23603" xr:uid="{00000000-0005-0000-0000-0000335C0000}"/>
    <cellStyle name="Normal 28 2 2 3 2 2" xfId="23604" xr:uid="{00000000-0005-0000-0000-0000345C0000}"/>
    <cellStyle name="Normal 28 2 2 3 3" xfId="23605" xr:uid="{00000000-0005-0000-0000-0000355C0000}"/>
    <cellStyle name="Normal 28 2 2 4" xfId="23606" xr:uid="{00000000-0005-0000-0000-0000365C0000}"/>
    <cellStyle name="Normal 28 2 2 4 2" xfId="23607" xr:uid="{00000000-0005-0000-0000-0000375C0000}"/>
    <cellStyle name="Normal 28 2 2 4 2 2" xfId="23608" xr:uid="{00000000-0005-0000-0000-0000385C0000}"/>
    <cellStyle name="Normal 28 2 2 4 3" xfId="23609" xr:uid="{00000000-0005-0000-0000-0000395C0000}"/>
    <cellStyle name="Normal 28 2 2 5" xfId="23610" xr:uid="{00000000-0005-0000-0000-00003A5C0000}"/>
    <cellStyle name="Normal 28 2 3" xfId="23611" xr:uid="{00000000-0005-0000-0000-00003B5C0000}"/>
    <cellStyle name="Normal 28 2 3 2" xfId="23612" xr:uid="{00000000-0005-0000-0000-00003C5C0000}"/>
    <cellStyle name="Normal 28 2 3 2 2" xfId="23613" xr:uid="{00000000-0005-0000-0000-00003D5C0000}"/>
    <cellStyle name="Normal 28 2 3 3" xfId="23614" xr:uid="{00000000-0005-0000-0000-00003E5C0000}"/>
    <cellStyle name="Normal 28 2 4" xfId="23615" xr:uid="{00000000-0005-0000-0000-00003F5C0000}"/>
    <cellStyle name="Normal 28 2 4 2" xfId="23616" xr:uid="{00000000-0005-0000-0000-0000405C0000}"/>
    <cellStyle name="Normal 28 2 4 2 2" xfId="23617" xr:uid="{00000000-0005-0000-0000-0000415C0000}"/>
    <cellStyle name="Normal 28 2 4 3" xfId="23618" xr:uid="{00000000-0005-0000-0000-0000425C0000}"/>
    <cellStyle name="Normal 28 2 5" xfId="23619" xr:uid="{00000000-0005-0000-0000-0000435C0000}"/>
    <cellStyle name="Normal 28 2 5 2" xfId="23620" xr:uid="{00000000-0005-0000-0000-0000445C0000}"/>
    <cellStyle name="Normal 28 2 5 2 2" xfId="23621" xr:uid="{00000000-0005-0000-0000-0000455C0000}"/>
    <cellStyle name="Normal 28 2 5 3" xfId="23622" xr:uid="{00000000-0005-0000-0000-0000465C0000}"/>
    <cellStyle name="Normal 28 2 6" xfId="23623" xr:uid="{00000000-0005-0000-0000-0000475C0000}"/>
    <cellStyle name="Normal 28 3" xfId="23624" xr:uid="{00000000-0005-0000-0000-0000485C0000}"/>
    <cellStyle name="Normal 28 3 2" xfId="23625" xr:uid="{00000000-0005-0000-0000-0000495C0000}"/>
    <cellStyle name="Normal 28 3 2 2" xfId="23626" xr:uid="{00000000-0005-0000-0000-00004A5C0000}"/>
    <cellStyle name="Normal 28 3 3" xfId="23627" xr:uid="{00000000-0005-0000-0000-00004B5C0000}"/>
    <cellStyle name="Normal 28 3 3 2" xfId="23628" xr:uid="{00000000-0005-0000-0000-00004C5C0000}"/>
    <cellStyle name="Normal 28 3 3 2 2" xfId="23629" xr:uid="{00000000-0005-0000-0000-00004D5C0000}"/>
    <cellStyle name="Normal 28 3 3 3" xfId="23630" xr:uid="{00000000-0005-0000-0000-00004E5C0000}"/>
    <cellStyle name="Normal 28 3 4" xfId="23631" xr:uid="{00000000-0005-0000-0000-00004F5C0000}"/>
    <cellStyle name="Normal 28 3 4 2" xfId="23632" xr:uid="{00000000-0005-0000-0000-0000505C0000}"/>
    <cellStyle name="Normal 28 3 4 2 2" xfId="23633" xr:uid="{00000000-0005-0000-0000-0000515C0000}"/>
    <cellStyle name="Normal 28 3 4 3" xfId="23634" xr:uid="{00000000-0005-0000-0000-0000525C0000}"/>
    <cellStyle name="Normal 28 3 5" xfId="23635" xr:uid="{00000000-0005-0000-0000-0000535C0000}"/>
    <cellStyle name="Normal 28 4" xfId="23636" xr:uid="{00000000-0005-0000-0000-0000545C0000}"/>
    <cellStyle name="Normal 28 4 2" xfId="23637" xr:uid="{00000000-0005-0000-0000-0000555C0000}"/>
    <cellStyle name="Normal 28 4 2 2" xfId="23638" xr:uid="{00000000-0005-0000-0000-0000565C0000}"/>
    <cellStyle name="Normal 28 4 3" xfId="23639" xr:uid="{00000000-0005-0000-0000-0000575C0000}"/>
    <cellStyle name="Normal 28 4 3 2" xfId="23640" xr:uid="{00000000-0005-0000-0000-0000585C0000}"/>
    <cellStyle name="Normal 28 4 3 2 2" xfId="23641" xr:uid="{00000000-0005-0000-0000-0000595C0000}"/>
    <cellStyle name="Normal 28 4 3 3" xfId="23642" xr:uid="{00000000-0005-0000-0000-00005A5C0000}"/>
    <cellStyle name="Normal 28 4 4" xfId="23643" xr:uid="{00000000-0005-0000-0000-00005B5C0000}"/>
    <cellStyle name="Normal 28 4 4 2" xfId="23644" xr:uid="{00000000-0005-0000-0000-00005C5C0000}"/>
    <cellStyle name="Normal 28 4 4 2 2" xfId="23645" xr:uid="{00000000-0005-0000-0000-00005D5C0000}"/>
    <cellStyle name="Normal 28 4 4 3" xfId="23646" xr:uid="{00000000-0005-0000-0000-00005E5C0000}"/>
    <cellStyle name="Normal 28 4 5" xfId="23647" xr:uid="{00000000-0005-0000-0000-00005F5C0000}"/>
    <cellStyle name="Normal 28 5" xfId="23648" xr:uid="{00000000-0005-0000-0000-0000605C0000}"/>
    <cellStyle name="Normal 28 5 2" xfId="23649" xr:uid="{00000000-0005-0000-0000-0000615C0000}"/>
    <cellStyle name="Normal 28 5 2 2" xfId="23650" xr:uid="{00000000-0005-0000-0000-0000625C0000}"/>
    <cellStyle name="Normal 28 5 3" xfId="23651" xr:uid="{00000000-0005-0000-0000-0000635C0000}"/>
    <cellStyle name="Normal 28 6" xfId="23652" xr:uid="{00000000-0005-0000-0000-0000645C0000}"/>
    <cellStyle name="Normal 28 6 2" xfId="23653" xr:uid="{00000000-0005-0000-0000-0000655C0000}"/>
    <cellStyle name="Normal 28 6 2 2" xfId="23654" xr:uid="{00000000-0005-0000-0000-0000665C0000}"/>
    <cellStyle name="Normal 28 6 3" xfId="23655" xr:uid="{00000000-0005-0000-0000-0000675C0000}"/>
    <cellStyle name="Normal 28 7" xfId="23656" xr:uid="{00000000-0005-0000-0000-0000685C0000}"/>
    <cellStyle name="Normal 28 7 2" xfId="23657" xr:uid="{00000000-0005-0000-0000-0000695C0000}"/>
    <cellStyle name="Normal 28 7 2 2" xfId="23658" xr:uid="{00000000-0005-0000-0000-00006A5C0000}"/>
    <cellStyle name="Normal 28 7 3" xfId="23659" xr:uid="{00000000-0005-0000-0000-00006B5C0000}"/>
    <cellStyle name="Normal 28 8" xfId="23660" xr:uid="{00000000-0005-0000-0000-00006C5C0000}"/>
    <cellStyle name="Normal 280" xfId="23661" xr:uid="{00000000-0005-0000-0000-00006D5C0000}"/>
    <cellStyle name="Normal 280 2" xfId="23662" xr:uid="{00000000-0005-0000-0000-00006E5C0000}"/>
    <cellStyle name="Normal 280 2 2" xfId="23663" xr:uid="{00000000-0005-0000-0000-00006F5C0000}"/>
    <cellStyle name="Normal 280 2 2 2" xfId="23664" xr:uid="{00000000-0005-0000-0000-0000705C0000}"/>
    <cellStyle name="Normal 280 2 3" xfId="23665" xr:uid="{00000000-0005-0000-0000-0000715C0000}"/>
    <cellStyle name="Normal 280 2 3 2" xfId="23666" xr:uid="{00000000-0005-0000-0000-0000725C0000}"/>
    <cellStyle name="Normal 280 2 3 2 2" xfId="23667" xr:uid="{00000000-0005-0000-0000-0000735C0000}"/>
    <cellStyle name="Normal 280 2 3 3" xfId="23668" xr:uid="{00000000-0005-0000-0000-0000745C0000}"/>
    <cellStyle name="Normal 280 2 4" xfId="23669" xr:uid="{00000000-0005-0000-0000-0000755C0000}"/>
    <cellStyle name="Normal 280 2 4 2" xfId="23670" xr:uid="{00000000-0005-0000-0000-0000765C0000}"/>
    <cellStyle name="Normal 280 2 4 2 2" xfId="23671" xr:uid="{00000000-0005-0000-0000-0000775C0000}"/>
    <cellStyle name="Normal 280 2 4 3" xfId="23672" xr:uid="{00000000-0005-0000-0000-0000785C0000}"/>
    <cellStyle name="Normal 280 2 5" xfId="23673" xr:uid="{00000000-0005-0000-0000-0000795C0000}"/>
    <cellStyle name="Normal 280 3" xfId="23674" xr:uid="{00000000-0005-0000-0000-00007A5C0000}"/>
    <cellStyle name="Normal 280 3 2" xfId="23675" xr:uid="{00000000-0005-0000-0000-00007B5C0000}"/>
    <cellStyle name="Normal 280 3 2 2" xfId="23676" xr:uid="{00000000-0005-0000-0000-00007C5C0000}"/>
    <cellStyle name="Normal 280 3 2 2 2" xfId="23677" xr:uid="{00000000-0005-0000-0000-00007D5C0000}"/>
    <cellStyle name="Normal 280 3 2 3" xfId="23678" xr:uid="{00000000-0005-0000-0000-00007E5C0000}"/>
    <cellStyle name="Normal 280 3 2 3 2" xfId="23679" xr:uid="{00000000-0005-0000-0000-00007F5C0000}"/>
    <cellStyle name="Normal 280 3 2 3 2 2" xfId="23680" xr:uid="{00000000-0005-0000-0000-0000805C0000}"/>
    <cellStyle name="Normal 280 3 2 3 3" xfId="23681" xr:uid="{00000000-0005-0000-0000-0000815C0000}"/>
    <cellStyle name="Normal 280 3 2 4" xfId="23682" xr:uid="{00000000-0005-0000-0000-0000825C0000}"/>
    <cellStyle name="Normal 280 3 3" xfId="23683" xr:uid="{00000000-0005-0000-0000-0000835C0000}"/>
    <cellStyle name="Normal 280 3 3 2" xfId="23684" xr:uid="{00000000-0005-0000-0000-0000845C0000}"/>
    <cellStyle name="Normal 280 3 3 2 2" xfId="23685" xr:uid="{00000000-0005-0000-0000-0000855C0000}"/>
    <cellStyle name="Normal 280 3 3 3" xfId="23686" xr:uid="{00000000-0005-0000-0000-0000865C0000}"/>
    <cellStyle name="Normal 280 3 4" xfId="23687" xr:uid="{00000000-0005-0000-0000-0000875C0000}"/>
    <cellStyle name="Normal 280 3 4 2" xfId="23688" xr:uid="{00000000-0005-0000-0000-0000885C0000}"/>
    <cellStyle name="Normal 280 3 4 2 2" xfId="23689" xr:uid="{00000000-0005-0000-0000-0000895C0000}"/>
    <cellStyle name="Normal 280 3 4 3" xfId="23690" xr:uid="{00000000-0005-0000-0000-00008A5C0000}"/>
    <cellStyle name="Normal 280 3 5" xfId="23691" xr:uid="{00000000-0005-0000-0000-00008B5C0000}"/>
    <cellStyle name="Normal 280 3 5 2" xfId="23692" xr:uid="{00000000-0005-0000-0000-00008C5C0000}"/>
    <cellStyle name="Normal 280 3 5 2 2" xfId="23693" xr:uid="{00000000-0005-0000-0000-00008D5C0000}"/>
    <cellStyle name="Normal 280 3 5 3" xfId="23694" xr:uid="{00000000-0005-0000-0000-00008E5C0000}"/>
    <cellStyle name="Normal 280 3 6" xfId="23695" xr:uid="{00000000-0005-0000-0000-00008F5C0000}"/>
    <cellStyle name="Normal 280 4" xfId="23696" xr:uid="{00000000-0005-0000-0000-0000905C0000}"/>
    <cellStyle name="Normal 280 4 2" xfId="23697" xr:uid="{00000000-0005-0000-0000-0000915C0000}"/>
    <cellStyle name="Normal 280 4 2 2" xfId="23698" xr:uid="{00000000-0005-0000-0000-0000925C0000}"/>
    <cellStyle name="Normal 280 4 3" xfId="23699" xr:uid="{00000000-0005-0000-0000-0000935C0000}"/>
    <cellStyle name="Normal 280 5" xfId="23700" xr:uid="{00000000-0005-0000-0000-0000945C0000}"/>
    <cellStyle name="Normal 280 5 2" xfId="23701" xr:uid="{00000000-0005-0000-0000-0000955C0000}"/>
    <cellStyle name="Normal 280 5 2 2" xfId="23702" xr:uid="{00000000-0005-0000-0000-0000965C0000}"/>
    <cellStyle name="Normal 280 5 3" xfId="23703" xr:uid="{00000000-0005-0000-0000-0000975C0000}"/>
    <cellStyle name="Normal 280 6" xfId="23704" xr:uid="{00000000-0005-0000-0000-0000985C0000}"/>
    <cellStyle name="Normal 280 6 2" xfId="23705" xr:uid="{00000000-0005-0000-0000-0000995C0000}"/>
    <cellStyle name="Normal 280 6 2 2" xfId="23706" xr:uid="{00000000-0005-0000-0000-00009A5C0000}"/>
    <cellStyle name="Normal 280 6 3" xfId="23707" xr:uid="{00000000-0005-0000-0000-00009B5C0000}"/>
    <cellStyle name="Normal 280 7" xfId="23708" xr:uid="{00000000-0005-0000-0000-00009C5C0000}"/>
    <cellStyle name="Normal 281" xfId="23709" xr:uid="{00000000-0005-0000-0000-00009D5C0000}"/>
    <cellStyle name="Normal 281 2" xfId="23710" xr:uid="{00000000-0005-0000-0000-00009E5C0000}"/>
    <cellStyle name="Normal 281 2 2" xfId="23711" xr:uid="{00000000-0005-0000-0000-00009F5C0000}"/>
    <cellStyle name="Normal 281 2 2 2" xfId="23712" xr:uid="{00000000-0005-0000-0000-0000A05C0000}"/>
    <cellStyle name="Normal 281 2 3" xfId="23713" xr:uid="{00000000-0005-0000-0000-0000A15C0000}"/>
    <cellStyle name="Normal 281 2 3 2" xfId="23714" xr:uid="{00000000-0005-0000-0000-0000A25C0000}"/>
    <cellStyle name="Normal 281 2 3 2 2" xfId="23715" xr:uid="{00000000-0005-0000-0000-0000A35C0000}"/>
    <cellStyle name="Normal 281 2 3 3" xfId="23716" xr:uid="{00000000-0005-0000-0000-0000A45C0000}"/>
    <cellStyle name="Normal 281 2 4" xfId="23717" xr:uid="{00000000-0005-0000-0000-0000A55C0000}"/>
    <cellStyle name="Normal 281 2 4 2" xfId="23718" xr:uid="{00000000-0005-0000-0000-0000A65C0000}"/>
    <cellStyle name="Normal 281 2 4 2 2" xfId="23719" xr:uid="{00000000-0005-0000-0000-0000A75C0000}"/>
    <cellStyle name="Normal 281 2 4 3" xfId="23720" xr:uid="{00000000-0005-0000-0000-0000A85C0000}"/>
    <cellStyle name="Normal 281 2 5" xfId="23721" xr:uid="{00000000-0005-0000-0000-0000A95C0000}"/>
    <cellStyle name="Normal 281 3" xfId="23722" xr:uid="{00000000-0005-0000-0000-0000AA5C0000}"/>
    <cellStyle name="Normal 281 3 2" xfId="23723" xr:uid="{00000000-0005-0000-0000-0000AB5C0000}"/>
    <cellStyle name="Normal 281 3 2 2" xfId="23724" xr:uid="{00000000-0005-0000-0000-0000AC5C0000}"/>
    <cellStyle name="Normal 281 3 2 2 2" xfId="23725" xr:uid="{00000000-0005-0000-0000-0000AD5C0000}"/>
    <cellStyle name="Normal 281 3 2 3" xfId="23726" xr:uid="{00000000-0005-0000-0000-0000AE5C0000}"/>
    <cellStyle name="Normal 281 3 2 3 2" xfId="23727" xr:uid="{00000000-0005-0000-0000-0000AF5C0000}"/>
    <cellStyle name="Normal 281 3 2 3 2 2" xfId="23728" xr:uid="{00000000-0005-0000-0000-0000B05C0000}"/>
    <cellStyle name="Normal 281 3 2 3 3" xfId="23729" xr:uid="{00000000-0005-0000-0000-0000B15C0000}"/>
    <cellStyle name="Normal 281 3 2 4" xfId="23730" xr:uid="{00000000-0005-0000-0000-0000B25C0000}"/>
    <cellStyle name="Normal 281 3 3" xfId="23731" xr:uid="{00000000-0005-0000-0000-0000B35C0000}"/>
    <cellStyle name="Normal 281 3 3 2" xfId="23732" xr:uid="{00000000-0005-0000-0000-0000B45C0000}"/>
    <cellStyle name="Normal 281 3 3 2 2" xfId="23733" xr:uid="{00000000-0005-0000-0000-0000B55C0000}"/>
    <cellStyle name="Normal 281 3 3 3" xfId="23734" xr:uid="{00000000-0005-0000-0000-0000B65C0000}"/>
    <cellStyle name="Normal 281 3 4" xfId="23735" xr:uid="{00000000-0005-0000-0000-0000B75C0000}"/>
    <cellStyle name="Normal 281 3 4 2" xfId="23736" xr:uid="{00000000-0005-0000-0000-0000B85C0000}"/>
    <cellStyle name="Normal 281 3 4 2 2" xfId="23737" xr:uid="{00000000-0005-0000-0000-0000B95C0000}"/>
    <cellStyle name="Normal 281 3 4 3" xfId="23738" xr:uid="{00000000-0005-0000-0000-0000BA5C0000}"/>
    <cellStyle name="Normal 281 3 5" xfId="23739" xr:uid="{00000000-0005-0000-0000-0000BB5C0000}"/>
    <cellStyle name="Normal 281 3 5 2" xfId="23740" xr:uid="{00000000-0005-0000-0000-0000BC5C0000}"/>
    <cellStyle name="Normal 281 3 5 2 2" xfId="23741" xr:uid="{00000000-0005-0000-0000-0000BD5C0000}"/>
    <cellStyle name="Normal 281 3 5 3" xfId="23742" xr:uid="{00000000-0005-0000-0000-0000BE5C0000}"/>
    <cellStyle name="Normal 281 3 6" xfId="23743" xr:uid="{00000000-0005-0000-0000-0000BF5C0000}"/>
    <cellStyle name="Normal 281 4" xfId="23744" xr:uid="{00000000-0005-0000-0000-0000C05C0000}"/>
    <cellStyle name="Normal 281 4 2" xfId="23745" xr:uid="{00000000-0005-0000-0000-0000C15C0000}"/>
    <cellStyle name="Normal 281 4 2 2" xfId="23746" xr:uid="{00000000-0005-0000-0000-0000C25C0000}"/>
    <cellStyle name="Normal 281 4 3" xfId="23747" xr:uid="{00000000-0005-0000-0000-0000C35C0000}"/>
    <cellStyle name="Normal 281 5" xfId="23748" xr:uid="{00000000-0005-0000-0000-0000C45C0000}"/>
    <cellStyle name="Normal 281 5 2" xfId="23749" xr:uid="{00000000-0005-0000-0000-0000C55C0000}"/>
    <cellStyle name="Normal 281 5 2 2" xfId="23750" xr:uid="{00000000-0005-0000-0000-0000C65C0000}"/>
    <cellStyle name="Normal 281 5 3" xfId="23751" xr:uid="{00000000-0005-0000-0000-0000C75C0000}"/>
    <cellStyle name="Normal 281 6" xfId="23752" xr:uid="{00000000-0005-0000-0000-0000C85C0000}"/>
    <cellStyle name="Normal 281 6 2" xfId="23753" xr:uid="{00000000-0005-0000-0000-0000C95C0000}"/>
    <cellStyle name="Normal 281 6 2 2" xfId="23754" xr:uid="{00000000-0005-0000-0000-0000CA5C0000}"/>
    <cellStyle name="Normal 281 6 3" xfId="23755" xr:uid="{00000000-0005-0000-0000-0000CB5C0000}"/>
    <cellStyle name="Normal 281 7" xfId="23756" xr:uid="{00000000-0005-0000-0000-0000CC5C0000}"/>
    <cellStyle name="Normal 282" xfId="23757" xr:uid="{00000000-0005-0000-0000-0000CD5C0000}"/>
    <cellStyle name="Normal 282 2" xfId="23758" xr:uid="{00000000-0005-0000-0000-0000CE5C0000}"/>
    <cellStyle name="Normal 282 2 2" xfId="23759" xr:uid="{00000000-0005-0000-0000-0000CF5C0000}"/>
    <cellStyle name="Normal 282 2 2 2" xfId="23760" xr:uid="{00000000-0005-0000-0000-0000D05C0000}"/>
    <cellStyle name="Normal 282 2 3" xfId="23761" xr:uid="{00000000-0005-0000-0000-0000D15C0000}"/>
    <cellStyle name="Normal 282 2 3 2" xfId="23762" xr:uid="{00000000-0005-0000-0000-0000D25C0000}"/>
    <cellStyle name="Normal 282 2 3 2 2" xfId="23763" xr:uid="{00000000-0005-0000-0000-0000D35C0000}"/>
    <cellStyle name="Normal 282 2 3 3" xfId="23764" xr:uid="{00000000-0005-0000-0000-0000D45C0000}"/>
    <cellStyle name="Normal 282 2 4" xfId="23765" xr:uid="{00000000-0005-0000-0000-0000D55C0000}"/>
    <cellStyle name="Normal 282 2 4 2" xfId="23766" xr:uid="{00000000-0005-0000-0000-0000D65C0000}"/>
    <cellStyle name="Normal 282 2 4 2 2" xfId="23767" xr:uid="{00000000-0005-0000-0000-0000D75C0000}"/>
    <cellStyle name="Normal 282 2 4 3" xfId="23768" xr:uid="{00000000-0005-0000-0000-0000D85C0000}"/>
    <cellStyle name="Normal 282 2 5" xfId="23769" xr:uid="{00000000-0005-0000-0000-0000D95C0000}"/>
    <cellStyle name="Normal 282 3" xfId="23770" xr:uid="{00000000-0005-0000-0000-0000DA5C0000}"/>
    <cellStyle name="Normal 282 3 2" xfId="23771" xr:uid="{00000000-0005-0000-0000-0000DB5C0000}"/>
    <cellStyle name="Normal 282 3 2 2" xfId="23772" xr:uid="{00000000-0005-0000-0000-0000DC5C0000}"/>
    <cellStyle name="Normal 282 3 2 2 2" xfId="23773" xr:uid="{00000000-0005-0000-0000-0000DD5C0000}"/>
    <cellStyle name="Normal 282 3 2 3" xfId="23774" xr:uid="{00000000-0005-0000-0000-0000DE5C0000}"/>
    <cellStyle name="Normal 282 3 2 3 2" xfId="23775" xr:uid="{00000000-0005-0000-0000-0000DF5C0000}"/>
    <cellStyle name="Normal 282 3 2 3 2 2" xfId="23776" xr:uid="{00000000-0005-0000-0000-0000E05C0000}"/>
    <cellStyle name="Normal 282 3 2 3 3" xfId="23777" xr:uid="{00000000-0005-0000-0000-0000E15C0000}"/>
    <cellStyle name="Normal 282 3 2 4" xfId="23778" xr:uid="{00000000-0005-0000-0000-0000E25C0000}"/>
    <cellStyle name="Normal 282 3 3" xfId="23779" xr:uid="{00000000-0005-0000-0000-0000E35C0000}"/>
    <cellStyle name="Normal 282 3 3 2" xfId="23780" xr:uid="{00000000-0005-0000-0000-0000E45C0000}"/>
    <cellStyle name="Normal 282 3 3 2 2" xfId="23781" xr:uid="{00000000-0005-0000-0000-0000E55C0000}"/>
    <cellStyle name="Normal 282 3 3 3" xfId="23782" xr:uid="{00000000-0005-0000-0000-0000E65C0000}"/>
    <cellStyle name="Normal 282 3 4" xfId="23783" xr:uid="{00000000-0005-0000-0000-0000E75C0000}"/>
    <cellStyle name="Normal 282 3 4 2" xfId="23784" xr:uid="{00000000-0005-0000-0000-0000E85C0000}"/>
    <cellStyle name="Normal 282 3 4 2 2" xfId="23785" xr:uid="{00000000-0005-0000-0000-0000E95C0000}"/>
    <cellStyle name="Normal 282 3 4 3" xfId="23786" xr:uid="{00000000-0005-0000-0000-0000EA5C0000}"/>
    <cellStyle name="Normal 282 3 5" xfId="23787" xr:uid="{00000000-0005-0000-0000-0000EB5C0000}"/>
    <cellStyle name="Normal 282 3 5 2" xfId="23788" xr:uid="{00000000-0005-0000-0000-0000EC5C0000}"/>
    <cellStyle name="Normal 282 3 5 2 2" xfId="23789" xr:uid="{00000000-0005-0000-0000-0000ED5C0000}"/>
    <cellStyle name="Normal 282 3 5 3" xfId="23790" xr:uid="{00000000-0005-0000-0000-0000EE5C0000}"/>
    <cellStyle name="Normal 282 3 6" xfId="23791" xr:uid="{00000000-0005-0000-0000-0000EF5C0000}"/>
    <cellStyle name="Normal 282 4" xfId="23792" xr:uid="{00000000-0005-0000-0000-0000F05C0000}"/>
    <cellStyle name="Normal 282 4 2" xfId="23793" xr:uid="{00000000-0005-0000-0000-0000F15C0000}"/>
    <cellStyle name="Normal 282 4 2 2" xfId="23794" xr:uid="{00000000-0005-0000-0000-0000F25C0000}"/>
    <cellStyle name="Normal 282 4 3" xfId="23795" xr:uid="{00000000-0005-0000-0000-0000F35C0000}"/>
    <cellStyle name="Normal 282 5" xfId="23796" xr:uid="{00000000-0005-0000-0000-0000F45C0000}"/>
    <cellStyle name="Normal 282 5 2" xfId="23797" xr:uid="{00000000-0005-0000-0000-0000F55C0000}"/>
    <cellStyle name="Normal 282 5 2 2" xfId="23798" xr:uid="{00000000-0005-0000-0000-0000F65C0000}"/>
    <cellStyle name="Normal 282 5 3" xfId="23799" xr:uid="{00000000-0005-0000-0000-0000F75C0000}"/>
    <cellStyle name="Normal 282 6" xfId="23800" xr:uid="{00000000-0005-0000-0000-0000F85C0000}"/>
    <cellStyle name="Normal 282 6 2" xfId="23801" xr:uid="{00000000-0005-0000-0000-0000F95C0000}"/>
    <cellStyle name="Normal 282 6 2 2" xfId="23802" xr:uid="{00000000-0005-0000-0000-0000FA5C0000}"/>
    <cellStyle name="Normal 282 6 3" xfId="23803" xr:uid="{00000000-0005-0000-0000-0000FB5C0000}"/>
    <cellStyle name="Normal 282 7" xfId="23804" xr:uid="{00000000-0005-0000-0000-0000FC5C0000}"/>
    <cellStyle name="Normal 283" xfId="23805" xr:uid="{00000000-0005-0000-0000-0000FD5C0000}"/>
    <cellStyle name="Normal 283 2" xfId="23806" xr:uid="{00000000-0005-0000-0000-0000FE5C0000}"/>
    <cellStyle name="Normal 283 2 2" xfId="23807" xr:uid="{00000000-0005-0000-0000-0000FF5C0000}"/>
    <cellStyle name="Normal 283 2 2 2" xfId="23808" xr:uid="{00000000-0005-0000-0000-0000005D0000}"/>
    <cellStyle name="Normal 283 2 3" xfId="23809" xr:uid="{00000000-0005-0000-0000-0000015D0000}"/>
    <cellStyle name="Normal 283 2 3 2" xfId="23810" xr:uid="{00000000-0005-0000-0000-0000025D0000}"/>
    <cellStyle name="Normal 283 2 3 2 2" xfId="23811" xr:uid="{00000000-0005-0000-0000-0000035D0000}"/>
    <cellStyle name="Normal 283 2 3 3" xfId="23812" xr:uid="{00000000-0005-0000-0000-0000045D0000}"/>
    <cellStyle name="Normal 283 2 4" xfId="23813" xr:uid="{00000000-0005-0000-0000-0000055D0000}"/>
    <cellStyle name="Normal 283 2 4 2" xfId="23814" xr:uid="{00000000-0005-0000-0000-0000065D0000}"/>
    <cellStyle name="Normal 283 2 4 2 2" xfId="23815" xr:uid="{00000000-0005-0000-0000-0000075D0000}"/>
    <cellStyle name="Normal 283 2 4 3" xfId="23816" xr:uid="{00000000-0005-0000-0000-0000085D0000}"/>
    <cellStyle name="Normal 283 2 5" xfId="23817" xr:uid="{00000000-0005-0000-0000-0000095D0000}"/>
    <cellStyle name="Normal 283 3" xfId="23818" xr:uid="{00000000-0005-0000-0000-00000A5D0000}"/>
    <cellStyle name="Normal 283 3 2" xfId="23819" xr:uid="{00000000-0005-0000-0000-00000B5D0000}"/>
    <cellStyle name="Normal 283 3 2 2" xfId="23820" xr:uid="{00000000-0005-0000-0000-00000C5D0000}"/>
    <cellStyle name="Normal 283 3 2 2 2" xfId="23821" xr:uid="{00000000-0005-0000-0000-00000D5D0000}"/>
    <cellStyle name="Normal 283 3 2 3" xfId="23822" xr:uid="{00000000-0005-0000-0000-00000E5D0000}"/>
    <cellStyle name="Normal 283 3 2 3 2" xfId="23823" xr:uid="{00000000-0005-0000-0000-00000F5D0000}"/>
    <cellStyle name="Normal 283 3 2 3 2 2" xfId="23824" xr:uid="{00000000-0005-0000-0000-0000105D0000}"/>
    <cellStyle name="Normal 283 3 2 3 3" xfId="23825" xr:uid="{00000000-0005-0000-0000-0000115D0000}"/>
    <cellStyle name="Normal 283 3 2 4" xfId="23826" xr:uid="{00000000-0005-0000-0000-0000125D0000}"/>
    <cellStyle name="Normal 283 3 3" xfId="23827" xr:uid="{00000000-0005-0000-0000-0000135D0000}"/>
    <cellStyle name="Normal 283 3 3 2" xfId="23828" xr:uid="{00000000-0005-0000-0000-0000145D0000}"/>
    <cellStyle name="Normal 283 3 3 2 2" xfId="23829" xr:uid="{00000000-0005-0000-0000-0000155D0000}"/>
    <cellStyle name="Normal 283 3 3 3" xfId="23830" xr:uid="{00000000-0005-0000-0000-0000165D0000}"/>
    <cellStyle name="Normal 283 3 4" xfId="23831" xr:uid="{00000000-0005-0000-0000-0000175D0000}"/>
    <cellStyle name="Normal 283 3 4 2" xfId="23832" xr:uid="{00000000-0005-0000-0000-0000185D0000}"/>
    <cellStyle name="Normal 283 3 4 2 2" xfId="23833" xr:uid="{00000000-0005-0000-0000-0000195D0000}"/>
    <cellStyle name="Normal 283 3 4 3" xfId="23834" xr:uid="{00000000-0005-0000-0000-00001A5D0000}"/>
    <cellStyle name="Normal 283 3 5" xfId="23835" xr:uid="{00000000-0005-0000-0000-00001B5D0000}"/>
    <cellStyle name="Normal 283 3 5 2" xfId="23836" xr:uid="{00000000-0005-0000-0000-00001C5D0000}"/>
    <cellStyle name="Normal 283 3 5 2 2" xfId="23837" xr:uid="{00000000-0005-0000-0000-00001D5D0000}"/>
    <cellStyle name="Normal 283 3 5 3" xfId="23838" xr:uid="{00000000-0005-0000-0000-00001E5D0000}"/>
    <cellStyle name="Normal 283 3 6" xfId="23839" xr:uid="{00000000-0005-0000-0000-00001F5D0000}"/>
    <cellStyle name="Normal 283 4" xfId="23840" xr:uid="{00000000-0005-0000-0000-0000205D0000}"/>
    <cellStyle name="Normal 283 4 2" xfId="23841" xr:uid="{00000000-0005-0000-0000-0000215D0000}"/>
    <cellStyle name="Normal 283 4 2 2" xfId="23842" xr:uid="{00000000-0005-0000-0000-0000225D0000}"/>
    <cellStyle name="Normal 283 4 3" xfId="23843" xr:uid="{00000000-0005-0000-0000-0000235D0000}"/>
    <cellStyle name="Normal 283 5" xfId="23844" xr:uid="{00000000-0005-0000-0000-0000245D0000}"/>
    <cellStyle name="Normal 283 5 2" xfId="23845" xr:uid="{00000000-0005-0000-0000-0000255D0000}"/>
    <cellStyle name="Normal 283 5 2 2" xfId="23846" xr:uid="{00000000-0005-0000-0000-0000265D0000}"/>
    <cellStyle name="Normal 283 5 3" xfId="23847" xr:uid="{00000000-0005-0000-0000-0000275D0000}"/>
    <cellStyle name="Normal 283 6" xfId="23848" xr:uid="{00000000-0005-0000-0000-0000285D0000}"/>
    <cellStyle name="Normal 283 6 2" xfId="23849" xr:uid="{00000000-0005-0000-0000-0000295D0000}"/>
    <cellStyle name="Normal 283 6 2 2" xfId="23850" xr:uid="{00000000-0005-0000-0000-00002A5D0000}"/>
    <cellStyle name="Normal 283 6 3" xfId="23851" xr:uid="{00000000-0005-0000-0000-00002B5D0000}"/>
    <cellStyle name="Normal 283 7" xfId="23852" xr:uid="{00000000-0005-0000-0000-00002C5D0000}"/>
    <cellStyle name="Normal 284" xfId="23853" xr:uid="{00000000-0005-0000-0000-00002D5D0000}"/>
    <cellStyle name="Normal 284 2" xfId="23854" xr:uid="{00000000-0005-0000-0000-00002E5D0000}"/>
    <cellStyle name="Normal 284 2 2" xfId="23855" xr:uid="{00000000-0005-0000-0000-00002F5D0000}"/>
    <cellStyle name="Normal 284 2 2 2" xfId="23856" xr:uid="{00000000-0005-0000-0000-0000305D0000}"/>
    <cellStyle name="Normal 284 2 3" xfId="23857" xr:uid="{00000000-0005-0000-0000-0000315D0000}"/>
    <cellStyle name="Normal 284 2 3 2" xfId="23858" xr:uid="{00000000-0005-0000-0000-0000325D0000}"/>
    <cellStyle name="Normal 284 2 3 2 2" xfId="23859" xr:uid="{00000000-0005-0000-0000-0000335D0000}"/>
    <cellStyle name="Normal 284 2 3 3" xfId="23860" xr:uid="{00000000-0005-0000-0000-0000345D0000}"/>
    <cellStyle name="Normal 284 2 4" xfId="23861" xr:uid="{00000000-0005-0000-0000-0000355D0000}"/>
    <cellStyle name="Normal 284 2 4 2" xfId="23862" xr:uid="{00000000-0005-0000-0000-0000365D0000}"/>
    <cellStyle name="Normal 284 2 4 2 2" xfId="23863" xr:uid="{00000000-0005-0000-0000-0000375D0000}"/>
    <cellStyle name="Normal 284 2 4 3" xfId="23864" xr:uid="{00000000-0005-0000-0000-0000385D0000}"/>
    <cellStyle name="Normal 284 2 5" xfId="23865" xr:uid="{00000000-0005-0000-0000-0000395D0000}"/>
    <cellStyle name="Normal 284 3" xfId="23866" xr:uid="{00000000-0005-0000-0000-00003A5D0000}"/>
    <cellStyle name="Normal 284 3 2" xfId="23867" xr:uid="{00000000-0005-0000-0000-00003B5D0000}"/>
    <cellStyle name="Normal 284 3 2 2" xfId="23868" xr:uid="{00000000-0005-0000-0000-00003C5D0000}"/>
    <cellStyle name="Normal 284 3 2 2 2" xfId="23869" xr:uid="{00000000-0005-0000-0000-00003D5D0000}"/>
    <cellStyle name="Normal 284 3 2 3" xfId="23870" xr:uid="{00000000-0005-0000-0000-00003E5D0000}"/>
    <cellStyle name="Normal 284 3 2 3 2" xfId="23871" xr:uid="{00000000-0005-0000-0000-00003F5D0000}"/>
    <cellStyle name="Normal 284 3 2 3 2 2" xfId="23872" xr:uid="{00000000-0005-0000-0000-0000405D0000}"/>
    <cellStyle name="Normal 284 3 2 3 3" xfId="23873" xr:uid="{00000000-0005-0000-0000-0000415D0000}"/>
    <cellStyle name="Normal 284 3 2 4" xfId="23874" xr:uid="{00000000-0005-0000-0000-0000425D0000}"/>
    <cellStyle name="Normal 284 3 3" xfId="23875" xr:uid="{00000000-0005-0000-0000-0000435D0000}"/>
    <cellStyle name="Normal 284 3 3 2" xfId="23876" xr:uid="{00000000-0005-0000-0000-0000445D0000}"/>
    <cellStyle name="Normal 284 3 3 2 2" xfId="23877" xr:uid="{00000000-0005-0000-0000-0000455D0000}"/>
    <cellStyle name="Normal 284 3 3 3" xfId="23878" xr:uid="{00000000-0005-0000-0000-0000465D0000}"/>
    <cellStyle name="Normal 284 3 4" xfId="23879" xr:uid="{00000000-0005-0000-0000-0000475D0000}"/>
    <cellStyle name="Normal 284 3 4 2" xfId="23880" xr:uid="{00000000-0005-0000-0000-0000485D0000}"/>
    <cellStyle name="Normal 284 3 4 2 2" xfId="23881" xr:uid="{00000000-0005-0000-0000-0000495D0000}"/>
    <cellStyle name="Normal 284 3 4 3" xfId="23882" xr:uid="{00000000-0005-0000-0000-00004A5D0000}"/>
    <cellStyle name="Normal 284 3 5" xfId="23883" xr:uid="{00000000-0005-0000-0000-00004B5D0000}"/>
    <cellStyle name="Normal 284 3 5 2" xfId="23884" xr:uid="{00000000-0005-0000-0000-00004C5D0000}"/>
    <cellStyle name="Normal 284 3 5 2 2" xfId="23885" xr:uid="{00000000-0005-0000-0000-00004D5D0000}"/>
    <cellStyle name="Normal 284 3 5 3" xfId="23886" xr:uid="{00000000-0005-0000-0000-00004E5D0000}"/>
    <cellStyle name="Normal 284 3 6" xfId="23887" xr:uid="{00000000-0005-0000-0000-00004F5D0000}"/>
    <cellStyle name="Normal 284 4" xfId="23888" xr:uid="{00000000-0005-0000-0000-0000505D0000}"/>
    <cellStyle name="Normal 284 4 2" xfId="23889" xr:uid="{00000000-0005-0000-0000-0000515D0000}"/>
    <cellStyle name="Normal 284 4 2 2" xfId="23890" xr:uid="{00000000-0005-0000-0000-0000525D0000}"/>
    <cellStyle name="Normal 284 4 3" xfId="23891" xr:uid="{00000000-0005-0000-0000-0000535D0000}"/>
    <cellStyle name="Normal 284 5" xfId="23892" xr:uid="{00000000-0005-0000-0000-0000545D0000}"/>
    <cellStyle name="Normal 284 5 2" xfId="23893" xr:uid="{00000000-0005-0000-0000-0000555D0000}"/>
    <cellStyle name="Normal 284 5 2 2" xfId="23894" xr:uid="{00000000-0005-0000-0000-0000565D0000}"/>
    <cellStyle name="Normal 284 5 3" xfId="23895" xr:uid="{00000000-0005-0000-0000-0000575D0000}"/>
    <cellStyle name="Normal 284 6" xfId="23896" xr:uid="{00000000-0005-0000-0000-0000585D0000}"/>
    <cellStyle name="Normal 284 6 2" xfId="23897" xr:uid="{00000000-0005-0000-0000-0000595D0000}"/>
    <cellStyle name="Normal 284 6 2 2" xfId="23898" xr:uid="{00000000-0005-0000-0000-00005A5D0000}"/>
    <cellStyle name="Normal 284 6 3" xfId="23899" xr:uid="{00000000-0005-0000-0000-00005B5D0000}"/>
    <cellStyle name="Normal 284 7" xfId="23900" xr:uid="{00000000-0005-0000-0000-00005C5D0000}"/>
    <cellStyle name="Normal 285" xfId="23901" xr:uid="{00000000-0005-0000-0000-00005D5D0000}"/>
    <cellStyle name="Normal 285 2" xfId="23902" xr:uid="{00000000-0005-0000-0000-00005E5D0000}"/>
    <cellStyle name="Normal 285 2 2" xfId="23903" xr:uid="{00000000-0005-0000-0000-00005F5D0000}"/>
    <cellStyle name="Normal 285 2 2 2" xfId="23904" xr:uid="{00000000-0005-0000-0000-0000605D0000}"/>
    <cellStyle name="Normal 285 2 3" xfId="23905" xr:uid="{00000000-0005-0000-0000-0000615D0000}"/>
    <cellStyle name="Normal 285 2 3 2" xfId="23906" xr:uid="{00000000-0005-0000-0000-0000625D0000}"/>
    <cellStyle name="Normal 285 2 3 2 2" xfId="23907" xr:uid="{00000000-0005-0000-0000-0000635D0000}"/>
    <cellStyle name="Normal 285 2 3 3" xfId="23908" xr:uid="{00000000-0005-0000-0000-0000645D0000}"/>
    <cellStyle name="Normal 285 2 4" xfId="23909" xr:uid="{00000000-0005-0000-0000-0000655D0000}"/>
    <cellStyle name="Normal 285 2 4 2" xfId="23910" xr:uid="{00000000-0005-0000-0000-0000665D0000}"/>
    <cellStyle name="Normal 285 2 4 2 2" xfId="23911" xr:uid="{00000000-0005-0000-0000-0000675D0000}"/>
    <cellStyle name="Normal 285 2 4 3" xfId="23912" xr:uid="{00000000-0005-0000-0000-0000685D0000}"/>
    <cellStyle name="Normal 285 2 5" xfId="23913" xr:uid="{00000000-0005-0000-0000-0000695D0000}"/>
    <cellStyle name="Normal 285 3" xfId="23914" xr:uid="{00000000-0005-0000-0000-00006A5D0000}"/>
    <cellStyle name="Normal 285 3 2" xfId="23915" xr:uid="{00000000-0005-0000-0000-00006B5D0000}"/>
    <cellStyle name="Normal 285 3 2 2" xfId="23916" xr:uid="{00000000-0005-0000-0000-00006C5D0000}"/>
    <cellStyle name="Normal 285 3 2 2 2" xfId="23917" xr:uid="{00000000-0005-0000-0000-00006D5D0000}"/>
    <cellStyle name="Normal 285 3 2 3" xfId="23918" xr:uid="{00000000-0005-0000-0000-00006E5D0000}"/>
    <cellStyle name="Normal 285 3 2 3 2" xfId="23919" xr:uid="{00000000-0005-0000-0000-00006F5D0000}"/>
    <cellStyle name="Normal 285 3 2 3 2 2" xfId="23920" xr:uid="{00000000-0005-0000-0000-0000705D0000}"/>
    <cellStyle name="Normal 285 3 2 3 3" xfId="23921" xr:uid="{00000000-0005-0000-0000-0000715D0000}"/>
    <cellStyle name="Normal 285 3 2 4" xfId="23922" xr:uid="{00000000-0005-0000-0000-0000725D0000}"/>
    <cellStyle name="Normal 285 3 3" xfId="23923" xr:uid="{00000000-0005-0000-0000-0000735D0000}"/>
    <cellStyle name="Normal 285 3 3 2" xfId="23924" xr:uid="{00000000-0005-0000-0000-0000745D0000}"/>
    <cellStyle name="Normal 285 3 3 2 2" xfId="23925" xr:uid="{00000000-0005-0000-0000-0000755D0000}"/>
    <cellStyle name="Normal 285 3 3 3" xfId="23926" xr:uid="{00000000-0005-0000-0000-0000765D0000}"/>
    <cellStyle name="Normal 285 3 4" xfId="23927" xr:uid="{00000000-0005-0000-0000-0000775D0000}"/>
    <cellStyle name="Normal 285 3 4 2" xfId="23928" xr:uid="{00000000-0005-0000-0000-0000785D0000}"/>
    <cellStyle name="Normal 285 3 4 2 2" xfId="23929" xr:uid="{00000000-0005-0000-0000-0000795D0000}"/>
    <cellStyle name="Normal 285 3 4 3" xfId="23930" xr:uid="{00000000-0005-0000-0000-00007A5D0000}"/>
    <cellStyle name="Normal 285 3 5" xfId="23931" xr:uid="{00000000-0005-0000-0000-00007B5D0000}"/>
    <cellStyle name="Normal 285 3 5 2" xfId="23932" xr:uid="{00000000-0005-0000-0000-00007C5D0000}"/>
    <cellStyle name="Normal 285 3 5 2 2" xfId="23933" xr:uid="{00000000-0005-0000-0000-00007D5D0000}"/>
    <cellStyle name="Normal 285 3 5 3" xfId="23934" xr:uid="{00000000-0005-0000-0000-00007E5D0000}"/>
    <cellStyle name="Normal 285 3 6" xfId="23935" xr:uid="{00000000-0005-0000-0000-00007F5D0000}"/>
    <cellStyle name="Normal 285 4" xfId="23936" xr:uid="{00000000-0005-0000-0000-0000805D0000}"/>
    <cellStyle name="Normal 285 4 2" xfId="23937" xr:uid="{00000000-0005-0000-0000-0000815D0000}"/>
    <cellStyle name="Normal 285 4 2 2" xfId="23938" xr:uid="{00000000-0005-0000-0000-0000825D0000}"/>
    <cellStyle name="Normal 285 4 3" xfId="23939" xr:uid="{00000000-0005-0000-0000-0000835D0000}"/>
    <cellStyle name="Normal 285 5" xfId="23940" xr:uid="{00000000-0005-0000-0000-0000845D0000}"/>
    <cellStyle name="Normal 285 5 2" xfId="23941" xr:uid="{00000000-0005-0000-0000-0000855D0000}"/>
    <cellStyle name="Normal 285 5 2 2" xfId="23942" xr:uid="{00000000-0005-0000-0000-0000865D0000}"/>
    <cellStyle name="Normal 285 5 3" xfId="23943" xr:uid="{00000000-0005-0000-0000-0000875D0000}"/>
    <cellStyle name="Normal 285 6" xfId="23944" xr:uid="{00000000-0005-0000-0000-0000885D0000}"/>
    <cellStyle name="Normal 285 6 2" xfId="23945" xr:uid="{00000000-0005-0000-0000-0000895D0000}"/>
    <cellStyle name="Normal 285 6 2 2" xfId="23946" xr:uid="{00000000-0005-0000-0000-00008A5D0000}"/>
    <cellStyle name="Normal 285 6 3" xfId="23947" xr:uid="{00000000-0005-0000-0000-00008B5D0000}"/>
    <cellStyle name="Normal 285 7" xfId="23948" xr:uid="{00000000-0005-0000-0000-00008C5D0000}"/>
    <cellStyle name="Normal 286" xfId="23949" xr:uid="{00000000-0005-0000-0000-00008D5D0000}"/>
    <cellStyle name="Normal 286 2" xfId="23950" xr:uid="{00000000-0005-0000-0000-00008E5D0000}"/>
    <cellStyle name="Normal 286 2 2" xfId="23951" xr:uid="{00000000-0005-0000-0000-00008F5D0000}"/>
    <cellStyle name="Normal 286 2 2 2" xfId="23952" xr:uid="{00000000-0005-0000-0000-0000905D0000}"/>
    <cellStyle name="Normal 286 2 3" xfId="23953" xr:uid="{00000000-0005-0000-0000-0000915D0000}"/>
    <cellStyle name="Normal 286 2 3 2" xfId="23954" xr:uid="{00000000-0005-0000-0000-0000925D0000}"/>
    <cellStyle name="Normal 286 2 3 2 2" xfId="23955" xr:uid="{00000000-0005-0000-0000-0000935D0000}"/>
    <cellStyle name="Normal 286 2 3 3" xfId="23956" xr:uid="{00000000-0005-0000-0000-0000945D0000}"/>
    <cellStyle name="Normal 286 2 4" xfId="23957" xr:uid="{00000000-0005-0000-0000-0000955D0000}"/>
    <cellStyle name="Normal 286 2 4 2" xfId="23958" xr:uid="{00000000-0005-0000-0000-0000965D0000}"/>
    <cellStyle name="Normal 286 2 4 2 2" xfId="23959" xr:uid="{00000000-0005-0000-0000-0000975D0000}"/>
    <cellStyle name="Normal 286 2 4 3" xfId="23960" xr:uid="{00000000-0005-0000-0000-0000985D0000}"/>
    <cellStyle name="Normal 286 2 5" xfId="23961" xr:uid="{00000000-0005-0000-0000-0000995D0000}"/>
    <cellStyle name="Normal 286 3" xfId="23962" xr:uid="{00000000-0005-0000-0000-00009A5D0000}"/>
    <cellStyle name="Normal 286 3 2" xfId="23963" xr:uid="{00000000-0005-0000-0000-00009B5D0000}"/>
    <cellStyle name="Normal 286 3 2 2" xfId="23964" xr:uid="{00000000-0005-0000-0000-00009C5D0000}"/>
    <cellStyle name="Normal 286 3 2 2 2" xfId="23965" xr:uid="{00000000-0005-0000-0000-00009D5D0000}"/>
    <cellStyle name="Normal 286 3 2 3" xfId="23966" xr:uid="{00000000-0005-0000-0000-00009E5D0000}"/>
    <cellStyle name="Normal 286 3 2 3 2" xfId="23967" xr:uid="{00000000-0005-0000-0000-00009F5D0000}"/>
    <cellStyle name="Normal 286 3 2 3 2 2" xfId="23968" xr:uid="{00000000-0005-0000-0000-0000A05D0000}"/>
    <cellStyle name="Normal 286 3 2 3 3" xfId="23969" xr:uid="{00000000-0005-0000-0000-0000A15D0000}"/>
    <cellStyle name="Normal 286 3 2 4" xfId="23970" xr:uid="{00000000-0005-0000-0000-0000A25D0000}"/>
    <cellStyle name="Normal 286 3 3" xfId="23971" xr:uid="{00000000-0005-0000-0000-0000A35D0000}"/>
    <cellStyle name="Normal 286 3 3 2" xfId="23972" xr:uid="{00000000-0005-0000-0000-0000A45D0000}"/>
    <cellStyle name="Normal 286 3 3 2 2" xfId="23973" xr:uid="{00000000-0005-0000-0000-0000A55D0000}"/>
    <cellStyle name="Normal 286 3 3 3" xfId="23974" xr:uid="{00000000-0005-0000-0000-0000A65D0000}"/>
    <cellStyle name="Normal 286 3 4" xfId="23975" xr:uid="{00000000-0005-0000-0000-0000A75D0000}"/>
    <cellStyle name="Normal 286 3 4 2" xfId="23976" xr:uid="{00000000-0005-0000-0000-0000A85D0000}"/>
    <cellStyle name="Normal 286 3 4 2 2" xfId="23977" xr:uid="{00000000-0005-0000-0000-0000A95D0000}"/>
    <cellStyle name="Normal 286 3 4 3" xfId="23978" xr:uid="{00000000-0005-0000-0000-0000AA5D0000}"/>
    <cellStyle name="Normal 286 3 5" xfId="23979" xr:uid="{00000000-0005-0000-0000-0000AB5D0000}"/>
    <cellStyle name="Normal 286 3 5 2" xfId="23980" xr:uid="{00000000-0005-0000-0000-0000AC5D0000}"/>
    <cellStyle name="Normal 286 3 5 2 2" xfId="23981" xr:uid="{00000000-0005-0000-0000-0000AD5D0000}"/>
    <cellStyle name="Normal 286 3 5 3" xfId="23982" xr:uid="{00000000-0005-0000-0000-0000AE5D0000}"/>
    <cellStyle name="Normal 286 3 6" xfId="23983" xr:uid="{00000000-0005-0000-0000-0000AF5D0000}"/>
    <cellStyle name="Normal 286 4" xfId="23984" xr:uid="{00000000-0005-0000-0000-0000B05D0000}"/>
    <cellStyle name="Normal 286 4 2" xfId="23985" xr:uid="{00000000-0005-0000-0000-0000B15D0000}"/>
    <cellStyle name="Normal 286 4 2 2" xfId="23986" xr:uid="{00000000-0005-0000-0000-0000B25D0000}"/>
    <cellStyle name="Normal 286 4 3" xfId="23987" xr:uid="{00000000-0005-0000-0000-0000B35D0000}"/>
    <cellStyle name="Normal 286 5" xfId="23988" xr:uid="{00000000-0005-0000-0000-0000B45D0000}"/>
    <cellStyle name="Normal 286 5 2" xfId="23989" xr:uid="{00000000-0005-0000-0000-0000B55D0000}"/>
    <cellStyle name="Normal 286 5 2 2" xfId="23990" xr:uid="{00000000-0005-0000-0000-0000B65D0000}"/>
    <cellStyle name="Normal 286 5 3" xfId="23991" xr:uid="{00000000-0005-0000-0000-0000B75D0000}"/>
    <cellStyle name="Normal 286 6" xfId="23992" xr:uid="{00000000-0005-0000-0000-0000B85D0000}"/>
    <cellStyle name="Normal 286 6 2" xfId="23993" xr:uid="{00000000-0005-0000-0000-0000B95D0000}"/>
    <cellStyle name="Normal 286 6 2 2" xfId="23994" xr:uid="{00000000-0005-0000-0000-0000BA5D0000}"/>
    <cellStyle name="Normal 286 6 3" xfId="23995" xr:uid="{00000000-0005-0000-0000-0000BB5D0000}"/>
    <cellStyle name="Normal 286 7" xfId="23996" xr:uid="{00000000-0005-0000-0000-0000BC5D0000}"/>
    <cellStyle name="Normal 287" xfId="23997" xr:uid="{00000000-0005-0000-0000-0000BD5D0000}"/>
    <cellStyle name="Normal 287 2" xfId="23998" xr:uid="{00000000-0005-0000-0000-0000BE5D0000}"/>
    <cellStyle name="Normal 287 2 2" xfId="23999" xr:uid="{00000000-0005-0000-0000-0000BF5D0000}"/>
    <cellStyle name="Normal 287 2 2 2" xfId="24000" xr:uid="{00000000-0005-0000-0000-0000C05D0000}"/>
    <cellStyle name="Normal 287 2 3" xfId="24001" xr:uid="{00000000-0005-0000-0000-0000C15D0000}"/>
    <cellStyle name="Normal 287 2 3 2" xfId="24002" xr:uid="{00000000-0005-0000-0000-0000C25D0000}"/>
    <cellStyle name="Normal 287 2 3 2 2" xfId="24003" xr:uid="{00000000-0005-0000-0000-0000C35D0000}"/>
    <cellStyle name="Normal 287 2 3 3" xfId="24004" xr:uid="{00000000-0005-0000-0000-0000C45D0000}"/>
    <cellStyle name="Normal 287 2 4" xfId="24005" xr:uid="{00000000-0005-0000-0000-0000C55D0000}"/>
    <cellStyle name="Normal 287 2 4 2" xfId="24006" xr:uid="{00000000-0005-0000-0000-0000C65D0000}"/>
    <cellStyle name="Normal 287 2 4 2 2" xfId="24007" xr:uid="{00000000-0005-0000-0000-0000C75D0000}"/>
    <cellStyle name="Normal 287 2 4 3" xfId="24008" xr:uid="{00000000-0005-0000-0000-0000C85D0000}"/>
    <cellStyle name="Normal 287 2 5" xfId="24009" xr:uid="{00000000-0005-0000-0000-0000C95D0000}"/>
    <cellStyle name="Normal 287 3" xfId="24010" xr:uid="{00000000-0005-0000-0000-0000CA5D0000}"/>
    <cellStyle name="Normal 287 3 2" xfId="24011" xr:uid="{00000000-0005-0000-0000-0000CB5D0000}"/>
    <cellStyle name="Normal 287 3 2 2" xfId="24012" xr:uid="{00000000-0005-0000-0000-0000CC5D0000}"/>
    <cellStyle name="Normal 287 3 2 2 2" xfId="24013" xr:uid="{00000000-0005-0000-0000-0000CD5D0000}"/>
    <cellStyle name="Normal 287 3 2 3" xfId="24014" xr:uid="{00000000-0005-0000-0000-0000CE5D0000}"/>
    <cellStyle name="Normal 287 3 2 3 2" xfId="24015" xr:uid="{00000000-0005-0000-0000-0000CF5D0000}"/>
    <cellStyle name="Normal 287 3 2 3 2 2" xfId="24016" xr:uid="{00000000-0005-0000-0000-0000D05D0000}"/>
    <cellStyle name="Normal 287 3 2 3 3" xfId="24017" xr:uid="{00000000-0005-0000-0000-0000D15D0000}"/>
    <cellStyle name="Normal 287 3 2 4" xfId="24018" xr:uid="{00000000-0005-0000-0000-0000D25D0000}"/>
    <cellStyle name="Normal 287 3 3" xfId="24019" xr:uid="{00000000-0005-0000-0000-0000D35D0000}"/>
    <cellStyle name="Normal 287 3 3 2" xfId="24020" xr:uid="{00000000-0005-0000-0000-0000D45D0000}"/>
    <cellStyle name="Normal 287 3 3 2 2" xfId="24021" xr:uid="{00000000-0005-0000-0000-0000D55D0000}"/>
    <cellStyle name="Normal 287 3 3 3" xfId="24022" xr:uid="{00000000-0005-0000-0000-0000D65D0000}"/>
    <cellStyle name="Normal 287 3 4" xfId="24023" xr:uid="{00000000-0005-0000-0000-0000D75D0000}"/>
    <cellStyle name="Normal 287 3 4 2" xfId="24024" xr:uid="{00000000-0005-0000-0000-0000D85D0000}"/>
    <cellStyle name="Normal 287 3 4 2 2" xfId="24025" xr:uid="{00000000-0005-0000-0000-0000D95D0000}"/>
    <cellStyle name="Normal 287 3 4 3" xfId="24026" xr:uid="{00000000-0005-0000-0000-0000DA5D0000}"/>
    <cellStyle name="Normal 287 3 5" xfId="24027" xr:uid="{00000000-0005-0000-0000-0000DB5D0000}"/>
    <cellStyle name="Normal 287 3 5 2" xfId="24028" xr:uid="{00000000-0005-0000-0000-0000DC5D0000}"/>
    <cellStyle name="Normal 287 3 5 2 2" xfId="24029" xr:uid="{00000000-0005-0000-0000-0000DD5D0000}"/>
    <cellStyle name="Normal 287 3 5 3" xfId="24030" xr:uid="{00000000-0005-0000-0000-0000DE5D0000}"/>
    <cellStyle name="Normal 287 3 6" xfId="24031" xr:uid="{00000000-0005-0000-0000-0000DF5D0000}"/>
    <cellStyle name="Normal 287 4" xfId="24032" xr:uid="{00000000-0005-0000-0000-0000E05D0000}"/>
    <cellStyle name="Normal 287 4 2" xfId="24033" xr:uid="{00000000-0005-0000-0000-0000E15D0000}"/>
    <cellStyle name="Normal 287 4 2 2" xfId="24034" xr:uid="{00000000-0005-0000-0000-0000E25D0000}"/>
    <cellStyle name="Normal 287 4 3" xfId="24035" xr:uid="{00000000-0005-0000-0000-0000E35D0000}"/>
    <cellStyle name="Normal 287 5" xfId="24036" xr:uid="{00000000-0005-0000-0000-0000E45D0000}"/>
    <cellStyle name="Normal 287 5 2" xfId="24037" xr:uid="{00000000-0005-0000-0000-0000E55D0000}"/>
    <cellStyle name="Normal 287 5 2 2" xfId="24038" xr:uid="{00000000-0005-0000-0000-0000E65D0000}"/>
    <cellStyle name="Normal 287 5 3" xfId="24039" xr:uid="{00000000-0005-0000-0000-0000E75D0000}"/>
    <cellStyle name="Normal 287 6" xfId="24040" xr:uid="{00000000-0005-0000-0000-0000E85D0000}"/>
    <cellStyle name="Normal 287 6 2" xfId="24041" xr:uid="{00000000-0005-0000-0000-0000E95D0000}"/>
    <cellStyle name="Normal 287 6 2 2" xfId="24042" xr:uid="{00000000-0005-0000-0000-0000EA5D0000}"/>
    <cellStyle name="Normal 287 6 3" xfId="24043" xr:uid="{00000000-0005-0000-0000-0000EB5D0000}"/>
    <cellStyle name="Normal 287 7" xfId="24044" xr:uid="{00000000-0005-0000-0000-0000EC5D0000}"/>
    <cellStyle name="Normal 288" xfId="24045" xr:uid="{00000000-0005-0000-0000-0000ED5D0000}"/>
    <cellStyle name="Normal 288 2" xfId="24046" xr:uid="{00000000-0005-0000-0000-0000EE5D0000}"/>
    <cellStyle name="Normal 288 2 2" xfId="24047" xr:uid="{00000000-0005-0000-0000-0000EF5D0000}"/>
    <cellStyle name="Normal 288 2 2 2" xfId="24048" xr:uid="{00000000-0005-0000-0000-0000F05D0000}"/>
    <cellStyle name="Normal 288 2 3" xfId="24049" xr:uid="{00000000-0005-0000-0000-0000F15D0000}"/>
    <cellStyle name="Normal 288 2 3 2" xfId="24050" xr:uid="{00000000-0005-0000-0000-0000F25D0000}"/>
    <cellStyle name="Normal 288 2 3 2 2" xfId="24051" xr:uid="{00000000-0005-0000-0000-0000F35D0000}"/>
    <cellStyle name="Normal 288 2 3 3" xfId="24052" xr:uid="{00000000-0005-0000-0000-0000F45D0000}"/>
    <cellStyle name="Normal 288 2 4" xfId="24053" xr:uid="{00000000-0005-0000-0000-0000F55D0000}"/>
    <cellStyle name="Normal 288 2 4 2" xfId="24054" xr:uid="{00000000-0005-0000-0000-0000F65D0000}"/>
    <cellStyle name="Normal 288 2 4 2 2" xfId="24055" xr:uid="{00000000-0005-0000-0000-0000F75D0000}"/>
    <cellStyle name="Normal 288 2 4 3" xfId="24056" xr:uid="{00000000-0005-0000-0000-0000F85D0000}"/>
    <cellStyle name="Normal 288 2 5" xfId="24057" xr:uid="{00000000-0005-0000-0000-0000F95D0000}"/>
    <cellStyle name="Normal 288 3" xfId="24058" xr:uid="{00000000-0005-0000-0000-0000FA5D0000}"/>
    <cellStyle name="Normal 288 3 2" xfId="24059" xr:uid="{00000000-0005-0000-0000-0000FB5D0000}"/>
    <cellStyle name="Normal 288 3 2 2" xfId="24060" xr:uid="{00000000-0005-0000-0000-0000FC5D0000}"/>
    <cellStyle name="Normal 288 3 2 2 2" xfId="24061" xr:uid="{00000000-0005-0000-0000-0000FD5D0000}"/>
    <cellStyle name="Normal 288 3 2 3" xfId="24062" xr:uid="{00000000-0005-0000-0000-0000FE5D0000}"/>
    <cellStyle name="Normal 288 3 2 3 2" xfId="24063" xr:uid="{00000000-0005-0000-0000-0000FF5D0000}"/>
    <cellStyle name="Normal 288 3 2 3 2 2" xfId="24064" xr:uid="{00000000-0005-0000-0000-0000005E0000}"/>
    <cellStyle name="Normal 288 3 2 3 3" xfId="24065" xr:uid="{00000000-0005-0000-0000-0000015E0000}"/>
    <cellStyle name="Normal 288 3 2 4" xfId="24066" xr:uid="{00000000-0005-0000-0000-0000025E0000}"/>
    <cellStyle name="Normal 288 3 3" xfId="24067" xr:uid="{00000000-0005-0000-0000-0000035E0000}"/>
    <cellStyle name="Normal 288 3 3 2" xfId="24068" xr:uid="{00000000-0005-0000-0000-0000045E0000}"/>
    <cellStyle name="Normal 288 3 3 2 2" xfId="24069" xr:uid="{00000000-0005-0000-0000-0000055E0000}"/>
    <cellStyle name="Normal 288 3 3 3" xfId="24070" xr:uid="{00000000-0005-0000-0000-0000065E0000}"/>
    <cellStyle name="Normal 288 3 4" xfId="24071" xr:uid="{00000000-0005-0000-0000-0000075E0000}"/>
    <cellStyle name="Normal 288 3 4 2" xfId="24072" xr:uid="{00000000-0005-0000-0000-0000085E0000}"/>
    <cellStyle name="Normal 288 3 4 2 2" xfId="24073" xr:uid="{00000000-0005-0000-0000-0000095E0000}"/>
    <cellStyle name="Normal 288 3 4 3" xfId="24074" xr:uid="{00000000-0005-0000-0000-00000A5E0000}"/>
    <cellStyle name="Normal 288 3 5" xfId="24075" xr:uid="{00000000-0005-0000-0000-00000B5E0000}"/>
    <cellStyle name="Normal 288 3 5 2" xfId="24076" xr:uid="{00000000-0005-0000-0000-00000C5E0000}"/>
    <cellStyle name="Normal 288 3 5 2 2" xfId="24077" xr:uid="{00000000-0005-0000-0000-00000D5E0000}"/>
    <cellStyle name="Normal 288 3 5 3" xfId="24078" xr:uid="{00000000-0005-0000-0000-00000E5E0000}"/>
    <cellStyle name="Normal 288 3 6" xfId="24079" xr:uid="{00000000-0005-0000-0000-00000F5E0000}"/>
    <cellStyle name="Normal 288 4" xfId="24080" xr:uid="{00000000-0005-0000-0000-0000105E0000}"/>
    <cellStyle name="Normal 288 4 2" xfId="24081" xr:uid="{00000000-0005-0000-0000-0000115E0000}"/>
    <cellStyle name="Normal 288 4 2 2" xfId="24082" xr:uid="{00000000-0005-0000-0000-0000125E0000}"/>
    <cellStyle name="Normal 288 4 3" xfId="24083" xr:uid="{00000000-0005-0000-0000-0000135E0000}"/>
    <cellStyle name="Normal 288 5" xfId="24084" xr:uid="{00000000-0005-0000-0000-0000145E0000}"/>
    <cellStyle name="Normal 288 5 2" xfId="24085" xr:uid="{00000000-0005-0000-0000-0000155E0000}"/>
    <cellStyle name="Normal 288 5 2 2" xfId="24086" xr:uid="{00000000-0005-0000-0000-0000165E0000}"/>
    <cellStyle name="Normal 288 5 3" xfId="24087" xr:uid="{00000000-0005-0000-0000-0000175E0000}"/>
    <cellStyle name="Normal 288 6" xfId="24088" xr:uid="{00000000-0005-0000-0000-0000185E0000}"/>
    <cellStyle name="Normal 288 6 2" xfId="24089" xr:uid="{00000000-0005-0000-0000-0000195E0000}"/>
    <cellStyle name="Normal 288 6 2 2" xfId="24090" xr:uid="{00000000-0005-0000-0000-00001A5E0000}"/>
    <cellStyle name="Normal 288 6 3" xfId="24091" xr:uid="{00000000-0005-0000-0000-00001B5E0000}"/>
    <cellStyle name="Normal 288 7" xfId="24092" xr:uid="{00000000-0005-0000-0000-00001C5E0000}"/>
    <cellStyle name="Normal 289" xfId="24093" xr:uid="{00000000-0005-0000-0000-00001D5E0000}"/>
    <cellStyle name="Normal 289 2" xfId="24094" xr:uid="{00000000-0005-0000-0000-00001E5E0000}"/>
    <cellStyle name="Normal 289 2 2" xfId="24095" xr:uid="{00000000-0005-0000-0000-00001F5E0000}"/>
    <cellStyle name="Normal 289 2 2 2" xfId="24096" xr:uid="{00000000-0005-0000-0000-0000205E0000}"/>
    <cellStyle name="Normal 289 2 3" xfId="24097" xr:uid="{00000000-0005-0000-0000-0000215E0000}"/>
    <cellStyle name="Normal 289 2 3 2" xfId="24098" xr:uid="{00000000-0005-0000-0000-0000225E0000}"/>
    <cellStyle name="Normal 289 2 3 2 2" xfId="24099" xr:uid="{00000000-0005-0000-0000-0000235E0000}"/>
    <cellStyle name="Normal 289 2 3 3" xfId="24100" xr:uid="{00000000-0005-0000-0000-0000245E0000}"/>
    <cellStyle name="Normal 289 2 4" xfId="24101" xr:uid="{00000000-0005-0000-0000-0000255E0000}"/>
    <cellStyle name="Normal 289 2 4 2" xfId="24102" xr:uid="{00000000-0005-0000-0000-0000265E0000}"/>
    <cellStyle name="Normal 289 2 4 2 2" xfId="24103" xr:uid="{00000000-0005-0000-0000-0000275E0000}"/>
    <cellStyle name="Normal 289 2 4 3" xfId="24104" xr:uid="{00000000-0005-0000-0000-0000285E0000}"/>
    <cellStyle name="Normal 289 2 5" xfId="24105" xr:uid="{00000000-0005-0000-0000-0000295E0000}"/>
    <cellStyle name="Normal 289 3" xfId="24106" xr:uid="{00000000-0005-0000-0000-00002A5E0000}"/>
    <cellStyle name="Normal 289 3 2" xfId="24107" xr:uid="{00000000-0005-0000-0000-00002B5E0000}"/>
    <cellStyle name="Normal 289 3 2 2" xfId="24108" xr:uid="{00000000-0005-0000-0000-00002C5E0000}"/>
    <cellStyle name="Normal 289 3 2 2 2" xfId="24109" xr:uid="{00000000-0005-0000-0000-00002D5E0000}"/>
    <cellStyle name="Normal 289 3 2 3" xfId="24110" xr:uid="{00000000-0005-0000-0000-00002E5E0000}"/>
    <cellStyle name="Normal 289 3 2 3 2" xfId="24111" xr:uid="{00000000-0005-0000-0000-00002F5E0000}"/>
    <cellStyle name="Normal 289 3 2 3 2 2" xfId="24112" xr:uid="{00000000-0005-0000-0000-0000305E0000}"/>
    <cellStyle name="Normal 289 3 2 3 3" xfId="24113" xr:uid="{00000000-0005-0000-0000-0000315E0000}"/>
    <cellStyle name="Normal 289 3 2 4" xfId="24114" xr:uid="{00000000-0005-0000-0000-0000325E0000}"/>
    <cellStyle name="Normal 289 3 3" xfId="24115" xr:uid="{00000000-0005-0000-0000-0000335E0000}"/>
    <cellStyle name="Normal 289 3 3 2" xfId="24116" xr:uid="{00000000-0005-0000-0000-0000345E0000}"/>
    <cellStyle name="Normal 289 3 3 2 2" xfId="24117" xr:uid="{00000000-0005-0000-0000-0000355E0000}"/>
    <cellStyle name="Normal 289 3 3 3" xfId="24118" xr:uid="{00000000-0005-0000-0000-0000365E0000}"/>
    <cellStyle name="Normal 289 3 4" xfId="24119" xr:uid="{00000000-0005-0000-0000-0000375E0000}"/>
    <cellStyle name="Normal 289 3 4 2" xfId="24120" xr:uid="{00000000-0005-0000-0000-0000385E0000}"/>
    <cellStyle name="Normal 289 3 4 2 2" xfId="24121" xr:uid="{00000000-0005-0000-0000-0000395E0000}"/>
    <cellStyle name="Normal 289 3 4 3" xfId="24122" xr:uid="{00000000-0005-0000-0000-00003A5E0000}"/>
    <cellStyle name="Normal 289 3 5" xfId="24123" xr:uid="{00000000-0005-0000-0000-00003B5E0000}"/>
    <cellStyle name="Normal 289 3 5 2" xfId="24124" xr:uid="{00000000-0005-0000-0000-00003C5E0000}"/>
    <cellStyle name="Normal 289 3 5 2 2" xfId="24125" xr:uid="{00000000-0005-0000-0000-00003D5E0000}"/>
    <cellStyle name="Normal 289 3 5 3" xfId="24126" xr:uid="{00000000-0005-0000-0000-00003E5E0000}"/>
    <cellStyle name="Normal 289 3 6" xfId="24127" xr:uid="{00000000-0005-0000-0000-00003F5E0000}"/>
    <cellStyle name="Normal 289 4" xfId="24128" xr:uid="{00000000-0005-0000-0000-0000405E0000}"/>
    <cellStyle name="Normal 289 4 2" xfId="24129" xr:uid="{00000000-0005-0000-0000-0000415E0000}"/>
    <cellStyle name="Normal 289 4 2 2" xfId="24130" xr:uid="{00000000-0005-0000-0000-0000425E0000}"/>
    <cellStyle name="Normal 289 4 3" xfId="24131" xr:uid="{00000000-0005-0000-0000-0000435E0000}"/>
    <cellStyle name="Normal 289 5" xfId="24132" xr:uid="{00000000-0005-0000-0000-0000445E0000}"/>
    <cellStyle name="Normal 289 5 2" xfId="24133" xr:uid="{00000000-0005-0000-0000-0000455E0000}"/>
    <cellStyle name="Normal 289 5 2 2" xfId="24134" xr:uid="{00000000-0005-0000-0000-0000465E0000}"/>
    <cellStyle name="Normal 289 5 3" xfId="24135" xr:uid="{00000000-0005-0000-0000-0000475E0000}"/>
    <cellStyle name="Normal 289 6" xfId="24136" xr:uid="{00000000-0005-0000-0000-0000485E0000}"/>
    <cellStyle name="Normal 289 6 2" xfId="24137" xr:uid="{00000000-0005-0000-0000-0000495E0000}"/>
    <cellStyle name="Normal 289 6 2 2" xfId="24138" xr:uid="{00000000-0005-0000-0000-00004A5E0000}"/>
    <cellStyle name="Normal 289 6 3" xfId="24139" xr:uid="{00000000-0005-0000-0000-00004B5E0000}"/>
    <cellStyle name="Normal 289 7" xfId="24140" xr:uid="{00000000-0005-0000-0000-00004C5E0000}"/>
    <cellStyle name="Normal 29" xfId="24141" xr:uid="{00000000-0005-0000-0000-00004D5E0000}"/>
    <cellStyle name="Normal 29 2" xfId="24142" xr:uid="{00000000-0005-0000-0000-00004E5E0000}"/>
    <cellStyle name="Normal 29 2 2" xfId="24143" xr:uid="{00000000-0005-0000-0000-00004F5E0000}"/>
    <cellStyle name="Normal 29 2 2 2" xfId="24144" xr:uid="{00000000-0005-0000-0000-0000505E0000}"/>
    <cellStyle name="Normal 29 2 2 2 2" xfId="24145" xr:uid="{00000000-0005-0000-0000-0000515E0000}"/>
    <cellStyle name="Normal 29 2 2 3" xfId="24146" xr:uid="{00000000-0005-0000-0000-0000525E0000}"/>
    <cellStyle name="Normal 29 2 2 3 2" xfId="24147" xr:uid="{00000000-0005-0000-0000-0000535E0000}"/>
    <cellStyle name="Normal 29 2 2 3 2 2" xfId="24148" xr:uid="{00000000-0005-0000-0000-0000545E0000}"/>
    <cellStyle name="Normal 29 2 2 3 3" xfId="24149" xr:uid="{00000000-0005-0000-0000-0000555E0000}"/>
    <cellStyle name="Normal 29 2 2 4" xfId="24150" xr:uid="{00000000-0005-0000-0000-0000565E0000}"/>
    <cellStyle name="Normal 29 2 2 4 2" xfId="24151" xr:uid="{00000000-0005-0000-0000-0000575E0000}"/>
    <cellStyle name="Normal 29 2 2 4 2 2" xfId="24152" xr:uid="{00000000-0005-0000-0000-0000585E0000}"/>
    <cellStyle name="Normal 29 2 2 4 3" xfId="24153" xr:uid="{00000000-0005-0000-0000-0000595E0000}"/>
    <cellStyle name="Normal 29 2 2 5" xfId="24154" xr:uid="{00000000-0005-0000-0000-00005A5E0000}"/>
    <cellStyle name="Normal 29 2 3" xfId="24155" xr:uid="{00000000-0005-0000-0000-00005B5E0000}"/>
    <cellStyle name="Normal 29 2 3 2" xfId="24156" xr:uid="{00000000-0005-0000-0000-00005C5E0000}"/>
    <cellStyle name="Normal 29 2 3 2 2" xfId="24157" xr:uid="{00000000-0005-0000-0000-00005D5E0000}"/>
    <cellStyle name="Normal 29 2 3 3" xfId="24158" xr:uid="{00000000-0005-0000-0000-00005E5E0000}"/>
    <cellStyle name="Normal 29 2 4" xfId="24159" xr:uid="{00000000-0005-0000-0000-00005F5E0000}"/>
    <cellStyle name="Normal 29 2 4 2" xfId="24160" xr:uid="{00000000-0005-0000-0000-0000605E0000}"/>
    <cellStyle name="Normal 29 2 4 2 2" xfId="24161" xr:uid="{00000000-0005-0000-0000-0000615E0000}"/>
    <cellStyle name="Normal 29 2 4 3" xfId="24162" xr:uid="{00000000-0005-0000-0000-0000625E0000}"/>
    <cellStyle name="Normal 29 2 5" xfId="24163" xr:uid="{00000000-0005-0000-0000-0000635E0000}"/>
    <cellStyle name="Normal 29 2 5 2" xfId="24164" xr:uid="{00000000-0005-0000-0000-0000645E0000}"/>
    <cellStyle name="Normal 29 2 5 2 2" xfId="24165" xr:uid="{00000000-0005-0000-0000-0000655E0000}"/>
    <cellStyle name="Normal 29 2 5 3" xfId="24166" xr:uid="{00000000-0005-0000-0000-0000665E0000}"/>
    <cellStyle name="Normal 29 2 6" xfId="24167" xr:uid="{00000000-0005-0000-0000-0000675E0000}"/>
    <cellStyle name="Normal 29 3" xfId="24168" xr:uid="{00000000-0005-0000-0000-0000685E0000}"/>
    <cellStyle name="Normal 29 3 2" xfId="24169" xr:uid="{00000000-0005-0000-0000-0000695E0000}"/>
    <cellStyle name="Normal 29 3 2 2" xfId="24170" xr:uid="{00000000-0005-0000-0000-00006A5E0000}"/>
    <cellStyle name="Normal 29 3 3" xfId="24171" xr:uid="{00000000-0005-0000-0000-00006B5E0000}"/>
    <cellStyle name="Normal 29 3 3 2" xfId="24172" xr:uid="{00000000-0005-0000-0000-00006C5E0000}"/>
    <cellStyle name="Normal 29 3 3 2 2" xfId="24173" xr:uid="{00000000-0005-0000-0000-00006D5E0000}"/>
    <cellStyle name="Normal 29 3 3 3" xfId="24174" xr:uid="{00000000-0005-0000-0000-00006E5E0000}"/>
    <cellStyle name="Normal 29 3 4" xfId="24175" xr:uid="{00000000-0005-0000-0000-00006F5E0000}"/>
    <cellStyle name="Normal 29 3 4 2" xfId="24176" xr:uid="{00000000-0005-0000-0000-0000705E0000}"/>
    <cellStyle name="Normal 29 3 4 2 2" xfId="24177" xr:uid="{00000000-0005-0000-0000-0000715E0000}"/>
    <cellStyle name="Normal 29 3 4 3" xfId="24178" xr:uid="{00000000-0005-0000-0000-0000725E0000}"/>
    <cellStyle name="Normal 29 3 5" xfId="24179" xr:uid="{00000000-0005-0000-0000-0000735E0000}"/>
    <cellStyle name="Normal 29 4" xfId="24180" xr:uid="{00000000-0005-0000-0000-0000745E0000}"/>
    <cellStyle name="Normal 29 4 2" xfId="24181" xr:uid="{00000000-0005-0000-0000-0000755E0000}"/>
    <cellStyle name="Normal 29 4 2 2" xfId="24182" xr:uid="{00000000-0005-0000-0000-0000765E0000}"/>
    <cellStyle name="Normal 29 4 3" xfId="24183" xr:uid="{00000000-0005-0000-0000-0000775E0000}"/>
    <cellStyle name="Normal 29 5" xfId="24184" xr:uid="{00000000-0005-0000-0000-0000785E0000}"/>
    <cellStyle name="Normal 29 5 2" xfId="24185" xr:uid="{00000000-0005-0000-0000-0000795E0000}"/>
    <cellStyle name="Normal 29 5 2 2" xfId="24186" xr:uid="{00000000-0005-0000-0000-00007A5E0000}"/>
    <cellStyle name="Normal 29 5 3" xfId="24187" xr:uid="{00000000-0005-0000-0000-00007B5E0000}"/>
    <cellStyle name="Normal 29 6" xfId="24188" xr:uid="{00000000-0005-0000-0000-00007C5E0000}"/>
    <cellStyle name="Normal 29 6 2" xfId="24189" xr:uid="{00000000-0005-0000-0000-00007D5E0000}"/>
    <cellStyle name="Normal 29 6 2 2" xfId="24190" xr:uid="{00000000-0005-0000-0000-00007E5E0000}"/>
    <cellStyle name="Normal 29 6 3" xfId="24191" xr:uid="{00000000-0005-0000-0000-00007F5E0000}"/>
    <cellStyle name="Normal 29 7" xfId="24192" xr:uid="{00000000-0005-0000-0000-0000805E0000}"/>
    <cellStyle name="Normal 290" xfId="24193" xr:uid="{00000000-0005-0000-0000-0000815E0000}"/>
    <cellStyle name="Normal 290 2" xfId="24194" xr:uid="{00000000-0005-0000-0000-0000825E0000}"/>
    <cellStyle name="Normal 290 2 2" xfId="24195" xr:uid="{00000000-0005-0000-0000-0000835E0000}"/>
    <cellStyle name="Normal 290 2 2 2" xfId="24196" xr:uid="{00000000-0005-0000-0000-0000845E0000}"/>
    <cellStyle name="Normal 290 2 3" xfId="24197" xr:uid="{00000000-0005-0000-0000-0000855E0000}"/>
    <cellStyle name="Normal 290 2 3 2" xfId="24198" xr:uid="{00000000-0005-0000-0000-0000865E0000}"/>
    <cellStyle name="Normal 290 2 3 2 2" xfId="24199" xr:uid="{00000000-0005-0000-0000-0000875E0000}"/>
    <cellStyle name="Normal 290 2 3 3" xfId="24200" xr:uid="{00000000-0005-0000-0000-0000885E0000}"/>
    <cellStyle name="Normal 290 2 4" xfId="24201" xr:uid="{00000000-0005-0000-0000-0000895E0000}"/>
    <cellStyle name="Normal 290 2 4 2" xfId="24202" xr:uid="{00000000-0005-0000-0000-00008A5E0000}"/>
    <cellStyle name="Normal 290 2 4 2 2" xfId="24203" xr:uid="{00000000-0005-0000-0000-00008B5E0000}"/>
    <cellStyle name="Normal 290 2 4 3" xfId="24204" xr:uid="{00000000-0005-0000-0000-00008C5E0000}"/>
    <cellStyle name="Normal 290 2 5" xfId="24205" xr:uid="{00000000-0005-0000-0000-00008D5E0000}"/>
    <cellStyle name="Normal 290 3" xfId="24206" xr:uid="{00000000-0005-0000-0000-00008E5E0000}"/>
    <cellStyle name="Normal 290 3 2" xfId="24207" xr:uid="{00000000-0005-0000-0000-00008F5E0000}"/>
    <cellStyle name="Normal 290 3 2 2" xfId="24208" xr:uid="{00000000-0005-0000-0000-0000905E0000}"/>
    <cellStyle name="Normal 290 3 2 2 2" xfId="24209" xr:uid="{00000000-0005-0000-0000-0000915E0000}"/>
    <cellStyle name="Normal 290 3 2 3" xfId="24210" xr:uid="{00000000-0005-0000-0000-0000925E0000}"/>
    <cellStyle name="Normal 290 3 2 3 2" xfId="24211" xr:uid="{00000000-0005-0000-0000-0000935E0000}"/>
    <cellStyle name="Normal 290 3 2 3 2 2" xfId="24212" xr:uid="{00000000-0005-0000-0000-0000945E0000}"/>
    <cellStyle name="Normal 290 3 2 3 3" xfId="24213" xr:uid="{00000000-0005-0000-0000-0000955E0000}"/>
    <cellStyle name="Normal 290 3 2 4" xfId="24214" xr:uid="{00000000-0005-0000-0000-0000965E0000}"/>
    <cellStyle name="Normal 290 3 3" xfId="24215" xr:uid="{00000000-0005-0000-0000-0000975E0000}"/>
    <cellStyle name="Normal 290 3 3 2" xfId="24216" xr:uid="{00000000-0005-0000-0000-0000985E0000}"/>
    <cellStyle name="Normal 290 3 3 2 2" xfId="24217" xr:uid="{00000000-0005-0000-0000-0000995E0000}"/>
    <cellStyle name="Normal 290 3 3 3" xfId="24218" xr:uid="{00000000-0005-0000-0000-00009A5E0000}"/>
    <cellStyle name="Normal 290 3 4" xfId="24219" xr:uid="{00000000-0005-0000-0000-00009B5E0000}"/>
    <cellStyle name="Normal 290 3 4 2" xfId="24220" xr:uid="{00000000-0005-0000-0000-00009C5E0000}"/>
    <cellStyle name="Normal 290 3 4 2 2" xfId="24221" xr:uid="{00000000-0005-0000-0000-00009D5E0000}"/>
    <cellStyle name="Normal 290 3 4 3" xfId="24222" xr:uid="{00000000-0005-0000-0000-00009E5E0000}"/>
    <cellStyle name="Normal 290 3 5" xfId="24223" xr:uid="{00000000-0005-0000-0000-00009F5E0000}"/>
    <cellStyle name="Normal 290 3 5 2" xfId="24224" xr:uid="{00000000-0005-0000-0000-0000A05E0000}"/>
    <cellStyle name="Normal 290 3 5 2 2" xfId="24225" xr:uid="{00000000-0005-0000-0000-0000A15E0000}"/>
    <cellStyle name="Normal 290 3 5 3" xfId="24226" xr:uid="{00000000-0005-0000-0000-0000A25E0000}"/>
    <cellStyle name="Normal 290 3 6" xfId="24227" xr:uid="{00000000-0005-0000-0000-0000A35E0000}"/>
    <cellStyle name="Normal 290 4" xfId="24228" xr:uid="{00000000-0005-0000-0000-0000A45E0000}"/>
    <cellStyle name="Normal 290 4 2" xfId="24229" xr:uid="{00000000-0005-0000-0000-0000A55E0000}"/>
    <cellStyle name="Normal 290 4 2 2" xfId="24230" xr:uid="{00000000-0005-0000-0000-0000A65E0000}"/>
    <cellStyle name="Normal 290 4 3" xfId="24231" xr:uid="{00000000-0005-0000-0000-0000A75E0000}"/>
    <cellStyle name="Normal 290 5" xfId="24232" xr:uid="{00000000-0005-0000-0000-0000A85E0000}"/>
    <cellStyle name="Normal 290 5 2" xfId="24233" xr:uid="{00000000-0005-0000-0000-0000A95E0000}"/>
    <cellStyle name="Normal 290 5 2 2" xfId="24234" xr:uid="{00000000-0005-0000-0000-0000AA5E0000}"/>
    <cellStyle name="Normal 290 5 3" xfId="24235" xr:uid="{00000000-0005-0000-0000-0000AB5E0000}"/>
    <cellStyle name="Normal 290 6" xfId="24236" xr:uid="{00000000-0005-0000-0000-0000AC5E0000}"/>
    <cellStyle name="Normal 290 6 2" xfId="24237" xr:uid="{00000000-0005-0000-0000-0000AD5E0000}"/>
    <cellStyle name="Normal 290 6 2 2" xfId="24238" xr:uid="{00000000-0005-0000-0000-0000AE5E0000}"/>
    <cellStyle name="Normal 290 6 3" xfId="24239" xr:uid="{00000000-0005-0000-0000-0000AF5E0000}"/>
    <cellStyle name="Normal 290 7" xfId="24240" xr:uid="{00000000-0005-0000-0000-0000B05E0000}"/>
    <cellStyle name="Normal 291" xfId="24241" xr:uid="{00000000-0005-0000-0000-0000B15E0000}"/>
    <cellStyle name="Normal 291 2" xfId="24242" xr:uid="{00000000-0005-0000-0000-0000B25E0000}"/>
    <cellStyle name="Normal 291 2 2" xfId="24243" xr:uid="{00000000-0005-0000-0000-0000B35E0000}"/>
    <cellStyle name="Normal 291 2 2 2" xfId="24244" xr:uid="{00000000-0005-0000-0000-0000B45E0000}"/>
    <cellStyle name="Normal 291 2 3" xfId="24245" xr:uid="{00000000-0005-0000-0000-0000B55E0000}"/>
    <cellStyle name="Normal 291 2 3 2" xfId="24246" xr:uid="{00000000-0005-0000-0000-0000B65E0000}"/>
    <cellStyle name="Normal 291 2 3 2 2" xfId="24247" xr:uid="{00000000-0005-0000-0000-0000B75E0000}"/>
    <cellStyle name="Normal 291 2 3 3" xfId="24248" xr:uid="{00000000-0005-0000-0000-0000B85E0000}"/>
    <cellStyle name="Normal 291 2 4" xfId="24249" xr:uid="{00000000-0005-0000-0000-0000B95E0000}"/>
    <cellStyle name="Normal 291 2 4 2" xfId="24250" xr:uid="{00000000-0005-0000-0000-0000BA5E0000}"/>
    <cellStyle name="Normal 291 2 4 2 2" xfId="24251" xr:uid="{00000000-0005-0000-0000-0000BB5E0000}"/>
    <cellStyle name="Normal 291 2 4 3" xfId="24252" xr:uid="{00000000-0005-0000-0000-0000BC5E0000}"/>
    <cellStyle name="Normal 291 2 5" xfId="24253" xr:uid="{00000000-0005-0000-0000-0000BD5E0000}"/>
    <cellStyle name="Normal 291 3" xfId="24254" xr:uid="{00000000-0005-0000-0000-0000BE5E0000}"/>
    <cellStyle name="Normal 291 3 2" xfId="24255" xr:uid="{00000000-0005-0000-0000-0000BF5E0000}"/>
    <cellStyle name="Normal 291 3 2 2" xfId="24256" xr:uid="{00000000-0005-0000-0000-0000C05E0000}"/>
    <cellStyle name="Normal 291 3 2 2 2" xfId="24257" xr:uid="{00000000-0005-0000-0000-0000C15E0000}"/>
    <cellStyle name="Normal 291 3 2 3" xfId="24258" xr:uid="{00000000-0005-0000-0000-0000C25E0000}"/>
    <cellStyle name="Normal 291 3 2 3 2" xfId="24259" xr:uid="{00000000-0005-0000-0000-0000C35E0000}"/>
    <cellStyle name="Normal 291 3 2 3 2 2" xfId="24260" xr:uid="{00000000-0005-0000-0000-0000C45E0000}"/>
    <cellStyle name="Normal 291 3 2 3 3" xfId="24261" xr:uid="{00000000-0005-0000-0000-0000C55E0000}"/>
    <cellStyle name="Normal 291 3 2 4" xfId="24262" xr:uid="{00000000-0005-0000-0000-0000C65E0000}"/>
    <cellStyle name="Normal 291 3 3" xfId="24263" xr:uid="{00000000-0005-0000-0000-0000C75E0000}"/>
    <cellStyle name="Normal 291 3 3 2" xfId="24264" xr:uid="{00000000-0005-0000-0000-0000C85E0000}"/>
    <cellStyle name="Normal 291 3 3 2 2" xfId="24265" xr:uid="{00000000-0005-0000-0000-0000C95E0000}"/>
    <cellStyle name="Normal 291 3 3 3" xfId="24266" xr:uid="{00000000-0005-0000-0000-0000CA5E0000}"/>
    <cellStyle name="Normal 291 3 4" xfId="24267" xr:uid="{00000000-0005-0000-0000-0000CB5E0000}"/>
    <cellStyle name="Normal 291 3 4 2" xfId="24268" xr:uid="{00000000-0005-0000-0000-0000CC5E0000}"/>
    <cellStyle name="Normal 291 3 4 2 2" xfId="24269" xr:uid="{00000000-0005-0000-0000-0000CD5E0000}"/>
    <cellStyle name="Normal 291 3 4 3" xfId="24270" xr:uid="{00000000-0005-0000-0000-0000CE5E0000}"/>
    <cellStyle name="Normal 291 3 5" xfId="24271" xr:uid="{00000000-0005-0000-0000-0000CF5E0000}"/>
    <cellStyle name="Normal 291 3 5 2" xfId="24272" xr:uid="{00000000-0005-0000-0000-0000D05E0000}"/>
    <cellStyle name="Normal 291 3 5 2 2" xfId="24273" xr:uid="{00000000-0005-0000-0000-0000D15E0000}"/>
    <cellStyle name="Normal 291 3 5 3" xfId="24274" xr:uid="{00000000-0005-0000-0000-0000D25E0000}"/>
    <cellStyle name="Normal 291 3 6" xfId="24275" xr:uid="{00000000-0005-0000-0000-0000D35E0000}"/>
    <cellStyle name="Normal 291 4" xfId="24276" xr:uid="{00000000-0005-0000-0000-0000D45E0000}"/>
    <cellStyle name="Normal 291 4 2" xfId="24277" xr:uid="{00000000-0005-0000-0000-0000D55E0000}"/>
    <cellStyle name="Normal 291 4 2 2" xfId="24278" xr:uid="{00000000-0005-0000-0000-0000D65E0000}"/>
    <cellStyle name="Normal 291 4 3" xfId="24279" xr:uid="{00000000-0005-0000-0000-0000D75E0000}"/>
    <cellStyle name="Normal 291 5" xfId="24280" xr:uid="{00000000-0005-0000-0000-0000D85E0000}"/>
    <cellStyle name="Normal 291 5 2" xfId="24281" xr:uid="{00000000-0005-0000-0000-0000D95E0000}"/>
    <cellStyle name="Normal 291 5 2 2" xfId="24282" xr:uid="{00000000-0005-0000-0000-0000DA5E0000}"/>
    <cellStyle name="Normal 291 5 3" xfId="24283" xr:uid="{00000000-0005-0000-0000-0000DB5E0000}"/>
    <cellStyle name="Normal 291 6" xfId="24284" xr:uid="{00000000-0005-0000-0000-0000DC5E0000}"/>
    <cellStyle name="Normal 291 6 2" xfId="24285" xr:uid="{00000000-0005-0000-0000-0000DD5E0000}"/>
    <cellStyle name="Normal 291 6 2 2" xfId="24286" xr:uid="{00000000-0005-0000-0000-0000DE5E0000}"/>
    <cellStyle name="Normal 291 6 3" xfId="24287" xr:uid="{00000000-0005-0000-0000-0000DF5E0000}"/>
    <cellStyle name="Normal 291 7" xfId="24288" xr:uid="{00000000-0005-0000-0000-0000E05E0000}"/>
    <cellStyle name="Normal 292" xfId="24289" xr:uid="{00000000-0005-0000-0000-0000E15E0000}"/>
    <cellStyle name="Normal 292 2" xfId="24290" xr:uid="{00000000-0005-0000-0000-0000E25E0000}"/>
    <cellStyle name="Normal 292 2 2" xfId="24291" xr:uid="{00000000-0005-0000-0000-0000E35E0000}"/>
    <cellStyle name="Normal 292 2 2 2" xfId="24292" xr:uid="{00000000-0005-0000-0000-0000E45E0000}"/>
    <cellStyle name="Normal 292 2 3" xfId="24293" xr:uid="{00000000-0005-0000-0000-0000E55E0000}"/>
    <cellStyle name="Normal 292 2 3 2" xfId="24294" xr:uid="{00000000-0005-0000-0000-0000E65E0000}"/>
    <cellStyle name="Normal 292 2 3 2 2" xfId="24295" xr:uid="{00000000-0005-0000-0000-0000E75E0000}"/>
    <cellStyle name="Normal 292 2 3 3" xfId="24296" xr:uid="{00000000-0005-0000-0000-0000E85E0000}"/>
    <cellStyle name="Normal 292 2 4" xfId="24297" xr:uid="{00000000-0005-0000-0000-0000E95E0000}"/>
    <cellStyle name="Normal 292 2 4 2" xfId="24298" xr:uid="{00000000-0005-0000-0000-0000EA5E0000}"/>
    <cellStyle name="Normal 292 2 4 2 2" xfId="24299" xr:uid="{00000000-0005-0000-0000-0000EB5E0000}"/>
    <cellStyle name="Normal 292 2 4 3" xfId="24300" xr:uid="{00000000-0005-0000-0000-0000EC5E0000}"/>
    <cellStyle name="Normal 292 2 5" xfId="24301" xr:uid="{00000000-0005-0000-0000-0000ED5E0000}"/>
    <cellStyle name="Normal 292 3" xfId="24302" xr:uid="{00000000-0005-0000-0000-0000EE5E0000}"/>
    <cellStyle name="Normal 292 3 2" xfId="24303" xr:uid="{00000000-0005-0000-0000-0000EF5E0000}"/>
    <cellStyle name="Normal 292 3 2 2" xfId="24304" xr:uid="{00000000-0005-0000-0000-0000F05E0000}"/>
    <cellStyle name="Normal 292 3 2 2 2" xfId="24305" xr:uid="{00000000-0005-0000-0000-0000F15E0000}"/>
    <cellStyle name="Normal 292 3 2 3" xfId="24306" xr:uid="{00000000-0005-0000-0000-0000F25E0000}"/>
    <cellStyle name="Normal 292 3 2 3 2" xfId="24307" xr:uid="{00000000-0005-0000-0000-0000F35E0000}"/>
    <cellStyle name="Normal 292 3 2 3 2 2" xfId="24308" xr:uid="{00000000-0005-0000-0000-0000F45E0000}"/>
    <cellStyle name="Normal 292 3 2 3 3" xfId="24309" xr:uid="{00000000-0005-0000-0000-0000F55E0000}"/>
    <cellStyle name="Normal 292 3 2 4" xfId="24310" xr:uid="{00000000-0005-0000-0000-0000F65E0000}"/>
    <cellStyle name="Normal 292 3 3" xfId="24311" xr:uid="{00000000-0005-0000-0000-0000F75E0000}"/>
    <cellStyle name="Normal 292 3 3 2" xfId="24312" xr:uid="{00000000-0005-0000-0000-0000F85E0000}"/>
    <cellStyle name="Normal 292 3 3 2 2" xfId="24313" xr:uid="{00000000-0005-0000-0000-0000F95E0000}"/>
    <cellStyle name="Normal 292 3 3 3" xfId="24314" xr:uid="{00000000-0005-0000-0000-0000FA5E0000}"/>
    <cellStyle name="Normal 292 3 4" xfId="24315" xr:uid="{00000000-0005-0000-0000-0000FB5E0000}"/>
    <cellStyle name="Normal 292 3 4 2" xfId="24316" xr:uid="{00000000-0005-0000-0000-0000FC5E0000}"/>
    <cellStyle name="Normal 292 3 4 2 2" xfId="24317" xr:uid="{00000000-0005-0000-0000-0000FD5E0000}"/>
    <cellStyle name="Normal 292 3 4 3" xfId="24318" xr:uid="{00000000-0005-0000-0000-0000FE5E0000}"/>
    <cellStyle name="Normal 292 3 5" xfId="24319" xr:uid="{00000000-0005-0000-0000-0000FF5E0000}"/>
    <cellStyle name="Normal 292 3 5 2" xfId="24320" xr:uid="{00000000-0005-0000-0000-0000005F0000}"/>
    <cellStyle name="Normal 292 3 5 2 2" xfId="24321" xr:uid="{00000000-0005-0000-0000-0000015F0000}"/>
    <cellStyle name="Normal 292 3 5 3" xfId="24322" xr:uid="{00000000-0005-0000-0000-0000025F0000}"/>
    <cellStyle name="Normal 292 3 6" xfId="24323" xr:uid="{00000000-0005-0000-0000-0000035F0000}"/>
    <cellStyle name="Normal 292 4" xfId="24324" xr:uid="{00000000-0005-0000-0000-0000045F0000}"/>
    <cellStyle name="Normal 292 4 2" xfId="24325" xr:uid="{00000000-0005-0000-0000-0000055F0000}"/>
    <cellStyle name="Normal 292 4 2 2" xfId="24326" xr:uid="{00000000-0005-0000-0000-0000065F0000}"/>
    <cellStyle name="Normal 292 4 3" xfId="24327" xr:uid="{00000000-0005-0000-0000-0000075F0000}"/>
    <cellStyle name="Normal 292 5" xfId="24328" xr:uid="{00000000-0005-0000-0000-0000085F0000}"/>
    <cellStyle name="Normal 292 5 2" xfId="24329" xr:uid="{00000000-0005-0000-0000-0000095F0000}"/>
    <cellStyle name="Normal 292 5 2 2" xfId="24330" xr:uid="{00000000-0005-0000-0000-00000A5F0000}"/>
    <cellStyle name="Normal 292 5 3" xfId="24331" xr:uid="{00000000-0005-0000-0000-00000B5F0000}"/>
    <cellStyle name="Normal 292 6" xfId="24332" xr:uid="{00000000-0005-0000-0000-00000C5F0000}"/>
    <cellStyle name="Normal 292 6 2" xfId="24333" xr:uid="{00000000-0005-0000-0000-00000D5F0000}"/>
    <cellStyle name="Normal 292 6 2 2" xfId="24334" xr:uid="{00000000-0005-0000-0000-00000E5F0000}"/>
    <cellStyle name="Normal 292 6 3" xfId="24335" xr:uid="{00000000-0005-0000-0000-00000F5F0000}"/>
    <cellStyle name="Normal 292 7" xfId="24336" xr:uid="{00000000-0005-0000-0000-0000105F0000}"/>
    <cellStyle name="Normal 293" xfId="24337" xr:uid="{00000000-0005-0000-0000-0000115F0000}"/>
    <cellStyle name="Normal 293 2" xfId="24338" xr:uid="{00000000-0005-0000-0000-0000125F0000}"/>
    <cellStyle name="Normal 293 2 2" xfId="24339" xr:uid="{00000000-0005-0000-0000-0000135F0000}"/>
    <cellStyle name="Normal 293 2 2 2" xfId="24340" xr:uid="{00000000-0005-0000-0000-0000145F0000}"/>
    <cellStyle name="Normal 293 2 3" xfId="24341" xr:uid="{00000000-0005-0000-0000-0000155F0000}"/>
    <cellStyle name="Normal 293 2 3 2" xfId="24342" xr:uid="{00000000-0005-0000-0000-0000165F0000}"/>
    <cellStyle name="Normal 293 2 3 2 2" xfId="24343" xr:uid="{00000000-0005-0000-0000-0000175F0000}"/>
    <cellStyle name="Normal 293 2 3 3" xfId="24344" xr:uid="{00000000-0005-0000-0000-0000185F0000}"/>
    <cellStyle name="Normal 293 2 4" xfId="24345" xr:uid="{00000000-0005-0000-0000-0000195F0000}"/>
    <cellStyle name="Normal 293 2 4 2" xfId="24346" xr:uid="{00000000-0005-0000-0000-00001A5F0000}"/>
    <cellStyle name="Normal 293 2 4 2 2" xfId="24347" xr:uid="{00000000-0005-0000-0000-00001B5F0000}"/>
    <cellStyle name="Normal 293 2 4 3" xfId="24348" xr:uid="{00000000-0005-0000-0000-00001C5F0000}"/>
    <cellStyle name="Normal 293 2 5" xfId="24349" xr:uid="{00000000-0005-0000-0000-00001D5F0000}"/>
    <cellStyle name="Normal 293 3" xfId="24350" xr:uid="{00000000-0005-0000-0000-00001E5F0000}"/>
    <cellStyle name="Normal 293 3 2" xfId="24351" xr:uid="{00000000-0005-0000-0000-00001F5F0000}"/>
    <cellStyle name="Normal 293 3 2 2" xfId="24352" xr:uid="{00000000-0005-0000-0000-0000205F0000}"/>
    <cellStyle name="Normal 293 3 2 2 2" xfId="24353" xr:uid="{00000000-0005-0000-0000-0000215F0000}"/>
    <cellStyle name="Normal 293 3 2 3" xfId="24354" xr:uid="{00000000-0005-0000-0000-0000225F0000}"/>
    <cellStyle name="Normal 293 3 2 3 2" xfId="24355" xr:uid="{00000000-0005-0000-0000-0000235F0000}"/>
    <cellStyle name="Normal 293 3 2 3 2 2" xfId="24356" xr:uid="{00000000-0005-0000-0000-0000245F0000}"/>
    <cellStyle name="Normal 293 3 2 3 3" xfId="24357" xr:uid="{00000000-0005-0000-0000-0000255F0000}"/>
    <cellStyle name="Normal 293 3 2 4" xfId="24358" xr:uid="{00000000-0005-0000-0000-0000265F0000}"/>
    <cellStyle name="Normal 293 3 3" xfId="24359" xr:uid="{00000000-0005-0000-0000-0000275F0000}"/>
    <cellStyle name="Normal 293 3 3 2" xfId="24360" xr:uid="{00000000-0005-0000-0000-0000285F0000}"/>
    <cellStyle name="Normal 293 3 3 2 2" xfId="24361" xr:uid="{00000000-0005-0000-0000-0000295F0000}"/>
    <cellStyle name="Normal 293 3 3 3" xfId="24362" xr:uid="{00000000-0005-0000-0000-00002A5F0000}"/>
    <cellStyle name="Normal 293 3 4" xfId="24363" xr:uid="{00000000-0005-0000-0000-00002B5F0000}"/>
    <cellStyle name="Normal 293 3 4 2" xfId="24364" xr:uid="{00000000-0005-0000-0000-00002C5F0000}"/>
    <cellStyle name="Normal 293 3 4 2 2" xfId="24365" xr:uid="{00000000-0005-0000-0000-00002D5F0000}"/>
    <cellStyle name="Normal 293 3 4 3" xfId="24366" xr:uid="{00000000-0005-0000-0000-00002E5F0000}"/>
    <cellStyle name="Normal 293 3 5" xfId="24367" xr:uid="{00000000-0005-0000-0000-00002F5F0000}"/>
    <cellStyle name="Normal 293 3 5 2" xfId="24368" xr:uid="{00000000-0005-0000-0000-0000305F0000}"/>
    <cellStyle name="Normal 293 3 5 2 2" xfId="24369" xr:uid="{00000000-0005-0000-0000-0000315F0000}"/>
    <cellStyle name="Normal 293 3 5 3" xfId="24370" xr:uid="{00000000-0005-0000-0000-0000325F0000}"/>
    <cellStyle name="Normal 293 3 6" xfId="24371" xr:uid="{00000000-0005-0000-0000-0000335F0000}"/>
    <cellStyle name="Normal 293 4" xfId="24372" xr:uid="{00000000-0005-0000-0000-0000345F0000}"/>
    <cellStyle name="Normal 293 4 2" xfId="24373" xr:uid="{00000000-0005-0000-0000-0000355F0000}"/>
    <cellStyle name="Normal 293 4 2 2" xfId="24374" xr:uid="{00000000-0005-0000-0000-0000365F0000}"/>
    <cellStyle name="Normal 293 4 3" xfId="24375" xr:uid="{00000000-0005-0000-0000-0000375F0000}"/>
    <cellStyle name="Normal 293 5" xfId="24376" xr:uid="{00000000-0005-0000-0000-0000385F0000}"/>
    <cellStyle name="Normal 293 5 2" xfId="24377" xr:uid="{00000000-0005-0000-0000-0000395F0000}"/>
    <cellStyle name="Normal 293 5 2 2" xfId="24378" xr:uid="{00000000-0005-0000-0000-00003A5F0000}"/>
    <cellStyle name="Normal 293 5 3" xfId="24379" xr:uid="{00000000-0005-0000-0000-00003B5F0000}"/>
    <cellStyle name="Normal 293 6" xfId="24380" xr:uid="{00000000-0005-0000-0000-00003C5F0000}"/>
    <cellStyle name="Normal 293 6 2" xfId="24381" xr:uid="{00000000-0005-0000-0000-00003D5F0000}"/>
    <cellStyle name="Normal 293 6 2 2" xfId="24382" xr:uid="{00000000-0005-0000-0000-00003E5F0000}"/>
    <cellStyle name="Normal 293 6 3" xfId="24383" xr:uid="{00000000-0005-0000-0000-00003F5F0000}"/>
    <cellStyle name="Normal 293 7" xfId="24384" xr:uid="{00000000-0005-0000-0000-0000405F0000}"/>
    <cellStyle name="Normal 294" xfId="24385" xr:uid="{00000000-0005-0000-0000-0000415F0000}"/>
    <cellStyle name="Normal 294 2" xfId="24386" xr:uid="{00000000-0005-0000-0000-0000425F0000}"/>
    <cellStyle name="Normal 294 2 2" xfId="24387" xr:uid="{00000000-0005-0000-0000-0000435F0000}"/>
    <cellStyle name="Normal 294 2 2 2" xfId="24388" xr:uid="{00000000-0005-0000-0000-0000445F0000}"/>
    <cellStyle name="Normal 294 2 3" xfId="24389" xr:uid="{00000000-0005-0000-0000-0000455F0000}"/>
    <cellStyle name="Normal 294 2 3 2" xfId="24390" xr:uid="{00000000-0005-0000-0000-0000465F0000}"/>
    <cellStyle name="Normal 294 2 3 2 2" xfId="24391" xr:uid="{00000000-0005-0000-0000-0000475F0000}"/>
    <cellStyle name="Normal 294 2 3 3" xfId="24392" xr:uid="{00000000-0005-0000-0000-0000485F0000}"/>
    <cellStyle name="Normal 294 2 4" xfId="24393" xr:uid="{00000000-0005-0000-0000-0000495F0000}"/>
    <cellStyle name="Normal 294 2 4 2" xfId="24394" xr:uid="{00000000-0005-0000-0000-00004A5F0000}"/>
    <cellStyle name="Normal 294 2 4 2 2" xfId="24395" xr:uid="{00000000-0005-0000-0000-00004B5F0000}"/>
    <cellStyle name="Normal 294 2 4 3" xfId="24396" xr:uid="{00000000-0005-0000-0000-00004C5F0000}"/>
    <cellStyle name="Normal 294 2 5" xfId="24397" xr:uid="{00000000-0005-0000-0000-00004D5F0000}"/>
    <cellStyle name="Normal 294 3" xfId="24398" xr:uid="{00000000-0005-0000-0000-00004E5F0000}"/>
    <cellStyle name="Normal 294 3 2" xfId="24399" xr:uid="{00000000-0005-0000-0000-00004F5F0000}"/>
    <cellStyle name="Normal 294 3 2 2" xfId="24400" xr:uid="{00000000-0005-0000-0000-0000505F0000}"/>
    <cellStyle name="Normal 294 3 2 2 2" xfId="24401" xr:uid="{00000000-0005-0000-0000-0000515F0000}"/>
    <cellStyle name="Normal 294 3 2 3" xfId="24402" xr:uid="{00000000-0005-0000-0000-0000525F0000}"/>
    <cellStyle name="Normal 294 3 2 3 2" xfId="24403" xr:uid="{00000000-0005-0000-0000-0000535F0000}"/>
    <cellStyle name="Normal 294 3 2 3 2 2" xfId="24404" xr:uid="{00000000-0005-0000-0000-0000545F0000}"/>
    <cellStyle name="Normal 294 3 2 3 3" xfId="24405" xr:uid="{00000000-0005-0000-0000-0000555F0000}"/>
    <cellStyle name="Normal 294 3 2 4" xfId="24406" xr:uid="{00000000-0005-0000-0000-0000565F0000}"/>
    <cellStyle name="Normal 294 3 3" xfId="24407" xr:uid="{00000000-0005-0000-0000-0000575F0000}"/>
    <cellStyle name="Normal 294 3 3 2" xfId="24408" xr:uid="{00000000-0005-0000-0000-0000585F0000}"/>
    <cellStyle name="Normal 294 3 3 2 2" xfId="24409" xr:uid="{00000000-0005-0000-0000-0000595F0000}"/>
    <cellStyle name="Normal 294 3 3 3" xfId="24410" xr:uid="{00000000-0005-0000-0000-00005A5F0000}"/>
    <cellStyle name="Normal 294 3 4" xfId="24411" xr:uid="{00000000-0005-0000-0000-00005B5F0000}"/>
    <cellStyle name="Normal 294 3 4 2" xfId="24412" xr:uid="{00000000-0005-0000-0000-00005C5F0000}"/>
    <cellStyle name="Normal 294 3 4 2 2" xfId="24413" xr:uid="{00000000-0005-0000-0000-00005D5F0000}"/>
    <cellStyle name="Normal 294 3 4 3" xfId="24414" xr:uid="{00000000-0005-0000-0000-00005E5F0000}"/>
    <cellStyle name="Normal 294 3 5" xfId="24415" xr:uid="{00000000-0005-0000-0000-00005F5F0000}"/>
    <cellStyle name="Normal 294 3 5 2" xfId="24416" xr:uid="{00000000-0005-0000-0000-0000605F0000}"/>
    <cellStyle name="Normal 294 3 5 2 2" xfId="24417" xr:uid="{00000000-0005-0000-0000-0000615F0000}"/>
    <cellStyle name="Normal 294 3 5 3" xfId="24418" xr:uid="{00000000-0005-0000-0000-0000625F0000}"/>
    <cellStyle name="Normal 294 3 6" xfId="24419" xr:uid="{00000000-0005-0000-0000-0000635F0000}"/>
    <cellStyle name="Normal 294 4" xfId="24420" xr:uid="{00000000-0005-0000-0000-0000645F0000}"/>
    <cellStyle name="Normal 294 4 2" xfId="24421" xr:uid="{00000000-0005-0000-0000-0000655F0000}"/>
    <cellStyle name="Normal 294 4 2 2" xfId="24422" xr:uid="{00000000-0005-0000-0000-0000665F0000}"/>
    <cellStyle name="Normal 294 4 3" xfId="24423" xr:uid="{00000000-0005-0000-0000-0000675F0000}"/>
    <cellStyle name="Normal 294 5" xfId="24424" xr:uid="{00000000-0005-0000-0000-0000685F0000}"/>
    <cellStyle name="Normal 294 5 2" xfId="24425" xr:uid="{00000000-0005-0000-0000-0000695F0000}"/>
    <cellStyle name="Normal 294 5 2 2" xfId="24426" xr:uid="{00000000-0005-0000-0000-00006A5F0000}"/>
    <cellStyle name="Normal 294 5 3" xfId="24427" xr:uid="{00000000-0005-0000-0000-00006B5F0000}"/>
    <cellStyle name="Normal 294 6" xfId="24428" xr:uid="{00000000-0005-0000-0000-00006C5F0000}"/>
    <cellStyle name="Normal 294 6 2" xfId="24429" xr:uid="{00000000-0005-0000-0000-00006D5F0000}"/>
    <cellStyle name="Normal 294 6 2 2" xfId="24430" xr:uid="{00000000-0005-0000-0000-00006E5F0000}"/>
    <cellStyle name="Normal 294 6 3" xfId="24431" xr:uid="{00000000-0005-0000-0000-00006F5F0000}"/>
    <cellStyle name="Normal 294 7" xfId="24432" xr:uid="{00000000-0005-0000-0000-0000705F0000}"/>
    <cellStyle name="Normal 295" xfId="24433" xr:uid="{00000000-0005-0000-0000-0000715F0000}"/>
    <cellStyle name="Normal 295 2" xfId="24434" xr:uid="{00000000-0005-0000-0000-0000725F0000}"/>
    <cellStyle name="Normal 295 2 2" xfId="24435" xr:uid="{00000000-0005-0000-0000-0000735F0000}"/>
    <cellStyle name="Normal 295 2 2 2" xfId="24436" xr:uid="{00000000-0005-0000-0000-0000745F0000}"/>
    <cellStyle name="Normal 295 2 3" xfId="24437" xr:uid="{00000000-0005-0000-0000-0000755F0000}"/>
    <cellStyle name="Normal 295 2 3 2" xfId="24438" xr:uid="{00000000-0005-0000-0000-0000765F0000}"/>
    <cellStyle name="Normal 295 2 3 2 2" xfId="24439" xr:uid="{00000000-0005-0000-0000-0000775F0000}"/>
    <cellStyle name="Normal 295 2 3 3" xfId="24440" xr:uid="{00000000-0005-0000-0000-0000785F0000}"/>
    <cellStyle name="Normal 295 2 4" xfId="24441" xr:uid="{00000000-0005-0000-0000-0000795F0000}"/>
    <cellStyle name="Normal 295 2 4 2" xfId="24442" xr:uid="{00000000-0005-0000-0000-00007A5F0000}"/>
    <cellStyle name="Normal 295 2 4 2 2" xfId="24443" xr:uid="{00000000-0005-0000-0000-00007B5F0000}"/>
    <cellStyle name="Normal 295 2 4 3" xfId="24444" xr:uid="{00000000-0005-0000-0000-00007C5F0000}"/>
    <cellStyle name="Normal 295 2 5" xfId="24445" xr:uid="{00000000-0005-0000-0000-00007D5F0000}"/>
    <cellStyle name="Normal 295 3" xfId="24446" xr:uid="{00000000-0005-0000-0000-00007E5F0000}"/>
    <cellStyle name="Normal 295 3 2" xfId="24447" xr:uid="{00000000-0005-0000-0000-00007F5F0000}"/>
    <cellStyle name="Normal 295 3 2 2" xfId="24448" xr:uid="{00000000-0005-0000-0000-0000805F0000}"/>
    <cellStyle name="Normal 295 3 2 2 2" xfId="24449" xr:uid="{00000000-0005-0000-0000-0000815F0000}"/>
    <cellStyle name="Normal 295 3 2 3" xfId="24450" xr:uid="{00000000-0005-0000-0000-0000825F0000}"/>
    <cellStyle name="Normal 295 3 2 3 2" xfId="24451" xr:uid="{00000000-0005-0000-0000-0000835F0000}"/>
    <cellStyle name="Normal 295 3 2 3 2 2" xfId="24452" xr:uid="{00000000-0005-0000-0000-0000845F0000}"/>
    <cellStyle name="Normal 295 3 2 3 3" xfId="24453" xr:uid="{00000000-0005-0000-0000-0000855F0000}"/>
    <cellStyle name="Normal 295 3 2 4" xfId="24454" xr:uid="{00000000-0005-0000-0000-0000865F0000}"/>
    <cellStyle name="Normal 295 3 3" xfId="24455" xr:uid="{00000000-0005-0000-0000-0000875F0000}"/>
    <cellStyle name="Normal 295 3 3 2" xfId="24456" xr:uid="{00000000-0005-0000-0000-0000885F0000}"/>
    <cellStyle name="Normal 295 3 3 2 2" xfId="24457" xr:uid="{00000000-0005-0000-0000-0000895F0000}"/>
    <cellStyle name="Normal 295 3 3 3" xfId="24458" xr:uid="{00000000-0005-0000-0000-00008A5F0000}"/>
    <cellStyle name="Normal 295 3 4" xfId="24459" xr:uid="{00000000-0005-0000-0000-00008B5F0000}"/>
    <cellStyle name="Normal 295 3 4 2" xfId="24460" xr:uid="{00000000-0005-0000-0000-00008C5F0000}"/>
    <cellStyle name="Normal 295 3 4 2 2" xfId="24461" xr:uid="{00000000-0005-0000-0000-00008D5F0000}"/>
    <cellStyle name="Normal 295 3 4 3" xfId="24462" xr:uid="{00000000-0005-0000-0000-00008E5F0000}"/>
    <cellStyle name="Normal 295 3 5" xfId="24463" xr:uid="{00000000-0005-0000-0000-00008F5F0000}"/>
    <cellStyle name="Normal 295 3 5 2" xfId="24464" xr:uid="{00000000-0005-0000-0000-0000905F0000}"/>
    <cellStyle name="Normal 295 3 5 2 2" xfId="24465" xr:uid="{00000000-0005-0000-0000-0000915F0000}"/>
    <cellStyle name="Normal 295 3 5 3" xfId="24466" xr:uid="{00000000-0005-0000-0000-0000925F0000}"/>
    <cellStyle name="Normal 295 3 6" xfId="24467" xr:uid="{00000000-0005-0000-0000-0000935F0000}"/>
    <cellStyle name="Normal 295 4" xfId="24468" xr:uid="{00000000-0005-0000-0000-0000945F0000}"/>
    <cellStyle name="Normal 295 4 2" xfId="24469" xr:uid="{00000000-0005-0000-0000-0000955F0000}"/>
    <cellStyle name="Normal 295 4 2 2" xfId="24470" xr:uid="{00000000-0005-0000-0000-0000965F0000}"/>
    <cellStyle name="Normal 295 4 3" xfId="24471" xr:uid="{00000000-0005-0000-0000-0000975F0000}"/>
    <cellStyle name="Normal 295 5" xfId="24472" xr:uid="{00000000-0005-0000-0000-0000985F0000}"/>
    <cellStyle name="Normal 295 5 2" xfId="24473" xr:uid="{00000000-0005-0000-0000-0000995F0000}"/>
    <cellStyle name="Normal 295 5 2 2" xfId="24474" xr:uid="{00000000-0005-0000-0000-00009A5F0000}"/>
    <cellStyle name="Normal 295 5 3" xfId="24475" xr:uid="{00000000-0005-0000-0000-00009B5F0000}"/>
    <cellStyle name="Normal 295 6" xfId="24476" xr:uid="{00000000-0005-0000-0000-00009C5F0000}"/>
    <cellStyle name="Normal 295 6 2" xfId="24477" xr:uid="{00000000-0005-0000-0000-00009D5F0000}"/>
    <cellStyle name="Normal 295 6 2 2" xfId="24478" xr:uid="{00000000-0005-0000-0000-00009E5F0000}"/>
    <cellStyle name="Normal 295 6 3" xfId="24479" xr:uid="{00000000-0005-0000-0000-00009F5F0000}"/>
    <cellStyle name="Normal 295 7" xfId="24480" xr:uid="{00000000-0005-0000-0000-0000A05F0000}"/>
    <cellStyle name="Normal 296" xfId="24481" xr:uid="{00000000-0005-0000-0000-0000A15F0000}"/>
    <cellStyle name="Normal 296 2" xfId="24482" xr:uid="{00000000-0005-0000-0000-0000A25F0000}"/>
    <cellStyle name="Normal 296 2 2" xfId="24483" xr:uid="{00000000-0005-0000-0000-0000A35F0000}"/>
    <cellStyle name="Normal 296 2 2 2" xfId="24484" xr:uid="{00000000-0005-0000-0000-0000A45F0000}"/>
    <cellStyle name="Normal 296 2 3" xfId="24485" xr:uid="{00000000-0005-0000-0000-0000A55F0000}"/>
    <cellStyle name="Normal 296 2 3 2" xfId="24486" xr:uid="{00000000-0005-0000-0000-0000A65F0000}"/>
    <cellStyle name="Normal 296 2 3 2 2" xfId="24487" xr:uid="{00000000-0005-0000-0000-0000A75F0000}"/>
    <cellStyle name="Normal 296 2 3 3" xfId="24488" xr:uid="{00000000-0005-0000-0000-0000A85F0000}"/>
    <cellStyle name="Normal 296 2 4" xfId="24489" xr:uid="{00000000-0005-0000-0000-0000A95F0000}"/>
    <cellStyle name="Normal 296 2 4 2" xfId="24490" xr:uid="{00000000-0005-0000-0000-0000AA5F0000}"/>
    <cellStyle name="Normal 296 2 4 2 2" xfId="24491" xr:uid="{00000000-0005-0000-0000-0000AB5F0000}"/>
    <cellStyle name="Normal 296 2 4 3" xfId="24492" xr:uid="{00000000-0005-0000-0000-0000AC5F0000}"/>
    <cellStyle name="Normal 296 2 5" xfId="24493" xr:uid="{00000000-0005-0000-0000-0000AD5F0000}"/>
    <cellStyle name="Normal 296 3" xfId="24494" xr:uid="{00000000-0005-0000-0000-0000AE5F0000}"/>
    <cellStyle name="Normal 296 3 2" xfId="24495" xr:uid="{00000000-0005-0000-0000-0000AF5F0000}"/>
    <cellStyle name="Normal 296 3 2 2" xfId="24496" xr:uid="{00000000-0005-0000-0000-0000B05F0000}"/>
    <cellStyle name="Normal 296 3 2 2 2" xfId="24497" xr:uid="{00000000-0005-0000-0000-0000B15F0000}"/>
    <cellStyle name="Normal 296 3 2 3" xfId="24498" xr:uid="{00000000-0005-0000-0000-0000B25F0000}"/>
    <cellStyle name="Normal 296 3 2 3 2" xfId="24499" xr:uid="{00000000-0005-0000-0000-0000B35F0000}"/>
    <cellStyle name="Normal 296 3 2 3 2 2" xfId="24500" xr:uid="{00000000-0005-0000-0000-0000B45F0000}"/>
    <cellStyle name="Normal 296 3 2 3 3" xfId="24501" xr:uid="{00000000-0005-0000-0000-0000B55F0000}"/>
    <cellStyle name="Normal 296 3 2 4" xfId="24502" xr:uid="{00000000-0005-0000-0000-0000B65F0000}"/>
    <cellStyle name="Normal 296 3 3" xfId="24503" xr:uid="{00000000-0005-0000-0000-0000B75F0000}"/>
    <cellStyle name="Normal 296 3 3 2" xfId="24504" xr:uid="{00000000-0005-0000-0000-0000B85F0000}"/>
    <cellStyle name="Normal 296 3 3 2 2" xfId="24505" xr:uid="{00000000-0005-0000-0000-0000B95F0000}"/>
    <cellStyle name="Normal 296 3 3 3" xfId="24506" xr:uid="{00000000-0005-0000-0000-0000BA5F0000}"/>
    <cellStyle name="Normal 296 3 4" xfId="24507" xr:uid="{00000000-0005-0000-0000-0000BB5F0000}"/>
    <cellStyle name="Normal 296 3 4 2" xfId="24508" xr:uid="{00000000-0005-0000-0000-0000BC5F0000}"/>
    <cellStyle name="Normal 296 3 4 2 2" xfId="24509" xr:uid="{00000000-0005-0000-0000-0000BD5F0000}"/>
    <cellStyle name="Normal 296 3 4 3" xfId="24510" xr:uid="{00000000-0005-0000-0000-0000BE5F0000}"/>
    <cellStyle name="Normal 296 3 5" xfId="24511" xr:uid="{00000000-0005-0000-0000-0000BF5F0000}"/>
    <cellStyle name="Normal 296 3 5 2" xfId="24512" xr:uid="{00000000-0005-0000-0000-0000C05F0000}"/>
    <cellStyle name="Normal 296 3 5 2 2" xfId="24513" xr:uid="{00000000-0005-0000-0000-0000C15F0000}"/>
    <cellStyle name="Normal 296 3 5 3" xfId="24514" xr:uid="{00000000-0005-0000-0000-0000C25F0000}"/>
    <cellStyle name="Normal 296 3 6" xfId="24515" xr:uid="{00000000-0005-0000-0000-0000C35F0000}"/>
    <cellStyle name="Normal 296 4" xfId="24516" xr:uid="{00000000-0005-0000-0000-0000C45F0000}"/>
    <cellStyle name="Normal 296 4 2" xfId="24517" xr:uid="{00000000-0005-0000-0000-0000C55F0000}"/>
    <cellStyle name="Normal 296 4 2 2" xfId="24518" xr:uid="{00000000-0005-0000-0000-0000C65F0000}"/>
    <cellStyle name="Normal 296 4 3" xfId="24519" xr:uid="{00000000-0005-0000-0000-0000C75F0000}"/>
    <cellStyle name="Normal 296 5" xfId="24520" xr:uid="{00000000-0005-0000-0000-0000C85F0000}"/>
    <cellStyle name="Normal 296 5 2" xfId="24521" xr:uid="{00000000-0005-0000-0000-0000C95F0000}"/>
    <cellStyle name="Normal 296 5 2 2" xfId="24522" xr:uid="{00000000-0005-0000-0000-0000CA5F0000}"/>
    <cellStyle name="Normal 296 5 3" xfId="24523" xr:uid="{00000000-0005-0000-0000-0000CB5F0000}"/>
    <cellStyle name="Normal 296 6" xfId="24524" xr:uid="{00000000-0005-0000-0000-0000CC5F0000}"/>
    <cellStyle name="Normal 296 6 2" xfId="24525" xr:uid="{00000000-0005-0000-0000-0000CD5F0000}"/>
    <cellStyle name="Normal 296 6 2 2" xfId="24526" xr:uid="{00000000-0005-0000-0000-0000CE5F0000}"/>
    <cellStyle name="Normal 296 6 3" xfId="24527" xr:uid="{00000000-0005-0000-0000-0000CF5F0000}"/>
    <cellStyle name="Normal 296 7" xfId="24528" xr:uid="{00000000-0005-0000-0000-0000D05F0000}"/>
    <cellStyle name="Normal 297" xfId="24529" xr:uid="{00000000-0005-0000-0000-0000D15F0000}"/>
    <cellStyle name="Normal 297 2" xfId="24530" xr:uid="{00000000-0005-0000-0000-0000D25F0000}"/>
    <cellStyle name="Normal 297 2 2" xfId="24531" xr:uid="{00000000-0005-0000-0000-0000D35F0000}"/>
    <cellStyle name="Normal 297 2 2 2" xfId="24532" xr:uid="{00000000-0005-0000-0000-0000D45F0000}"/>
    <cellStyle name="Normal 297 2 3" xfId="24533" xr:uid="{00000000-0005-0000-0000-0000D55F0000}"/>
    <cellStyle name="Normal 297 2 3 2" xfId="24534" xr:uid="{00000000-0005-0000-0000-0000D65F0000}"/>
    <cellStyle name="Normal 297 2 3 2 2" xfId="24535" xr:uid="{00000000-0005-0000-0000-0000D75F0000}"/>
    <cellStyle name="Normal 297 2 3 3" xfId="24536" xr:uid="{00000000-0005-0000-0000-0000D85F0000}"/>
    <cellStyle name="Normal 297 2 4" xfId="24537" xr:uid="{00000000-0005-0000-0000-0000D95F0000}"/>
    <cellStyle name="Normal 297 2 4 2" xfId="24538" xr:uid="{00000000-0005-0000-0000-0000DA5F0000}"/>
    <cellStyle name="Normal 297 2 4 2 2" xfId="24539" xr:uid="{00000000-0005-0000-0000-0000DB5F0000}"/>
    <cellStyle name="Normal 297 2 4 3" xfId="24540" xr:uid="{00000000-0005-0000-0000-0000DC5F0000}"/>
    <cellStyle name="Normal 297 2 5" xfId="24541" xr:uid="{00000000-0005-0000-0000-0000DD5F0000}"/>
    <cellStyle name="Normal 297 3" xfId="24542" xr:uid="{00000000-0005-0000-0000-0000DE5F0000}"/>
    <cellStyle name="Normal 297 3 2" xfId="24543" xr:uid="{00000000-0005-0000-0000-0000DF5F0000}"/>
    <cellStyle name="Normal 297 3 2 2" xfId="24544" xr:uid="{00000000-0005-0000-0000-0000E05F0000}"/>
    <cellStyle name="Normal 297 3 2 2 2" xfId="24545" xr:uid="{00000000-0005-0000-0000-0000E15F0000}"/>
    <cellStyle name="Normal 297 3 2 3" xfId="24546" xr:uid="{00000000-0005-0000-0000-0000E25F0000}"/>
    <cellStyle name="Normal 297 3 2 3 2" xfId="24547" xr:uid="{00000000-0005-0000-0000-0000E35F0000}"/>
    <cellStyle name="Normal 297 3 2 3 2 2" xfId="24548" xr:uid="{00000000-0005-0000-0000-0000E45F0000}"/>
    <cellStyle name="Normal 297 3 2 3 3" xfId="24549" xr:uid="{00000000-0005-0000-0000-0000E55F0000}"/>
    <cellStyle name="Normal 297 3 2 4" xfId="24550" xr:uid="{00000000-0005-0000-0000-0000E65F0000}"/>
    <cellStyle name="Normal 297 3 3" xfId="24551" xr:uid="{00000000-0005-0000-0000-0000E75F0000}"/>
    <cellStyle name="Normal 297 3 3 2" xfId="24552" xr:uid="{00000000-0005-0000-0000-0000E85F0000}"/>
    <cellStyle name="Normal 297 3 3 2 2" xfId="24553" xr:uid="{00000000-0005-0000-0000-0000E95F0000}"/>
    <cellStyle name="Normal 297 3 3 3" xfId="24554" xr:uid="{00000000-0005-0000-0000-0000EA5F0000}"/>
    <cellStyle name="Normal 297 3 4" xfId="24555" xr:uid="{00000000-0005-0000-0000-0000EB5F0000}"/>
    <cellStyle name="Normal 297 3 4 2" xfId="24556" xr:uid="{00000000-0005-0000-0000-0000EC5F0000}"/>
    <cellStyle name="Normal 297 3 4 2 2" xfId="24557" xr:uid="{00000000-0005-0000-0000-0000ED5F0000}"/>
    <cellStyle name="Normal 297 3 4 3" xfId="24558" xr:uid="{00000000-0005-0000-0000-0000EE5F0000}"/>
    <cellStyle name="Normal 297 3 5" xfId="24559" xr:uid="{00000000-0005-0000-0000-0000EF5F0000}"/>
    <cellStyle name="Normal 297 3 5 2" xfId="24560" xr:uid="{00000000-0005-0000-0000-0000F05F0000}"/>
    <cellStyle name="Normal 297 3 5 2 2" xfId="24561" xr:uid="{00000000-0005-0000-0000-0000F15F0000}"/>
    <cellStyle name="Normal 297 3 5 3" xfId="24562" xr:uid="{00000000-0005-0000-0000-0000F25F0000}"/>
    <cellStyle name="Normal 297 3 6" xfId="24563" xr:uid="{00000000-0005-0000-0000-0000F35F0000}"/>
    <cellStyle name="Normal 297 4" xfId="24564" xr:uid="{00000000-0005-0000-0000-0000F45F0000}"/>
    <cellStyle name="Normal 297 4 2" xfId="24565" xr:uid="{00000000-0005-0000-0000-0000F55F0000}"/>
    <cellStyle name="Normal 297 4 2 2" xfId="24566" xr:uid="{00000000-0005-0000-0000-0000F65F0000}"/>
    <cellStyle name="Normal 297 4 3" xfId="24567" xr:uid="{00000000-0005-0000-0000-0000F75F0000}"/>
    <cellStyle name="Normal 297 5" xfId="24568" xr:uid="{00000000-0005-0000-0000-0000F85F0000}"/>
    <cellStyle name="Normal 297 5 2" xfId="24569" xr:uid="{00000000-0005-0000-0000-0000F95F0000}"/>
    <cellStyle name="Normal 297 5 2 2" xfId="24570" xr:uid="{00000000-0005-0000-0000-0000FA5F0000}"/>
    <cellStyle name="Normal 297 5 3" xfId="24571" xr:uid="{00000000-0005-0000-0000-0000FB5F0000}"/>
    <cellStyle name="Normal 297 6" xfId="24572" xr:uid="{00000000-0005-0000-0000-0000FC5F0000}"/>
    <cellStyle name="Normal 297 6 2" xfId="24573" xr:uid="{00000000-0005-0000-0000-0000FD5F0000}"/>
    <cellStyle name="Normal 297 6 2 2" xfId="24574" xr:uid="{00000000-0005-0000-0000-0000FE5F0000}"/>
    <cellStyle name="Normal 297 6 3" xfId="24575" xr:uid="{00000000-0005-0000-0000-0000FF5F0000}"/>
    <cellStyle name="Normal 297 7" xfId="24576" xr:uid="{00000000-0005-0000-0000-000000600000}"/>
    <cellStyle name="Normal 298" xfId="24577" xr:uid="{00000000-0005-0000-0000-000001600000}"/>
    <cellStyle name="Normal 298 2" xfId="24578" xr:uid="{00000000-0005-0000-0000-000002600000}"/>
    <cellStyle name="Normal 298 2 2" xfId="24579" xr:uid="{00000000-0005-0000-0000-000003600000}"/>
    <cellStyle name="Normal 298 2 2 2" xfId="24580" xr:uid="{00000000-0005-0000-0000-000004600000}"/>
    <cellStyle name="Normal 298 2 3" xfId="24581" xr:uid="{00000000-0005-0000-0000-000005600000}"/>
    <cellStyle name="Normal 298 2 3 2" xfId="24582" xr:uid="{00000000-0005-0000-0000-000006600000}"/>
    <cellStyle name="Normal 298 2 3 2 2" xfId="24583" xr:uid="{00000000-0005-0000-0000-000007600000}"/>
    <cellStyle name="Normal 298 2 3 3" xfId="24584" xr:uid="{00000000-0005-0000-0000-000008600000}"/>
    <cellStyle name="Normal 298 2 4" xfId="24585" xr:uid="{00000000-0005-0000-0000-000009600000}"/>
    <cellStyle name="Normal 298 2 4 2" xfId="24586" xr:uid="{00000000-0005-0000-0000-00000A600000}"/>
    <cellStyle name="Normal 298 2 4 2 2" xfId="24587" xr:uid="{00000000-0005-0000-0000-00000B600000}"/>
    <cellStyle name="Normal 298 2 4 3" xfId="24588" xr:uid="{00000000-0005-0000-0000-00000C600000}"/>
    <cellStyle name="Normal 298 2 5" xfId="24589" xr:uid="{00000000-0005-0000-0000-00000D600000}"/>
    <cellStyle name="Normal 298 3" xfId="24590" xr:uid="{00000000-0005-0000-0000-00000E600000}"/>
    <cellStyle name="Normal 298 3 2" xfId="24591" xr:uid="{00000000-0005-0000-0000-00000F600000}"/>
    <cellStyle name="Normal 298 3 2 2" xfId="24592" xr:uid="{00000000-0005-0000-0000-000010600000}"/>
    <cellStyle name="Normal 298 3 2 2 2" xfId="24593" xr:uid="{00000000-0005-0000-0000-000011600000}"/>
    <cellStyle name="Normal 298 3 2 3" xfId="24594" xr:uid="{00000000-0005-0000-0000-000012600000}"/>
    <cellStyle name="Normal 298 3 2 3 2" xfId="24595" xr:uid="{00000000-0005-0000-0000-000013600000}"/>
    <cellStyle name="Normal 298 3 2 3 2 2" xfId="24596" xr:uid="{00000000-0005-0000-0000-000014600000}"/>
    <cellStyle name="Normal 298 3 2 3 3" xfId="24597" xr:uid="{00000000-0005-0000-0000-000015600000}"/>
    <cellStyle name="Normal 298 3 2 4" xfId="24598" xr:uid="{00000000-0005-0000-0000-000016600000}"/>
    <cellStyle name="Normal 298 3 3" xfId="24599" xr:uid="{00000000-0005-0000-0000-000017600000}"/>
    <cellStyle name="Normal 298 3 3 2" xfId="24600" xr:uid="{00000000-0005-0000-0000-000018600000}"/>
    <cellStyle name="Normal 298 3 3 2 2" xfId="24601" xr:uid="{00000000-0005-0000-0000-000019600000}"/>
    <cellStyle name="Normal 298 3 3 3" xfId="24602" xr:uid="{00000000-0005-0000-0000-00001A600000}"/>
    <cellStyle name="Normal 298 3 4" xfId="24603" xr:uid="{00000000-0005-0000-0000-00001B600000}"/>
    <cellStyle name="Normal 298 3 4 2" xfId="24604" xr:uid="{00000000-0005-0000-0000-00001C600000}"/>
    <cellStyle name="Normal 298 3 4 2 2" xfId="24605" xr:uid="{00000000-0005-0000-0000-00001D600000}"/>
    <cellStyle name="Normal 298 3 4 3" xfId="24606" xr:uid="{00000000-0005-0000-0000-00001E600000}"/>
    <cellStyle name="Normal 298 3 5" xfId="24607" xr:uid="{00000000-0005-0000-0000-00001F600000}"/>
    <cellStyle name="Normal 298 3 5 2" xfId="24608" xr:uid="{00000000-0005-0000-0000-000020600000}"/>
    <cellStyle name="Normal 298 3 5 2 2" xfId="24609" xr:uid="{00000000-0005-0000-0000-000021600000}"/>
    <cellStyle name="Normal 298 3 5 3" xfId="24610" xr:uid="{00000000-0005-0000-0000-000022600000}"/>
    <cellStyle name="Normal 298 3 6" xfId="24611" xr:uid="{00000000-0005-0000-0000-000023600000}"/>
    <cellStyle name="Normal 298 4" xfId="24612" xr:uid="{00000000-0005-0000-0000-000024600000}"/>
    <cellStyle name="Normal 298 4 2" xfId="24613" xr:uid="{00000000-0005-0000-0000-000025600000}"/>
    <cellStyle name="Normal 298 4 2 2" xfId="24614" xr:uid="{00000000-0005-0000-0000-000026600000}"/>
    <cellStyle name="Normal 298 4 3" xfId="24615" xr:uid="{00000000-0005-0000-0000-000027600000}"/>
    <cellStyle name="Normal 298 5" xfId="24616" xr:uid="{00000000-0005-0000-0000-000028600000}"/>
    <cellStyle name="Normal 298 5 2" xfId="24617" xr:uid="{00000000-0005-0000-0000-000029600000}"/>
    <cellStyle name="Normal 298 5 2 2" xfId="24618" xr:uid="{00000000-0005-0000-0000-00002A600000}"/>
    <cellStyle name="Normal 298 5 3" xfId="24619" xr:uid="{00000000-0005-0000-0000-00002B600000}"/>
    <cellStyle name="Normal 298 6" xfId="24620" xr:uid="{00000000-0005-0000-0000-00002C600000}"/>
    <cellStyle name="Normal 298 6 2" xfId="24621" xr:uid="{00000000-0005-0000-0000-00002D600000}"/>
    <cellStyle name="Normal 298 6 2 2" xfId="24622" xr:uid="{00000000-0005-0000-0000-00002E600000}"/>
    <cellStyle name="Normal 298 6 3" xfId="24623" xr:uid="{00000000-0005-0000-0000-00002F600000}"/>
    <cellStyle name="Normal 298 7" xfId="24624" xr:uid="{00000000-0005-0000-0000-000030600000}"/>
    <cellStyle name="Normal 299" xfId="24625" xr:uid="{00000000-0005-0000-0000-000031600000}"/>
    <cellStyle name="Normal 299 2" xfId="24626" xr:uid="{00000000-0005-0000-0000-000032600000}"/>
    <cellStyle name="Normal 299 2 2" xfId="24627" xr:uid="{00000000-0005-0000-0000-000033600000}"/>
    <cellStyle name="Normal 299 2 2 2" xfId="24628" xr:uid="{00000000-0005-0000-0000-000034600000}"/>
    <cellStyle name="Normal 299 2 3" xfId="24629" xr:uid="{00000000-0005-0000-0000-000035600000}"/>
    <cellStyle name="Normal 299 2 3 2" xfId="24630" xr:uid="{00000000-0005-0000-0000-000036600000}"/>
    <cellStyle name="Normal 299 2 3 2 2" xfId="24631" xr:uid="{00000000-0005-0000-0000-000037600000}"/>
    <cellStyle name="Normal 299 2 3 3" xfId="24632" xr:uid="{00000000-0005-0000-0000-000038600000}"/>
    <cellStyle name="Normal 299 2 4" xfId="24633" xr:uid="{00000000-0005-0000-0000-000039600000}"/>
    <cellStyle name="Normal 299 2 4 2" xfId="24634" xr:uid="{00000000-0005-0000-0000-00003A600000}"/>
    <cellStyle name="Normal 299 2 4 2 2" xfId="24635" xr:uid="{00000000-0005-0000-0000-00003B600000}"/>
    <cellStyle name="Normal 299 2 4 3" xfId="24636" xr:uid="{00000000-0005-0000-0000-00003C600000}"/>
    <cellStyle name="Normal 299 2 5" xfId="24637" xr:uid="{00000000-0005-0000-0000-00003D600000}"/>
    <cellStyle name="Normal 299 3" xfId="24638" xr:uid="{00000000-0005-0000-0000-00003E600000}"/>
    <cellStyle name="Normal 299 3 2" xfId="24639" xr:uid="{00000000-0005-0000-0000-00003F600000}"/>
    <cellStyle name="Normal 299 3 2 2" xfId="24640" xr:uid="{00000000-0005-0000-0000-000040600000}"/>
    <cellStyle name="Normal 299 3 2 2 2" xfId="24641" xr:uid="{00000000-0005-0000-0000-000041600000}"/>
    <cellStyle name="Normal 299 3 2 3" xfId="24642" xr:uid="{00000000-0005-0000-0000-000042600000}"/>
    <cellStyle name="Normal 299 3 2 3 2" xfId="24643" xr:uid="{00000000-0005-0000-0000-000043600000}"/>
    <cellStyle name="Normal 299 3 2 3 2 2" xfId="24644" xr:uid="{00000000-0005-0000-0000-000044600000}"/>
    <cellStyle name="Normal 299 3 2 3 3" xfId="24645" xr:uid="{00000000-0005-0000-0000-000045600000}"/>
    <cellStyle name="Normal 299 3 2 4" xfId="24646" xr:uid="{00000000-0005-0000-0000-000046600000}"/>
    <cellStyle name="Normal 299 3 3" xfId="24647" xr:uid="{00000000-0005-0000-0000-000047600000}"/>
    <cellStyle name="Normal 299 3 3 2" xfId="24648" xr:uid="{00000000-0005-0000-0000-000048600000}"/>
    <cellStyle name="Normal 299 3 3 2 2" xfId="24649" xr:uid="{00000000-0005-0000-0000-000049600000}"/>
    <cellStyle name="Normal 299 3 3 3" xfId="24650" xr:uid="{00000000-0005-0000-0000-00004A600000}"/>
    <cellStyle name="Normal 299 3 4" xfId="24651" xr:uid="{00000000-0005-0000-0000-00004B600000}"/>
    <cellStyle name="Normal 299 3 4 2" xfId="24652" xr:uid="{00000000-0005-0000-0000-00004C600000}"/>
    <cellStyle name="Normal 299 3 4 2 2" xfId="24653" xr:uid="{00000000-0005-0000-0000-00004D600000}"/>
    <cellStyle name="Normal 299 3 4 3" xfId="24654" xr:uid="{00000000-0005-0000-0000-00004E600000}"/>
    <cellStyle name="Normal 299 3 5" xfId="24655" xr:uid="{00000000-0005-0000-0000-00004F600000}"/>
    <cellStyle name="Normal 299 3 5 2" xfId="24656" xr:uid="{00000000-0005-0000-0000-000050600000}"/>
    <cellStyle name="Normal 299 3 5 2 2" xfId="24657" xr:uid="{00000000-0005-0000-0000-000051600000}"/>
    <cellStyle name="Normal 299 3 5 3" xfId="24658" xr:uid="{00000000-0005-0000-0000-000052600000}"/>
    <cellStyle name="Normal 299 3 6" xfId="24659" xr:uid="{00000000-0005-0000-0000-000053600000}"/>
    <cellStyle name="Normal 299 4" xfId="24660" xr:uid="{00000000-0005-0000-0000-000054600000}"/>
    <cellStyle name="Normal 299 4 2" xfId="24661" xr:uid="{00000000-0005-0000-0000-000055600000}"/>
    <cellStyle name="Normal 299 4 2 2" xfId="24662" xr:uid="{00000000-0005-0000-0000-000056600000}"/>
    <cellStyle name="Normal 299 4 3" xfId="24663" xr:uid="{00000000-0005-0000-0000-000057600000}"/>
    <cellStyle name="Normal 299 5" xfId="24664" xr:uid="{00000000-0005-0000-0000-000058600000}"/>
    <cellStyle name="Normal 299 5 2" xfId="24665" xr:uid="{00000000-0005-0000-0000-000059600000}"/>
    <cellStyle name="Normal 299 5 2 2" xfId="24666" xr:uid="{00000000-0005-0000-0000-00005A600000}"/>
    <cellStyle name="Normal 299 5 3" xfId="24667" xr:uid="{00000000-0005-0000-0000-00005B600000}"/>
    <cellStyle name="Normal 299 6" xfId="24668" xr:uid="{00000000-0005-0000-0000-00005C600000}"/>
    <cellStyle name="Normal 299 6 2" xfId="24669" xr:uid="{00000000-0005-0000-0000-00005D600000}"/>
    <cellStyle name="Normal 299 6 2 2" xfId="24670" xr:uid="{00000000-0005-0000-0000-00005E600000}"/>
    <cellStyle name="Normal 299 6 3" xfId="24671" xr:uid="{00000000-0005-0000-0000-00005F600000}"/>
    <cellStyle name="Normal 299 7" xfId="24672" xr:uid="{00000000-0005-0000-0000-000060600000}"/>
    <cellStyle name="Normal 3" xfId="24673" xr:uid="{00000000-0005-0000-0000-000061600000}"/>
    <cellStyle name="Normal 3 10" xfId="24674" xr:uid="{00000000-0005-0000-0000-000062600000}"/>
    <cellStyle name="Normal 3 11" xfId="24675" xr:uid="{00000000-0005-0000-0000-000063600000}"/>
    <cellStyle name="Normal 3 12" xfId="24676" xr:uid="{00000000-0005-0000-0000-000064600000}"/>
    <cellStyle name="Normal 3 2" xfId="24677" xr:uid="{00000000-0005-0000-0000-000065600000}"/>
    <cellStyle name="Normal 3 2 2" xfId="24678" xr:uid="{00000000-0005-0000-0000-000066600000}"/>
    <cellStyle name="Normal 3 2 2 2" xfId="24679" xr:uid="{00000000-0005-0000-0000-000067600000}"/>
    <cellStyle name="Normal 3 2 2 2 2" xfId="24680" xr:uid="{00000000-0005-0000-0000-000068600000}"/>
    <cellStyle name="Normal 3 2 2 2 2 2" xfId="24681" xr:uid="{00000000-0005-0000-0000-000069600000}"/>
    <cellStyle name="Normal 3 2 2 2 3" xfId="24682" xr:uid="{00000000-0005-0000-0000-00006A600000}"/>
    <cellStyle name="Normal 3 2 2 2 3 2" xfId="24683" xr:uid="{00000000-0005-0000-0000-00006B600000}"/>
    <cellStyle name="Normal 3 2 2 2 3 2 2" xfId="24684" xr:uid="{00000000-0005-0000-0000-00006C600000}"/>
    <cellStyle name="Normal 3 2 2 2 3 3" xfId="24685" xr:uid="{00000000-0005-0000-0000-00006D600000}"/>
    <cellStyle name="Normal 3 2 2 2 4" xfId="24686" xr:uid="{00000000-0005-0000-0000-00006E600000}"/>
    <cellStyle name="Normal 3 2 2 2 4 2" xfId="24687" xr:uid="{00000000-0005-0000-0000-00006F600000}"/>
    <cellStyle name="Normal 3 2 2 2 4 2 2" xfId="24688" xr:uid="{00000000-0005-0000-0000-000070600000}"/>
    <cellStyle name="Normal 3 2 2 2 4 3" xfId="24689" xr:uid="{00000000-0005-0000-0000-000071600000}"/>
    <cellStyle name="Normal 3 2 2 2 5" xfId="24690" xr:uid="{00000000-0005-0000-0000-000072600000}"/>
    <cellStyle name="Normal 3 2 2 3" xfId="24691" xr:uid="{00000000-0005-0000-0000-000073600000}"/>
    <cellStyle name="Normal 3 2 2 3 2" xfId="24692" xr:uid="{00000000-0005-0000-0000-000074600000}"/>
    <cellStyle name="Normal 3 2 2 3 2 2" xfId="24693" xr:uid="{00000000-0005-0000-0000-000075600000}"/>
    <cellStyle name="Normal 3 2 2 3 2 2 2" xfId="24694" xr:uid="{00000000-0005-0000-0000-000076600000}"/>
    <cellStyle name="Normal 3 2 2 3 2 3" xfId="24695" xr:uid="{00000000-0005-0000-0000-000077600000}"/>
    <cellStyle name="Normal 3 2 2 3 2 3 2" xfId="24696" xr:uid="{00000000-0005-0000-0000-000078600000}"/>
    <cellStyle name="Normal 3 2 2 3 2 3 2 2" xfId="24697" xr:uid="{00000000-0005-0000-0000-000079600000}"/>
    <cellStyle name="Normal 3 2 2 3 2 3 3" xfId="24698" xr:uid="{00000000-0005-0000-0000-00007A600000}"/>
    <cellStyle name="Normal 3 2 2 3 2 4" xfId="24699" xr:uid="{00000000-0005-0000-0000-00007B600000}"/>
    <cellStyle name="Normal 3 2 2 3 3" xfId="24700" xr:uid="{00000000-0005-0000-0000-00007C600000}"/>
    <cellStyle name="Normal 3 2 2 3 3 2" xfId="24701" xr:uid="{00000000-0005-0000-0000-00007D600000}"/>
    <cellStyle name="Normal 3 2 2 3 3 2 2" xfId="24702" xr:uid="{00000000-0005-0000-0000-00007E600000}"/>
    <cellStyle name="Normal 3 2 2 3 3 3" xfId="24703" xr:uid="{00000000-0005-0000-0000-00007F600000}"/>
    <cellStyle name="Normal 3 2 2 3 4" xfId="24704" xr:uid="{00000000-0005-0000-0000-000080600000}"/>
    <cellStyle name="Normal 3 2 2 3 4 2" xfId="24705" xr:uid="{00000000-0005-0000-0000-000081600000}"/>
    <cellStyle name="Normal 3 2 2 3 4 2 2" xfId="24706" xr:uid="{00000000-0005-0000-0000-000082600000}"/>
    <cellStyle name="Normal 3 2 2 3 4 3" xfId="24707" xr:uid="{00000000-0005-0000-0000-000083600000}"/>
    <cellStyle name="Normal 3 2 2 3 5" xfId="24708" xr:uid="{00000000-0005-0000-0000-000084600000}"/>
    <cellStyle name="Normal 3 2 2 3 5 2" xfId="24709" xr:uid="{00000000-0005-0000-0000-000085600000}"/>
    <cellStyle name="Normal 3 2 2 3 5 2 2" xfId="24710" xr:uid="{00000000-0005-0000-0000-000086600000}"/>
    <cellStyle name="Normal 3 2 2 3 5 3" xfId="24711" xr:uid="{00000000-0005-0000-0000-000087600000}"/>
    <cellStyle name="Normal 3 2 2 3 6" xfId="24712" xr:uid="{00000000-0005-0000-0000-000088600000}"/>
    <cellStyle name="Normal 3 2 2 4" xfId="24713" xr:uid="{00000000-0005-0000-0000-000089600000}"/>
    <cellStyle name="Normal 3 2 2 5" xfId="24714" xr:uid="{00000000-0005-0000-0000-00008A600000}"/>
    <cellStyle name="Normal 3 2 3" xfId="24715" xr:uid="{00000000-0005-0000-0000-00008B600000}"/>
    <cellStyle name="Normal 3 2 3 2" xfId="24716" xr:uid="{00000000-0005-0000-0000-00008C600000}"/>
    <cellStyle name="Normal 3 2 3 2 2" xfId="24717" xr:uid="{00000000-0005-0000-0000-00008D600000}"/>
    <cellStyle name="Normal 3 2 3 3" xfId="24718" xr:uid="{00000000-0005-0000-0000-00008E600000}"/>
    <cellStyle name="Normal 3 2 3 3 2" xfId="24719" xr:uid="{00000000-0005-0000-0000-00008F600000}"/>
    <cellStyle name="Normal 3 2 3 3 2 2" xfId="24720" xr:uid="{00000000-0005-0000-0000-000090600000}"/>
    <cellStyle name="Normal 3 2 3 3 3" xfId="24721" xr:uid="{00000000-0005-0000-0000-000091600000}"/>
    <cellStyle name="Normal 3 2 3 4" xfId="24722" xr:uid="{00000000-0005-0000-0000-000092600000}"/>
    <cellStyle name="Normal 3 2 3 4 2" xfId="24723" xr:uid="{00000000-0005-0000-0000-000093600000}"/>
    <cellStyle name="Normal 3 2 3 4 2 2" xfId="24724" xr:uid="{00000000-0005-0000-0000-000094600000}"/>
    <cellStyle name="Normal 3 2 3 4 3" xfId="24725" xr:uid="{00000000-0005-0000-0000-000095600000}"/>
    <cellStyle name="Normal 3 2 3 5" xfId="24726" xr:uid="{00000000-0005-0000-0000-000096600000}"/>
    <cellStyle name="Normal 3 2 4" xfId="24727" xr:uid="{00000000-0005-0000-0000-000097600000}"/>
    <cellStyle name="Normal 3 2 4 2" xfId="24728" xr:uid="{00000000-0005-0000-0000-000098600000}"/>
    <cellStyle name="Normal 3 2 4 2 2" xfId="24729" xr:uid="{00000000-0005-0000-0000-000099600000}"/>
    <cellStyle name="Normal 3 2 4 2 2 2" xfId="24730" xr:uid="{00000000-0005-0000-0000-00009A600000}"/>
    <cellStyle name="Normal 3 2 4 2 3" xfId="24731" xr:uid="{00000000-0005-0000-0000-00009B600000}"/>
    <cellStyle name="Normal 3 2 4 2 3 2" xfId="24732" xr:uid="{00000000-0005-0000-0000-00009C600000}"/>
    <cellStyle name="Normal 3 2 4 2 3 2 2" xfId="24733" xr:uid="{00000000-0005-0000-0000-00009D600000}"/>
    <cellStyle name="Normal 3 2 4 2 3 3" xfId="24734" xr:uid="{00000000-0005-0000-0000-00009E600000}"/>
    <cellStyle name="Normal 3 2 4 2 4" xfId="24735" xr:uid="{00000000-0005-0000-0000-00009F600000}"/>
    <cellStyle name="Normal 3 2 4 3" xfId="24736" xr:uid="{00000000-0005-0000-0000-0000A0600000}"/>
    <cellStyle name="Normal 3 2 4 3 2" xfId="24737" xr:uid="{00000000-0005-0000-0000-0000A1600000}"/>
    <cellStyle name="Normal 3 2 4 3 2 2" xfId="24738" xr:uid="{00000000-0005-0000-0000-0000A2600000}"/>
    <cellStyle name="Normal 3 2 4 3 3" xfId="24739" xr:uid="{00000000-0005-0000-0000-0000A3600000}"/>
    <cellStyle name="Normal 3 2 4 4" xfId="24740" xr:uid="{00000000-0005-0000-0000-0000A4600000}"/>
    <cellStyle name="Normal 3 2 4 4 2" xfId="24741" xr:uid="{00000000-0005-0000-0000-0000A5600000}"/>
    <cellStyle name="Normal 3 2 4 4 2 2" xfId="24742" xr:uid="{00000000-0005-0000-0000-0000A6600000}"/>
    <cellStyle name="Normal 3 2 4 4 3" xfId="24743" xr:uid="{00000000-0005-0000-0000-0000A7600000}"/>
    <cellStyle name="Normal 3 2 4 5" xfId="24744" xr:uid="{00000000-0005-0000-0000-0000A8600000}"/>
    <cellStyle name="Normal 3 2 4 5 2" xfId="24745" xr:uid="{00000000-0005-0000-0000-0000A9600000}"/>
    <cellStyle name="Normal 3 2 4 5 2 2" xfId="24746" xr:uid="{00000000-0005-0000-0000-0000AA600000}"/>
    <cellStyle name="Normal 3 2 4 5 3" xfId="24747" xr:uid="{00000000-0005-0000-0000-0000AB600000}"/>
    <cellStyle name="Normal 3 2 4 6" xfId="24748" xr:uid="{00000000-0005-0000-0000-0000AC600000}"/>
    <cellStyle name="Normal 3 2 5" xfId="24749" xr:uid="{00000000-0005-0000-0000-0000AD600000}"/>
    <cellStyle name="Normal 3 2 5 2" xfId="24750" xr:uid="{00000000-0005-0000-0000-0000AE600000}"/>
    <cellStyle name="Normal 3 2 5 2 2" xfId="24751" xr:uid="{00000000-0005-0000-0000-0000AF600000}"/>
    <cellStyle name="Normal 3 2 5 3" xfId="24752" xr:uid="{00000000-0005-0000-0000-0000B0600000}"/>
    <cellStyle name="Normal 3 2 6" xfId="24753" xr:uid="{00000000-0005-0000-0000-0000B1600000}"/>
    <cellStyle name="Normal 3 2 7" xfId="24754" xr:uid="{00000000-0005-0000-0000-0000B2600000}"/>
    <cellStyle name="Normal 3 3" xfId="24755" xr:uid="{00000000-0005-0000-0000-0000B3600000}"/>
    <cellStyle name="Normal 3 3 2" xfId="24756" xr:uid="{00000000-0005-0000-0000-0000B4600000}"/>
    <cellStyle name="Normal 3 3 2 2" xfId="24757" xr:uid="{00000000-0005-0000-0000-0000B5600000}"/>
    <cellStyle name="Normal 3 3 2 2 2" xfId="24758" xr:uid="{00000000-0005-0000-0000-0000B6600000}"/>
    <cellStyle name="Normal 3 3 2 2 2 2" xfId="24759" xr:uid="{00000000-0005-0000-0000-0000B7600000}"/>
    <cellStyle name="Normal 3 3 2 2 3" xfId="24760" xr:uid="{00000000-0005-0000-0000-0000B8600000}"/>
    <cellStyle name="Normal 3 3 2 2 3 2" xfId="24761" xr:uid="{00000000-0005-0000-0000-0000B9600000}"/>
    <cellStyle name="Normal 3 3 2 2 3 2 2" xfId="24762" xr:uid="{00000000-0005-0000-0000-0000BA600000}"/>
    <cellStyle name="Normal 3 3 2 2 3 3" xfId="24763" xr:uid="{00000000-0005-0000-0000-0000BB600000}"/>
    <cellStyle name="Normal 3 3 2 2 4" xfId="24764" xr:uid="{00000000-0005-0000-0000-0000BC600000}"/>
    <cellStyle name="Normal 3 3 2 2 4 2" xfId="24765" xr:uid="{00000000-0005-0000-0000-0000BD600000}"/>
    <cellStyle name="Normal 3 3 2 2 4 2 2" xfId="24766" xr:uid="{00000000-0005-0000-0000-0000BE600000}"/>
    <cellStyle name="Normal 3 3 2 2 4 3" xfId="24767" xr:uid="{00000000-0005-0000-0000-0000BF600000}"/>
    <cellStyle name="Normal 3 3 2 2 5" xfId="24768" xr:uid="{00000000-0005-0000-0000-0000C0600000}"/>
    <cellStyle name="Normal 3 3 2 3" xfId="24769" xr:uid="{00000000-0005-0000-0000-0000C1600000}"/>
    <cellStyle name="Normal 3 3 2 3 2" xfId="24770" xr:uid="{00000000-0005-0000-0000-0000C2600000}"/>
    <cellStyle name="Normal 3 3 2 3 2 2" xfId="24771" xr:uid="{00000000-0005-0000-0000-0000C3600000}"/>
    <cellStyle name="Normal 3 3 2 3 3" xfId="24772" xr:uid="{00000000-0005-0000-0000-0000C4600000}"/>
    <cellStyle name="Normal 3 3 2 4" xfId="24773" xr:uid="{00000000-0005-0000-0000-0000C5600000}"/>
    <cellStyle name="Normal 3 3 2 4 2" xfId="24774" xr:uid="{00000000-0005-0000-0000-0000C6600000}"/>
    <cellStyle name="Normal 3 3 2 4 2 2" xfId="24775" xr:uid="{00000000-0005-0000-0000-0000C7600000}"/>
    <cellStyle name="Normal 3 3 2 4 3" xfId="24776" xr:uid="{00000000-0005-0000-0000-0000C8600000}"/>
    <cellStyle name="Normal 3 3 2 5" xfId="24777" xr:uid="{00000000-0005-0000-0000-0000C9600000}"/>
    <cellStyle name="Normal 3 3 2 5 2" xfId="24778" xr:uid="{00000000-0005-0000-0000-0000CA600000}"/>
    <cellStyle name="Normal 3 3 2 5 2 2" xfId="24779" xr:uid="{00000000-0005-0000-0000-0000CB600000}"/>
    <cellStyle name="Normal 3 3 2 5 3" xfId="24780" xr:uid="{00000000-0005-0000-0000-0000CC600000}"/>
    <cellStyle name="Normal 3 3 2 6" xfId="24781" xr:uid="{00000000-0005-0000-0000-0000CD600000}"/>
    <cellStyle name="Normal 3 3 3" xfId="24782" xr:uid="{00000000-0005-0000-0000-0000CE600000}"/>
    <cellStyle name="Normal 3 3 3 2" xfId="24783" xr:uid="{00000000-0005-0000-0000-0000CF600000}"/>
    <cellStyle name="Normal 3 3 3 2 2" xfId="24784" xr:uid="{00000000-0005-0000-0000-0000D0600000}"/>
    <cellStyle name="Normal 3 3 3 3" xfId="24785" xr:uid="{00000000-0005-0000-0000-0000D1600000}"/>
    <cellStyle name="Normal 3 3 3 3 2" xfId="24786" xr:uid="{00000000-0005-0000-0000-0000D2600000}"/>
    <cellStyle name="Normal 3 3 3 3 2 2" xfId="24787" xr:uid="{00000000-0005-0000-0000-0000D3600000}"/>
    <cellStyle name="Normal 3 3 3 3 3" xfId="24788" xr:uid="{00000000-0005-0000-0000-0000D4600000}"/>
    <cellStyle name="Normal 3 3 3 4" xfId="24789" xr:uid="{00000000-0005-0000-0000-0000D5600000}"/>
    <cellStyle name="Normal 3 3 3 4 2" xfId="24790" xr:uid="{00000000-0005-0000-0000-0000D6600000}"/>
    <cellStyle name="Normal 3 3 3 4 2 2" xfId="24791" xr:uid="{00000000-0005-0000-0000-0000D7600000}"/>
    <cellStyle name="Normal 3 3 3 4 3" xfId="24792" xr:uid="{00000000-0005-0000-0000-0000D8600000}"/>
    <cellStyle name="Normal 3 3 3 5" xfId="24793" xr:uid="{00000000-0005-0000-0000-0000D9600000}"/>
    <cellStyle name="Normal 3 3 4" xfId="24794" xr:uid="{00000000-0005-0000-0000-0000DA600000}"/>
    <cellStyle name="Normal 3 3 4 2" xfId="24795" xr:uid="{00000000-0005-0000-0000-0000DB600000}"/>
    <cellStyle name="Normal 3 3 4 2 2" xfId="24796" xr:uid="{00000000-0005-0000-0000-0000DC600000}"/>
    <cellStyle name="Normal 3 3 4 2 2 2" xfId="24797" xr:uid="{00000000-0005-0000-0000-0000DD600000}"/>
    <cellStyle name="Normal 3 3 4 2 3" xfId="24798" xr:uid="{00000000-0005-0000-0000-0000DE600000}"/>
    <cellStyle name="Normal 3 3 4 2 3 2" xfId="24799" xr:uid="{00000000-0005-0000-0000-0000DF600000}"/>
    <cellStyle name="Normal 3 3 4 2 3 2 2" xfId="24800" xr:uid="{00000000-0005-0000-0000-0000E0600000}"/>
    <cellStyle name="Normal 3 3 4 2 3 3" xfId="24801" xr:uid="{00000000-0005-0000-0000-0000E1600000}"/>
    <cellStyle name="Normal 3 3 4 2 4" xfId="24802" xr:uid="{00000000-0005-0000-0000-0000E2600000}"/>
    <cellStyle name="Normal 3 3 4 3" xfId="24803" xr:uid="{00000000-0005-0000-0000-0000E3600000}"/>
    <cellStyle name="Normal 3 3 4 3 2" xfId="24804" xr:uid="{00000000-0005-0000-0000-0000E4600000}"/>
    <cellStyle name="Normal 3 3 4 3 2 2" xfId="24805" xr:uid="{00000000-0005-0000-0000-0000E5600000}"/>
    <cellStyle name="Normal 3 3 4 3 3" xfId="24806" xr:uid="{00000000-0005-0000-0000-0000E6600000}"/>
    <cellStyle name="Normal 3 3 4 4" xfId="24807" xr:uid="{00000000-0005-0000-0000-0000E7600000}"/>
    <cellStyle name="Normal 3 3 4 4 2" xfId="24808" xr:uid="{00000000-0005-0000-0000-0000E8600000}"/>
    <cellStyle name="Normal 3 3 4 4 2 2" xfId="24809" xr:uid="{00000000-0005-0000-0000-0000E9600000}"/>
    <cellStyle name="Normal 3 3 4 4 3" xfId="24810" xr:uid="{00000000-0005-0000-0000-0000EA600000}"/>
    <cellStyle name="Normal 3 3 4 5" xfId="24811" xr:uid="{00000000-0005-0000-0000-0000EB600000}"/>
    <cellStyle name="Normal 3 3 4 5 2" xfId="24812" xr:uid="{00000000-0005-0000-0000-0000EC600000}"/>
    <cellStyle name="Normal 3 3 4 5 2 2" xfId="24813" xr:uid="{00000000-0005-0000-0000-0000ED600000}"/>
    <cellStyle name="Normal 3 3 4 5 3" xfId="24814" xr:uid="{00000000-0005-0000-0000-0000EE600000}"/>
    <cellStyle name="Normal 3 3 4 6" xfId="24815" xr:uid="{00000000-0005-0000-0000-0000EF600000}"/>
    <cellStyle name="Normal 3 3 5" xfId="24816" xr:uid="{00000000-0005-0000-0000-0000F0600000}"/>
    <cellStyle name="Normal 3 3 5 2" xfId="24817" xr:uid="{00000000-0005-0000-0000-0000F1600000}"/>
    <cellStyle name="Normal 3 3 5 2 2" xfId="24818" xr:uid="{00000000-0005-0000-0000-0000F2600000}"/>
    <cellStyle name="Normal 3 3 5 3" xfId="24819" xr:uid="{00000000-0005-0000-0000-0000F3600000}"/>
    <cellStyle name="Normal 3 3 6" xfId="24820" xr:uid="{00000000-0005-0000-0000-0000F4600000}"/>
    <cellStyle name="Normal 3 3 6 2" xfId="24821" xr:uid="{00000000-0005-0000-0000-0000F5600000}"/>
    <cellStyle name="Normal 3 3 6 2 2" xfId="24822" xr:uid="{00000000-0005-0000-0000-0000F6600000}"/>
    <cellStyle name="Normal 3 3 6 3" xfId="24823" xr:uid="{00000000-0005-0000-0000-0000F7600000}"/>
    <cellStyle name="Normal 3 3 7" xfId="24824" xr:uid="{00000000-0005-0000-0000-0000F8600000}"/>
    <cellStyle name="Normal 3 3 7 2" xfId="24825" xr:uid="{00000000-0005-0000-0000-0000F9600000}"/>
    <cellStyle name="Normal 3 3 7 2 2" xfId="24826" xr:uid="{00000000-0005-0000-0000-0000FA600000}"/>
    <cellStyle name="Normal 3 3 7 3" xfId="24827" xr:uid="{00000000-0005-0000-0000-0000FB600000}"/>
    <cellStyle name="Normal 3 3 8" xfId="24828" xr:uid="{00000000-0005-0000-0000-0000FC600000}"/>
    <cellStyle name="Normal 3 4" xfId="24829" xr:uid="{00000000-0005-0000-0000-0000FD600000}"/>
    <cellStyle name="Normal 3 4 2" xfId="24830" xr:uid="{00000000-0005-0000-0000-0000FE600000}"/>
    <cellStyle name="Normal 3 4 2 2" xfId="24831" xr:uid="{00000000-0005-0000-0000-0000FF600000}"/>
    <cellStyle name="Normal 3 4 2 2 2" xfId="24832" xr:uid="{00000000-0005-0000-0000-000000610000}"/>
    <cellStyle name="Normal 3 4 2 3" xfId="24833" xr:uid="{00000000-0005-0000-0000-000001610000}"/>
    <cellStyle name="Normal 3 4 2 3 2" xfId="24834" xr:uid="{00000000-0005-0000-0000-000002610000}"/>
    <cellStyle name="Normal 3 4 2 3 2 2" xfId="24835" xr:uid="{00000000-0005-0000-0000-000003610000}"/>
    <cellStyle name="Normal 3 4 2 3 3" xfId="24836" xr:uid="{00000000-0005-0000-0000-000004610000}"/>
    <cellStyle name="Normal 3 4 2 4" xfId="24837" xr:uid="{00000000-0005-0000-0000-000005610000}"/>
    <cellStyle name="Normal 3 4 2 4 2" xfId="24838" xr:uid="{00000000-0005-0000-0000-000006610000}"/>
    <cellStyle name="Normal 3 4 2 4 2 2" xfId="24839" xr:uid="{00000000-0005-0000-0000-000007610000}"/>
    <cellStyle name="Normal 3 4 2 4 3" xfId="24840" xr:uid="{00000000-0005-0000-0000-000008610000}"/>
    <cellStyle name="Normal 3 4 2 5" xfId="24841" xr:uid="{00000000-0005-0000-0000-000009610000}"/>
    <cellStyle name="Normal 3 4 3" xfId="24842" xr:uid="{00000000-0005-0000-0000-00000A610000}"/>
    <cellStyle name="Normal 3 4 3 2" xfId="24843" xr:uid="{00000000-0005-0000-0000-00000B610000}"/>
    <cellStyle name="Normal 3 4 3 2 2" xfId="24844" xr:uid="{00000000-0005-0000-0000-00000C610000}"/>
    <cellStyle name="Normal 3 4 3 3" xfId="24845" xr:uid="{00000000-0005-0000-0000-00000D610000}"/>
    <cellStyle name="Normal 3 4 4" xfId="24846" xr:uid="{00000000-0005-0000-0000-00000E610000}"/>
    <cellStyle name="Normal 3 4 4 2" xfId="24847" xr:uid="{00000000-0005-0000-0000-00000F610000}"/>
    <cellStyle name="Normal 3 4 4 2 2" xfId="24848" xr:uid="{00000000-0005-0000-0000-000010610000}"/>
    <cellStyle name="Normal 3 4 4 3" xfId="24849" xr:uid="{00000000-0005-0000-0000-000011610000}"/>
    <cellStyle name="Normal 3 4 5" xfId="24850" xr:uid="{00000000-0005-0000-0000-000012610000}"/>
    <cellStyle name="Normal 3 4 5 2" xfId="24851" xr:uid="{00000000-0005-0000-0000-000013610000}"/>
    <cellStyle name="Normal 3 4 5 2 2" xfId="24852" xr:uid="{00000000-0005-0000-0000-000014610000}"/>
    <cellStyle name="Normal 3 4 5 3" xfId="24853" xr:uid="{00000000-0005-0000-0000-000015610000}"/>
    <cellStyle name="Normal 3 4 6" xfId="24854" xr:uid="{00000000-0005-0000-0000-000016610000}"/>
    <cellStyle name="Normal 3 5" xfId="24855" xr:uid="{00000000-0005-0000-0000-000017610000}"/>
    <cellStyle name="Normal 3 5 2" xfId="24856" xr:uid="{00000000-0005-0000-0000-000018610000}"/>
    <cellStyle name="Normal 3 5 2 2" xfId="24857" xr:uid="{00000000-0005-0000-0000-000019610000}"/>
    <cellStyle name="Normal 3 5 2 2 2" xfId="24858" xr:uid="{00000000-0005-0000-0000-00001A610000}"/>
    <cellStyle name="Normal 3 5 2 3" xfId="24859" xr:uid="{00000000-0005-0000-0000-00001B610000}"/>
    <cellStyle name="Normal 3 5 2 3 2" xfId="24860" xr:uid="{00000000-0005-0000-0000-00001C610000}"/>
    <cellStyle name="Normal 3 5 2 3 2 2" xfId="24861" xr:uid="{00000000-0005-0000-0000-00001D610000}"/>
    <cellStyle name="Normal 3 5 2 3 3" xfId="24862" xr:uid="{00000000-0005-0000-0000-00001E610000}"/>
    <cellStyle name="Normal 3 5 2 4" xfId="24863" xr:uid="{00000000-0005-0000-0000-00001F610000}"/>
    <cellStyle name="Normal 3 5 2 4 2" xfId="24864" xr:uid="{00000000-0005-0000-0000-000020610000}"/>
    <cellStyle name="Normal 3 5 2 4 2 2" xfId="24865" xr:uid="{00000000-0005-0000-0000-000021610000}"/>
    <cellStyle name="Normal 3 5 2 4 3" xfId="24866" xr:uid="{00000000-0005-0000-0000-000022610000}"/>
    <cellStyle name="Normal 3 5 2 5" xfId="24867" xr:uid="{00000000-0005-0000-0000-000023610000}"/>
    <cellStyle name="Normal 3 5 3" xfId="24868" xr:uid="{00000000-0005-0000-0000-000024610000}"/>
    <cellStyle name="Normal 3 5 3 2" xfId="24869" xr:uid="{00000000-0005-0000-0000-000025610000}"/>
    <cellStyle name="Normal 3 5 3 2 2" xfId="24870" xr:uid="{00000000-0005-0000-0000-000026610000}"/>
    <cellStyle name="Normal 3 5 3 3" xfId="24871" xr:uid="{00000000-0005-0000-0000-000027610000}"/>
    <cellStyle name="Normal 3 5 4" xfId="24872" xr:uid="{00000000-0005-0000-0000-000028610000}"/>
    <cellStyle name="Normal 3 5 4 2" xfId="24873" xr:uid="{00000000-0005-0000-0000-000029610000}"/>
    <cellStyle name="Normal 3 5 4 2 2" xfId="24874" xr:uid="{00000000-0005-0000-0000-00002A610000}"/>
    <cellStyle name="Normal 3 5 4 3" xfId="24875" xr:uid="{00000000-0005-0000-0000-00002B610000}"/>
    <cellStyle name="Normal 3 5 5" xfId="24876" xr:uid="{00000000-0005-0000-0000-00002C610000}"/>
    <cellStyle name="Normal 3 5 5 2" xfId="24877" xr:uid="{00000000-0005-0000-0000-00002D610000}"/>
    <cellStyle name="Normal 3 5 5 2 2" xfId="24878" xr:uid="{00000000-0005-0000-0000-00002E610000}"/>
    <cellStyle name="Normal 3 5 5 3" xfId="24879" xr:uid="{00000000-0005-0000-0000-00002F610000}"/>
    <cellStyle name="Normal 3 5 6" xfId="24880" xr:uid="{00000000-0005-0000-0000-000030610000}"/>
    <cellStyle name="Normal 3 6" xfId="24881" xr:uid="{00000000-0005-0000-0000-000031610000}"/>
    <cellStyle name="Normal 3 6 2" xfId="24882" xr:uid="{00000000-0005-0000-0000-000032610000}"/>
    <cellStyle name="Normal 3 6 2 2" xfId="24883" xr:uid="{00000000-0005-0000-0000-000033610000}"/>
    <cellStyle name="Normal 3 6 2 2 2" xfId="24884" xr:uid="{00000000-0005-0000-0000-000034610000}"/>
    <cellStyle name="Normal 3 6 2 2 2 2" xfId="24885" xr:uid="{00000000-0005-0000-0000-000035610000}"/>
    <cellStyle name="Normal 3 6 2 2 3" xfId="24886" xr:uid="{00000000-0005-0000-0000-000036610000}"/>
    <cellStyle name="Normal 3 6 2 2 3 2" xfId="24887" xr:uid="{00000000-0005-0000-0000-000037610000}"/>
    <cellStyle name="Normal 3 6 2 2 3 2 2" xfId="24888" xr:uid="{00000000-0005-0000-0000-000038610000}"/>
    <cellStyle name="Normal 3 6 2 2 3 3" xfId="24889" xr:uid="{00000000-0005-0000-0000-000039610000}"/>
    <cellStyle name="Normal 3 6 2 2 4" xfId="24890" xr:uid="{00000000-0005-0000-0000-00003A610000}"/>
    <cellStyle name="Normal 3 6 2 3" xfId="24891" xr:uid="{00000000-0005-0000-0000-00003B610000}"/>
    <cellStyle name="Normal 3 6 2 3 2" xfId="24892" xr:uid="{00000000-0005-0000-0000-00003C610000}"/>
    <cellStyle name="Normal 3 6 2 3 2 2" xfId="24893" xr:uid="{00000000-0005-0000-0000-00003D610000}"/>
    <cellStyle name="Normal 3 6 2 3 3" xfId="24894" xr:uid="{00000000-0005-0000-0000-00003E610000}"/>
    <cellStyle name="Normal 3 6 2 4" xfId="24895" xr:uid="{00000000-0005-0000-0000-00003F610000}"/>
    <cellStyle name="Normal 3 6 2 4 2" xfId="24896" xr:uid="{00000000-0005-0000-0000-000040610000}"/>
    <cellStyle name="Normal 3 6 2 4 2 2" xfId="24897" xr:uid="{00000000-0005-0000-0000-000041610000}"/>
    <cellStyle name="Normal 3 6 2 4 3" xfId="24898" xr:uid="{00000000-0005-0000-0000-000042610000}"/>
    <cellStyle name="Normal 3 6 2 5" xfId="24899" xr:uid="{00000000-0005-0000-0000-000043610000}"/>
    <cellStyle name="Normal 3 6 3" xfId="24900" xr:uid="{00000000-0005-0000-0000-000044610000}"/>
    <cellStyle name="Normal 3 6 3 2" xfId="24901" xr:uid="{00000000-0005-0000-0000-000045610000}"/>
    <cellStyle name="Normal 3 6 4" xfId="24902" xr:uid="{00000000-0005-0000-0000-000046610000}"/>
    <cellStyle name="Normal 3 6 4 2" xfId="24903" xr:uid="{00000000-0005-0000-0000-000047610000}"/>
    <cellStyle name="Normal 3 6 4 2 2" xfId="24904" xr:uid="{00000000-0005-0000-0000-000048610000}"/>
    <cellStyle name="Normal 3 6 4 3" xfId="24905" xr:uid="{00000000-0005-0000-0000-000049610000}"/>
    <cellStyle name="Normal 3 6 5" xfId="24906" xr:uid="{00000000-0005-0000-0000-00004A610000}"/>
    <cellStyle name="Normal 3 6 5 2" xfId="24907" xr:uid="{00000000-0005-0000-0000-00004B610000}"/>
    <cellStyle name="Normal 3 6 5 2 2" xfId="24908" xr:uid="{00000000-0005-0000-0000-00004C610000}"/>
    <cellStyle name="Normal 3 6 5 3" xfId="24909" xr:uid="{00000000-0005-0000-0000-00004D610000}"/>
    <cellStyle name="Normal 3 6 6" xfId="24910" xr:uid="{00000000-0005-0000-0000-00004E610000}"/>
    <cellStyle name="Normal 3 7" xfId="24911" xr:uid="{00000000-0005-0000-0000-00004F610000}"/>
    <cellStyle name="Normal 3 7 2" xfId="24912" xr:uid="{00000000-0005-0000-0000-000050610000}"/>
    <cellStyle name="Normal 3 7 2 2" xfId="24913" xr:uid="{00000000-0005-0000-0000-000051610000}"/>
    <cellStyle name="Normal 3 7 2 2 2" xfId="24914" xr:uid="{00000000-0005-0000-0000-000052610000}"/>
    <cellStyle name="Normal 3 7 2 3" xfId="24915" xr:uid="{00000000-0005-0000-0000-000053610000}"/>
    <cellStyle name="Normal 3 7 2 3 2" xfId="24916" xr:uid="{00000000-0005-0000-0000-000054610000}"/>
    <cellStyle name="Normal 3 7 2 3 2 2" xfId="24917" xr:uid="{00000000-0005-0000-0000-000055610000}"/>
    <cellStyle name="Normal 3 7 2 3 3" xfId="24918" xr:uid="{00000000-0005-0000-0000-000056610000}"/>
    <cellStyle name="Normal 3 7 2 4" xfId="24919" xr:uid="{00000000-0005-0000-0000-000057610000}"/>
    <cellStyle name="Normal 3 7 3" xfId="24920" xr:uid="{00000000-0005-0000-0000-000058610000}"/>
    <cellStyle name="Normal 3 7 3 2" xfId="24921" xr:uid="{00000000-0005-0000-0000-000059610000}"/>
    <cellStyle name="Normal 3 7 3 2 2" xfId="24922" xr:uid="{00000000-0005-0000-0000-00005A610000}"/>
    <cellStyle name="Normal 3 7 3 3" xfId="24923" xr:uid="{00000000-0005-0000-0000-00005B610000}"/>
    <cellStyle name="Normal 3 7 4" xfId="24924" xr:uid="{00000000-0005-0000-0000-00005C610000}"/>
    <cellStyle name="Normal 3 7 4 2" xfId="24925" xr:uid="{00000000-0005-0000-0000-00005D610000}"/>
    <cellStyle name="Normal 3 7 4 2 2" xfId="24926" xr:uid="{00000000-0005-0000-0000-00005E610000}"/>
    <cellStyle name="Normal 3 7 4 3" xfId="24927" xr:uid="{00000000-0005-0000-0000-00005F610000}"/>
    <cellStyle name="Normal 3 7 5" xfId="24928" xr:uid="{00000000-0005-0000-0000-000060610000}"/>
    <cellStyle name="Normal 3 7 6" xfId="31688" xr:uid="{DA169398-488B-48BB-943C-FC154FCFC6B9}"/>
    <cellStyle name="Normal 3 8" xfId="24929" xr:uid="{00000000-0005-0000-0000-000061610000}"/>
    <cellStyle name="Normal 3 8 2" xfId="24930" xr:uid="{00000000-0005-0000-0000-000062610000}"/>
    <cellStyle name="Normal 3 8 2 2" xfId="24931" xr:uid="{00000000-0005-0000-0000-000063610000}"/>
    <cellStyle name="Normal 3 8 3" xfId="24932" xr:uid="{00000000-0005-0000-0000-000064610000}"/>
    <cellStyle name="Normal 3 9" xfId="24933" xr:uid="{00000000-0005-0000-0000-000065610000}"/>
    <cellStyle name="Normal 3 9 2" xfId="24934" xr:uid="{00000000-0005-0000-0000-000066610000}"/>
    <cellStyle name="Normal 30" xfId="24935" xr:uid="{00000000-0005-0000-0000-000067610000}"/>
    <cellStyle name="Normal 30 2" xfId="24936" xr:uid="{00000000-0005-0000-0000-000068610000}"/>
    <cellStyle name="Normal 30 2 2" xfId="24937" xr:uid="{00000000-0005-0000-0000-000069610000}"/>
    <cellStyle name="Normal 30 2 2 2" xfId="24938" xr:uid="{00000000-0005-0000-0000-00006A610000}"/>
    <cellStyle name="Normal 30 2 2 2 2" xfId="24939" xr:uid="{00000000-0005-0000-0000-00006B610000}"/>
    <cellStyle name="Normal 30 2 2 3" xfId="24940" xr:uid="{00000000-0005-0000-0000-00006C610000}"/>
    <cellStyle name="Normal 30 2 2 3 2" xfId="24941" xr:uid="{00000000-0005-0000-0000-00006D610000}"/>
    <cellStyle name="Normal 30 2 2 3 2 2" xfId="24942" xr:uid="{00000000-0005-0000-0000-00006E610000}"/>
    <cellStyle name="Normal 30 2 2 3 3" xfId="24943" xr:uid="{00000000-0005-0000-0000-00006F610000}"/>
    <cellStyle name="Normal 30 2 2 4" xfId="24944" xr:uid="{00000000-0005-0000-0000-000070610000}"/>
    <cellStyle name="Normal 30 2 2 4 2" xfId="24945" xr:uid="{00000000-0005-0000-0000-000071610000}"/>
    <cellStyle name="Normal 30 2 2 4 2 2" xfId="24946" xr:uid="{00000000-0005-0000-0000-000072610000}"/>
    <cellStyle name="Normal 30 2 2 4 3" xfId="24947" xr:uid="{00000000-0005-0000-0000-000073610000}"/>
    <cellStyle name="Normal 30 2 2 5" xfId="24948" xr:uid="{00000000-0005-0000-0000-000074610000}"/>
    <cellStyle name="Normal 30 2 3" xfId="24949" xr:uid="{00000000-0005-0000-0000-000075610000}"/>
    <cellStyle name="Normal 30 2 3 2" xfId="24950" xr:uid="{00000000-0005-0000-0000-000076610000}"/>
    <cellStyle name="Normal 30 2 3 2 2" xfId="24951" xr:uid="{00000000-0005-0000-0000-000077610000}"/>
    <cellStyle name="Normal 30 2 3 3" xfId="24952" xr:uid="{00000000-0005-0000-0000-000078610000}"/>
    <cellStyle name="Normal 30 2 4" xfId="24953" xr:uid="{00000000-0005-0000-0000-000079610000}"/>
    <cellStyle name="Normal 30 2 4 2" xfId="24954" xr:uid="{00000000-0005-0000-0000-00007A610000}"/>
    <cellStyle name="Normal 30 2 4 2 2" xfId="24955" xr:uid="{00000000-0005-0000-0000-00007B610000}"/>
    <cellStyle name="Normal 30 2 4 3" xfId="24956" xr:uid="{00000000-0005-0000-0000-00007C610000}"/>
    <cellStyle name="Normal 30 2 5" xfId="24957" xr:uid="{00000000-0005-0000-0000-00007D610000}"/>
    <cellStyle name="Normal 30 2 5 2" xfId="24958" xr:uid="{00000000-0005-0000-0000-00007E610000}"/>
    <cellStyle name="Normal 30 2 5 2 2" xfId="24959" xr:uid="{00000000-0005-0000-0000-00007F610000}"/>
    <cellStyle name="Normal 30 2 5 3" xfId="24960" xr:uid="{00000000-0005-0000-0000-000080610000}"/>
    <cellStyle name="Normal 30 2 6" xfId="24961" xr:uid="{00000000-0005-0000-0000-000081610000}"/>
    <cellStyle name="Normal 30 3" xfId="24962" xr:uid="{00000000-0005-0000-0000-000082610000}"/>
    <cellStyle name="Normal 30 3 2" xfId="24963" xr:uid="{00000000-0005-0000-0000-000083610000}"/>
    <cellStyle name="Normal 30 3 2 2" xfId="24964" xr:uid="{00000000-0005-0000-0000-000084610000}"/>
    <cellStyle name="Normal 30 3 3" xfId="24965" xr:uid="{00000000-0005-0000-0000-000085610000}"/>
    <cellStyle name="Normal 30 3 3 2" xfId="24966" xr:uid="{00000000-0005-0000-0000-000086610000}"/>
    <cellStyle name="Normal 30 3 3 2 2" xfId="24967" xr:uid="{00000000-0005-0000-0000-000087610000}"/>
    <cellStyle name="Normal 30 3 3 3" xfId="24968" xr:uid="{00000000-0005-0000-0000-000088610000}"/>
    <cellStyle name="Normal 30 3 4" xfId="24969" xr:uid="{00000000-0005-0000-0000-000089610000}"/>
    <cellStyle name="Normal 30 3 4 2" xfId="24970" xr:uid="{00000000-0005-0000-0000-00008A610000}"/>
    <cellStyle name="Normal 30 3 4 2 2" xfId="24971" xr:uid="{00000000-0005-0000-0000-00008B610000}"/>
    <cellStyle name="Normal 30 3 4 3" xfId="24972" xr:uid="{00000000-0005-0000-0000-00008C610000}"/>
    <cellStyle name="Normal 30 3 5" xfId="24973" xr:uid="{00000000-0005-0000-0000-00008D610000}"/>
    <cellStyle name="Normal 30 4" xfId="24974" xr:uid="{00000000-0005-0000-0000-00008E610000}"/>
    <cellStyle name="Normal 30 4 2" xfId="24975" xr:uid="{00000000-0005-0000-0000-00008F610000}"/>
    <cellStyle name="Normal 30 4 2 2" xfId="24976" xr:uid="{00000000-0005-0000-0000-000090610000}"/>
    <cellStyle name="Normal 30 4 3" xfId="24977" xr:uid="{00000000-0005-0000-0000-000091610000}"/>
    <cellStyle name="Normal 30 5" xfId="24978" xr:uid="{00000000-0005-0000-0000-000092610000}"/>
    <cellStyle name="Normal 30 5 2" xfId="24979" xr:uid="{00000000-0005-0000-0000-000093610000}"/>
    <cellStyle name="Normal 30 5 2 2" xfId="24980" xr:uid="{00000000-0005-0000-0000-000094610000}"/>
    <cellStyle name="Normal 30 5 3" xfId="24981" xr:uid="{00000000-0005-0000-0000-000095610000}"/>
    <cellStyle name="Normal 30 6" xfId="24982" xr:uid="{00000000-0005-0000-0000-000096610000}"/>
    <cellStyle name="Normal 30 6 2" xfId="24983" xr:uid="{00000000-0005-0000-0000-000097610000}"/>
    <cellStyle name="Normal 30 6 2 2" xfId="24984" xr:uid="{00000000-0005-0000-0000-000098610000}"/>
    <cellStyle name="Normal 30 6 3" xfId="24985" xr:uid="{00000000-0005-0000-0000-000099610000}"/>
    <cellStyle name="Normal 30 7" xfId="24986" xr:uid="{00000000-0005-0000-0000-00009A610000}"/>
    <cellStyle name="Normal 300" xfId="24987" xr:uid="{00000000-0005-0000-0000-00009B610000}"/>
    <cellStyle name="Normal 300 2" xfId="24988" xr:uid="{00000000-0005-0000-0000-00009C610000}"/>
    <cellStyle name="Normal 300 2 2" xfId="24989" xr:uid="{00000000-0005-0000-0000-00009D610000}"/>
    <cellStyle name="Normal 300 2 2 2" xfId="24990" xr:uid="{00000000-0005-0000-0000-00009E610000}"/>
    <cellStyle name="Normal 300 2 3" xfId="24991" xr:uid="{00000000-0005-0000-0000-00009F610000}"/>
    <cellStyle name="Normal 300 2 3 2" xfId="24992" xr:uid="{00000000-0005-0000-0000-0000A0610000}"/>
    <cellStyle name="Normal 300 2 3 2 2" xfId="24993" xr:uid="{00000000-0005-0000-0000-0000A1610000}"/>
    <cellStyle name="Normal 300 2 3 3" xfId="24994" xr:uid="{00000000-0005-0000-0000-0000A2610000}"/>
    <cellStyle name="Normal 300 2 4" xfId="24995" xr:uid="{00000000-0005-0000-0000-0000A3610000}"/>
    <cellStyle name="Normal 300 2 4 2" xfId="24996" xr:uid="{00000000-0005-0000-0000-0000A4610000}"/>
    <cellStyle name="Normal 300 2 4 2 2" xfId="24997" xr:uid="{00000000-0005-0000-0000-0000A5610000}"/>
    <cellStyle name="Normal 300 2 4 3" xfId="24998" xr:uid="{00000000-0005-0000-0000-0000A6610000}"/>
    <cellStyle name="Normal 300 2 5" xfId="24999" xr:uid="{00000000-0005-0000-0000-0000A7610000}"/>
    <cellStyle name="Normal 300 3" xfId="25000" xr:uid="{00000000-0005-0000-0000-0000A8610000}"/>
    <cellStyle name="Normal 300 3 2" xfId="25001" xr:uid="{00000000-0005-0000-0000-0000A9610000}"/>
    <cellStyle name="Normal 300 3 2 2" xfId="25002" xr:uid="{00000000-0005-0000-0000-0000AA610000}"/>
    <cellStyle name="Normal 300 3 2 2 2" xfId="25003" xr:uid="{00000000-0005-0000-0000-0000AB610000}"/>
    <cellStyle name="Normal 300 3 2 3" xfId="25004" xr:uid="{00000000-0005-0000-0000-0000AC610000}"/>
    <cellStyle name="Normal 300 3 2 3 2" xfId="25005" xr:uid="{00000000-0005-0000-0000-0000AD610000}"/>
    <cellStyle name="Normal 300 3 2 3 2 2" xfId="25006" xr:uid="{00000000-0005-0000-0000-0000AE610000}"/>
    <cellStyle name="Normal 300 3 2 3 3" xfId="25007" xr:uid="{00000000-0005-0000-0000-0000AF610000}"/>
    <cellStyle name="Normal 300 3 2 4" xfId="25008" xr:uid="{00000000-0005-0000-0000-0000B0610000}"/>
    <cellStyle name="Normal 300 3 3" xfId="25009" xr:uid="{00000000-0005-0000-0000-0000B1610000}"/>
    <cellStyle name="Normal 300 3 3 2" xfId="25010" xr:uid="{00000000-0005-0000-0000-0000B2610000}"/>
    <cellStyle name="Normal 300 3 3 2 2" xfId="25011" xr:uid="{00000000-0005-0000-0000-0000B3610000}"/>
    <cellStyle name="Normal 300 3 3 3" xfId="25012" xr:uid="{00000000-0005-0000-0000-0000B4610000}"/>
    <cellStyle name="Normal 300 3 4" xfId="25013" xr:uid="{00000000-0005-0000-0000-0000B5610000}"/>
    <cellStyle name="Normal 300 3 4 2" xfId="25014" xr:uid="{00000000-0005-0000-0000-0000B6610000}"/>
    <cellStyle name="Normal 300 3 4 2 2" xfId="25015" xr:uid="{00000000-0005-0000-0000-0000B7610000}"/>
    <cellStyle name="Normal 300 3 4 3" xfId="25016" xr:uid="{00000000-0005-0000-0000-0000B8610000}"/>
    <cellStyle name="Normal 300 3 5" xfId="25017" xr:uid="{00000000-0005-0000-0000-0000B9610000}"/>
    <cellStyle name="Normal 300 3 5 2" xfId="25018" xr:uid="{00000000-0005-0000-0000-0000BA610000}"/>
    <cellStyle name="Normal 300 3 5 2 2" xfId="25019" xr:uid="{00000000-0005-0000-0000-0000BB610000}"/>
    <cellStyle name="Normal 300 3 5 3" xfId="25020" xr:uid="{00000000-0005-0000-0000-0000BC610000}"/>
    <cellStyle name="Normal 300 3 6" xfId="25021" xr:uid="{00000000-0005-0000-0000-0000BD610000}"/>
    <cellStyle name="Normal 300 4" xfId="25022" xr:uid="{00000000-0005-0000-0000-0000BE610000}"/>
    <cellStyle name="Normal 300 4 2" xfId="25023" xr:uid="{00000000-0005-0000-0000-0000BF610000}"/>
    <cellStyle name="Normal 300 4 2 2" xfId="25024" xr:uid="{00000000-0005-0000-0000-0000C0610000}"/>
    <cellStyle name="Normal 300 4 3" xfId="25025" xr:uid="{00000000-0005-0000-0000-0000C1610000}"/>
    <cellStyle name="Normal 300 5" xfId="25026" xr:uid="{00000000-0005-0000-0000-0000C2610000}"/>
    <cellStyle name="Normal 300 5 2" xfId="25027" xr:uid="{00000000-0005-0000-0000-0000C3610000}"/>
    <cellStyle name="Normal 300 5 2 2" xfId="25028" xr:uid="{00000000-0005-0000-0000-0000C4610000}"/>
    <cellStyle name="Normal 300 5 3" xfId="25029" xr:uid="{00000000-0005-0000-0000-0000C5610000}"/>
    <cellStyle name="Normal 300 6" xfId="25030" xr:uid="{00000000-0005-0000-0000-0000C6610000}"/>
    <cellStyle name="Normal 300 6 2" xfId="25031" xr:uid="{00000000-0005-0000-0000-0000C7610000}"/>
    <cellStyle name="Normal 300 6 2 2" xfId="25032" xr:uid="{00000000-0005-0000-0000-0000C8610000}"/>
    <cellStyle name="Normal 300 6 3" xfId="25033" xr:uid="{00000000-0005-0000-0000-0000C9610000}"/>
    <cellStyle name="Normal 300 7" xfId="25034" xr:uid="{00000000-0005-0000-0000-0000CA610000}"/>
    <cellStyle name="Normal 301" xfId="25035" xr:uid="{00000000-0005-0000-0000-0000CB610000}"/>
    <cellStyle name="Normal 301 2" xfId="25036" xr:uid="{00000000-0005-0000-0000-0000CC610000}"/>
    <cellStyle name="Normal 301 2 2" xfId="25037" xr:uid="{00000000-0005-0000-0000-0000CD610000}"/>
    <cellStyle name="Normal 301 2 2 2" xfId="25038" xr:uid="{00000000-0005-0000-0000-0000CE610000}"/>
    <cellStyle name="Normal 301 2 3" xfId="25039" xr:uid="{00000000-0005-0000-0000-0000CF610000}"/>
    <cellStyle name="Normal 301 2 3 2" xfId="25040" xr:uid="{00000000-0005-0000-0000-0000D0610000}"/>
    <cellStyle name="Normal 301 2 3 2 2" xfId="25041" xr:uid="{00000000-0005-0000-0000-0000D1610000}"/>
    <cellStyle name="Normal 301 2 3 3" xfId="25042" xr:uid="{00000000-0005-0000-0000-0000D2610000}"/>
    <cellStyle name="Normal 301 2 4" xfId="25043" xr:uid="{00000000-0005-0000-0000-0000D3610000}"/>
    <cellStyle name="Normal 301 2 4 2" xfId="25044" xr:uid="{00000000-0005-0000-0000-0000D4610000}"/>
    <cellStyle name="Normal 301 2 4 2 2" xfId="25045" xr:uid="{00000000-0005-0000-0000-0000D5610000}"/>
    <cellStyle name="Normal 301 2 4 3" xfId="25046" xr:uid="{00000000-0005-0000-0000-0000D6610000}"/>
    <cellStyle name="Normal 301 2 5" xfId="25047" xr:uid="{00000000-0005-0000-0000-0000D7610000}"/>
    <cellStyle name="Normal 301 3" xfId="25048" xr:uid="{00000000-0005-0000-0000-0000D8610000}"/>
    <cellStyle name="Normal 301 3 2" xfId="25049" xr:uid="{00000000-0005-0000-0000-0000D9610000}"/>
    <cellStyle name="Normal 301 3 2 2" xfId="25050" xr:uid="{00000000-0005-0000-0000-0000DA610000}"/>
    <cellStyle name="Normal 301 3 2 2 2" xfId="25051" xr:uid="{00000000-0005-0000-0000-0000DB610000}"/>
    <cellStyle name="Normal 301 3 2 3" xfId="25052" xr:uid="{00000000-0005-0000-0000-0000DC610000}"/>
    <cellStyle name="Normal 301 3 2 3 2" xfId="25053" xr:uid="{00000000-0005-0000-0000-0000DD610000}"/>
    <cellStyle name="Normal 301 3 2 3 2 2" xfId="25054" xr:uid="{00000000-0005-0000-0000-0000DE610000}"/>
    <cellStyle name="Normal 301 3 2 3 3" xfId="25055" xr:uid="{00000000-0005-0000-0000-0000DF610000}"/>
    <cellStyle name="Normal 301 3 2 4" xfId="25056" xr:uid="{00000000-0005-0000-0000-0000E0610000}"/>
    <cellStyle name="Normal 301 3 3" xfId="25057" xr:uid="{00000000-0005-0000-0000-0000E1610000}"/>
    <cellStyle name="Normal 301 3 3 2" xfId="25058" xr:uid="{00000000-0005-0000-0000-0000E2610000}"/>
    <cellStyle name="Normal 301 3 3 2 2" xfId="25059" xr:uid="{00000000-0005-0000-0000-0000E3610000}"/>
    <cellStyle name="Normal 301 3 3 3" xfId="25060" xr:uid="{00000000-0005-0000-0000-0000E4610000}"/>
    <cellStyle name="Normal 301 3 4" xfId="25061" xr:uid="{00000000-0005-0000-0000-0000E5610000}"/>
    <cellStyle name="Normal 301 3 4 2" xfId="25062" xr:uid="{00000000-0005-0000-0000-0000E6610000}"/>
    <cellStyle name="Normal 301 3 4 2 2" xfId="25063" xr:uid="{00000000-0005-0000-0000-0000E7610000}"/>
    <cellStyle name="Normal 301 3 4 3" xfId="25064" xr:uid="{00000000-0005-0000-0000-0000E8610000}"/>
    <cellStyle name="Normal 301 3 5" xfId="25065" xr:uid="{00000000-0005-0000-0000-0000E9610000}"/>
    <cellStyle name="Normal 301 3 5 2" xfId="25066" xr:uid="{00000000-0005-0000-0000-0000EA610000}"/>
    <cellStyle name="Normal 301 3 5 2 2" xfId="25067" xr:uid="{00000000-0005-0000-0000-0000EB610000}"/>
    <cellStyle name="Normal 301 3 5 3" xfId="25068" xr:uid="{00000000-0005-0000-0000-0000EC610000}"/>
    <cellStyle name="Normal 301 3 6" xfId="25069" xr:uid="{00000000-0005-0000-0000-0000ED610000}"/>
    <cellStyle name="Normal 301 4" xfId="25070" xr:uid="{00000000-0005-0000-0000-0000EE610000}"/>
    <cellStyle name="Normal 301 4 2" xfId="25071" xr:uid="{00000000-0005-0000-0000-0000EF610000}"/>
    <cellStyle name="Normal 301 4 2 2" xfId="25072" xr:uid="{00000000-0005-0000-0000-0000F0610000}"/>
    <cellStyle name="Normal 301 4 3" xfId="25073" xr:uid="{00000000-0005-0000-0000-0000F1610000}"/>
    <cellStyle name="Normal 301 5" xfId="25074" xr:uid="{00000000-0005-0000-0000-0000F2610000}"/>
    <cellStyle name="Normal 301 5 2" xfId="25075" xr:uid="{00000000-0005-0000-0000-0000F3610000}"/>
    <cellStyle name="Normal 301 5 2 2" xfId="25076" xr:uid="{00000000-0005-0000-0000-0000F4610000}"/>
    <cellStyle name="Normal 301 5 3" xfId="25077" xr:uid="{00000000-0005-0000-0000-0000F5610000}"/>
    <cellStyle name="Normal 301 6" xfId="25078" xr:uid="{00000000-0005-0000-0000-0000F6610000}"/>
    <cellStyle name="Normal 301 6 2" xfId="25079" xr:uid="{00000000-0005-0000-0000-0000F7610000}"/>
    <cellStyle name="Normal 301 6 2 2" xfId="25080" xr:uid="{00000000-0005-0000-0000-0000F8610000}"/>
    <cellStyle name="Normal 301 6 3" xfId="25081" xr:uid="{00000000-0005-0000-0000-0000F9610000}"/>
    <cellStyle name="Normal 301 7" xfId="25082" xr:uid="{00000000-0005-0000-0000-0000FA610000}"/>
    <cellStyle name="Normal 302" xfId="25083" xr:uid="{00000000-0005-0000-0000-0000FB610000}"/>
    <cellStyle name="Normal 302 2" xfId="25084" xr:uid="{00000000-0005-0000-0000-0000FC610000}"/>
    <cellStyle name="Normal 302 2 2" xfId="25085" xr:uid="{00000000-0005-0000-0000-0000FD610000}"/>
    <cellStyle name="Normal 302 2 2 2" xfId="25086" xr:uid="{00000000-0005-0000-0000-0000FE610000}"/>
    <cellStyle name="Normal 302 2 3" xfId="25087" xr:uid="{00000000-0005-0000-0000-0000FF610000}"/>
    <cellStyle name="Normal 302 2 3 2" xfId="25088" xr:uid="{00000000-0005-0000-0000-000000620000}"/>
    <cellStyle name="Normal 302 2 3 2 2" xfId="25089" xr:uid="{00000000-0005-0000-0000-000001620000}"/>
    <cellStyle name="Normal 302 2 3 3" xfId="25090" xr:uid="{00000000-0005-0000-0000-000002620000}"/>
    <cellStyle name="Normal 302 2 4" xfId="25091" xr:uid="{00000000-0005-0000-0000-000003620000}"/>
    <cellStyle name="Normal 302 2 4 2" xfId="25092" xr:uid="{00000000-0005-0000-0000-000004620000}"/>
    <cellStyle name="Normal 302 2 4 2 2" xfId="25093" xr:uid="{00000000-0005-0000-0000-000005620000}"/>
    <cellStyle name="Normal 302 2 4 3" xfId="25094" xr:uid="{00000000-0005-0000-0000-000006620000}"/>
    <cellStyle name="Normal 302 2 5" xfId="25095" xr:uid="{00000000-0005-0000-0000-000007620000}"/>
    <cellStyle name="Normal 302 3" xfId="25096" xr:uid="{00000000-0005-0000-0000-000008620000}"/>
    <cellStyle name="Normal 302 3 2" xfId="25097" xr:uid="{00000000-0005-0000-0000-000009620000}"/>
    <cellStyle name="Normal 302 3 2 2" xfId="25098" xr:uid="{00000000-0005-0000-0000-00000A620000}"/>
    <cellStyle name="Normal 302 3 2 2 2" xfId="25099" xr:uid="{00000000-0005-0000-0000-00000B620000}"/>
    <cellStyle name="Normal 302 3 2 3" xfId="25100" xr:uid="{00000000-0005-0000-0000-00000C620000}"/>
    <cellStyle name="Normal 302 3 2 3 2" xfId="25101" xr:uid="{00000000-0005-0000-0000-00000D620000}"/>
    <cellStyle name="Normal 302 3 2 3 2 2" xfId="25102" xr:uid="{00000000-0005-0000-0000-00000E620000}"/>
    <cellStyle name="Normal 302 3 2 3 3" xfId="25103" xr:uid="{00000000-0005-0000-0000-00000F620000}"/>
    <cellStyle name="Normal 302 3 2 4" xfId="25104" xr:uid="{00000000-0005-0000-0000-000010620000}"/>
    <cellStyle name="Normal 302 3 3" xfId="25105" xr:uid="{00000000-0005-0000-0000-000011620000}"/>
    <cellStyle name="Normal 302 3 3 2" xfId="25106" xr:uid="{00000000-0005-0000-0000-000012620000}"/>
    <cellStyle name="Normal 302 3 3 2 2" xfId="25107" xr:uid="{00000000-0005-0000-0000-000013620000}"/>
    <cellStyle name="Normal 302 3 3 3" xfId="25108" xr:uid="{00000000-0005-0000-0000-000014620000}"/>
    <cellStyle name="Normal 302 3 4" xfId="25109" xr:uid="{00000000-0005-0000-0000-000015620000}"/>
    <cellStyle name="Normal 302 3 4 2" xfId="25110" xr:uid="{00000000-0005-0000-0000-000016620000}"/>
    <cellStyle name="Normal 302 3 4 2 2" xfId="25111" xr:uid="{00000000-0005-0000-0000-000017620000}"/>
    <cellStyle name="Normal 302 3 4 3" xfId="25112" xr:uid="{00000000-0005-0000-0000-000018620000}"/>
    <cellStyle name="Normal 302 3 5" xfId="25113" xr:uid="{00000000-0005-0000-0000-000019620000}"/>
    <cellStyle name="Normal 302 3 5 2" xfId="25114" xr:uid="{00000000-0005-0000-0000-00001A620000}"/>
    <cellStyle name="Normal 302 3 5 2 2" xfId="25115" xr:uid="{00000000-0005-0000-0000-00001B620000}"/>
    <cellStyle name="Normal 302 3 5 3" xfId="25116" xr:uid="{00000000-0005-0000-0000-00001C620000}"/>
    <cellStyle name="Normal 302 3 6" xfId="25117" xr:uid="{00000000-0005-0000-0000-00001D620000}"/>
    <cellStyle name="Normal 302 4" xfId="25118" xr:uid="{00000000-0005-0000-0000-00001E620000}"/>
    <cellStyle name="Normal 302 4 2" xfId="25119" xr:uid="{00000000-0005-0000-0000-00001F620000}"/>
    <cellStyle name="Normal 302 4 2 2" xfId="25120" xr:uid="{00000000-0005-0000-0000-000020620000}"/>
    <cellStyle name="Normal 302 4 3" xfId="25121" xr:uid="{00000000-0005-0000-0000-000021620000}"/>
    <cellStyle name="Normal 302 5" xfId="25122" xr:uid="{00000000-0005-0000-0000-000022620000}"/>
    <cellStyle name="Normal 302 5 2" xfId="25123" xr:uid="{00000000-0005-0000-0000-000023620000}"/>
    <cellStyle name="Normal 302 5 2 2" xfId="25124" xr:uid="{00000000-0005-0000-0000-000024620000}"/>
    <cellStyle name="Normal 302 5 3" xfId="25125" xr:uid="{00000000-0005-0000-0000-000025620000}"/>
    <cellStyle name="Normal 302 6" xfId="25126" xr:uid="{00000000-0005-0000-0000-000026620000}"/>
    <cellStyle name="Normal 302 6 2" xfId="25127" xr:uid="{00000000-0005-0000-0000-000027620000}"/>
    <cellStyle name="Normal 302 6 2 2" xfId="25128" xr:uid="{00000000-0005-0000-0000-000028620000}"/>
    <cellStyle name="Normal 302 6 3" xfId="25129" xr:uid="{00000000-0005-0000-0000-000029620000}"/>
    <cellStyle name="Normal 302 7" xfId="25130" xr:uid="{00000000-0005-0000-0000-00002A620000}"/>
    <cellStyle name="Normal 303" xfId="25131" xr:uid="{00000000-0005-0000-0000-00002B620000}"/>
    <cellStyle name="Normal 303 2" xfId="25132" xr:uid="{00000000-0005-0000-0000-00002C620000}"/>
    <cellStyle name="Normal 303 2 2" xfId="25133" xr:uid="{00000000-0005-0000-0000-00002D620000}"/>
    <cellStyle name="Normal 303 2 2 2" xfId="25134" xr:uid="{00000000-0005-0000-0000-00002E620000}"/>
    <cellStyle name="Normal 303 2 3" xfId="25135" xr:uid="{00000000-0005-0000-0000-00002F620000}"/>
    <cellStyle name="Normal 303 2 3 2" xfId="25136" xr:uid="{00000000-0005-0000-0000-000030620000}"/>
    <cellStyle name="Normal 303 2 3 2 2" xfId="25137" xr:uid="{00000000-0005-0000-0000-000031620000}"/>
    <cellStyle name="Normal 303 2 3 3" xfId="25138" xr:uid="{00000000-0005-0000-0000-000032620000}"/>
    <cellStyle name="Normal 303 2 4" xfId="25139" xr:uid="{00000000-0005-0000-0000-000033620000}"/>
    <cellStyle name="Normal 303 2 4 2" xfId="25140" xr:uid="{00000000-0005-0000-0000-000034620000}"/>
    <cellStyle name="Normal 303 2 4 2 2" xfId="25141" xr:uid="{00000000-0005-0000-0000-000035620000}"/>
    <cellStyle name="Normal 303 2 4 3" xfId="25142" xr:uid="{00000000-0005-0000-0000-000036620000}"/>
    <cellStyle name="Normal 303 2 5" xfId="25143" xr:uid="{00000000-0005-0000-0000-000037620000}"/>
    <cellStyle name="Normal 303 3" xfId="25144" xr:uid="{00000000-0005-0000-0000-000038620000}"/>
    <cellStyle name="Normal 303 3 2" xfId="25145" xr:uid="{00000000-0005-0000-0000-000039620000}"/>
    <cellStyle name="Normal 303 3 2 2" xfId="25146" xr:uid="{00000000-0005-0000-0000-00003A620000}"/>
    <cellStyle name="Normal 303 3 2 2 2" xfId="25147" xr:uid="{00000000-0005-0000-0000-00003B620000}"/>
    <cellStyle name="Normal 303 3 2 3" xfId="25148" xr:uid="{00000000-0005-0000-0000-00003C620000}"/>
    <cellStyle name="Normal 303 3 2 3 2" xfId="25149" xr:uid="{00000000-0005-0000-0000-00003D620000}"/>
    <cellStyle name="Normal 303 3 2 3 2 2" xfId="25150" xr:uid="{00000000-0005-0000-0000-00003E620000}"/>
    <cellStyle name="Normal 303 3 2 3 3" xfId="25151" xr:uid="{00000000-0005-0000-0000-00003F620000}"/>
    <cellStyle name="Normal 303 3 2 4" xfId="25152" xr:uid="{00000000-0005-0000-0000-000040620000}"/>
    <cellStyle name="Normal 303 3 3" xfId="25153" xr:uid="{00000000-0005-0000-0000-000041620000}"/>
    <cellStyle name="Normal 303 3 3 2" xfId="25154" xr:uid="{00000000-0005-0000-0000-000042620000}"/>
    <cellStyle name="Normal 303 3 3 2 2" xfId="25155" xr:uid="{00000000-0005-0000-0000-000043620000}"/>
    <cellStyle name="Normal 303 3 3 3" xfId="25156" xr:uid="{00000000-0005-0000-0000-000044620000}"/>
    <cellStyle name="Normal 303 3 4" xfId="25157" xr:uid="{00000000-0005-0000-0000-000045620000}"/>
    <cellStyle name="Normal 303 3 4 2" xfId="25158" xr:uid="{00000000-0005-0000-0000-000046620000}"/>
    <cellStyle name="Normal 303 3 4 2 2" xfId="25159" xr:uid="{00000000-0005-0000-0000-000047620000}"/>
    <cellStyle name="Normal 303 3 4 3" xfId="25160" xr:uid="{00000000-0005-0000-0000-000048620000}"/>
    <cellStyle name="Normal 303 3 5" xfId="25161" xr:uid="{00000000-0005-0000-0000-000049620000}"/>
    <cellStyle name="Normal 303 3 5 2" xfId="25162" xr:uid="{00000000-0005-0000-0000-00004A620000}"/>
    <cellStyle name="Normal 303 3 5 2 2" xfId="25163" xr:uid="{00000000-0005-0000-0000-00004B620000}"/>
    <cellStyle name="Normal 303 3 5 3" xfId="25164" xr:uid="{00000000-0005-0000-0000-00004C620000}"/>
    <cellStyle name="Normal 303 3 6" xfId="25165" xr:uid="{00000000-0005-0000-0000-00004D620000}"/>
    <cellStyle name="Normal 303 4" xfId="25166" xr:uid="{00000000-0005-0000-0000-00004E620000}"/>
    <cellStyle name="Normal 303 4 2" xfId="25167" xr:uid="{00000000-0005-0000-0000-00004F620000}"/>
    <cellStyle name="Normal 303 4 2 2" xfId="25168" xr:uid="{00000000-0005-0000-0000-000050620000}"/>
    <cellStyle name="Normal 303 4 3" xfId="25169" xr:uid="{00000000-0005-0000-0000-000051620000}"/>
    <cellStyle name="Normal 303 5" xfId="25170" xr:uid="{00000000-0005-0000-0000-000052620000}"/>
    <cellStyle name="Normal 303 5 2" xfId="25171" xr:uid="{00000000-0005-0000-0000-000053620000}"/>
    <cellStyle name="Normal 303 5 2 2" xfId="25172" xr:uid="{00000000-0005-0000-0000-000054620000}"/>
    <cellStyle name="Normal 303 5 3" xfId="25173" xr:uid="{00000000-0005-0000-0000-000055620000}"/>
    <cellStyle name="Normal 303 6" xfId="25174" xr:uid="{00000000-0005-0000-0000-000056620000}"/>
    <cellStyle name="Normal 303 6 2" xfId="25175" xr:uid="{00000000-0005-0000-0000-000057620000}"/>
    <cellStyle name="Normal 303 6 2 2" xfId="25176" xr:uid="{00000000-0005-0000-0000-000058620000}"/>
    <cellStyle name="Normal 303 6 3" xfId="25177" xr:uid="{00000000-0005-0000-0000-000059620000}"/>
    <cellStyle name="Normal 303 7" xfId="25178" xr:uid="{00000000-0005-0000-0000-00005A620000}"/>
    <cellStyle name="Normal 304" xfId="25179" xr:uid="{00000000-0005-0000-0000-00005B620000}"/>
    <cellStyle name="Normal 304 2" xfId="25180" xr:uid="{00000000-0005-0000-0000-00005C620000}"/>
    <cellStyle name="Normal 304 2 2" xfId="25181" xr:uid="{00000000-0005-0000-0000-00005D620000}"/>
    <cellStyle name="Normal 304 2 2 2" xfId="25182" xr:uid="{00000000-0005-0000-0000-00005E620000}"/>
    <cellStyle name="Normal 304 2 3" xfId="25183" xr:uid="{00000000-0005-0000-0000-00005F620000}"/>
    <cellStyle name="Normal 304 2 3 2" xfId="25184" xr:uid="{00000000-0005-0000-0000-000060620000}"/>
    <cellStyle name="Normal 304 2 3 2 2" xfId="25185" xr:uid="{00000000-0005-0000-0000-000061620000}"/>
    <cellStyle name="Normal 304 2 3 3" xfId="25186" xr:uid="{00000000-0005-0000-0000-000062620000}"/>
    <cellStyle name="Normal 304 2 4" xfId="25187" xr:uid="{00000000-0005-0000-0000-000063620000}"/>
    <cellStyle name="Normal 304 2 4 2" xfId="25188" xr:uid="{00000000-0005-0000-0000-000064620000}"/>
    <cellStyle name="Normal 304 2 4 2 2" xfId="25189" xr:uid="{00000000-0005-0000-0000-000065620000}"/>
    <cellStyle name="Normal 304 2 4 3" xfId="25190" xr:uid="{00000000-0005-0000-0000-000066620000}"/>
    <cellStyle name="Normal 304 2 5" xfId="25191" xr:uid="{00000000-0005-0000-0000-000067620000}"/>
    <cellStyle name="Normal 304 3" xfId="25192" xr:uid="{00000000-0005-0000-0000-000068620000}"/>
    <cellStyle name="Normal 304 3 2" xfId="25193" xr:uid="{00000000-0005-0000-0000-000069620000}"/>
    <cellStyle name="Normal 304 3 2 2" xfId="25194" xr:uid="{00000000-0005-0000-0000-00006A620000}"/>
    <cellStyle name="Normal 304 3 2 2 2" xfId="25195" xr:uid="{00000000-0005-0000-0000-00006B620000}"/>
    <cellStyle name="Normal 304 3 2 3" xfId="25196" xr:uid="{00000000-0005-0000-0000-00006C620000}"/>
    <cellStyle name="Normal 304 3 2 3 2" xfId="25197" xr:uid="{00000000-0005-0000-0000-00006D620000}"/>
    <cellStyle name="Normal 304 3 2 3 2 2" xfId="25198" xr:uid="{00000000-0005-0000-0000-00006E620000}"/>
    <cellStyle name="Normal 304 3 2 3 3" xfId="25199" xr:uid="{00000000-0005-0000-0000-00006F620000}"/>
    <cellStyle name="Normal 304 3 2 4" xfId="25200" xr:uid="{00000000-0005-0000-0000-000070620000}"/>
    <cellStyle name="Normal 304 3 3" xfId="25201" xr:uid="{00000000-0005-0000-0000-000071620000}"/>
    <cellStyle name="Normal 304 3 3 2" xfId="25202" xr:uid="{00000000-0005-0000-0000-000072620000}"/>
    <cellStyle name="Normal 304 3 3 2 2" xfId="25203" xr:uid="{00000000-0005-0000-0000-000073620000}"/>
    <cellStyle name="Normal 304 3 3 3" xfId="25204" xr:uid="{00000000-0005-0000-0000-000074620000}"/>
    <cellStyle name="Normal 304 3 4" xfId="25205" xr:uid="{00000000-0005-0000-0000-000075620000}"/>
    <cellStyle name="Normal 304 3 4 2" xfId="25206" xr:uid="{00000000-0005-0000-0000-000076620000}"/>
    <cellStyle name="Normal 304 3 4 2 2" xfId="25207" xr:uid="{00000000-0005-0000-0000-000077620000}"/>
    <cellStyle name="Normal 304 3 4 3" xfId="25208" xr:uid="{00000000-0005-0000-0000-000078620000}"/>
    <cellStyle name="Normal 304 3 5" xfId="25209" xr:uid="{00000000-0005-0000-0000-000079620000}"/>
    <cellStyle name="Normal 304 3 5 2" xfId="25210" xr:uid="{00000000-0005-0000-0000-00007A620000}"/>
    <cellStyle name="Normal 304 3 5 2 2" xfId="25211" xr:uid="{00000000-0005-0000-0000-00007B620000}"/>
    <cellStyle name="Normal 304 3 5 3" xfId="25212" xr:uid="{00000000-0005-0000-0000-00007C620000}"/>
    <cellStyle name="Normal 304 3 6" xfId="25213" xr:uid="{00000000-0005-0000-0000-00007D620000}"/>
    <cellStyle name="Normal 304 4" xfId="25214" xr:uid="{00000000-0005-0000-0000-00007E620000}"/>
    <cellStyle name="Normal 304 4 2" xfId="25215" xr:uid="{00000000-0005-0000-0000-00007F620000}"/>
    <cellStyle name="Normal 304 4 2 2" xfId="25216" xr:uid="{00000000-0005-0000-0000-000080620000}"/>
    <cellStyle name="Normal 304 4 3" xfId="25217" xr:uid="{00000000-0005-0000-0000-000081620000}"/>
    <cellStyle name="Normal 304 5" xfId="25218" xr:uid="{00000000-0005-0000-0000-000082620000}"/>
    <cellStyle name="Normal 304 5 2" xfId="25219" xr:uid="{00000000-0005-0000-0000-000083620000}"/>
    <cellStyle name="Normal 304 5 2 2" xfId="25220" xr:uid="{00000000-0005-0000-0000-000084620000}"/>
    <cellStyle name="Normal 304 5 3" xfId="25221" xr:uid="{00000000-0005-0000-0000-000085620000}"/>
    <cellStyle name="Normal 304 6" xfId="25222" xr:uid="{00000000-0005-0000-0000-000086620000}"/>
    <cellStyle name="Normal 304 6 2" xfId="25223" xr:uid="{00000000-0005-0000-0000-000087620000}"/>
    <cellStyle name="Normal 304 6 2 2" xfId="25224" xr:uid="{00000000-0005-0000-0000-000088620000}"/>
    <cellStyle name="Normal 304 6 3" xfId="25225" xr:uid="{00000000-0005-0000-0000-000089620000}"/>
    <cellStyle name="Normal 304 7" xfId="25226" xr:uid="{00000000-0005-0000-0000-00008A620000}"/>
    <cellStyle name="Normal 305" xfId="25227" xr:uid="{00000000-0005-0000-0000-00008B620000}"/>
    <cellStyle name="Normal 305 2" xfId="25228" xr:uid="{00000000-0005-0000-0000-00008C620000}"/>
    <cellStyle name="Normal 305 2 2" xfId="25229" xr:uid="{00000000-0005-0000-0000-00008D620000}"/>
    <cellStyle name="Normal 305 2 2 2" xfId="25230" xr:uid="{00000000-0005-0000-0000-00008E620000}"/>
    <cellStyle name="Normal 305 2 3" xfId="25231" xr:uid="{00000000-0005-0000-0000-00008F620000}"/>
    <cellStyle name="Normal 305 2 3 2" xfId="25232" xr:uid="{00000000-0005-0000-0000-000090620000}"/>
    <cellStyle name="Normal 305 2 3 2 2" xfId="25233" xr:uid="{00000000-0005-0000-0000-000091620000}"/>
    <cellStyle name="Normal 305 2 3 3" xfId="25234" xr:uid="{00000000-0005-0000-0000-000092620000}"/>
    <cellStyle name="Normal 305 2 4" xfId="25235" xr:uid="{00000000-0005-0000-0000-000093620000}"/>
    <cellStyle name="Normal 305 2 4 2" xfId="25236" xr:uid="{00000000-0005-0000-0000-000094620000}"/>
    <cellStyle name="Normal 305 2 4 2 2" xfId="25237" xr:uid="{00000000-0005-0000-0000-000095620000}"/>
    <cellStyle name="Normal 305 2 4 3" xfId="25238" xr:uid="{00000000-0005-0000-0000-000096620000}"/>
    <cellStyle name="Normal 305 2 5" xfId="25239" xr:uid="{00000000-0005-0000-0000-000097620000}"/>
    <cellStyle name="Normal 305 3" xfId="25240" xr:uid="{00000000-0005-0000-0000-000098620000}"/>
    <cellStyle name="Normal 305 3 2" xfId="25241" xr:uid="{00000000-0005-0000-0000-000099620000}"/>
    <cellStyle name="Normal 305 3 2 2" xfId="25242" xr:uid="{00000000-0005-0000-0000-00009A620000}"/>
    <cellStyle name="Normal 305 3 2 2 2" xfId="25243" xr:uid="{00000000-0005-0000-0000-00009B620000}"/>
    <cellStyle name="Normal 305 3 2 3" xfId="25244" xr:uid="{00000000-0005-0000-0000-00009C620000}"/>
    <cellStyle name="Normal 305 3 2 3 2" xfId="25245" xr:uid="{00000000-0005-0000-0000-00009D620000}"/>
    <cellStyle name="Normal 305 3 2 3 2 2" xfId="25246" xr:uid="{00000000-0005-0000-0000-00009E620000}"/>
    <cellStyle name="Normal 305 3 2 3 3" xfId="25247" xr:uid="{00000000-0005-0000-0000-00009F620000}"/>
    <cellStyle name="Normal 305 3 2 4" xfId="25248" xr:uid="{00000000-0005-0000-0000-0000A0620000}"/>
    <cellStyle name="Normal 305 3 3" xfId="25249" xr:uid="{00000000-0005-0000-0000-0000A1620000}"/>
    <cellStyle name="Normal 305 3 3 2" xfId="25250" xr:uid="{00000000-0005-0000-0000-0000A2620000}"/>
    <cellStyle name="Normal 305 3 3 2 2" xfId="25251" xr:uid="{00000000-0005-0000-0000-0000A3620000}"/>
    <cellStyle name="Normal 305 3 3 3" xfId="25252" xr:uid="{00000000-0005-0000-0000-0000A4620000}"/>
    <cellStyle name="Normal 305 3 4" xfId="25253" xr:uid="{00000000-0005-0000-0000-0000A5620000}"/>
    <cellStyle name="Normal 305 3 4 2" xfId="25254" xr:uid="{00000000-0005-0000-0000-0000A6620000}"/>
    <cellStyle name="Normal 305 3 4 2 2" xfId="25255" xr:uid="{00000000-0005-0000-0000-0000A7620000}"/>
    <cellStyle name="Normal 305 3 4 3" xfId="25256" xr:uid="{00000000-0005-0000-0000-0000A8620000}"/>
    <cellStyle name="Normal 305 3 5" xfId="25257" xr:uid="{00000000-0005-0000-0000-0000A9620000}"/>
    <cellStyle name="Normal 305 3 5 2" xfId="25258" xr:uid="{00000000-0005-0000-0000-0000AA620000}"/>
    <cellStyle name="Normal 305 3 5 2 2" xfId="25259" xr:uid="{00000000-0005-0000-0000-0000AB620000}"/>
    <cellStyle name="Normal 305 3 5 3" xfId="25260" xr:uid="{00000000-0005-0000-0000-0000AC620000}"/>
    <cellStyle name="Normal 305 3 6" xfId="25261" xr:uid="{00000000-0005-0000-0000-0000AD620000}"/>
    <cellStyle name="Normal 305 4" xfId="25262" xr:uid="{00000000-0005-0000-0000-0000AE620000}"/>
    <cellStyle name="Normal 305 4 2" xfId="25263" xr:uid="{00000000-0005-0000-0000-0000AF620000}"/>
    <cellStyle name="Normal 305 4 2 2" xfId="25264" xr:uid="{00000000-0005-0000-0000-0000B0620000}"/>
    <cellStyle name="Normal 305 4 3" xfId="25265" xr:uid="{00000000-0005-0000-0000-0000B1620000}"/>
    <cellStyle name="Normal 305 5" xfId="25266" xr:uid="{00000000-0005-0000-0000-0000B2620000}"/>
    <cellStyle name="Normal 305 5 2" xfId="25267" xr:uid="{00000000-0005-0000-0000-0000B3620000}"/>
    <cellStyle name="Normal 305 5 2 2" xfId="25268" xr:uid="{00000000-0005-0000-0000-0000B4620000}"/>
    <cellStyle name="Normal 305 5 3" xfId="25269" xr:uid="{00000000-0005-0000-0000-0000B5620000}"/>
    <cellStyle name="Normal 305 6" xfId="25270" xr:uid="{00000000-0005-0000-0000-0000B6620000}"/>
    <cellStyle name="Normal 305 6 2" xfId="25271" xr:uid="{00000000-0005-0000-0000-0000B7620000}"/>
    <cellStyle name="Normal 305 6 2 2" xfId="25272" xr:uid="{00000000-0005-0000-0000-0000B8620000}"/>
    <cellStyle name="Normal 305 6 3" xfId="25273" xr:uid="{00000000-0005-0000-0000-0000B9620000}"/>
    <cellStyle name="Normal 305 7" xfId="25274" xr:uid="{00000000-0005-0000-0000-0000BA620000}"/>
    <cellStyle name="Normal 306" xfId="25275" xr:uid="{00000000-0005-0000-0000-0000BB620000}"/>
    <cellStyle name="Normal 306 2" xfId="25276" xr:uid="{00000000-0005-0000-0000-0000BC620000}"/>
    <cellStyle name="Normal 306 2 2" xfId="25277" xr:uid="{00000000-0005-0000-0000-0000BD620000}"/>
    <cellStyle name="Normal 306 2 2 2" xfId="25278" xr:uid="{00000000-0005-0000-0000-0000BE620000}"/>
    <cellStyle name="Normal 306 2 3" xfId="25279" xr:uid="{00000000-0005-0000-0000-0000BF620000}"/>
    <cellStyle name="Normal 306 2 3 2" xfId="25280" xr:uid="{00000000-0005-0000-0000-0000C0620000}"/>
    <cellStyle name="Normal 306 2 3 2 2" xfId="25281" xr:uid="{00000000-0005-0000-0000-0000C1620000}"/>
    <cellStyle name="Normal 306 2 3 3" xfId="25282" xr:uid="{00000000-0005-0000-0000-0000C2620000}"/>
    <cellStyle name="Normal 306 2 4" xfId="25283" xr:uid="{00000000-0005-0000-0000-0000C3620000}"/>
    <cellStyle name="Normal 306 2 4 2" xfId="25284" xr:uid="{00000000-0005-0000-0000-0000C4620000}"/>
    <cellStyle name="Normal 306 2 4 2 2" xfId="25285" xr:uid="{00000000-0005-0000-0000-0000C5620000}"/>
    <cellStyle name="Normal 306 2 4 3" xfId="25286" xr:uid="{00000000-0005-0000-0000-0000C6620000}"/>
    <cellStyle name="Normal 306 2 5" xfId="25287" xr:uid="{00000000-0005-0000-0000-0000C7620000}"/>
    <cellStyle name="Normal 306 3" xfId="25288" xr:uid="{00000000-0005-0000-0000-0000C8620000}"/>
    <cellStyle name="Normal 306 3 2" xfId="25289" xr:uid="{00000000-0005-0000-0000-0000C9620000}"/>
    <cellStyle name="Normal 306 3 2 2" xfId="25290" xr:uid="{00000000-0005-0000-0000-0000CA620000}"/>
    <cellStyle name="Normal 306 3 2 2 2" xfId="25291" xr:uid="{00000000-0005-0000-0000-0000CB620000}"/>
    <cellStyle name="Normal 306 3 2 3" xfId="25292" xr:uid="{00000000-0005-0000-0000-0000CC620000}"/>
    <cellStyle name="Normal 306 3 2 3 2" xfId="25293" xr:uid="{00000000-0005-0000-0000-0000CD620000}"/>
    <cellStyle name="Normal 306 3 2 3 2 2" xfId="25294" xr:uid="{00000000-0005-0000-0000-0000CE620000}"/>
    <cellStyle name="Normal 306 3 2 3 3" xfId="25295" xr:uid="{00000000-0005-0000-0000-0000CF620000}"/>
    <cellStyle name="Normal 306 3 2 4" xfId="25296" xr:uid="{00000000-0005-0000-0000-0000D0620000}"/>
    <cellStyle name="Normal 306 3 3" xfId="25297" xr:uid="{00000000-0005-0000-0000-0000D1620000}"/>
    <cellStyle name="Normal 306 3 3 2" xfId="25298" xr:uid="{00000000-0005-0000-0000-0000D2620000}"/>
    <cellStyle name="Normal 306 3 3 2 2" xfId="25299" xr:uid="{00000000-0005-0000-0000-0000D3620000}"/>
    <cellStyle name="Normal 306 3 3 3" xfId="25300" xr:uid="{00000000-0005-0000-0000-0000D4620000}"/>
    <cellStyle name="Normal 306 3 4" xfId="25301" xr:uid="{00000000-0005-0000-0000-0000D5620000}"/>
    <cellStyle name="Normal 306 3 4 2" xfId="25302" xr:uid="{00000000-0005-0000-0000-0000D6620000}"/>
    <cellStyle name="Normal 306 3 4 2 2" xfId="25303" xr:uid="{00000000-0005-0000-0000-0000D7620000}"/>
    <cellStyle name="Normal 306 3 4 3" xfId="25304" xr:uid="{00000000-0005-0000-0000-0000D8620000}"/>
    <cellStyle name="Normal 306 3 5" xfId="25305" xr:uid="{00000000-0005-0000-0000-0000D9620000}"/>
    <cellStyle name="Normal 306 3 5 2" xfId="25306" xr:uid="{00000000-0005-0000-0000-0000DA620000}"/>
    <cellStyle name="Normal 306 3 5 2 2" xfId="25307" xr:uid="{00000000-0005-0000-0000-0000DB620000}"/>
    <cellStyle name="Normal 306 3 5 3" xfId="25308" xr:uid="{00000000-0005-0000-0000-0000DC620000}"/>
    <cellStyle name="Normal 306 3 6" xfId="25309" xr:uid="{00000000-0005-0000-0000-0000DD620000}"/>
    <cellStyle name="Normal 306 4" xfId="25310" xr:uid="{00000000-0005-0000-0000-0000DE620000}"/>
    <cellStyle name="Normal 306 4 2" xfId="25311" xr:uid="{00000000-0005-0000-0000-0000DF620000}"/>
    <cellStyle name="Normal 306 4 2 2" xfId="25312" xr:uid="{00000000-0005-0000-0000-0000E0620000}"/>
    <cellStyle name="Normal 306 4 3" xfId="25313" xr:uid="{00000000-0005-0000-0000-0000E1620000}"/>
    <cellStyle name="Normal 306 5" xfId="25314" xr:uid="{00000000-0005-0000-0000-0000E2620000}"/>
    <cellStyle name="Normal 306 5 2" xfId="25315" xr:uid="{00000000-0005-0000-0000-0000E3620000}"/>
    <cellStyle name="Normal 306 5 2 2" xfId="25316" xr:uid="{00000000-0005-0000-0000-0000E4620000}"/>
    <cellStyle name="Normal 306 5 3" xfId="25317" xr:uid="{00000000-0005-0000-0000-0000E5620000}"/>
    <cellStyle name="Normal 306 6" xfId="25318" xr:uid="{00000000-0005-0000-0000-0000E6620000}"/>
    <cellStyle name="Normal 306 6 2" xfId="25319" xr:uid="{00000000-0005-0000-0000-0000E7620000}"/>
    <cellStyle name="Normal 306 6 2 2" xfId="25320" xr:uid="{00000000-0005-0000-0000-0000E8620000}"/>
    <cellStyle name="Normal 306 6 3" xfId="25321" xr:uid="{00000000-0005-0000-0000-0000E9620000}"/>
    <cellStyle name="Normal 306 7" xfId="25322" xr:uid="{00000000-0005-0000-0000-0000EA620000}"/>
    <cellStyle name="Normal 307" xfId="25323" xr:uid="{00000000-0005-0000-0000-0000EB620000}"/>
    <cellStyle name="Normal 307 2" xfId="25324" xr:uid="{00000000-0005-0000-0000-0000EC620000}"/>
    <cellStyle name="Normal 307 2 2" xfId="25325" xr:uid="{00000000-0005-0000-0000-0000ED620000}"/>
    <cellStyle name="Normal 307 2 2 2" xfId="25326" xr:uid="{00000000-0005-0000-0000-0000EE620000}"/>
    <cellStyle name="Normal 307 2 3" xfId="25327" xr:uid="{00000000-0005-0000-0000-0000EF620000}"/>
    <cellStyle name="Normal 307 2 3 2" xfId="25328" xr:uid="{00000000-0005-0000-0000-0000F0620000}"/>
    <cellStyle name="Normal 307 2 3 2 2" xfId="25329" xr:uid="{00000000-0005-0000-0000-0000F1620000}"/>
    <cellStyle name="Normal 307 2 3 3" xfId="25330" xr:uid="{00000000-0005-0000-0000-0000F2620000}"/>
    <cellStyle name="Normal 307 2 4" xfId="25331" xr:uid="{00000000-0005-0000-0000-0000F3620000}"/>
    <cellStyle name="Normal 307 2 4 2" xfId="25332" xr:uid="{00000000-0005-0000-0000-0000F4620000}"/>
    <cellStyle name="Normal 307 2 4 2 2" xfId="25333" xr:uid="{00000000-0005-0000-0000-0000F5620000}"/>
    <cellStyle name="Normal 307 2 4 3" xfId="25334" xr:uid="{00000000-0005-0000-0000-0000F6620000}"/>
    <cellStyle name="Normal 307 2 5" xfId="25335" xr:uid="{00000000-0005-0000-0000-0000F7620000}"/>
    <cellStyle name="Normal 307 3" xfId="25336" xr:uid="{00000000-0005-0000-0000-0000F8620000}"/>
    <cellStyle name="Normal 307 3 2" xfId="25337" xr:uid="{00000000-0005-0000-0000-0000F9620000}"/>
    <cellStyle name="Normal 307 3 2 2" xfId="25338" xr:uid="{00000000-0005-0000-0000-0000FA620000}"/>
    <cellStyle name="Normal 307 3 2 2 2" xfId="25339" xr:uid="{00000000-0005-0000-0000-0000FB620000}"/>
    <cellStyle name="Normal 307 3 2 3" xfId="25340" xr:uid="{00000000-0005-0000-0000-0000FC620000}"/>
    <cellStyle name="Normal 307 3 2 3 2" xfId="25341" xr:uid="{00000000-0005-0000-0000-0000FD620000}"/>
    <cellStyle name="Normal 307 3 2 3 2 2" xfId="25342" xr:uid="{00000000-0005-0000-0000-0000FE620000}"/>
    <cellStyle name="Normal 307 3 2 3 3" xfId="25343" xr:uid="{00000000-0005-0000-0000-0000FF620000}"/>
    <cellStyle name="Normal 307 3 2 4" xfId="25344" xr:uid="{00000000-0005-0000-0000-000000630000}"/>
    <cellStyle name="Normal 307 3 3" xfId="25345" xr:uid="{00000000-0005-0000-0000-000001630000}"/>
    <cellStyle name="Normal 307 3 3 2" xfId="25346" xr:uid="{00000000-0005-0000-0000-000002630000}"/>
    <cellStyle name="Normal 307 3 3 2 2" xfId="25347" xr:uid="{00000000-0005-0000-0000-000003630000}"/>
    <cellStyle name="Normal 307 3 3 3" xfId="25348" xr:uid="{00000000-0005-0000-0000-000004630000}"/>
    <cellStyle name="Normal 307 3 4" xfId="25349" xr:uid="{00000000-0005-0000-0000-000005630000}"/>
    <cellStyle name="Normal 307 3 4 2" xfId="25350" xr:uid="{00000000-0005-0000-0000-000006630000}"/>
    <cellStyle name="Normal 307 3 4 2 2" xfId="25351" xr:uid="{00000000-0005-0000-0000-000007630000}"/>
    <cellStyle name="Normal 307 3 4 3" xfId="25352" xr:uid="{00000000-0005-0000-0000-000008630000}"/>
    <cellStyle name="Normal 307 3 5" xfId="25353" xr:uid="{00000000-0005-0000-0000-000009630000}"/>
    <cellStyle name="Normal 307 3 5 2" xfId="25354" xr:uid="{00000000-0005-0000-0000-00000A630000}"/>
    <cellStyle name="Normal 307 3 5 2 2" xfId="25355" xr:uid="{00000000-0005-0000-0000-00000B630000}"/>
    <cellStyle name="Normal 307 3 5 3" xfId="25356" xr:uid="{00000000-0005-0000-0000-00000C630000}"/>
    <cellStyle name="Normal 307 3 6" xfId="25357" xr:uid="{00000000-0005-0000-0000-00000D630000}"/>
    <cellStyle name="Normal 307 4" xfId="25358" xr:uid="{00000000-0005-0000-0000-00000E630000}"/>
    <cellStyle name="Normal 307 4 2" xfId="25359" xr:uid="{00000000-0005-0000-0000-00000F630000}"/>
    <cellStyle name="Normal 307 4 2 2" xfId="25360" xr:uid="{00000000-0005-0000-0000-000010630000}"/>
    <cellStyle name="Normal 307 4 3" xfId="25361" xr:uid="{00000000-0005-0000-0000-000011630000}"/>
    <cellStyle name="Normal 307 5" xfId="25362" xr:uid="{00000000-0005-0000-0000-000012630000}"/>
    <cellStyle name="Normal 307 5 2" xfId="25363" xr:uid="{00000000-0005-0000-0000-000013630000}"/>
    <cellStyle name="Normal 307 5 2 2" xfId="25364" xr:uid="{00000000-0005-0000-0000-000014630000}"/>
    <cellStyle name="Normal 307 5 3" xfId="25365" xr:uid="{00000000-0005-0000-0000-000015630000}"/>
    <cellStyle name="Normal 307 6" xfId="25366" xr:uid="{00000000-0005-0000-0000-000016630000}"/>
    <cellStyle name="Normal 307 6 2" xfId="25367" xr:uid="{00000000-0005-0000-0000-000017630000}"/>
    <cellStyle name="Normal 307 6 2 2" xfId="25368" xr:uid="{00000000-0005-0000-0000-000018630000}"/>
    <cellStyle name="Normal 307 6 3" xfId="25369" xr:uid="{00000000-0005-0000-0000-000019630000}"/>
    <cellStyle name="Normal 307 7" xfId="25370" xr:uid="{00000000-0005-0000-0000-00001A630000}"/>
    <cellStyle name="Normal 308" xfId="25371" xr:uid="{00000000-0005-0000-0000-00001B630000}"/>
    <cellStyle name="Normal 308 2" xfId="25372" xr:uid="{00000000-0005-0000-0000-00001C630000}"/>
    <cellStyle name="Normal 308 2 2" xfId="25373" xr:uid="{00000000-0005-0000-0000-00001D630000}"/>
    <cellStyle name="Normal 308 2 2 2" xfId="25374" xr:uid="{00000000-0005-0000-0000-00001E630000}"/>
    <cellStyle name="Normal 308 2 3" xfId="25375" xr:uid="{00000000-0005-0000-0000-00001F630000}"/>
    <cellStyle name="Normal 308 2 3 2" xfId="25376" xr:uid="{00000000-0005-0000-0000-000020630000}"/>
    <cellStyle name="Normal 308 2 3 2 2" xfId="25377" xr:uid="{00000000-0005-0000-0000-000021630000}"/>
    <cellStyle name="Normal 308 2 3 3" xfId="25378" xr:uid="{00000000-0005-0000-0000-000022630000}"/>
    <cellStyle name="Normal 308 2 4" xfId="25379" xr:uid="{00000000-0005-0000-0000-000023630000}"/>
    <cellStyle name="Normal 308 2 4 2" xfId="25380" xr:uid="{00000000-0005-0000-0000-000024630000}"/>
    <cellStyle name="Normal 308 2 4 2 2" xfId="25381" xr:uid="{00000000-0005-0000-0000-000025630000}"/>
    <cellStyle name="Normal 308 2 4 3" xfId="25382" xr:uid="{00000000-0005-0000-0000-000026630000}"/>
    <cellStyle name="Normal 308 2 5" xfId="25383" xr:uid="{00000000-0005-0000-0000-000027630000}"/>
    <cellStyle name="Normal 308 3" xfId="25384" xr:uid="{00000000-0005-0000-0000-000028630000}"/>
    <cellStyle name="Normal 308 3 2" xfId="25385" xr:uid="{00000000-0005-0000-0000-000029630000}"/>
    <cellStyle name="Normal 308 3 2 2" xfId="25386" xr:uid="{00000000-0005-0000-0000-00002A630000}"/>
    <cellStyle name="Normal 308 3 2 2 2" xfId="25387" xr:uid="{00000000-0005-0000-0000-00002B630000}"/>
    <cellStyle name="Normal 308 3 2 3" xfId="25388" xr:uid="{00000000-0005-0000-0000-00002C630000}"/>
    <cellStyle name="Normal 308 3 2 3 2" xfId="25389" xr:uid="{00000000-0005-0000-0000-00002D630000}"/>
    <cellStyle name="Normal 308 3 2 3 2 2" xfId="25390" xr:uid="{00000000-0005-0000-0000-00002E630000}"/>
    <cellStyle name="Normal 308 3 2 3 3" xfId="25391" xr:uid="{00000000-0005-0000-0000-00002F630000}"/>
    <cellStyle name="Normal 308 3 2 4" xfId="25392" xr:uid="{00000000-0005-0000-0000-000030630000}"/>
    <cellStyle name="Normal 308 3 3" xfId="25393" xr:uid="{00000000-0005-0000-0000-000031630000}"/>
    <cellStyle name="Normal 308 3 3 2" xfId="25394" xr:uid="{00000000-0005-0000-0000-000032630000}"/>
    <cellStyle name="Normal 308 3 3 2 2" xfId="25395" xr:uid="{00000000-0005-0000-0000-000033630000}"/>
    <cellStyle name="Normal 308 3 3 3" xfId="25396" xr:uid="{00000000-0005-0000-0000-000034630000}"/>
    <cellStyle name="Normal 308 3 4" xfId="25397" xr:uid="{00000000-0005-0000-0000-000035630000}"/>
    <cellStyle name="Normal 308 3 4 2" xfId="25398" xr:uid="{00000000-0005-0000-0000-000036630000}"/>
    <cellStyle name="Normal 308 3 4 2 2" xfId="25399" xr:uid="{00000000-0005-0000-0000-000037630000}"/>
    <cellStyle name="Normal 308 3 4 3" xfId="25400" xr:uid="{00000000-0005-0000-0000-000038630000}"/>
    <cellStyle name="Normal 308 3 5" xfId="25401" xr:uid="{00000000-0005-0000-0000-000039630000}"/>
    <cellStyle name="Normal 308 3 5 2" xfId="25402" xr:uid="{00000000-0005-0000-0000-00003A630000}"/>
    <cellStyle name="Normal 308 3 5 2 2" xfId="25403" xr:uid="{00000000-0005-0000-0000-00003B630000}"/>
    <cellStyle name="Normal 308 3 5 3" xfId="25404" xr:uid="{00000000-0005-0000-0000-00003C630000}"/>
    <cellStyle name="Normal 308 3 6" xfId="25405" xr:uid="{00000000-0005-0000-0000-00003D630000}"/>
    <cellStyle name="Normal 308 4" xfId="25406" xr:uid="{00000000-0005-0000-0000-00003E630000}"/>
    <cellStyle name="Normal 308 4 2" xfId="25407" xr:uid="{00000000-0005-0000-0000-00003F630000}"/>
    <cellStyle name="Normal 308 4 2 2" xfId="25408" xr:uid="{00000000-0005-0000-0000-000040630000}"/>
    <cellStyle name="Normal 308 4 3" xfId="25409" xr:uid="{00000000-0005-0000-0000-000041630000}"/>
    <cellStyle name="Normal 308 5" xfId="25410" xr:uid="{00000000-0005-0000-0000-000042630000}"/>
    <cellStyle name="Normal 308 5 2" xfId="25411" xr:uid="{00000000-0005-0000-0000-000043630000}"/>
    <cellStyle name="Normal 308 5 2 2" xfId="25412" xr:uid="{00000000-0005-0000-0000-000044630000}"/>
    <cellStyle name="Normal 308 5 3" xfId="25413" xr:uid="{00000000-0005-0000-0000-000045630000}"/>
    <cellStyle name="Normal 308 6" xfId="25414" xr:uid="{00000000-0005-0000-0000-000046630000}"/>
    <cellStyle name="Normal 308 6 2" xfId="25415" xr:uid="{00000000-0005-0000-0000-000047630000}"/>
    <cellStyle name="Normal 308 6 2 2" xfId="25416" xr:uid="{00000000-0005-0000-0000-000048630000}"/>
    <cellStyle name="Normal 308 6 3" xfId="25417" xr:uid="{00000000-0005-0000-0000-000049630000}"/>
    <cellStyle name="Normal 308 7" xfId="25418" xr:uid="{00000000-0005-0000-0000-00004A630000}"/>
    <cellStyle name="Normal 309" xfId="25419" xr:uid="{00000000-0005-0000-0000-00004B630000}"/>
    <cellStyle name="Normal 309 2" xfId="25420" xr:uid="{00000000-0005-0000-0000-00004C630000}"/>
    <cellStyle name="Normal 309 2 2" xfId="25421" xr:uid="{00000000-0005-0000-0000-00004D630000}"/>
    <cellStyle name="Normal 309 2 2 2" xfId="25422" xr:uid="{00000000-0005-0000-0000-00004E630000}"/>
    <cellStyle name="Normal 309 2 3" xfId="25423" xr:uid="{00000000-0005-0000-0000-00004F630000}"/>
    <cellStyle name="Normal 309 2 3 2" xfId="25424" xr:uid="{00000000-0005-0000-0000-000050630000}"/>
    <cellStyle name="Normal 309 2 3 2 2" xfId="25425" xr:uid="{00000000-0005-0000-0000-000051630000}"/>
    <cellStyle name="Normal 309 2 3 3" xfId="25426" xr:uid="{00000000-0005-0000-0000-000052630000}"/>
    <cellStyle name="Normal 309 2 4" xfId="25427" xr:uid="{00000000-0005-0000-0000-000053630000}"/>
    <cellStyle name="Normal 309 2 4 2" xfId="25428" xr:uid="{00000000-0005-0000-0000-000054630000}"/>
    <cellStyle name="Normal 309 2 4 2 2" xfId="25429" xr:uid="{00000000-0005-0000-0000-000055630000}"/>
    <cellStyle name="Normal 309 2 4 3" xfId="25430" xr:uid="{00000000-0005-0000-0000-000056630000}"/>
    <cellStyle name="Normal 309 2 5" xfId="25431" xr:uid="{00000000-0005-0000-0000-000057630000}"/>
    <cellStyle name="Normal 309 3" xfId="25432" xr:uid="{00000000-0005-0000-0000-000058630000}"/>
    <cellStyle name="Normal 309 3 2" xfId="25433" xr:uid="{00000000-0005-0000-0000-000059630000}"/>
    <cellStyle name="Normal 309 3 2 2" xfId="25434" xr:uid="{00000000-0005-0000-0000-00005A630000}"/>
    <cellStyle name="Normal 309 3 2 2 2" xfId="25435" xr:uid="{00000000-0005-0000-0000-00005B630000}"/>
    <cellStyle name="Normal 309 3 2 3" xfId="25436" xr:uid="{00000000-0005-0000-0000-00005C630000}"/>
    <cellStyle name="Normal 309 3 2 3 2" xfId="25437" xr:uid="{00000000-0005-0000-0000-00005D630000}"/>
    <cellStyle name="Normal 309 3 2 3 2 2" xfId="25438" xr:uid="{00000000-0005-0000-0000-00005E630000}"/>
    <cellStyle name="Normal 309 3 2 3 3" xfId="25439" xr:uid="{00000000-0005-0000-0000-00005F630000}"/>
    <cellStyle name="Normal 309 3 2 4" xfId="25440" xr:uid="{00000000-0005-0000-0000-000060630000}"/>
    <cellStyle name="Normal 309 3 3" xfId="25441" xr:uid="{00000000-0005-0000-0000-000061630000}"/>
    <cellStyle name="Normal 309 3 3 2" xfId="25442" xr:uid="{00000000-0005-0000-0000-000062630000}"/>
    <cellStyle name="Normal 309 3 3 2 2" xfId="25443" xr:uid="{00000000-0005-0000-0000-000063630000}"/>
    <cellStyle name="Normal 309 3 3 3" xfId="25444" xr:uid="{00000000-0005-0000-0000-000064630000}"/>
    <cellStyle name="Normal 309 3 4" xfId="25445" xr:uid="{00000000-0005-0000-0000-000065630000}"/>
    <cellStyle name="Normal 309 3 4 2" xfId="25446" xr:uid="{00000000-0005-0000-0000-000066630000}"/>
    <cellStyle name="Normal 309 3 4 2 2" xfId="25447" xr:uid="{00000000-0005-0000-0000-000067630000}"/>
    <cellStyle name="Normal 309 3 4 3" xfId="25448" xr:uid="{00000000-0005-0000-0000-000068630000}"/>
    <cellStyle name="Normal 309 3 5" xfId="25449" xr:uid="{00000000-0005-0000-0000-000069630000}"/>
    <cellStyle name="Normal 309 3 5 2" xfId="25450" xr:uid="{00000000-0005-0000-0000-00006A630000}"/>
    <cellStyle name="Normal 309 3 5 2 2" xfId="25451" xr:uid="{00000000-0005-0000-0000-00006B630000}"/>
    <cellStyle name="Normal 309 3 5 3" xfId="25452" xr:uid="{00000000-0005-0000-0000-00006C630000}"/>
    <cellStyle name="Normal 309 3 6" xfId="25453" xr:uid="{00000000-0005-0000-0000-00006D630000}"/>
    <cellStyle name="Normal 309 4" xfId="25454" xr:uid="{00000000-0005-0000-0000-00006E630000}"/>
    <cellStyle name="Normal 309 4 2" xfId="25455" xr:uid="{00000000-0005-0000-0000-00006F630000}"/>
    <cellStyle name="Normal 309 4 2 2" xfId="25456" xr:uid="{00000000-0005-0000-0000-000070630000}"/>
    <cellStyle name="Normal 309 4 3" xfId="25457" xr:uid="{00000000-0005-0000-0000-000071630000}"/>
    <cellStyle name="Normal 309 5" xfId="25458" xr:uid="{00000000-0005-0000-0000-000072630000}"/>
    <cellStyle name="Normal 309 5 2" xfId="25459" xr:uid="{00000000-0005-0000-0000-000073630000}"/>
    <cellStyle name="Normal 309 5 2 2" xfId="25460" xr:uid="{00000000-0005-0000-0000-000074630000}"/>
    <cellStyle name="Normal 309 5 3" xfId="25461" xr:uid="{00000000-0005-0000-0000-000075630000}"/>
    <cellStyle name="Normal 309 6" xfId="25462" xr:uid="{00000000-0005-0000-0000-000076630000}"/>
    <cellStyle name="Normal 309 6 2" xfId="25463" xr:uid="{00000000-0005-0000-0000-000077630000}"/>
    <cellStyle name="Normal 309 6 2 2" xfId="25464" xr:uid="{00000000-0005-0000-0000-000078630000}"/>
    <cellStyle name="Normal 309 6 3" xfId="25465" xr:uid="{00000000-0005-0000-0000-000079630000}"/>
    <cellStyle name="Normal 309 7" xfId="25466" xr:uid="{00000000-0005-0000-0000-00007A630000}"/>
    <cellStyle name="Normal 31" xfId="12" xr:uid="{00000000-0005-0000-0000-00000C000000}"/>
    <cellStyle name="Normal 31 2" xfId="25467" xr:uid="{00000000-0005-0000-0000-00007B630000}"/>
    <cellStyle name="Normal 31 2 2" xfId="25468" xr:uid="{00000000-0005-0000-0000-00007C630000}"/>
    <cellStyle name="Normal 31 2 2 2" xfId="25469" xr:uid="{00000000-0005-0000-0000-00007D630000}"/>
    <cellStyle name="Normal 31 2 2 2 2" xfId="25470" xr:uid="{00000000-0005-0000-0000-00007E630000}"/>
    <cellStyle name="Normal 31 2 2 3" xfId="25471" xr:uid="{00000000-0005-0000-0000-00007F630000}"/>
    <cellStyle name="Normal 31 2 2 3 2" xfId="25472" xr:uid="{00000000-0005-0000-0000-000080630000}"/>
    <cellStyle name="Normal 31 2 2 3 2 2" xfId="25473" xr:uid="{00000000-0005-0000-0000-000081630000}"/>
    <cellStyle name="Normal 31 2 2 3 3" xfId="25474" xr:uid="{00000000-0005-0000-0000-000082630000}"/>
    <cellStyle name="Normal 31 2 2 4" xfId="25475" xr:uid="{00000000-0005-0000-0000-000083630000}"/>
    <cellStyle name="Normal 31 2 2 4 2" xfId="25476" xr:uid="{00000000-0005-0000-0000-000084630000}"/>
    <cellStyle name="Normal 31 2 2 4 2 2" xfId="25477" xr:uid="{00000000-0005-0000-0000-000085630000}"/>
    <cellStyle name="Normal 31 2 2 4 3" xfId="25478" xr:uid="{00000000-0005-0000-0000-000086630000}"/>
    <cellStyle name="Normal 31 2 2 5" xfId="25479" xr:uid="{00000000-0005-0000-0000-000087630000}"/>
    <cellStyle name="Normal 31 2 3" xfId="25480" xr:uid="{00000000-0005-0000-0000-000088630000}"/>
    <cellStyle name="Normal 31 2 3 2" xfId="25481" xr:uid="{00000000-0005-0000-0000-000089630000}"/>
    <cellStyle name="Normal 31 2 3 2 2" xfId="25482" xr:uid="{00000000-0005-0000-0000-00008A630000}"/>
    <cellStyle name="Normal 31 2 3 3" xfId="25483" xr:uid="{00000000-0005-0000-0000-00008B630000}"/>
    <cellStyle name="Normal 31 2 4" xfId="25484" xr:uid="{00000000-0005-0000-0000-00008C630000}"/>
    <cellStyle name="Normal 31 2 4 2" xfId="25485" xr:uid="{00000000-0005-0000-0000-00008D630000}"/>
    <cellStyle name="Normal 31 2 4 2 2" xfId="25486" xr:uid="{00000000-0005-0000-0000-00008E630000}"/>
    <cellStyle name="Normal 31 2 4 3" xfId="25487" xr:uid="{00000000-0005-0000-0000-00008F630000}"/>
    <cellStyle name="Normal 31 2 5" xfId="25488" xr:uid="{00000000-0005-0000-0000-000090630000}"/>
    <cellStyle name="Normal 31 2 5 2" xfId="25489" xr:uid="{00000000-0005-0000-0000-000091630000}"/>
    <cellStyle name="Normal 31 2 5 2 2" xfId="25490" xr:uid="{00000000-0005-0000-0000-000092630000}"/>
    <cellStyle name="Normal 31 2 5 3" xfId="25491" xr:uid="{00000000-0005-0000-0000-000093630000}"/>
    <cellStyle name="Normal 31 2 6" xfId="25492" xr:uid="{00000000-0005-0000-0000-000094630000}"/>
    <cellStyle name="Normal 31 3" xfId="25493" xr:uid="{00000000-0005-0000-0000-000095630000}"/>
    <cellStyle name="Normal 31 3 2" xfId="25494" xr:uid="{00000000-0005-0000-0000-000096630000}"/>
    <cellStyle name="Normal 31 3 2 2" xfId="25495" xr:uid="{00000000-0005-0000-0000-000097630000}"/>
    <cellStyle name="Normal 31 3 3" xfId="25496" xr:uid="{00000000-0005-0000-0000-000098630000}"/>
    <cellStyle name="Normal 31 3 3 2" xfId="25497" xr:uid="{00000000-0005-0000-0000-000099630000}"/>
    <cellStyle name="Normal 31 3 3 2 2" xfId="25498" xr:uid="{00000000-0005-0000-0000-00009A630000}"/>
    <cellStyle name="Normal 31 3 3 3" xfId="25499" xr:uid="{00000000-0005-0000-0000-00009B630000}"/>
    <cellStyle name="Normal 31 3 4" xfId="25500" xr:uid="{00000000-0005-0000-0000-00009C630000}"/>
    <cellStyle name="Normal 31 3 4 2" xfId="25501" xr:uid="{00000000-0005-0000-0000-00009D630000}"/>
    <cellStyle name="Normal 31 3 4 2 2" xfId="25502" xr:uid="{00000000-0005-0000-0000-00009E630000}"/>
    <cellStyle name="Normal 31 3 4 3" xfId="25503" xr:uid="{00000000-0005-0000-0000-00009F630000}"/>
    <cellStyle name="Normal 31 3 5" xfId="25504" xr:uid="{00000000-0005-0000-0000-0000A0630000}"/>
    <cellStyle name="Normal 31 4" xfId="25505" xr:uid="{00000000-0005-0000-0000-0000A1630000}"/>
    <cellStyle name="Normal 31 4 2" xfId="25506" xr:uid="{00000000-0005-0000-0000-0000A2630000}"/>
    <cellStyle name="Normal 31 4 2 2" xfId="25507" xr:uid="{00000000-0005-0000-0000-0000A3630000}"/>
    <cellStyle name="Normal 31 4 3" xfId="25508" xr:uid="{00000000-0005-0000-0000-0000A4630000}"/>
    <cellStyle name="Normal 31 5" xfId="25509" xr:uid="{00000000-0005-0000-0000-0000A5630000}"/>
    <cellStyle name="Normal 31 5 2" xfId="25510" xr:uid="{00000000-0005-0000-0000-0000A6630000}"/>
    <cellStyle name="Normal 31 5 2 2" xfId="25511" xr:uid="{00000000-0005-0000-0000-0000A7630000}"/>
    <cellStyle name="Normal 31 5 3" xfId="25512" xr:uid="{00000000-0005-0000-0000-0000A8630000}"/>
    <cellStyle name="Normal 31 6" xfId="25513" xr:uid="{00000000-0005-0000-0000-0000A9630000}"/>
    <cellStyle name="Normal 31 6 2" xfId="25514" xr:uid="{00000000-0005-0000-0000-0000AA630000}"/>
    <cellStyle name="Normal 31 6 2 2" xfId="25515" xr:uid="{00000000-0005-0000-0000-0000AB630000}"/>
    <cellStyle name="Normal 31 6 3" xfId="25516" xr:uid="{00000000-0005-0000-0000-0000AC630000}"/>
    <cellStyle name="Normal 31 7" xfId="25517" xr:uid="{00000000-0005-0000-0000-0000AD630000}"/>
    <cellStyle name="Normal 310" xfId="25518" xr:uid="{00000000-0005-0000-0000-0000AE630000}"/>
    <cellStyle name="Normal 310 2" xfId="25519" xr:uid="{00000000-0005-0000-0000-0000AF630000}"/>
    <cellStyle name="Normal 310 2 2" xfId="25520" xr:uid="{00000000-0005-0000-0000-0000B0630000}"/>
    <cellStyle name="Normal 310 2 2 2" xfId="25521" xr:uid="{00000000-0005-0000-0000-0000B1630000}"/>
    <cellStyle name="Normal 310 2 3" xfId="25522" xr:uid="{00000000-0005-0000-0000-0000B2630000}"/>
    <cellStyle name="Normal 310 2 3 2" xfId="25523" xr:uid="{00000000-0005-0000-0000-0000B3630000}"/>
    <cellStyle name="Normal 310 2 3 2 2" xfId="25524" xr:uid="{00000000-0005-0000-0000-0000B4630000}"/>
    <cellStyle name="Normal 310 2 3 3" xfId="25525" xr:uid="{00000000-0005-0000-0000-0000B5630000}"/>
    <cellStyle name="Normal 310 2 4" xfId="25526" xr:uid="{00000000-0005-0000-0000-0000B6630000}"/>
    <cellStyle name="Normal 310 2 4 2" xfId="25527" xr:uid="{00000000-0005-0000-0000-0000B7630000}"/>
    <cellStyle name="Normal 310 2 4 2 2" xfId="25528" xr:uid="{00000000-0005-0000-0000-0000B8630000}"/>
    <cellStyle name="Normal 310 2 4 3" xfId="25529" xr:uid="{00000000-0005-0000-0000-0000B9630000}"/>
    <cellStyle name="Normal 310 2 5" xfId="25530" xr:uid="{00000000-0005-0000-0000-0000BA630000}"/>
    <cellStyle name="Normal 310 3" xfId="25531" xr:uid="{00000000-0005-0000-0000-0000BB630000}"/>
    <cellStyle name="Normal 310 3 2" xfId="25532" xr:uid="{00000000-0005-0000-0000-0000BC630000}"/>
    <cellStyle name="Normal 310 3 2 2" xfId="25533" xr:uid="{00000000-0005-0000-0000-0000BD630000}"/>
    <cellStyle name="Normal 310 3 2 2 2" xfId="25534" xr:uid="{00000000-0005-0000-0000-0000BE630000}"/>
    <cellStyle name="Normal 310 3 2 3" xfId="25535" xr:uid="{00000000-0005-0000-0000-0000BF630000}"/>
    <cellStyle name="Normal 310 3 2 3 2" xfId="25536" xr:uid="{00000000-0005-0000-0000-0000C0630000}"/>
    <cellStyle name="Normal 310 3 2 3 2 2" xfId="25537" xr:uid="{00000000-0005-0000-0000-0000C1630000}"/>
    <cellStyle name="Normal 310 3 2 3 3" xfId="25538" xr:uid="{00000000-0005-0000-0000-0000C2630000}"/>
    <cellStyle name="Normal 310 3 2 4" xfId="25539" xr:uid="{00000000-0005-0000-0000-0000C3630000}"/>
    <cellStyle name="Normal 310 3 3" xfId="25540" xr:uid="{00000000-0005-0000-0000-0000C4630000}"/>
    <cellStyle name="Normal 310 3 3 2" xfId="25541" xr:uid="{00000000-0005-0000-0000-0000C5630000}"/>
    <cellStyle name="Normal 310 3 3 2 2" xfId="25542" xr:uid="{00000000-0005-0000-0000-0000C6630000}"/>
    <cellStyle name="Normal 310 3 3 3" xfId="25543" xr:uid="{00000000-0005-0000-0000-0000C7630000}"/>
    <cellStyle name="Normal 310 3 4" xfId="25544" xr:uid="{00000000-0005-0000-0000-0000C8630000}"/>
    <cellStyle name="Normal 310 3 4 2" xfId="25545" xr:uid="{00000000-0005-0000-0000-0000C9630000}"/>
    <cellStyle name="Normal 310 3 4 2 2" xfId="25546" xr:uid="{00000000-0005-0000-0000-0000CA630000}"/>
    <cellStyle name="Normal 310 3 4 3" xfId="25547" xr:uid="{00000000-0005-0000-0000-0000CB630000}"/>
    <cellStyle name="Normal 310 3 5" xfId="25548" xr:uid="{00000000-0005-0000-0000-0000CC630000}"/>
    <cellStyle name="Normal 310 3 5 2" xfId="25549" xr:uid="{00000000-0005-0000-0000-0000CD630000}"/>
    <cellStyle name="Normal 310 3 5 2 2" xfId="25550" xr:uid="{00000000-0005-0000-0000-0000CE630000}"/>
    <cellStyle name="Normal 310 3 5 3" xfId="25551" xr:uid="{00000000-0005-0000-0000-0000CF630000}"/>
    <cellStyle name="Normal 310 3 6" xfId="25552" xr:uid="{00000000-0005-0000-0000-0000D0630000}"/>
    <cellStyle name="Normal 310 4" xfId="25553" xr:uid="{00000000-0005-0000-0000-0000D1630000}"/>
    <cellStyle name="Normal 310 4 2" xfId="25554" xr:uid="{00000000-0005-0000-0000-0000D2630000}"/>
    <cellStyle name="Normal 310 4 2 2" xfId="25555" xr:uid="{00000000-0005-0000-0000-0000D3630000}"/>
    <cellStyle name="Normal 310 4 3" xfId="25556" xr:uid="{00000000-0005-0000-0000-0000D4630000}"/>
    <cellStyle name="Normal 310 5" xfId="25557" xr:uid="{00000000-0005-0000-0000-0000D5630000}"/>
    <cellStyle name="Normal 310 5 2" xfId="25558" xr:uid="{00000000-0005-0000-0000-0000D6630000}"/>
    <cellStyle name="Normal 310 5 2 2" xfId="25559" xr:uid="{00000000-0005-0000-0000-0000D7630000}"/>
    <cellStyle name="Normal 310 5 3" xfId="25560" xr:uid="{00000000-0005-0000-0000-0000D8630000}"/>
    <cellStyle name="Normal 310 6" xfId="25561" xr:uid="{00000000-0005-0000-0000-0000D9630000}"/>
    <cellStyle name="Normal 310 6 2" xfId="25562" xr:uid="{00000000-0005-0000-0000-0000DA630000}"/>
    <cellStyle name="Normal 310 6 2 2" xfId="25563" xr:uid="{00000000-0005-0000-0000-0000DB630000}"/>
    <cellStyle name="Normal 310 6 3" xfId="25564" xr:uid="{00000000-0005-0000-0000-0000DC630000}"/>
    <cellStyle name="Normal 310 7" xfId="25565" xr:uid="{00000000-0005-0000-0000-0000DD630000}"/>
    <cellStyle name="Normal 311" xfId="25566" xr:uid="{00000000-0005-0000-0000-0000DE630000}"/>
    <cellStyle name="Normal 311 2" xfId="25567" xr:uid="{00000000-0005-0000-0000-0000DF630000}"/>
    <cellStyle name="Normal 311 2 2" xfId="25568" xr:uid="{00000000-0005-0000-0000-0000E0630000}"/>
    <cellStyle name="Normal 311 2 2 2" xfId="25569" xr:uid="{00000000-0005-0000-0000-0000E1630000}"/>
    <cellStyle name="Normal 311 2 3" xfId="25570" xr:uid="{00000000-0005-0000-0000-0000E2630000}"/>
    <cellStyle name="Normal 311 2 3 2" xfId="25571" xr:uid="{00000000-0005-0000-0000-0000E3630000}"/>
    <cellStyle name="Normal 311 2 3 2 2" xfId="25572" xr:uid="{00000000-0005-0000-0000-0000E4630000}"/>
    <cellStyle name="Normal 311 2 3 3" xfId="25573" xr:uid="{00000000-0005-0000-0000-0000E5630000}"/>
    <cellStyle name="Normal 311 2 4" xfId="25574" xr:uid="{00000000-0005-0000-0000-0000E6630000}"/>
    <cellStyle name="Normal 311 2 4 2" xfId="25575" xr:uid="{00000000-0005-0000-0000-0000E7630000}"/>
    <cellStyle name="Normal 311 2 4 2 2" xfId="25576" xr:uid="{00000000-0005-0000-0000-0000E8630000}"/>
    <cellStyle name="Normal 311 2 4 3" xfId="25577" xr:uid="{00000000-0005-0000-0000-0000E9630000}"/>
    <cellStyle name="Normal 311 2 5" xfId="25578" xr:uid="{00000000-0005-0000-0000-0000EA630000}"/>
    <cellStyle name="Normal 311 3" xfId="25579" xr:uid="{00000000-0005-0000-0000-0000EB630000}"/>
    <cellStyle name="Normal 311 3 2" xfId="25580" xr:uid="{00000000-0005-0000-0000-0000EC630000}"/>
    <cellStyle name="Normal 311 3 2 2" xfId="25581" xr:uid="{00000000-0005-0000-0000-0000ED630000}"/>
    <cellStyle name="Normal 311 3 2 2 2" xfId="25582" xr:uid="{00000000-0005-0000-0000-0000EE630000}"/>
    <cellStyle name="Normal 311 3 2 3" xfId="25583" xr:uid="{00000000-0005-0000-0000-0000EF630000}"/>
    <cellStyle name="Normal 311 3 2 3 2" xfId="25584" xr:uid="{00000000-0005-0000-0000-0000F0630000}"/>
    <cellStyle name="Normal 311 3 2 3 2 2" xfId="25585" xr:uid="{00000000-0005-0000-0000-0000F1630000}"/>
    <cellStyle name="Normal 311 3 2 3 3" xfId="25586" xr:uid="{00000000-0005-0000-0000-0000F2630000}"/>
    <cellStyle name="Normal 311 3 2 4" xfId="25587" xr:uid="{00000000-0005-0000-0000-0000F3630000}"/>
    <cellStyle name="Normal 311 3 3" xfId="25588" xr:uid="{00000000-0005-0000-0000-0000F4630000}"/>
    <cellStyle name="Normal 311 3 3 2" xfId="25589" xr:uid="{00000000-0005-0000-0000-0000F5630000}"/>
    <cellStyle name="Normal 311 3 3 2 2" xfId="25590" xr:uid="{00000000-0005-0000-0000-0000F6630000}"/>
    <cellStyle name="Normal 311 3 3 3" xfId="25591" xr:uid="{00000000-0005-0000-0000-0000F7630000}"/>
    <cellStyle name="Normal 311 3 4" xfId="25592" xr:uid="{00000000-0005-0000-0000-0000F8630000}"/>
    <cellStyle name="Normal 311 3 4 2" xfId="25593" xr:uid="{00000000-0005-0000-0000-0000F9630000}"/>
    <cellStyle name="Normal 311 3 4 2 2" xfId="25594" xr:uid="{00000000-0005-0000-0000-0000FA630000}"/>
    <cellStyle name="Normal 311 3 4 3" xfId="25595" xr:uid="{00000000-0005-0000-0000-0000FB630000}"/>
    <cellStyle name="Normal 311 3 5" xfId="25596" xr:uid="{00000000-0005-0000-0000-0000FC630000}"/>
    <cellStyle name="Normal 311 3 5 2" xfId="25597" xr:uid="{00000000-0005-0000-0000-0000FD630000}"/>
    <cellStyle name="Normal 311 3 5 2 2" xfId="25598" xr:uid="{00000000-0005-0000-0000-0000FE630000}"/>
    <cellStyle name="Normal 311 3 5 3" xfId="25599" xr:uid="{00000000-0005-0000-0000-0000FF630000}"/>
    <cellStyle name="Normal 311 3 6" xfId="25600" xr:uid="{00000000-0005-0000-0000-000000640000}"/>
    <cellStyle name="Normal 311 4" xfId="25601" xr:uid="{00000000-0005-0000-0000-000001640000}"/>
    <cellStyle name="Normal 311 4 2" xfId="25602" xr:uid="{00000000-0005-0000-0000-000002640000}"/>
    <cellStyle name="Normal 311 4 2 2" xfId="25603" xr:uid="{00000000-0005-0000-0000-000003640000}"/>
    <cellStyle name="Normal 311 4 3" xfId="25604" xr:uid="{00000000-0005-0000-0000-000004640000}"/>
    <cellStyle name="Normal 311 5" xfId="25605" xr:uid="{00000000-0005-0000-0000-000005640000}"/>
    <cellStyle name="Normal 311 5 2" xfId="25606" xr:uid="{00000000-0005-0000-0000-000006640000}"/>
    <cellStyle name="Normal 311 5 2 2" xfId="25607" xr:uid="{00000000-0005-0000-0000-000007640000}"/>
    <cellStyle name="Normal 311 5 3" xfId="25608" xr:uid="{00000000-0005-0000-0000-000008640000}"/>
    <cellStyle name="Normal 311 6" xfId="25609" xr:uid="{00000000-0005-0000-0000-000009640000}"/>
    <cellStyle name="Normal 311 6 2" xfId="25610" xr:uid="{00000000-0005-0000-0000-00000A640000}"/>
    <cellStyle name="Normal 311 6 2 2" xfId="25611" xr:uid="{00000000-0005-0000-0000-00000B640000}"/>
    <cellStyle name="Normal 311 6 3" xfId="25612" xr:uid="{00000000-0005-0000-0000-00000C640000}"/>
    <cellStyle name="Normal 311 7" xfId="25613" xr:uid="{00000000-0005-0000-0000-00000D640000}"/>
    <cellStyle name="Normal 312" xfId="25614" xr:uid="{00000000-0005-0000-0000-00000E640000}"/>
    <cellStyle name="Normal 312 2" xfId="25615" xr:uid="{00000000-0005-0000-0000-00000F640000}"/>
    <cellStyle name="Normal 312 2 2" xfId="25616" xr:uid="{00000000-0005-0000-0000-000010640000}"/>
    <cellStyle name="Normal 312 2 2 2" xfId="25617" xr:uid="{00000000-0005-0000-0000-000011640000}"/>
    <cellStyle name="Normal 312 2 3" xfId="25618" xr:uid="{00000000-0005-0000-0000-000012640000}"/>
    <cellStyle name="Normal 312 2 3 2" xfId="25619" xr:uid="{00000000-0005-0000-0000-000013640000}"/>
    <cellStyle name="Normal 312 2 3 2 2" xfId="25620" xr:uid="{00000000-0005-0000-0000-000014640000}"/>
    <cellStyle name="Normal 312 2 3 3" xfId="25621" xr:uid="{00000000-0005-0000-0000-000015640000}"/>
    <cellStyle name="Normal 312 2 4" xfId="25622" xr:uid="{00000000-0005-0000-0000-000016640000}"/>
    <cellStyle name="Normal 312 2 4 2" xfId="25623" xr:uid="{00000000-0005-0000-0000-000017640000}"/>
    <cellStyle name="Normal 312 2 4 2 2" xfId="25624" xr:uid="{00000000-0005-0000-0000-000018640000}"/>
    <cellStyle name="Normal 312 2 4 3" xfId="25625" xr:uid="{00000000-0005-0000-0000-000019640000}"/>
    <cellStyle name="Normal 312 2 5" xfId="25626" xr:uid="{00000000-0005-0000-0000-00001A640000}"/>
    <cellStyle name="Normal 312 3" xfId="25627" xr:uid="{00000000-0005-0000-0000-00001B640000}"/>
    <cellStyle name="Normal 312 3 2" xfId="25628" xr:uid="{00000000-0005-0000-0000-00001C640000}"/>
    <cellStyle name="Normal 312 3 2 2" xfId="25629" xr:uid="{00000000-0005-0000-0000-00001D640000}"/>
    <cellStyle name="Normal 312 3 2 2 2" xfId="25630" xr:uid="{00000000-0005-0000-0000-00001E640000}"/>
    <cellStyle name="Normal 312 3 2 3" xfId="25631" xr:uid="{00000000-0005-0000-0000-00001F640000}"/>
    <cellStyle name="Normal 312 3 2 3 2" xfId="25632" xr:uid="{00000000-0005-0000-0000-000020640000}"/>
    <cellStyle name="Normal 312 3 2 3 2 2" xfId="25633" xr:uid="{00000000-0005-0000-0000-000021640000}"/>
    <cellStyle name="Normal 312 3 2 3 3" xfId="25634" xr:uid="{00000000-0005-0000-0000-000022640000}"/>
    <cellStyle name="Normal 312 3 2 4" xfId="25635" xr:uid="{00000000-0005-0000-0000-000023640000}"/>
    <cellStyle name="Normal 312 3 3" xfId="25636" xr:uid="{00000000-0005-0000-0000-000024640000}"/>
    <cellStyle name="Normal 312 3 3 2" xfId="25637" xr:uid="{00000000-0005-0000-0000-000025640000}"/>
    <cellStyle name="Normal 312 3 3 2 2" xfId="25638" xr:uid="{00000000-0005-0000-0000-000026640000}"/>
    <cellStyle name="Normal 312 3 3 3" xfId="25639" xr:uid="{00000000-0005-0000-0000-000027640000}"/>
    <cellStyle name="Normal 312 3 4" xfId="25640" xr:uid="{00000000-0005-0000-0000-000028640000}"/>
    <cellStyle name="Normal 312 3 4 2" xfId="25641" xr:uid="{00000000-0005-0000-0000-000029640000}"/>
    <cellStyle name="Normal 312 3 4 2 2" xfId="25642" xr:uid="{00000000-0005-0000-0000-00002A640000}"/>
    <cellStyle name="Normal 312 3 4 3" xfId="25643" xr:uid="{00000000-0005-0000-0000-00002B640000}"/>
    <cellStyle name="Normal 312 3 5" xfId="25644" xr:uid="{00000000-0005-0000-0000-00002C640000}"/>
    <cellStyle name="Normal 312 3 5 2" xfId="25645" xr:uid="{00000000-0005-0000-0000-00002D640000}"/>
    <cellStyle name="Normal 312 3 5 2 2" xfId="25646" xr:uid="{00000000-0005-0000-0000-00002E640000}"/>
    <cellStyle name="Normal 312 3 5 3" xfId="25647" xr:uid="{00000000-0005-0000-0000-00002F640000}"/>
    <cellStyle name="Normal 312 3 6" xfId="25648" xr:uid="{00000000-0005-0000-0000-000030640000}"/>
    <cellStyle name="Normal 312 4" xfId="25649" xr:uid="{00000000-0005-0000-0000-000031640000}"/>
    <cellStyle name="Normal 312 4 2" xfId="25650" xr:uid="{00000000-0005-0000-0000-000032640000}"/>
    <cellStyle name="Normal 312 4 2 2" xfId="25651" xr:uid="{00000000-0005-0000-0000-000033640000}"/>
    <cellStyle name="Normal 312 4 3" xfId="25652" xr:uid="{00000000-0005-0000-0000-000034640000}"/>
    <cellStyle name="Normal 312 5" xfId="25653" xr:uid="{00000000-0005-0000-0000-000035640000}"/>
    <cellStyle name="Normal 312 5 2" xfId="25654" xr:uid="{00000000-0005-0000-0000-000036640000}"/>
    <cellStyle name="Normal 312 5 2 2" xfId="25655" xr:uid="{00000000-0005-0000-0000-000037640000}"/>
    <cellStyle name="Normal 312 5 3" xfId="25656" xr:uid="{00000000-0005-0000-0000-000038640000}"/>
    <cellStyle name="Normal 312 6" xfId="25657" xr:uid="{00000000-0005-0000-0000-000039640000}"/>
    <cellStyle name="Normal 312 6 2" xfId="25658" xr:uid="{00000000-0005-0000-0000-00003A640000}"/>
    <cellStyle name="Normal 312 6 2 2" xfId="25659" xr:uid="{00000000-0005-0000-0000-00003B640000}"/>
    <cellStyle name="Normal 312 6 3" xfId="25660" xr:uid="{00000000-0005-0000-0000-00003C640000}"/>
    <cellStyle name="Normal 312 7" xfId="25661" xr:uid="{00000000-0005-0000-0000-00003D640000}"/>
    <cellStyle name="Normal 313" xfId="25662" xr:uid="{00000000-0005-0000-0000-00003E640000}"/>
    <cellStyle name="Normal 313 2" xfId="25663" xr:uid="{00000000-0005-0000-0000-00003F640000}"/>
    <cellStyle name="Normal 313 2 2" xfId="25664" xr:uid="{00000000-0005-0000-0000-000040640000}"/>
    <cellStyle name="Normal 313 2 2 2" xfId="25665" xr:uid="{00000000-0005-0000-0000-000041640000}"/>
    <cellStyle name="Normal 313 2 3" xfId="25666" xr:uid="{00000000-0005-0000-0000-000042640000}"/>
    <cellStyle name="Normal 313 2 3 2" xfId="25667" xr:uid="{00000000-0005-0000-0000-000043640000}"/>
    <cellStyle name="Normal 313 2 3 2 2" xfId="25668" xr:uid="{00000000-0005-0000-0000-000044640000}"/>
    <cellStyle name="Normal 313 2 3 3" xfId="25669" xr:uid="{00000000-0005-0000-0000-000045640000}"/>
    <cellStyle name="Normal 313 2 4" xfId="25670" xr:uid="{00000000-0005-0000-0000-000046640000}"/>
    <cellStyle name="Normal 313 2 4 2" xfId="25671" xr:uid="{00000000-0005-0000-0000-000047640000}"/>
    <cellStyle name="Normal 313 2 4 2 2" xfId="25672" xr:uid="{00000000-0005-0000-0000-000048640000}"/>
    <cellStyle name="Normal 313 2 4 3" xfId="25673" xr:uid="{00000000-0005-0000-0000-000049640000}"/>
    <cellStyle name="Normal 313 2 5" xfId="25674" xr:uid="{00000000-0005-0000-0000-00004A640000}"/>
    <cellStyle name="Normal 313 3" xfId="25675" xr:uid="{00000000-0005-0000-0000-00004B640000}"/>
    <cellStyle name="Normal 313 3 2" xfId="25676" xr:uid="{00000000-0005-0000-0000-00004C640000}"/>
    <cellStyle name="Normal 313 3 2 2" xfId="25677" xr:uid="{00000000-0005-0000-0000-00004D640000}"/>
    <cellStyle name="Normal 313 3 2 2 2" xfId="25678" xr:uid="{00000000-0005-0000-0000-00004E640000}"/>
    <cellStyle name="Normal 313 3 2 3" xfId="25679" xr:uid="{00000000-0005-0000-0000-00004F640000}"/>
    <cellStyle name="Normal 313 3 2 3 2" xfId="25680" xr:uid="{00000000-0005-0000-0000-000050640000}"/>
    <cellStyle name="Normal 313 3 2 3 2 2" xfId="25681" xr:uid="{00000000-0005-0000-0000-000051640000}"/>
    <cellStyle name="Normal 313 3 2 3 3" xfId="25682" xr:uid="{00000000-0005-0000-0000-000052640000}"/>
    <cellStyle name="Normal 313 3 2 4" xfId="25683" xr:uid="{00000000-0005-0000-0000-000053640000}"/>
    <cellStyle name="Normal 313 3 3" xfId="25684" xr:uid="{00000000-0005-0000-0000-000054640000}"/>
    <cellStyle name="Normal 313 3 3 2" xfId="25685" xr:uid="{00000000-0005-0000-0000-000055640000}"/>
    <cellStyle name="Normal 313 3 3 2 2" xfId="25686" xr:uid="{00000000-0005-0000-0000-000056640000}"/>
    <cellStyle name="Normal 313 3 3 3" xfId="25687" xr:uid="{00000000-0005-0000-0000-000057640000}"/>
    <cellStyle name="Normal 313 3 4" xfId="25688" xr:uid="{00000000-0005-0000-0000-000058640000}"/>
    <cellStyle name="Normal 313 3 4 2" xfId="25689" xr:uid="{00000000-0005-0000-0000-000059640000}"/>
    <cellStyle name="Normal 313 3 4 2 2" xfId="25690" xr:uid="{00000000-0005-0000-0000-00005A640000}"/>
    <cellStyle name="Normal 313 3 4 3" xfId="25691" xr:uid="{00000000-0005-0000-0000-00005B640000}"/>
    <cellStyle name="Normal 313 3 5" xfId="25692" xr:uid="{00000000-0005-0000-0000-00005C640000}"/>
    <cellStyle name="Normal 313 3 5 2" xfId="25693" xr:uid="{00000000-0005-0000-0000-00005D640000}"/>
    <cellStyle name="Normal 313 3 5 2 2" xfId="25694" xr:uid="{00000000-0005-0000-0000-00005E640000}"/>
    <cellStyle name="Normal 313 3 5 3" xfId="25695" xr:uid="{00000000-0005-0000-0000-00005F640000}"/>
    <cellStyle name="Normal 313 3 6" xfId="25696" xr:uid="{00000000-0005-0000-0000-000060640000}"/>
    <cellStyle name="Normal 313 4" xfId="25697" xr:uid="{00000000-0005-0000-0000-000061640000}"/>
    <cellStyle name="Normal 313 4 2" xfId="25698" xr:uid="{00000000-0005-0000-0000-000062640000}"/>
    <cellStyle name="Normal 313 4 2 2" xfId="25699" xr:uid="{00000000-0005-0000-0000-000063640000}"/>
    <cellStyle name="Normal 313 4 3" xfId="25700" xr:uid="{00000000-0005-0000-0000-000064640000}"/>
    <cellStyle name="Normal 313 5" xfId="25701" xr:uid="{00000000-0005-0000-0000-000065640000}"/>
    <cellStyle name="Normal 313 5 2" xfId="25702" xr:uid="{00000000-0005-0000-0000-000066640000}"/>
    <cellStyle name="Normal 313 5 2 2" xfId="25703" xr:uid="{00000000-0005-0000-0000-000067640000}"/>
    <cellStyle name="Normal 313 5 3" xfId="25704" xr:uid="{00000000-0005-0000-0000-000068640000}"/>
    <cellStyle name="Normal 313 6" xfId="25705" xr:uid="{00000000-0005-0000-0000-000069640000}"/>
    <cellStyle name="Normal 313 6 2" xfId="25706" xr:uid="{00000000-0005-0000-0000-00006A640000}"/>
    <cellStyle name="Normal 313 6 2 2" xfId="25707" xr:uid="{00000000-0005-0000-0000-00006B640000}"/>
    <cellStyle name="Normal 313 6 3" xfId="25708" xr:uid="{00000000-0005-0000-0000-00006C640000}"/>
    <cellStyle name="Normal 313 7" xfId="25709" xr:uid="{00000000-0005-0000-0000-00006D640000}"/>
    <cellStyle name="Normal 314" xfId="25710" xr:uid="{00000000-0005-0000-0000-00006E640000}"/>
    <cellStyle name="Normal 314 2" xfId="25711" xr:uid="{00000000-0005-0000-0000-00006F640000}"/>
    <cellStyle name="Normal 314 2 2" xfId="25712" xr:uid="{00000000-0005-0000-0000-000070640000}"/>
    <cellStyle name="Normal 314 2 2 2" xfId="25713" xr:uid="{00000000-0005-0000-0000-000071640000}"/>
    <cellStyle name="Normal 314 2 3" xfId="25714" xr:uid="{00000000-0005-0000-0000-000072640000}"/>
    <cellStyle name="Normal 314 2 3 2" xfId="25715" xr:uid="{00000000-0005-0000-0000-000073640000}"/>
    <cellStyle name="Normal 314 2 3 2 2" xfId="25716" xr:uid="{00000000-0005-0000-0000-000074640000}"/>
    <cellStyle name="Normal 314 2 3 3" xfId="25717" xr:uid="{00000000-0005-0000-0000-000075640000}"/>
    <cellStyle name="Normal 314 2 4" xfId="25718" xr:uid="{00000000-0005-0000-0000-000076640000}"/>
    <cellStyle name="Normal 314 2 4 2" xfId="25719" xr:uid="{00000000-0005-0000-0000-000077640000}"/>
    <cellStyle name="Normal 314 2 4 2 2" xfId="25720" xr:uid="{00000000-0005-0000-0000-000078640000}"/>
    <cellStyle name="Normal 314 2 4 3" xfId="25721" xr:uid="{00000000-0005-0000-0000-000079640000}"/>
    <cellStyle name="Normal 314 2 5" xfId="25722" xr:uid="{00000000-0005-0000-0000-00007A640000}"/>
    <cellStyle name="Normal 314 3" xfId="25723" xr:uid="{00000000-0005-0000-0000-00007B640000}"/>
    <cellStyle name="Normal 314 3 2" xfId="25724" xr:uid="{00000000-0005-0000-0000-00007C640000}"/>
    <cellStyle name="Normal 314 3 2 2" xfId="25725" xr:uid="{00000000-0005-0000-0000-00007D640000}"/>
    <cellStyle name="Normal 314 3 2 2 2" xfId="25726" xr:uid="{00000000-0005-0000-0000-00007E640000}"/>
    <cellStyle name="Normal 314 3 2 3" xfId="25727" xr:uid="{00000000-0005-0000-0000-00007F640000}"/>
    <cellStyle name="Normal 314 3 2 3 2" xfId="25728" xr:uid="{00000000-0005-0000-0000-000080640000}"/>
    <cellStyle name="Normal 314 3 2 3 2 2" xfId="25729" xr:uid="{00000000-0005-0000-0000-000081640000}"/>
    <cellStyle name="Normal 314 3 2 3 3" xfId="25730" xr:uid="{00000000-0005-0000-0000-000082640000}"/>
    <cellStyle name="Normal 314 3 2 4" xfId="25731" xr:uid="{00000000-0005-0000-0000-000083640000}"/>
    <cellStyle name="Normal 314 3 3" xfId="25732" xr:uid="{00000000-0005-0000-0000-000084640000}"/>
    <cellStyle name="Normal 314 3 3 2" xfId="25733" xr:uid="{00000000-0005-0000-0000-000085640000}"/>
    <cellStyle name="Normal 314 3 3 2 2" xfId="25734" xr:uid="{00000000-0005-0000-0000-000086640000}"/>
    <cellStyle name="Normal 314 3 3 3" xfId="25735" xr:uid="{00000000-0005-0000-0000-000087640000}"/>
    <cellStyle name="Normal 314 3 4" xfId="25736" xr:uid="{00000000-0005-0000-0000-000088640000}"/>
    <cellStyle name="Normal 314 3 4 2" xfId="25737" xr:uid="{00000000-0005-0000-0000-000089640000}"/>
    <cellStyle name="Normal 314 3 4 2 2" xfId="25738" xr:uid="{00000000-0005-0000-0000-00008A640000}"/>
    <cellStyle name="Normal 314 3 4 3" xfId="25739" xr:uid="{00000000-0005-0000-0000-00008B640000}"/>
    <cellStyle name="Normal 314 3 5" xfId="25740" xr:uid="{00000000-0005-0000-0000-00008C640000}"/>
    <cellStyle name="Normal 314 3 5 2" xfId="25741" xr:uid="{00000000-0005-0000-0000-00008D640000}"/>
    <cellStyle name="Normal 314 3 5 2 2" xfId="25742" xr:uid="{00000000-0005-0000-0000-00008E640000}"/>
    <cellStyle name="Normal 314 3 5 3" xfId="25743" xr:uid="{00000000-0005-0000-0000-00008F640000}"/>
    <cellStyle name="Normal 314 3 6" xfId="25744" xr:uid="{00000000-0005-0000-0000-000090640000}"/>
    <cellStyle name="Normal 314 4" xfId="25745" xr:uid="{00000000-0005-0000-0000-000091640000}"/>
    <cellStyle name="Normal 314 4 2" xfId="25746" xr:uid="{00000000-0005-0000-0000-000092640000}"/>
    <cellStyle name="Normal 314 4 2 2" xfId="25747" xr:uid="{00000000-0005-0000-0000-000093640000}"/>
    <cellStyle name="Normal 314 4 3" xfId="25748" xr:uid="{00000000-0005-0000-0000-000094640000}"/>
    <cellStyle name="Normal 314 5" xfId="25749" xr:uid="{00000000-0005-0000-0000-000095640000}"/>
    <cellStyle name="Normal 314 5 2" xfId="25750" xr:uid="{00000000-0005-0000-0000-000096640000}"/>
    <cellStyle name="Normal 314 5 2 2" xfId="25751" xr:uid="{00000000-0005-0000-0000-000097640000}"/>
    <cellStyle name="Normal 314 5 3" xfId="25752" xr:uid="{00000000-0005-0000-0000-000098640000}"/>
    <cellStyle name="Normal 314 6" xfId="25753" xr:uid="{00000000-0005-0000-0000-000099640000}"/>
    <cellStyle name="Normal 314 6 2" xfId="25754" xr:uid="{00000000-0005-0000-0000-00009A640000}"/>
    <cellStyle name="Normal 314 6 2 2" xfId="25755" xr:uid="{00000000-0005-0000-0000-00009B640000}"/>
    <cellStyle name="Normal 314 6 3" xfId="25756" xr:uid="{00000000-0005-0000-0000-00009C640000}"/>
    <cellStyle name="Normal 314 7" xfId="25757" xr:uid="{00000000-0005-0000-0000-00009D640000}"/>
    <cellStyle name="Normal 315" xfId="25758" xr:uid="{00000000-0005-0000-0000-00009E640000}"/>
    <cellStyle name="Normal 315 2" xfId="25759" xr:uid="{00000000-0005-0000-0000-00009F640000}"/>
    <cellStyle name="Normal 315 2 2" xfId="25760" xr:uid="{00000000-0005-0000-0000-0000A0640000}"/>
    <cellStyle name="Normal 315 2 2 2" xfId="25761" xr:uid="{00000000-0005-0000-0000-0000A1640000}"/>
    <cellStyle name="Normal 315 2 3" xfId="25762" xr:uid="{00000000-0005-0000-0000-0000A2640000}"/>
    <cellStyle name="Normal 315 2 3 2" xfId="25763" xr:uid="{00000000-0005-0000-0000-0000A3640000}"/>
    <cellStyle name="Normal 315 2 3 2 2" xfId="25764" xr:uid="{00000000-0005-0000-0000-0000A4640000}"/>
    <cellStyle name="Normal 315 2 3 3" xfId="25765" xr:uid="{00000000-0005-0000-0000-0000A5640000}"/>
    <cellStyle name="Normal 315 2 4" xfId="25766" xr:uid="{00000000-0005-0000-0000-0000A6640000}"/>
    <cellStyle name="Normal 315 2 4 2" xfId="25767" xr:uid="{00000000-0005-0000-0000-0000A7640000}"/>
    <cellStyle name="Normal 315 2 4 2 2" xfId="25768" xr:uid="{00000000-0005-0000-0000-0000A8640000}"/>
    <cellStyle name="Normal 315 2 4 3" xfId="25769" xr:uid="{00000000-0005-0000-0000-0000A9640000}"/>
    <cellStyle name="Normal 315 2 5" xfId="25770" xr:uid="{00000000-0005-0000-0000-0000AA640000}"/>
    <cellStyle name="Normal 315 3" xfId="25771" xr:uid="{00000000-0005-0000-0000-0000AB640000}"/>
    <cellStyle name="Normal 315 3 2" xfId="25772" xr:uid="{00000000-0005-0000-0000-0000AC640000}"/>
    <cellStyle name="Normal 315 3 2 2" xfId="25773" xr:uid="{00000000-0005-0000-0000-0000AD640000}"/>
    <cellStyle name="Normal 315 3 2 2 2" xfId="25774" xr:uid="{00000000-0005-0000-0000-0000AE640000}"/>
    <cellStyle name="Normal 315 3 2 3" xfId="25775" xr:uid="{00000000-0005-0000-0000-0000AF640000}"/>
    <cellStyle name="Normal 315 3 2 3 2" xfId="25776" xr:uid="{00000000-0005-0000-0000-0000B0640000}"/>
    <cellStyle name="Normal 315 3 2 3 2 2" xfId="25777" xr:uid="{00000000-0005-0000-0000-0000B1640000}"/>
    <cellStyle name="Normal 315 3 2 3 3" xfId="25778" xr:uid="{00000000-0005-0000-0000-0000B2640000}"/>
    <cellStyle name="Normal 315 3 2 4" xfId="25779" xr:uid="{00000000-0005-0000-0000-0000B3640000}"/>
    <cellStyle name="Normal 315 3 3" xfId="25780" xr:uid="{00000000-0005-0000-0000-0000B4640000}"/>
    <cellStyle name="Normal 315 3 3 2" xfId="25781" xr:uid="{00000000-0005-0000-0000-0000B5640000}"/>
    <cellStyle name="Normal 315 3 3 2 2" xfId="25782" xr:uid="{00000000-0005-0000-0000-0000B6640000}"/>
    <cellStyle name="Normal 315 3 3 3" xfId="25783" xr:uid="{00000000-0005-0000-0000-0000B7640000}"/>
    <cellStyle name="Normal 315 3 4" xfId="25784" xr:uid="{00000000-0005-0000-0000-0000B8640000}"/>
    <cellStyle name="Normal 315 3 4 2" xfId="25785" xr:uid="{00000000-0005-0000-0000-0000B9640000}"/>
    <cellStyle name="Normal 315 3 4 2 2" xfId="25786" xr:uid="{00000000-0005-0000-0000-0000BA640000}"/>
    <cellStyle name="Normal 315 3 4 3" xfId="25787" xr:uid="{00000000-0005-0000-0000-0000BB640000}"/>
    <cellStyle name="Normal 315 3 5" xfId="25788" xr:uid="{00000000-0005-0000-0000-0000BC640000}"/>
    <cellStyle name="Normal 315 3 5 2" xfId="25789" xr:uid="{00000000-0005-0000-0000-0000BD640000}"/>
    <cellStyle name="Normal 315 3 5 2 2" xfId="25790" xr:uid="{00000000-0005-0000-0000-0000BE640000}"/>
    <cellStyle name="Normal 315 3 5 3" xfId="25791" xr:uid="{00000000-0005-0000-0000-0000BF640000}"/>
    <cellStyle name="Normal 315 3 6" xfId="25792" xr:uid="{00000000-0005-0000-0000-0000C0640000}"/>
    <cellStyle name="Normal 315 4" xfId="25793" xr:uid="{00000000-0005-0000-0000-0000C1640000}"/>
    <cellStyle name="Normal 315 4 2" xfId="25794" xr:uid="{00000000-0005-0000-0000-0000C2640000}"/>
    <cellStyle name="Normal 315 4 2 2" xfId="25795" xr:uid="{00000000-0005-0000-0000-0000C3640000}"/>
    <cellStyle name="Normal 315 4 3" xfId="25796" xr:uid="{00000000-0005-0000-0000-0000C4640000}"/>
    <cellStyle name="Normal 315 5" xfId="25797" xr:uid="{00000000-0005-0000-0000-0000C5640000}"/>
    <cellStyle name="Normal 315 5 2" xfId="25798" xr:uid="{00000000-0005-0000-0000-0000C6640000}"/>
    <cellStyle name="Normal 315 5 2 2" xfId="25799" xr:uid="{00000000-0005-0000-0000-0000C7640000}"/>
    <cellStyle name="Normal 315 5 3" xfId="25800" xr:uid="{00000000-0005-0000-0000-0000C8640000}"/>
    <cellStyle name="Normal 315 6" xfId="25801" xr:uid="{00000000-0005-0000-0000-0000C9640000}"/>
    <cellStyle name="Normal 315 6 2" xfId="25802" xr:uid="{00000000-0005-0000-0000-0000CA640000}"/>
    <cellStyle name="Normal 315 6 2 2" xfId="25803" xr:uid="{00000000-0005-0000-0000-0000CB640000}"/>
    <cellStyle name="Normal 315 6 3" xfId="25804" xr:uid="{00000000-0005-0000-0000-0000CC640000}"/>
    <cellStyle name="Normal 315 7" xfId="25805" xr:uid="{00000000-0005-0000-0000-0000CD640000}"/>
    <cellStyle name="Normal 316" xfId="25806" xr:uid="{00000000-0005-0000-0000-0000CE640000}"/>
    <cellStyle name="Normal 316 2" xfId="25807" xr:uid="{00000000-0005-0000-0000-0000CF640000}"/>
    <cellStyle name="Normal 316 2 2" xfId="25808" xr:uid="{00000000-0005-0000-0000-0000D0640000}"/>
    <cellStyle name="Normal 316 2 2 2" xfId="25809" xr:uid="{00000000-0005-0000-0000-0000D1640000}"/>
    <cellStyle name="Normal 316 2 3" xfId="25810" xr:uid="{00000000-0005-0000-0000-0000D2640000}"/>
    <cellStyle name="Normal 316 2 3 2" xfId="25811" xr:uid="{00000000-0005-0000-0000-0000D3640000}"/>
    <cellStyle name="Normal 316 2 3 2 2" xfId="25812" xr:uid="{00000000-0005-0000-0000-0000D4640000}"/>
    <cellStyle name="Normal 316 2 3 3" xfId="25813" xr:uid="{00000000-0005-0000-0000-0000D5640000}"/>
    <cellStyle name="Normal 316 2 4" xfId="25814" xr:uid="{00000000-0005-0000-0000-0000D6640000}"/>
    <cellStyle name="Normal 316 2 4 2" xfId="25815" xr:uid="{00000000-0005-0000-0000-0000D7640000}"/>
    <cellStyle name="Normal 316 2 4 2 2" xfId="25816" xr:uid="{00000000-0005-0000-0000-0000D8640000}"/>
    <cellStyle name="Normal 316 2 4 3" xfId="25817" xr:uid="{00000000-0005-0000-0000-0000D9640000}"/>
    <cellStyle name="Normal 316 2 5" xfId="25818" xr:uid="{00000000-0005-0000-0000-0000DA640000}"/>
    <cellStyle name="Normal 316 3" xfId="25819" xr:uid="{00000000-0005-0000-0000-0000DB640000}"/>
    <cellStyle name="Normal 316 3 2" xfId="25820" xr:uid="{00000000-0005-0000-0000-0000DC640000}"/>
    <cellStyle name="Normal 316 3 2 2" xfId="25821" xr:uid="{00000000-0005-0000-0000-0000DD640000}"/>
    <cellStyle name="Normal 316 3 2 2 2" xfId="25822" xr:uid="{00000000-0005-0000-0000-0000DE640000}"/>
    <cellStyle name="Normal 316 3 2 3" xfId="25823" xr:uid="{00000000-0005-0000-0000-0000DF640000}"/>
    <cellStyle name="Normal 316 3 2 3 2" xfId="25824" xr:uid="{00000000-0005-0000-0000-0000E0640000}"/>
    <cellStyle name="Normal 316 3 2 3 2 2" xfId="25825" xr:uid="{00000000-0005-0000-0000-0000E1640000}"/>
    <cellStyle name="Normal 316 3 2 3 3" xfId="25826" xr:uid="{00000000-0005-0000-0000-0000E2640000}"/>
    <cellStyle name="Normal 316 3 2 4" xfId="25827" xr:uid="{00000000-0005-0000-0000-0000E3640000}"/>
    <cellStyle name="Normal 316 3 3" xfId="25828" xr:uid="{00000000-0005-0000-0000-0000E4640000}"/>
    <cellStyle name="Normal 316 3 3 2" xfId="25829" xr:uid="{00000000-0005-0000-0000-0000E5640000}"/>
    <cellStyle name="Normal 316 3 3 2 2" xfId="25830" xr:uid="{00000000-0005-0000-0000-0000E6640000}"/>
    <cellStyle name="Normal 316 3 3 3" xfId="25831" xr:uid="{00000000-0005-0000-0000-0000E7640000}"/>
    <cellStyle name="Normal 316 3 4" xfId="25832" xr:uid="{00000000-0005-0000-0000-0000E8640000}"/>
    <cellStyle name="Normal 316 3 4 2" xfId="25833" xr:uid="{00000000-0005-0000-0000-0000E9640000}"/>
    <cellStyle name="Normal 316 3 4 2 2" xfId="25834" xr:uid="{00000000-0005-0000-0000-0000EA640000}"/>
    <cellStyle name="Normal 316 3 4 3" xfId="25835" xr:uid="{00000000-0005-0000-0000-0000EB640000}"/>
    <cellStyle name="Normal 316 3 5" xfId="25836" xr:uid="{00000000-0005-0000-0000-0000EC640000}"/>
    <cellStyle name="Normal 316 3 5 2" xfId="25837" xr:uid="{00000000-0005-0000-0000-0000ED640000}"/>
    <cellStyle name="Normal 316 3 5 2 2" xfId="25838" xr:uid="{00000000-0005-0000-0000-0000EE640000}"/>
    <cellStyle name="Normal 316 3 5 3" xfId="25839" xr:uid="{00000000-0005-0000-0000-0000EF640000}"/>
    <cellStyle name="Normal 316 3 6" xfId="25840" xr:uid="{00000000-0005-0000-0000-0000F0640000}"/>
    <cellStyle name="Normal 316 4" xfId="25841" xr:uid="{00000000-0005-0000-0000-0000F1640000}"/>
    <cellStyle name="Normal 316 4 2" xfId="25842" xr:uid="{00000000-0005-0000-0000-0000F2640000}"/>
    <cellStyle name="Normal 316 4 2 2" xfId="25843" xr:uid="{00000000-0005-0000-0000-0000F3640000}"/>
    <cellStyle name="Normal 316 4 3" xfId="25844" xr:uid="{00000000-0005-0000-0000-0000F4640000}"/>
    <cellStyle name="Normal 316 5" xfId="25845" xr:uid="{00000000-0005-0000-0000-0000F5640000}"/>
    <cellStyle name="Normal 316 5 2" xfId="25846" xr:uid="{00000000-0005-0000-0000-0000F6640000}"/>
    <cellStyle name="Normal 316 5 2 2" xfId="25847" xr:uid="{00000000-0005-0000-0000-0000F7640000}"/>
    <cellStyle name="Normal 316 5 3" xfId="25848" xr:uid="{00000000-0005-0000-0000-0000F8640000}"/>
    <cellStyle name="Normal 316 6" xfId="25849" xr:uid="{00000000-0005-0000-0000-0000F9640000}"/>
    <cellStyle name="Normal 316 6 2" xfId="25850" xr:uid="{00000000-0005-0000-0000-0000FA640000}"/>
    <cellStyle name="Normal 316 6 2 2" xfId="25851" xr:uid="{00000000-0005-0000-0000-0000FB640000}"/>
    <cellStyle name="Normal 316 6 3" xfId="25852" xr:uid="{00000000-0005-0000-0000-0000FC640000}"/>
    <cellStyle name="Normal 316 7" xfId="25853" xr:uid="{00000000-0005-0000-0000-0000FD640000}"/>
    <cellStyle name="Normal 317" xfId="25854" xr:uid="{00000000-0005-0000-0000-0000FE640000}"/>
    <cellStyle name="Normal 317 2" xfId="25855" xr:uid="{00000000-0005-0000-0000-0000FF640000}"/>
    <cellStyle name="Normal 317 2 2" xfId="25856" xr:uid="{00000000-0005-0000-0000-000000650000}"/>
    <cellStyle name="Normal 317 2 2 2" xfId="25857" xr:uid="{00000000-0005-0000-0000-000001650000}"/>
    <cellStyle name="Normal 317 2 3" xfId="25858" xr:uid="{00000000-0005-0000-0000-000002650000}"/>
    <cellStyle name="Normal 317 2 3 2" xfId="25859" xr:uid="{00000000-0005-0000-0000-000003650000}"/>
    <cellStyle name="Normal 317 2 3 2 2" xfId="25860" xr:uid="{00000000-0005-0000-0000-000004650000}"/>
    <cellStyle name="Normal 317 2 3 3" xfId="25861" xr:uid="{00000000-0005-0000-0000-000005650000}"/>
    <cellStyle name="Normal 317 2 4" xfId="25862" xr:uid="{00000000-0005-0000-0000-000006650000}"/>
    <cellStyle name="Normal 317 2 4 2" xfId="25863" xr:uid="{00000000-0005-0000-0000-000007650000}"/>
    <cellStyle name="Normal 317 2 4 2 2" xfId="25864" xr:uid="{00000000-0005-0000-0000-000008650000}"/>
    <cellStyle name="Normal 317 2 4 3" xfId="25865" xr:uid="{00000000-0005-0000-0000-000009650000}"/>
    <cellStyle name="Normal 317 2 5" xfId="25866" xr:uid="{00000000-0005-0000-0000-00000A650000}"/>
    <cellStyle name="Normal 317 3" xfId="25867" xr:uid="{00000000-0005-0000-0000-00000B650000}"/>
    <cellStyle name="Normal 317 3 2" xfId="25868" xr:uid="{00000000-0005-0000-0000-00000C650000}"/>
    <cellStyle name="Normal 317 3 2 2" xfId="25869" xr:uid="{00000000-0005-0000-0000-00000D650000}"/>
    <cellStyle name="Normal 317 3 2 2 2" xfId="25870" xr:uid="{00000000-0005-0000-0000-00000E650000}"/>
    <cellStyle name="Normal 317 3 2 3" xfId="25871" xr:uid="{00000000-0005-0000-0000-00000F650000}"/>
    <cellStyle name="Normal 317 3 2 3 2" xfId="25872" xr:uid="{00000000-0005-0000-0000-000010650000}"/>
    <cellStyle name="Normal 317 3 2 3 2 2" xfId="25873" xr:uid="{00000000-0005-0000-0000-000011650000}"/>
    <cellStyle name="Normal 317 3 2 3 3" xfId="25874" xr:uid="{00000000-0005-0000-0000-000012650000}"/>
    <cellStyle name="Normal 317 3 2 4" xfId="25875" xr:uid="{00000000-0005-0000-0000-000013650000}"/>
    <cellStyle name="Normal 317 3 3" xfId="25876" xr:uid="{00000000-0005-0000-0000-000014650000}"/>
    <cellStyle name="Normal 317 3 3 2" xfId="25877" xr:uid="{00000000-0005-0000-0000-000015650000}"/>
    <cellStyle name="Normal 317 3 3 2 2" xfId="25878" xr:uid="{00000000-0005-0000-0000-000016650000}"/>
    <cellStyle name="Normal 317 3 3 3" xfId="25879" xr:uid="{00000000-0005-0000-0000-000017650000}"/>
    <cellStyle name="Normal 317 3 4" xfId="25880" xr:uid="{00000000-0005-0000-0000-000018650000}"/>
    <cellStyle name="Normal 317 3 4 2" xfId="25881" xr:uid="{00000000-0005-0000-0000-000019650000}"/>
    <cellStyle name="Normal 317 3 4 2 2" xfId="25882" xr:uid="{00000000-0005-0000-0000-00001A650000}"/>
    <cellStyle name="Normal 317 3 4 3" xfId="25883" xr:uid="{00000000-0005-0000-0000-00001B650000}"/>
    <cellStyle name="Normal 317 3 5" xfId="25884" xr:uid="{00000000-0005-0000-0000-00001C650000}"/>
    <cellStyle name="Normal 317 3 5 2" xfId="25885" xr:uid="{00000000-0005-0000-0000-00001D650000}"/>
    <cellStyle name="Normal 317 3 5 2 2" xfId="25886" xr:uid="{00000000-0005-0000-0000-00001E650000}"/>
    <cellStyle name="Normal 317 3 5 3" xfId="25887" xr:uid="{00000000-0005-0000-0000-00001F650000}"/>
    <cellStyle name="Normal 317 3 6" xfId="25888" xr:uid="{00000000-0005-0000-0000-000020650000}"/>
    <cellStyle name="Normal 317 4" xfId="25889" xr:uid="{00000000-0005-0000-0000-000021650000}"/>
    <cellStyle name="Normal 317 4 2" xfId="25890" xr:uid="{00000000-0005-0000-0000-000022650000}"/>
    <cellStyle name="Normal 317 4 2 2" xfId="25891" xr:uid="{00000000-0005-0000-0000-000023650000}"/>
    <cellStyle name="Normal 317 4 3" xfId="25892" xr:uid="{00000000-0005-0000-0000-000024650000}"/>
    <cellStyle name="Normal 317 5" xfId="25893" xr:uid="{00000000-0005-0000-0000-000025650000}"/>
    <cellStyle name="Normal 317 5 2" xfId="25894" xr:uid="{00000000-0005-0000-0000-000026650000}"/>
    <cellStyle name="Normal 317 5 2 2" xfId="25895" xr:uid="{00000000-0005-0000-0000-000027650000}"/>
    <cellStyle name="Normal 317 5 3" xfId="25896" xr:uid="{00000000-0005-0000-0000-000028650000}"/>
    <cellStyle name="Normal 317 6" xfId="25897" xr:uid="{00000000-0005-0000-0000-000029650000}"/>
    <cellStyle name="Normal 317 6 2" xfId="25898" xr:uid="{00000000-0005-0000-0000-00002A650000}"/>
    <cellStyle name="Normal 317 6 2 2" xfId="25899" xr:uid="{00000000-0005-0000-0000-00002B650000}"/>
    <cellStyle name="Normal 317 6 3" xfId="25900" xr:uid="{00000000-0005-0000-0000-00002C650000}"/>
    <cellStyle name="Normal 317 7" xfId="25901" xr:uid="{00000000-0005-0000-0000-00002D650000}"/>
    <cellStyle name="Normal 318" xfId="25902" xr:uid="{00000000-0005-0000-0000-00002E650000}"/>
    <cellStyle name="Normal 318 2" xfId="25903" xr:uid="{00000000-0005-0000-0000-00002F650000}"/>
    <cellStyle name="Normal 318 2 2" xfId="25904" xr:uid="{00000000-0005-0000-0000-000030650000}"/>
    <cellStyle name="Normal 318 2 2 2" xfId="25905" xr:uid="{00000000-0005-0000-0000-000031650000}"/>
    <cellStyle name="Normal 318 2 3" xfId="25906" xr:uid="{00000000-0005-0000-0000-000032650000}"/>
    <cellStyle name="Normal 318 2 3 2" xfId="25907" xr:uid="{00000000-0005-0000-0000-000033650000}"/>
    <cellStyle name="Normal 318 2 3 2 2" xfId="25908" xr:uid="{00000000-0005-0000-0000-000034650000}"/>
    <cellStyle name="Normal 318 2 3 3" xfId="25909" xr:uid="{00000000-0005-0000-0000-000035650000}"/>
    <cellStyle name="Normal 318 2 4" xfId="25910" xr:uid="{00000000-0005-0000-0000-000036650000}"/>
    <cellStyle name="Normal 318 2 4 2" xfId="25911" xr:uid="{00000000-0005-0000-0000-000037650000}"/>
    <cellStyle name="Normal 318 2 4 2 2" xfId="25912" xr:uid="{00000000-0005-0000-0000-000038650000}"/>
    <cellStyle name="Normal 318 2 4 3" xfId="25913" xr:uid="{00000000-0005-0000-0000-000039650000}"/>
    <cellStyle name="Normal 318 2 5" xfId="25914" xr:uid="{00000000-0005-0000-0000-00003A650000}"/>
    <cellStyle name="Normal 318 3" xfId="25915" xr:uid="{00000000-0005-0000-0000-00003B650000}"/>
    <cellStyle name="Normal 318 3 2" xfId="25916" xr:uid="{00000000-0005-0000-0000-00003C650000}"/>
    <cellStyle name="Normal 318 3 2 2" xfId="25917" xr:uid="{00000000-0005-0000-0000-00003D650000}"/>
    <cellStyle name="Normal 318 3 2 2 2" xfId="25918" xr:uid="{00000000-0005-0000-0000-00003E650000}"/>
    <cellStyle name="Normal 318 3 2 3" xfId="25919" xr:uid="{00000000-0005-0000-0000-00003F650000}"/>
    <cellStyle name="Normal 318 3 2 3 2" xfId="25920" xr:uid="{00000000-0005-0000-0000-000040650000}"/>
    <cellStyle name="Normal 318 3 2 3 2 2" xfId="25921" xr:uid="{00000000-0005-0000-0000-000041650000}"/>
    <cellStyle name="Normal 318 3 2 3 3" xfId="25922" xr:uid="{00000000-0005-0000-0000-000042650000}"/>
    <cellStyle name="Normal 318 3 2 4" xfId="25923" xr:uid="{00000000-0005-0000-0000-000043650000}"/>
    <cellStyle name="Normal 318 3 3" xfId="25924" xr:uid="{00000000-0005-0000-0000-000044650000}"/>
    <cellStyle name="Normal 318 3 3 2" xfId="25925" xr:uid="{00000000-0005-0000-0000-000045650000}"/>
    <cellStyle name="Normal 318 3 3 2 2" xfId="25926" xr:uid="{00000000-0005-0000-0000-000046650000}"/>
    <cellStyle name="Normal 318 3 3 3" xfId="25927" xr:uid="{00000000-0005-0000-0000-000047650000}"/>
    <cellStyle name="Normal 318 3 4" xfId="25928" xr:uid="{00000000-0005-0000-0000-000048650000}"/>
    <cellStyle name="Normal 318 3 4 2" xfId="25929" xr:uid="{00000000-0005-0000-0000-000049650000}"/>
    <cellStyle name="Normal 318 3 4 2 2" xfId="25930" xr:uid="{00000000-0005-0000-0000-00004A650000}"/>
    <cellStyle name="Normal 318 3 4 3" xfId="25931" xr:uid="{00000000-0005-0000-0000-00004B650000}"/>
    <cellStyle name="Normal 318 3 5" xfId="25932" xr:uid="{00000000-0005-0000-0000-00004C650000}"/>
    <cellStyle name="Normal 318 3 5 2" xfId="25933" xr:uid="{00000000-0005-0000-0000-00004D650000}"/>
    <cellStyle name="Normal 318 3 5 2 2" xfId="25934" xr:uid="{00000000-0005-0000-0000-00004E650000}"/>
    <cellStyle name="Normal 318 3 5 3" xfId="25935" xr:uid="{00000000-0005-0000-0000-00004F650000}"/>
    <cellStyle name="Normal 318 3 6" xfId="25936" xr:uid="{00000000-0005-0000-0000-000050650000}"/>
    <cellStyle name="Normal 318 4" xfId="25937" xr:uid="{00000000-0005-0000-0000-000051650000}"/>
    <cellStyle name="Normal 318 4 2" xfId="25938" xr:uid="{00000000-0005-0000-0000-000052650000}"/>
    <cellStyle name="Normal 318 4 2 2" xfId="25939" xr:uid="{00000000-0005-0000-0000-000053650000}"/>
    <cellStyle name="Normal 318 4 3" xfId="25940" xr:uid="{00000000-0005-0000-0000-000054650000}"/>
    <cellStyle name="Normal 318 5" xfId="25941" xr:uid="{00000000-0005-0000-0000-000055650000}"/>
    <cellStyle name="Normal 318 5 2" xfId="25942" xr:uid="{00000000-0005-0000-0000-000056650000}"/>
    <cellStyle name="Normal 318 5 2 2" xfId="25943" xr:uid="{00000000-0005-0000-0000-000057650000}"/>
    <cellStyle name="Normal 318 5 3" xfId="25944" xr:uid="{00000000-0005-0000-0000-000058650000}"/>
    <cellStyle name="Normal 318 6" xfId="25945" xr:uid="{00000000-0005-0000-0000-000059650000}"/>
    <cellStyle name="Normal 318 6 2" xfId="25946" xr:uid="{00000000-0005-0000-0000-00005A650000}"/>
    <cellStyle name="Normal 318 6 2 2" xfId="25947" xr:uid="{00000000-0005-0000-0000-00005B650000}"/>
    <cellStyle name="Normal 318 6 3" xfId="25948" xr:uid="{00000000-0005-0000-0000-00005C650000}"/>
    <cellStyle name="Normal 318 7" xfId="25949" xr:uid="{00000000-0005-0000-0000-00005D650000}"/>
    <cellStyle name="Normal 319" xfId="25950" xr:uid="{00000000-0005-0000-0000-00005E650000}"/>
    <cellStyle name="Normal 319 2" xfId="25951" xr:uid="{00000000-0005-0000-0000-00005F650000}"/>
    <cellStyle name="Normal 319 2 2" xfId="25952" xr:uid="{00000000-0005-0000-0000-000060650000}"/>
    <cellStyle name="Normal 319 2 2 2" xfId="25953" xr:uid="{00000000-0005-0000-0000-000061650000}"/>
    <cellStyle name="Normal 319 2 3" xfId="25954" xr:uid="{00000000-0005-0000-0000-000062650000}"/>
    <cellStyle name="Normal 319 2 3 2" xfId="25955" xr:uid="{00000000-0005-0000-0000-000063650000}"/>
    <cellStyle name="Normal 319 2 3 2 2" xfId="25956" xr:uid="{00000000-0005-0000-0000-000064650000}"/>
    <cellStyle name="Normal 319 2 3 3" xfId="25957" xr:uid="{00000000-0005-0000-0000-000065650000}"/>
    <cellStyle name="Normal 319 2 4" xfId="25958" xr:uid="{00000000-0005-0000-0000-000066650000}"/>
    <cellStyle name="Normal 319 2 4 2" xfId="25959" xr:uid="{00000000-0005-0000-0000-000067650000}"/>
    <cellStyle name="Normal 319 2 4 2 2" xfId="25960" xr:uid="{00000000-0005-0000-0000-000068650000}"/>
    <cellStyle name="Normal 319 2 4 3" xfId="25961" xr:uid="{00000000-0005-0000-0000-000069650000}"/>
    <cellStyle name="Normal 319 2 5" xfId="25962" xr:uid="{00000000-0005-0000-0000-00006A650000}"/>
    <cellStyle name="Normal 319 3" xfId="25963" xr:uid="{00000000-0005-0000-0000-00006B650000}"/>
    <cellStyle name="Normal 319 3 2" xfId="25964" xr:uid="{00000000-0005-0000-0000-00006C650000}"/>
    <cellStyle name="Normal 319 3 2 2" xfId="25965" xr:uid="{00000000-0005-0000-0000-00006D650000}"/>
    <cellStyle name="Normal 319 3 2 2 2" xfId="25966" xr:uid="{00000000-0005-0000-0000-00006E650000}"/>
    <cellStyle name="Normal 319 3 2 3" xfId="25967" xr:uid="{00000000-0005-0000-0000-00006F650000}"/>
    <cellStyle name="Normal 319 3 2 3 2" xfId="25968" xr:uid="{00000000-0005-0000-0000-000070650000}"/>
    <cellStyle name="Normal 319 3 2 3 2 2" xfId="25969" xr:uid="{00000000-0005-0000-0000-000071650000}"/>
    <cellStyle name="Normal 319 3 2 3 3" xfId="25970" xr:uid="{00000000-0005-0000-0000-000072650000}"/>
    <cellStyle name="Normal 319 3 2 4" xfId="25971" xr:uid="{00000000-0005-0000-0000-000073650000}"/>
    <cellStyle name="Normal 319 3 3" xfId="25972" xr:uid="{00000000-0005-0000-0000-000074650000}"/>
    <cellStyle name="Normal 319 3 3 2" xfId="25973" xr:uid="{00000000-0005-0000-0000-000075650000}"/>
    <cellStyle name="Normal 319 3 3 2 2" xfId="25974" xr:uid="{00000000-0005-0000-0000-000076650000}"/>
    <cellStyle name="Normal 319 3 3 3" xfId="25975" xr:uid="{00000000-0005-0000-0000-000077650000}"/>
    <cellStyle name="Normal 319 3 4" xfId="25976" xr:uid="{00000000-0005-0000-0000-000078650000}"/>
    <cellStyle name="Normal 319 3 4 2" xfId="25977" xr:uid="{00000000-0005-0000-0000-000079650000}"/>
    <cellStyle name="Normal 319 3 4 2 2" xfId="25978" xr:uid="{00000000-0005-0000-0000-00007A650000}"/>
    <cellStyle name="Normal 319 3 4 3" xfId="25979" xr:uid="{00000000-0005-0000-0000-00007B650000}"/>
    <cellStyle name="Normal 319 3 5" xfId="25980" xr:uid="{00000000-0005-0000-0000-00007C650000}"/>
    <cellStyle name="Normal 319 3 5 2" xfId="25981" xr:uid="{00000000-0005-0000-0000-00007D650000}"/>
    <cellStyle name="Normal 319 3 5 2 2" xfId="25982" xr:uid="{00000000-0005-0000-0000-00007E650000}"/>
    <cellStyle name="Normal 319 3 5 3" xfId="25983" xr:uid="{00000000-0005-0000-0000-00007F650000}"/>
    <cellStyle name="Normal 319 3 6" xfId="25984" xr:uid="{00000000-0005-0000-0000-000080650000}"/>
    <cellStyle name="Normal 319 4" xfId="25985" xr:uid="{00000000-0005-0000-0000-000081650000}"/>
    <cellStyle name="Normal 319 4 2" xfId="25986" xr:uid="{00000000-0005-0000-0000-000082650000}"/>
    <cellStyle name="Normal 319 4 2 2" xfId="25987" xr:uid="{00000000-0005-0000-0000-000083650000}"/>
    <cellStyle name="Normal 319 4 3" xfId="25988" xr:uid="{00000000-0005-0000-0000-000084650000}"/>
    <cellStyle name="Normal 319 5" xfId="25989" xr:uid="{00000000-0005-0000-0000-000085650000}"/>
    <cellStyle name="Normal 319 5 2" xfId="25990" xr:uid="{00000000-0005-0000-0000-000086650000}"/>
    <cellStyle name="Normal 319 5 2 2" xfId="25991" xr:uid="{00000000-0005-0000-0000-000087650000}"/>
    <cellStyle name="Normal 319 5 3" xfId="25992" xr:uid="{00000000-0005-0000-0000-000088650000}"/>
    <cellStyle name="Normal 319 6" xfId="25993" xr:uid="{00000000-0005-0000-0000-000089650000}"/>
    <cellStyle name="Normal 319 6 2" xfId="25994" xr:uid="{00000000-0005-0000-0000-00008A650000}"/>
    <cellStyle name="Normal 319 6 2 2" xfId="25995" xr:uid="{00000000-0005-0000-0000-00008B650000}"/>
    <cellStyle name="Normal 319 6 3" xfId="25996" xr:uid="{00000000-0005-0000-0000-00008C650000}"/>
    <cellStyle name="Normal 319 7" xfId="25997" xr:uid="{00000000-0005-0000-0000-00008D650000}"/>
    <cellStyle name="Normal 32" xfId="25998" xr:uid="{00000000-0005-0000-0000-00008E650000}"/>
    <cellStyle name="Normal 32 2" xfId="25999" xr:uid="{00000000-0005-0000-0000-00008F650000}"/>
    <cellStyle name="Normal 32 2 2" xfId="26000" xr:uid="{00000000-0005-0000-0000-000090650000}"/>
    <cellStyle name="Normal 32 2 2 2" xfId="26001" xr:uid="{00000000-0005-0000-0000-000091650000}"/>
    <cellStyle name="Normal 32 2 2 2 2" xfId="26002" xr:uid="{00000000-0005-0000-0000-000092650000}"/>
    <cellStyle name="Normal 32 2 2 3" xfId="26003" xr:uid="{00000000-0005-0000-0000-000093650000}"/>
    <cellStyle name="Normal 32 2 2 3 2" xfId="26004" xr:uid="{00000000-0005-0000-0000-000094650000}"/>
    <cellStyle name="Normal 32 2 2 3 2 2" xfId="26005" xr:uid="{00000000-0005-0000-0000-000095650000}"/>
    <cellStyle name="Normal 32 2 2 3 3" xfId="26006" xr:uid="{00000000-0005-0000-0000-000096650000}"/>
    <cellStyle name="Normal 32 2 2 4" xfId="26007" xr:uid="{00000000-0005-0000-0000-000097650000}"/>
    <cellStyle name="Normal 32 2 2 4 2" xfId="26008" xr:uid="{00000000-0005-0000-0000-000098650000}"/>
    <cellStyle name="Normal 32 2 2 4 2 2" xfId="26009" xr:uid="{00000000-0005-0000-0000-000099650000}"/>
    <cellStyle name="Normal 32 2 2 4 3" xfId="26010" xr:uid="{00000000-0005-0000-0000-00009A650000}"/>
    <cellStyle name="Normal 32 2 2 5" xfId="26011" xr:uid="{00000000-0005-0000-0000-00009B650000}"/>
    <cellStyle name="Normal 32 2 3" xfId="26012" xr:uid="{00000000-0005-0000-0000-00009C650000}"/>
    <cellStyle name="Normal 32 2 3 2" xfId="26013" xr:uid="{00000000-0005-0000-0000-00009D650000}"/>
    <cellStyle name="Normal 32 2 3 2 2" xfId="26014" xr:uid="{00000000-0005-0000-0000-00009E650000}"/>
    <cellStyle name="Normal 32 2 3 3" xfId="26015" xr:uid="{00000000-0005-0000-0000-00009F650000}"/>
    <cellStyle name="Normal 32 2 4" xfId="26016" xr:uid="{00000000-0005-0000-0000-0000A0650000}"/>
    <cellStyle name="Normal 32 2 4 2" xfId="26017" xr:uid="{00000000-0005-0000-0000-0000A1650000}"/>
    <cellStyle name="Normal 32 2 4 2 2" xfId="26018" xr:uid="{00000000-0005-0000-0000-0000A2650000}"/>
    <cellStyle name="Normal 32 2 4 3" xfId="26019" xr:uid="{00000000-0005-0000-0000-0000A3650000}"/>
    <cellStyle name="Normal 32 2 5" xfId="26020" xr:uid="{00000000-0005-0000-0000-0000A4650000}"/>
    <cellStyle name="Normal 32 2 5 2" xfId="26021" xr:uid="{00000000-0005-0000-0000-0000A5650000}"/>
    <cellStyle name="Normal 32 2 5 2 2" xfId="26022" xr:uid="{00000000-0005-0000-0000-0000A6650000}"/>
    <cellStyle name="Normal 32 2 5 3" xfId="26023" xr:uid="{00000000-0005-0000-0000-0000A7650000}"/>
    <cellStyle name="Normal 32 2 6" xfId="26024" xr:uid="{00000000-0005-0000-0000-0000A8650000}"/>
    <cellStyle name="Normal 32 3" xfId="26025" xr:uid="{00000000-0005-0000-0000-0000A9650000}"/>
    <cellStyle name="Normal 32 3 2" xfId="26026" xr:uid="{00000000-0005-0000-0000-0000AA650000}"/>
    <cellStyle name="Normal 32 3 2 2" xfId="26027" xr:uid="{00000000-0005-0000-0000-0000AB650000}"/>
    <cellStyle name="Normal 32 3 3" xfId="26028" xr:uid="{00000000-0005-0000-0000-0000AC650000}"/>
    <cellStyle name="Normal 32 3 3 2" xfId="26029" xr:uid="{00000000-0005-0000-0000-0000AD650000}"/>
    <cellStyle name="Normal 32 3 3 2 2" xfId="26030" xr:uid="{00000000-0005-0000-0000-0000AE650000}"/>
    <cellStyle name="Normal 32 3 3 3" xfId="26031" xr:uid="{00000000-0005-0000-0000-0000AF650000}"/>
    <cellStyle name="Normal 32 3 4" xfId="26032" xr:uid="{00000000-0005-0000-0000-0000B0650000}"/>
    <cellStyle name="Normal 32 3 4 2" xfId="26033" xr:uid="{00000000-0005-0000-0000-0000B1650000}"/>
    <cellStyle name="Normal 32 3 4 2 2" xfId="26034" xr:uid="{00000000-0005-0000-0000-0000B2650000}"/>
    <cellStyle name="Normal 32 3 4 3" xfId="26035" xr:uid="{00000000-0005-0000-0000-0000B3650000}"/>
    <cellStyle name="Normal 32 3 5" xfId="26036" xr:uid="{00000000-0005-0000-0000-0000B4650000}"/>
    <cellStyle name="Normal 32 4" xfId="26037" xr:uid="{00000000-0005-0000-0000-0000B5650000}"/>
    <cellStyle name="Normal 32 4 2" xfId="26038" xr:uid="{00000000-0005-0000-0000-0000B6650000}"/>
    <cellStyle name="Normal 32 4 2 2" xfId="26039" xr:uid="{00000000-0005-0000-0000-0000B7650000}"/>
    <cellStyle name="Normal 32 4 3" xfId="26040" xr:uid="{00000000-0005-0000-0000-0000B8650000}"/>
    <cellStyle name="Normal 32 5" xfId="26041" xr:uid="{00000000-0005-0000-0000-0000B9650000}"/>
    <cellStyle name="Normal 32 5 2" xfId="26042" xr:uid="{00000000-0005-0000-0000-0000BA650000}"/>
    <cellStyle name="Normal 32 5 2 2" xfId="26043" xr:uid="{00000000-0005-0000-0000-0000BB650000}"/>
    <cellStyle name="Normal 32 5 3" xfId="26044" xr:uid="{00000000-0005-0000-0000-0000BC650000}"/>
    <cellStyle name="Normal 32 6" xfId="26045" xr:uid="{00000000-0005-0000-0000-0000BD650000}"/>
    <cellStyle name="Normal 32 6 2" xfId="26046" xr:uid="{00000000-0005-0000-0000-0000BE650000}"/>
    <cellStyle name="Normal 32 6 2 2" xfId="26047" xr:uid="{00000000-0005-0000-0000-0000BF650000}"/>
    <cellStyle name="Normal 32 6 3" xfId="26048" xr:uid="{00000000-0005-0000-0000-0000C0650000}"/>
    <cellStyle name="Normal 32 7" xfId="26049" xr:uid="{00000000-0005-0000-0000-0000C1650000}"/>
    <cellStyle name="Normal 320" xfId="26050" xr:uid="{00000000-0005-0000-0000-0000C2650000}"/>
    <cellStyle name="Normal 320 2" xfId="26051" xr:uid="{00000000-0005-0000-0000-0000C3650000}"/>
    <cellStyle name="Normal 320 2 2" xfId="26052" xr:uid="{00000000-0005-0000-0000-0000C4650000}"/>
    <cellStyle name="Normal 320 2 2 2" xfId="26053" xr:uid="{00000000-0005-0000-0000-0000C5650000}"/>
    <cellStyle name="Normal 320 2 3" xfId="26054" xr:uid="{00000000-0005-0000-0000-0000C6650000}"/>
    <cellStyle name="Normal 320 2 3 2" xfId="26055" xr:uid="{00000000-0005-0000-0000-0000C7650000}"/>
    <cellStyle name="Normal 320 2 3 2 2" xfId="26056" xr:uid="{00000000-0005-0000-0000-0000C8650000}"/>
    <cellStyle name="Normal 320 2 3 3" xfId="26057" xr:uid="{00000000-0005-0000-0000-0000C9650000}"/>
    <cellStyle name="Normal 320 2 4" xfId="26058" xr:uid="{00000000-0005-0000-0000-0000CA650000}"/>
    <cellStyle name="Normal 320 2 4 2" xfId="26059" xr:uid="{00000000-0005-0000-0000-0000CB650000}"/>
    <cellStyle name="Normal 320 2 4 2 2" xfId="26060" xr:uid="{00000000-0005-0000-0000-0000CC650000}"/>
    <cellStyle name="Normal 320 2 4 3" xfId="26061" xr:uid="{00000000-0005-0000-0000-0000CD650000}"/>
    <cellStyle name="Normal 320 2 5" xfId="26062" xr:uid="{00000000-0005-0000-0000-0000CE650000}"/>
    <cellStyle name="Normal 320 3" xfId="26063" xr:uid="{00000000-0005-0000-0000-0000CF650000}"/>
    <cellStyle name="Normal 320 3 2" xfId="26064" xr:uid="{00000000-0005-0000-0000-0000D0650000}"/>
    <cellStyle name="Normal 320 3 2 2" xfId="26065" xr:uid="{00000000-0005-0000-0000-0000D1650000}"/>
    <cellStyle name="Normal 320 3 2 2 2" xfId="26066" xr:uid="{00000000-0005-0000-0000-0000D2650000}"/>
    <cellStyle name="Normal 320 3 2 3" xfId="26067" xr:uid="{00000000-0005-0000-0000-0000D3650000}"/>
    <cellStyle name="Normal 320 3 2 3 2" xfId="26068" xr:uid="{00000000-0005-0000-0000-0000D4650000}"/>
    <cellStyle name="Normal 320 3 2 3 2 2" xfId="26069" xr:uid="{00000000-0005-0000-0000-0000D5650000}"/>
    <cellStyle name="Normal 320 3 2 3 3" xfId="26070" xr:uid="{00000000-0005-0000-0000-0000D6650000}"/>
    <cellStyle name="Normal 320 3 2 4" xfId="26071" xr:uid="{00000000-0005-0000-0000-0000D7650000}"/>
    <cellStyle name="Normal 320 3 3" xfId="26072" xr:uid="{00000000-0005-0000-0000-0000D8650000}"/>
    <cellStyle name="Normal 320 3 3 2" xfId="26073" xr:uid="{00000000-0005-0000-0000-0000D9650000}"/>
    <cellStyle name="Normal 320 3 3 2 2" xfId="26074" xr:uid="{00000000-0005-0000-0000-0000DA650000}"/>
    <cellStyle name="Normal 320 3 3 3" xfId="26075" xr:uid="{00000000-0005-0000-0000-0000DB650000}"/>
    <cellStyle name="Normal 320 3 4" xfId="26076" xr:uid="{00000000-0005-0000-0000-0000DC650000}"/>
    <cellStyle name="Normal 320 3 4 2" xfId="26077" xr:uid="{00000000-0005-0000-0000-0000DD650000}"/>
    <cellStyle name="Normal 320 3 4 2 2" xfId="26078" xr:uid="{00000000-0005-0000-0000-0000DE650000}"/>
    <cellStyle name="Normal 320 3 4 3" xfId="26079" xr:uid="{00000000-0005-0000-0000-0000DF650000}"/>
    <cellStyle name="Normal 320 3 5" xfId="26080" xr:uid="{00000000-0005-0000-0000-0000E0650000}"/>
    <cellStyle name="Normal 320 3 5 2" xfId="26081" xr:uid="{00000000-0005-0000-0000-0000E1650000}"/>
    <cellStyle name="Normal 320 3 5 2 2" xfId="26082" xr:uid="{00000000-0005-0000-0000-0000E2650000}"/>
    <cellStyle name="Normal 320 3 5 3" xfId="26083" xr:uid="{00000000-0005-0000-0000-0000E3650000}"/>
    <cellStyle name="Normal 320 3 6" xfId="26084" xr:uid="{00000000-0005-0000-0000-0000E4650000}"/>
    <cellStyle name="Normal 320 4" xfId="26085" xr:uid="{00000000-0005-0000-0000-0000E5650000}"/>
    <cellStyle name="Normal 320 4 2" xfId="26086" xr:uid="{00000000-0005-0000-0000-0000E6650000}"/>
    <cellStyle name="Normal 320 4 2 2" xfId="26087" xr:uid="{00000000-0005-0000-0000-0000E7650000}"/>
    <cellStyle name="Normal 320 4 3" xfId="26088" xr:uid="{00000000-0005-0000-0000-0000E8650000}"/>
    <cellStyle name="Normal 320 5" xfId="26089" xr:uid="{00000000-0005-0000-0000-0000E9650000}"/>
    <cellStyle name="Normal 320 5 2" xfId="26090" xr:uid="{00000000-0005-0000-0000-0000EA650000}"/>
    <cellStyle name="Normal 320 5 2 2" xfId="26091" xr:uid="{00000000-0005-0000-0000-0000EB650000}"/>
    <cellStyle name="Normal 320 5 3" xfId="26092" xr:uid="{00000000-0005-0000-0000-0000EC650000}"/>
    <cellStyle name="Normal 320 6" xfId="26093" xr:uid="{00000000-0005-0000-0000-0000ED650000}"/>
    <cellStyle name="Normal 320 6 2" xfId="26094" xr:uid="{00000000-0005-0000-0000-0000EE650000}"/>
    <cellStyle name="Normal 320 6 2 2" xfId="26095" xr:uid="{00000000-0005-0000-0000-0000EF650000}"/>
    <cellStyle name="Normal 320 6 3" xfId="26096" xr:uid="{00000000-0005-0000-0000-0000F0650000}"/>
    <cellStyle name="Normal 320 7" xfId="26097" xr:uid="{00000000-0005-0000-0000-0000F1650000}"/>
    <cellStyle name="Normal 321" xfId="26098" xr:uid="{00000000-0005-0000-0000-0000F2650000}"/>
    <cellStyle name="Normal 321 2" xfId="26099" xr:uid="{00000000-0005-0000-0000-0000F3650000}"/>
    <cellStyle name="Normal 321 2 2" xfId="26100" xr:uid="{00000000-0005-0000-0000-0000F4650000}"/>
    <cellStyle name="Normal 321 2 2 2" xfId="26101" xr:uid="{00000000-0005-0000-0000-0000F5650000}"/>
    <cellStyle name="Normal 321 2 3" xfId="26102" xr:uid="{00000000-0005-0000-0000-0000F6650000}"/>
    <cellStyle name="Normal 321 2 3 2" xfId="26103" xr:uid="{00000000-0005-0000-0000-0000F7650000}"/>
    <cellStyle name="Normal 321 2 3 2 2" xfId="26104" xr:uid="{00000000-0005-0000-0000-0000F8650000}"/>
    <cellStyle name="Normal 321 2 3 3" xfId="26105" xr:uid="{00000000-0005-0000-0000-0000F9650000}"/>
    <cellStyle name="Normal 321 2 4" xfId="26106" xr:uid="{00000000-0005-0000-0000-0000FA650000}"/>
    <cellStyle name="Normal 321 2 4 2" xfId="26107" xr:uid="{00000000-0005-0000-0000-0000FB650000}"/>
    <cellStyle name="Normal 321 2 4 2 2" xfId="26108" xr:uid="{00000000-0005-0000-0000-0000FC650000}"/>
    <cellStyle name="Normal 321 2 4 3" xfId="26109" xr:uid="{00000000-0005-0000-0000-0000FD650000}"/>
    <cellStyle name="Normal 321 2 5" xfId="26110" xr:uid="{00000000-0005-0000-0000-0000FE650000}"/>
    <cellStyle name="Normal 321 3" xfId="26111" xr:uid="{00000000-0005-0000-0000-0000FF650000}"/>
    <cellStyle name="Normal 321 3 2" xfId="26112" xr:uid="{00000000-0005-0000-0000-000000660000}"/>
    <cellStyle name="Normal 321 3 2 2" xfId="26113" xr:uid="{00000000-0005-0000-0000-000001660000}"/>
    <cellStyle name="Normal 321 3 2 2 2" xfId="26114" xr:uid="{00000000-0005-0000-0000-000002660000}"/>
    <cellStyle name="Normal 321 3 2 3" xfId="26115" xr:uid="{00000000-0005-0000-0000-000003660000}"/>
    <cellStyle name="Normal 321 3 2 3 2" xfId="26116" xr:uid="{00000000-0005-0000-0000-000004660000}"/>
    <cellStyle name="Normal 321 3 2 3 2 2" xfId="26117" xr:uid="{00000000-0005-0000-0000-000005660000}"/>
    <cellStyle name="Normal 321 3 2 3 3" xfId="26118" xr:uid="{00000000-0005-0000-0000-000006660000}"/>
    <cellStyle name="Normal 321 3 2 4" xfId="26119" xr:uid="{00000000-0005-0000-0000-000007660000}"/>
    <cellStyle name="Normal 321 3 3" xfId="26120" xr:uid="{00000000-0005-0000-0000-000008660000}"/>
    <cellStyle name="Normal 321 3 3 2" xfId="26121" xr:uid="{00000000-0005-0000-0000-000009660000}"/>
    <cellStyle name="Normal 321 3 3 2 2" xfId="26122" xr:uid="{00000000-0005-0000-0000-00000A660000}"/>
    <cellStyle name="Normal 321 3 3 3" xfId="26123" xr:uid="{00000000-0005-0000-0000-00000B660000}"/>
    <cellStyle name="Normal 321 3 4" xfId="26124" xr:uid="{00000000-0005-0000-0000-00000C660000}"/>
    <cellStyle name="Normal 321 3 4 2" xfId="26125" xr:uid="{00000000-0005-0000-0000-00000D660000}"/>
    <cellStyle name="Normal 321 3 4 2 2" xfId="26126" xr:uid="{00000000-0005-0000-0000-00000E660000}"/>
    <cellStyle name="Normal 321 3 4 3" xfId="26127" xr:uid="{00000000-0005-0000-0000-00000F660000}"/>
    <cellStyle name="Normal 321 3 5" xfId="26128" xr:uid="{00000000-0005-0000-0000-000010660000}"/>
    <cellStyle name="Normal 321 3 5 2" xfId="26129" xr:uid="{00000000-0005-0000-0000-000011660000}"/>
    <cellStyle name="Normal 321 3 5 2 2" xfId="26130" xr:uid="{00000000-0005-0000-0000-000012660000}"/>
    <cellStyle name="Normal 321 3 5 3" xfId="26131" xr:uid="{00000000-0005-0000-0000-000013660000}"/>
    <cellStyle name="Normal 321 3 6" xfId="26132" xr:uid="{00000000-0005-0000-0000-000014660000}"/>
    <cellStyle name="Normal 321 4" xfId="26133" xr:uid="{00000000-0005-0000-0000-000015660000}"/>
    <cellStyle name="Normal 321 4 2" xfId="26134" xr:uid="{00000000-0005-0000-0000-000016660000}"/>
    <cellStyle name="Normal 321 4 2 2" xfId="26135" xr:uid="{00000000-0005-0000-0000-000017660000}"/>
    <cellStyle name="Normal 321 4 3" xfId="26136" xr:uid="{00000000-0005-0000-0000-000018660000}"/>
    <cellStyle name="Normal 321 5" xfId="26137" xr:uid="{00000000-0005-0000-0000-000019660000}"/>
    <cellStyle name="Normal 321 5 2" xfId="26138" xr:uid="{00000000-0005-0000-0000-00001A660000}"/>
    <cellStyle name="Normal 321 5 2 2" xfId="26139" xr:uid="{00000000-0005-0000-0000-00001B660000}"/>
    <cellStyle name="Normal 321 5 3" xfId="26140" xr:uid="{00000000-0005-0000-0000-00001C660000}"/>
    <cellStyle name="Normal 321 6" xfId="26141" xr:uid="{00000000-0005-0000-0000-00001D660000}"/>
    <cellStyle name="Normal 321 6 2" xfId="26142" xr:uid="{00000000-0005-0000-0000-00001E660000}"/>
    <cellStyle name="Normal 321 6 2 2" xfId="26143" xr:uid="{00000000-0005-0000-0000-00001F660000}"/>
    <cellStyle name="Normal 321 6 3" xfId="26144" xr:uid="{00000000-0005-0000-0000-000020660000}"/>
    <cellStyle name="Normal 321 7" xfId="26145" xr:uid="{00000000-0005-0000-0000-000021660000}"/>
    <cellStyle name="Normal 322" xfId="26146" xr:uid="{00000000-0005-0000-0000-000022660000}"/>
    <cellStyle name="Normal 322 2" xfId="26147" xr:uid="{00000000-0005-0000-0000-000023660000}"/>
    <cellStyle name="Normal 322 2 2" xfId="26148" xr:uid="{00000000-0005-0000-0000-000024660000}"/>
    <cellStyle name="Normal 322 2 2 2" xfId="26149" xr:uid="{00000000-0005-0000-0000-000025660000}"/>
    <cellStyle name="Normal 322 2 3" xfId="26150" xr:uid="{00000000-0005-0000-0000-000026660000}"/>
    <cellStyle name="Normal 322 2 3 2" xfId="26151" xr:uid="{00000000-0005-0000-0000-000027660000}"/>
    <cellStyle name="Normal 322 2 3 2 2" xfId="26152" xr:uid="{00000000-0005-0000-0000-000028660000}"/>
    <cellStyle name="Normal 322 2 3 3" xfId="26153" xr:uid="{00000000-0005-0000-0000-000029660000}"/>
    <cellStyle name="Normal 322 2 4" xfId="26154" xr:uid="{00000000-0005-0000-0000-00002A660000}"/>
    <cellStyle name="Normal 322 2 4 2" xfId="26155" xr:uid="{00000000-0005-0000-0000-00002B660000}"/>
    <cellStyle name="Normal 322 2 4 2 2" xfId="26156" xr:uid="{00000000-0005-0000-0000-00002C660000}"/>
    <cellStyle name="Normal 322 2 4 3" xfId="26157" xr:uid="{00000000-0005-0000-0000-00002D660000}"/>
    <cellStyle name="Normal 322 2 5" xfId="26158" xr:uid="{00000000-0005-0000-0000-00002E660000}"/>
    <cellStyle name="Normal 322 3" xfId="26159" xr:uid="{00000000-0005-0000-0000-00002F660000}"/>
    <cellStyle name="Normal 322 3 2" xfId="26160" xr:uid="{00000000-0005-0000-0000-000030660000}"/>
    <cellStyle name="Normal 322 3 2 2" xfId="26161" xr:uid="{00000000-0005-0000-0000-000031660000}"/>
    <cellStyle name="Normal 322 3 2 2 2" xfId="26162" xr:uid="{00000000-0005-0000-0000-000032660000}"/>
    <cellStyle name="Normal 322 3 2 3" xfId="26163" xr:uid="{00000000-0005-0000-0000-000033660000}"/>
    <cellStyle name="Normal 322 3 2 3 2" xfId="26164" xr:uid="{00000000-0005-0000-0000-000034660000}"/>
    <cellStyle name="Normal 322 3 2 3 2 2" xfId="26165" xr:uid="{00000000-0005-0000-0000-000035660000}"/>
    <cellStyle name="Normal 322 3 2 3 3" xfId="26166" xr:uid="{00000000-0005-0000-0000-000036660000}"/>
    <cellStyle name="Normal 322 3 2 4" xfId="26167" xr:uid="{00000000-0005-0000-0000-000037660000}"/>
    <cellStyle name="Normal 322 3 3" xfId="26168" xr:uid="{00000000-0005-0000-0000-000038660000}"/>
    <cellStyle name="Normal 322 3 3 2" xfId="26169" xr:uid="{00000000-0005-0000-0000-000039660000}"/>
    <cellStyle name="Normal 322 3 3 2 2" xfId="26170" xr:uid="{00000000-0005-0000-0000-00003A660000}"/>
    <cellStyle name="Normal 322 3 3 3" xfId="26171" xr:uid="{00000000-0005-0000-0000-00003B660000}"/>
    <cellStyle name="Normal 322 3 4" xfId="26172" xr:uid="{00000000-0005-0000-0000-00003C660000}"/>
    <cellStyle name="Normal 322 3 4 2" xfId="26173" xr:uid="{00000000-0005-0000-0000-00003D660000}"/>
    <cellStyle name="Normal 322 3 4 2 2" xfId="26174" xr:uid="{00000000-0005-0000-0000-00003E660000}"/>
    <cellStyle name="Normal 322 3 4 3" xfId="26175" xr:uid="{00000000-0005-0000-0000-00003F660000}"/>
    <cellStyle name="Normal 322 3 5" xfId="26176" xr:uid="{00000000-0005-0000-0000-000040660000}"/>
    <cellStyle name="Normal 322 3 5 2" xfId="26177" xr:uid="{00000000-0005-0000-0000-000041660000}"/>
    <cellStyle name="Normal 322 3 5 2 2" xfId="26178" xr:uid="{00000000-0005-0000-0000-000042660000}"/>
    <cellStyle name="Normal 322 3 5 3" xfId="26179" xr:uid="{00000000-0005-0000-0000-000043660000}"/>
    <cellStyle name="Normal 322 3 6" xfId="26180" xr:uid="{00000000-0005-0000-0000-000044660000}"/>
    <cellStyle name="Normal 322 4" xfId="26181" xr:uid="{00000000-0005-0000-0000-000045660000}"/>
    <cellStyle name="Normal 322 4 2" xfId="26182" xr:uid="{00000000-0005-0000-0000-000046660000}"/>
    <cellStyle name="Normal 322 4 2 2" xfId="26183" xr:uid="{00000000-0005-0000-0000-000047660000}"/>
    <cellStyle name="Normal 322 4 3" xfId="26184" xr:uid="{00000000-0005-0000-0000-000048660000}"/>
    <cellStyle name="Normal 322 5" xfId="26185" xr:uid="{00000000-0005-0000-0000-000049660000}"/>
    <cellStyle name="Normal 322 5 2" xfId="26186" xr:uid="{00000000-0005-0000-0000-00004A660000}"/>
    <cellStyle name="Normal 322 5 2 2" xfId="26187" xr:uid="{00000000-0005-0000-0000-00004B660000}"/>
    <cellStyle name="Normal 322 5 3" xfId="26188" xr:uid="{00000000-0005-0000-0000-00004C660000}"/>
    <cellStyle name="Normal 322 6" xfId="26189" xr:uid="{00000000-0005-0000-0000-00004D660000}"/>
    <cellStyle name="Normal 322 6 2" xfId="26190" xr:uid="{00000000-0005-0000-0000-00004E660000}"/>
    <cellStyle name="Normal 322 6 2 2" xfId="26191" xr:uid="{00000000-0005-0000-0000-00004F660000}"/>
    <cellStyle name="Normal 322 6 3" xfId="26192" xr:uid="{00000000-0005-0000-0000-000050660000}"/>
    <cellStyle name="Normal 322 7" xfId="26193" xr:uid="{00000000-0005-0000-0000-000051660000}"/>
    <cellStyle name="Normal 323" xfId="26194" xr:uid="{00000000-0005-0000-0000-000052660000}"/>
    <cellStyle name="Normal 323 2" xfId="26195" xr:uid="{00000000-0005-0000-0000-000053660000}"/>
    <cellStyle name="Normal 323 2 2" xfId="26196" xr:uid="{00000000-0005-0000-0000-000054660000}"/>
    <cellStyle name="Normal 323 2 2 2" xfId="26197" xr:uid="{00000000-0005-0000-0000-000055660000}"/>
    <cellStyle name="Normal 323 2 3" xfId="26198" xr:uid="{00000000-0005-0000-0000-000056660000}"/>
    <cellStyle name="Normal 323 2 3 2" xfId="26199" xr:uid="{00000000-0005-0000-0000-000057660000}"/>
    <cellStyle name="Normal 323 2 3 2 2" xfId="26200" xr:uid="{00000000-0005-0000-0000-000058660000}"/>
    <cellStyle name="Normal 323 2 3 3" xfId="26201" xr:uid="{00000000-0005-0000-0000-000059660000}"/>
    <cellStyle name="Normal 323 2 4" xfId="26202" xr:uid="{00000000-0005-0000-0000-00005A660000}"/>
    <cellStyle name="Normal 323 2 4 2" xfId="26203" xr:uid="{00000000-0005-0000-0000-00005B660000}"/>
    <cellStyle name="Normal 323 2 4 2 2" xfId="26204" xr:uid="{00000000-0005-0000-0000-00005C660000}"/>
    <cellStyle name="Normal 323 2 4 3" xfId="26205" xr:uid="{00000000-0005-0000-0000-00005D660000}"/>
    <cellStyle name="Normal 323 2 5" xfId="26206" xr:uid="{00000000-0005-0000-0000-00005E660000}"/>
    <cellStyle name="Normal 323 3" xfId="26207" xr:uid="{00000000-0005-0000-0000-00005F660000}"/>
    <cellStyle name="Normal 323 3 2" xfId="26208" xr:uid="{00000000-0005-0000-0000-000060660000}"/>
    <cellStyle name="Normal 323 3 2 2" xfId="26209" xr:uid="{00000000-0005-0000-0000-000061660000}"/>
    <cellStyle name="Normal 323 3 2 2 2" xfId="26210" xr:uid="{00000000-0005-0000-0000-000062660000}"/>
    <cellStyle name="Normal 323 3 2 3" xfId="26211" xr:uid="{00000000-0005-0000-0000-000063660000}"/>
    <cellStyle name="Normal 323 3 2 3 2" xfId="26212" xr:uid="{00000000-0005-0000-0000-000064660000}"/>
    <cellStyle name="Normal 323 3 2 3 2 2" xfId="26213" xr:uid="{00000000-0005-0000-0000-000065660000}"/>
    <cellStyle name="Normal 323 3 2 3 3" xfId="26214" xr:uid="{00000000-0005-0000-0000-000066660000}"/>
    <cellStyle name="Normal 323 3 2 4" xfId="26215" xr:uid="{00000000-0005-0000-0000-000067660000}"/>
    <cellStyle name="Normal 323 3 3" xfId="26216" xr:uid="{00000000-0005-0000-0000-000068660000}"/>
    <cellStyle name="Normal 323 3 3 2" xfId="26217" xr:uid="{00000000-0005-0000-0000-000069660000}"/>
    <cellStyle name="Normal 323 3 3 2 2" xfId="26218" xr:uid="{00000000-0005-0000-0000-00006A660000}"/>
    <cellStyle name="Normal 323 3 3 3" xfId="26219" xr:uid="{00000000-0005-0000-0000-00006B660000}"/>
    <cellStyle name="Normal 323 3 4" xfId="26220" xr:uid="{00000000-0005-0000-0000-00006C660000}"/>
    <cellStyle name="Normal 323 3 4 2" xfId="26221" xr:uid="{00000000-0005-0000-0000-00006D660000}"/>
    <cellStyle name="Normal 323 3 4 2 2" xfId="26222" xr:uid="{00000000-0005-0000-0000-00006E660000}"/>
    <cellStyle name="Normal 323 3 4 3" xfId="26223" xr:uid="{00000000-0005-0000-0000-00006F660000}"/>
    <cellStyle name="Normal 323 3 5" xfId="26224" xr:uid="{00000000-0005-0000-0000-000070660000}"/>
    <cellStyle name="Normal 323 3 5 2" xfId="26225" xr:uid="{00000000-0005-0000-0000-000071660000}"/>
    <cellStyle name="Normal 323 3 5 2 2" xfId="26226" xr:uid="{00000000-0005-0000-0000-000072660000}"/>
    <cellStyle name="Normal 323 3 5 3" xfId="26227" xr:uid="{00000000-0005-0000-0000-000073660000}"/>
    <cellStyle name="Normal 323 3 6" xfId="26228" xr:uid="{00000000-0005-0000-0000-000074660000}"/>
    <cellStyle name="Normal 323 4" xfId="26229" xr:uid="{00000000-0005-0000-0000-000075660000}"/>
    <cellStyle name="Normal 323 4 2" xfId="26230" xr:uid="{00000000-0005-0000-0000-000076660000}"/>
    <cellStyle name="Normal 323 4 2 2" xfId="26231" xr:uid="{00000000-0005-0000-0000-000077660000}"/>
    <cellStyle name="Normal 323 4 3" xfId="26232" xr:uid="{00000000-0005-0000-0000-000078660000}"/>
    <cellStyle name="Normal 323 5" xfId="26233" xr:uid="{00000000-0005-0000-0000-000079660000}"/>
    <cellStyle name="Normal 323 5 2" xfId="26234" xr:uid="{00000000-0005-0000-0000-00007A660000}"/>
    <cellStyle name="Normal 323 5 2 2" xfId="26235" xr:uid="{00000000-0005-0000-0000-00007B660000}"/>
    <cellStyle name="Normal 323 5 3" xfId="26236" xr:uid="{00000000-0005-0000-0000-00007C660000}"/>
    <cellStyle name="Normal 323 6" xfId="26237" xr:uid="{00000000-0005-0000-0000-00007D660000}"/>
    <cellStyle name="Normal 323 6 2" xfId="26238" xr:uid="{00000000-0005-0000-0000-00007E660000}"/>
    <cellStyle name="Normal 323 6 2 2" xfId="26239" xr:uid="{00000000-0005-0000-0000-00007F660000}"/>
    <cellStyle name="Normal 323 6 3" xfId="26240" xr:uid="{00000000-0005-0000-0000-000080660000}"/>
    <cellStyle name="Normal 323 7" xfId="26241" xr:uid="{00000000-0005-0000-0000-000081660000}"/>
    <cellStyle name="Normal 324" xfId="26242" xr:uid="{00000000-0005-0000-0000-000082660000}"/>
    <cellStyle name="Normal 324 2" xfId="26243" xr:uid="{00000000-0005-0000-0000-000083660000}"/>
    <cellStyle name="Normal 324 2 2" xfId="26244" xr:uid="{00000000-0005-0000-0000-000084660000}"/>
    <cellStyle name="Normal 324 2 2 2" xfId="26245" xr:uid="{00000000-0005-0000-0000-000085660000}"/>
    <cellStyle name="Normal 324 2 3" xfId="26246" xr:uid="{00000000-0005-0000-0000-000086660000}"/>
    <cellStyle name="Normal 324 2 3 2" xfId="26247" xr:uid="{00000000-0005-0000-0000-000087660000}"/>
    <cellStyle name="Normal 324 2 3 2 2" xfId="26248" xr:uid="{00000000-0005-0000-0000-000088660000}"/>
    <cellStyle name="Normal 324 2 3 3" xfId="26249" xr:uid="{00000000-0005-0000-0000-000089660000}"/>
    <cellStyle name="Normal 324 2 4" xfId="26250" xr:uid="{00000000-0005-0000-0000-00008A660000}"/>
    <cellStyle name="Normal 324 2 4 2" xfId="26251" xr:uid="{00000000-0005-0000-0000-00008B660000}"/>
    <cellStyle name="Normal 324 2 4 2 2" xfId="26252" xr:uid="{00000000-0005-0000-0000-00008C660000}"/>
    <cellStyle name="Normal 324 2 4 3" xfId="26253" xr:uid="{00000000-0005-0000-0000-00008D660000}"/>
    <cellStyle name="Normal 324 2 5" xfId="26254" xr:uid="{00000000-0005-0000-0000-00008E660000}"/>
    <cellStyle name="Normal 324 3" xfId="26255" xr:uid="{00000000-0005-0000-0000-00008F660000}"/>
    <cellStyle name="Normal 324 3 2" xfId="26256" xr:uid="{00000000-0005-0000-0000-000090660000}"/>
    <cellStyle name="Normal 324 3 2 2" xfId="26257" xr:uid="{00000000-0005-0000-0000-000091660000}"/>
    <cellStyle name="Normal 324 3 2 2 2" xfId="26258" xr:uid="{00000000-0005-0000-0000-000092660000}"/>
    <cellStyle name="Normal 324 3 2 3" xfId="26259" xr:uid="{00000000-0005-0000-0000-000093660000}"/>
    <cellStyle name="Normal 324 3 2 3 2" xfId="26260" xr:uid="{00000000-0005-0000-0000-000094660000}"/>
    <cellStyle name="Normal 324 3 2 3 2 2" xfId="26261" xr:uid="{00000000-0005-0000-0000-000095660000}"/>
    <cellStyle name="Normal 324 3 2 3 3" xfId="26262" xr:uid="{00000000-0005-0000-0000-000096660000}"/>
    <cellStyle name="Normal 324 3 2 4" xfId="26263" xr:uid="{00000000-0005-0000-0000-000097660000}"/>
    <cellStyle name="Normal 324 3 3" xfId="26264" xr:uid="{00000000-0005-0000-0000-000098660000}"/>
    <cellStyle name="Normal 324 3 3 2" xfId="26265" xr:uid="{00000000-0005-0000-0000-000099660000}"/>
    <cellStyle name="Normal 324 3 3 2 2" xfId="26266" xr:uid="{00000000-0005-0000-0000-00009A660000}"/>
    <cellStyle name="Normal 324 3 3 3" xfId="26267" xr:uid="{00000000-0005-0000-0000-00009B660000}"/>
    <cellStyle name="Normal 324 3 4" xfId="26268" xr:uid="{00000000-0005-0000-0000-00009C660000}"/>
    <cellStyle name="Normal 324 3 4 2" xfId="26269" xr:uid="{00000000-0005-0000-0000-00009D660000}"/>
    <cellStyle name="Normal 324 3 4 2 2" xfId="26270" xr:uid="{00000000-0005-0000-0000-00009E660000}"/>
    <cellStyle name="Normal 324 3 4 3" xfId="26271" xr:uid="{00000000-0005-0000-0000-00009F660000}"/>
    <cellStyle name="Normal 324 3 5" xfId="26272" xr:uid="{00000000-0005-0000-0000-0000A0660000}"/>
    <cellStyle name="Normal 324 3 5 2" xfId="26273" xr:uid="{00000000-0005-0000-0000-0000A1660000}"/>
    <cellStyle name="Normal 324 3 5 2 2" xfId="26274" xr:uid="{00000000-0005-0000-0000-0000A2660000}"/>
    <cellStyle name="Normal 324 3 5 3" xfId="26275" xr:uid="{00000000-0005-0000-0000-0000A3660000}"/>
    <cellStyle name="Normal 324 3 6" xfId="26276" xr:uid="{00000000-0005-0000-0000-0000A4660000}"/>
    <cellStyle name="Normal 324 4" xfId="26277" xr:uid="{00000000-0005-0000-0000-0000A5660000}"/>
    <cellStyle name="Normal 324 4 2" xfId="26278" xr:uid="{00000000-0005-0000-0000-0000A6660000}"/>
    <cellStyle name="Normal 324 4 2 2" xfId="26279" xr:uid="{00000000-0005-0000-0000-0000A7660000}"/>
    <cellStyle name="Normal 324 4 3" xfId="26280" xr:uid="{00000000-0005-0000-0000-0000A8660000}"/>
    <cellStyle name="Normal 324 5" xfId="26281" xr:uid="{00000000-0005-0000-0000-0000A9660000}"/>
    <cellStyle name="Normal 324 5 2" xfId="26282" xr:uid="{00000000-0005-0000-0000-0000AA660000}"/>
    <cellStyle name="Normal 324 5 2 2" xfId="26283" xr:uid="{00000000-0005-0000-0000-0000AB660000}"/>
    <cellStyle name="Normal 324 5 3" xfId="26284" xr:uid="{00000000-0005-0000-0000-0000AC660000}"/>
    <cellStyle name="Normal 324 6" xfId="26285" xr:uid="{00000000-0005-0000-0000-0000AD660000}"/>
    <cellStyle name="Normal 324 6 2" xfId="26286" xr:uid="{00000000-0005-0000-0000-0000AE660000}"/>
    <cellStyle name="Normal 324 6 2 2" xfId="26287" xr:uid="{00000000-0005-0000-0000-0000AF660000}"/>
    <cellStyle name="Normal 324 6 3" xfId="26288" xr:uid="{00000000-0005-0000-0000-0000B0660000}"/>
    <cellStyle name="Normal 324 7" xfId="26289" xr:uid="{00000000-0005-0000-0000-0000B1660000}"/>
    <cellStyle name="Normal 325" xfId="26290" xr:uid="{00000000-0005-0000-0000-0000B2660000}"/>
    <cellStyle name="Normal 325 2" xfId="26291" xr:uid="{00000000-0005-0000-0000-0000B3660000}"/>
    <cellStyle name="Normal 325 2 2" xfId="26292" xr:uid="{00000000-0005-0000-0000-0000B4660000}"/>
    <cellStyle name="Normal 325 2 2 2" xfId="26293" xr:uid="{00000000-0005-0000-0000-0000B5660000}"/>
    <cellStyle name="Normal 325 2 3" xfId="26294" xr:uid="{00000000-0005-0000-0000-0000B6660000}"/>
    <cellStyle name="Normal 325 2 3 2" xfId="26295" xr:uid="{00000000-0005-0000-0000-0000B7660000}"/>
    <cellStyle name="Normal 325 2 3 2 2" xfId="26296" xr:uid="{00000000-0005-0000-0000-0000B8660000}"/>
    <cellStyle name="Normal 325 2 3 3" xfId="26297" xr:uid="{00000000-0005-0000-0000-0000B9660000}"/>
    <cellStyle name="Normal 325 2 4" xfId="26298" xr:uid="{00000000-0005-0000-0000-0000BA660000}"/>
    <cellStyle name="Normal 325 2 4 2" xfId="26299" xr:uid="{00000000-0005-0000-0000-0000BB660000}"/>
    <cellStyle name="Normal 325 2 4 2 2" xfId="26300" xr:uid="{00000000-0005-0000-0000-0000BC660000}"/>
    <cellStyle name="Normal 325 2 4 3" xfId="26301" xr:uid="{00000000-0005-0000-0000-0000BD660000}"/>
    <cellStyle name="Normal 325 2 5" xfId="26302" xr:uid="{00000000-0005-0000-0000-0000BE660000}"/>
    <cellStyle name="Normal 325 3" xfId="26303" xr:uid="{00000000-0005-0000-0000-0000BF660000}"/>
    <cellStyle name="Normal 325 3 2" xfId="26304" xr:uid="{00000000-0005-0000-0000-0000C0660000}"/>
    <cellStyle name="Normal 325 3 2 2" xfId="26305" xr:uid="{00000000-0005-0000-0000-0000C1660000}"/>
    <cellStyle name="Normal 325 3 2 2 2" xfId="26306" xr:uid="{00000000-0005-0000-0000-0000C2660000}"/>
    <cellStyle name="Normal 325 3 2 3" xfId="26307" xr:uid="{00000000-0005-0000-0000-0000C3660000}"/>
    <cellStyle name="Normal 325 3 2 3 2" xfId="26308" xr:uid="{00000000-0005-0000-0000-0000C4660000}"/>
    <cellStyle name="Normal 325 3 2 3 2 2" xfId="26309" xr:uid="{00000000-0005-0000-0000-0000C5660000}"/>
    <cellStyle name="Normal 325 3 2 3 3" xfId="26310" xr:uid="{00000000-0005-0000-0000-0000C6660000}"/>
    <cellStyle name="Normal 325 3 2 4" xfId="26311" xr:uid="{00000000-0005-0000-0000-0000C7660000}"/>
    <cellStyle name="Normal 325 3 3" xfId="26312" xr:uid="{00000000-0005-0000-0000-0000C8660000}"/>
    <cellStyle name="Normal 325 3 3 2" xfId="26313" xr:uid="{00000000-0005-0000-0000-0000C9660000}"/>
    <cellStyle name="Normal 325 3 3 2 2" xfId="26314" xr:uid="{00000000-0005-0000-0000-0000CA660000}"/>
    <cellStyle name="Normal 325 3 3 3" xfId="26315" xr:uid="{00000000-0005-0000-0000-0000CB660000}"/>
    <cellStyle name="Normal 325 3 4" xfId="26316" xr:uid="{00000000-0005-0000-0000-0000CC660000}"/>
    <cellStyle name="Normal 325 3 4 2" xfId="26317" xr:uid="{00000000-0005-0000-0000-0000CD660000}"/>
    <cellStyle name="Normal 325 3 4 2 2" xfId="26318" xr:uid="{00000000-0005-0000-0000-0000CE660000}"/>
    <cellStyle name="Normal 325 3 4 3" xfId="26319" xr:uid="{00000000-0005-0000-0000-0000CF660000}"/>
    <cellStyle name="Normal 325 3 5" xfId="26320" xr:uid="{00000000-0005-0000-0000-0000D0660000}"/>
    <cellStyle name="Normal 325 3 5 2" xfId="26321" xr:uid="{00000000-0005-0000-0000-0000D1660000}"/>
    <cellStyle name="Normal 325 3 5 2 2" xfId="26322" xr:uid="{00000000-0005-0000-0000-0000D2660000}"/>
    <cellStyle name="Normal 325 3 5 3" xfId="26323" xr:uid="{00000000-0005-0000-0000-0000D3660000}"/>
    <cellStyle name="Normal 325 3 6" xfId="26324" xr:uid="{00000000-0005-0000-0000-0000D4660000}"/>
    <cellStyle name="Normal 325 4" xfId="26325" xr:uid="{00000000-0005-0000-0000-0000D5660000}"/>
    <cellStyle name="Normal 325 4 2" xfId="26326" xr:uid="{00000000-0005-0000-0000-0000D6660000}"/>
    <cellStyle name="Normal 325 4 2 2" xfId="26327" xr:uid="{00000000-0005-0000-0000-0000D7660000}"/>
    <cellStyle name="Normal 325 4 3" xfId="26328" xr:uid="{00000000-0005-0000-0000-0000D8660000}"/>
    <cellStyle name="Normal 325 5" xfId="26329" xr:uid="{00000000-0005-0000-0000-0000D9660000}"/>
    <cellStyle name="Normal 325 5 2" xfId="26330" xr:uid="{00000000-0005-0000-0000-0000DA660000}"/>
    <cellStyle name="Normal 325 5 2 2" xfId="26331" xr:uid="{00000000-0005-0000-0000-0000DB660000}"/>
    <cellStyle name="Normal 325 5 3" xfId="26332" xr:uid="{00000000-0005-0000-0000-0000DC660000}"/>
    <cellStyle name="Normal 325 6" xfId="26333" xr:uid="{00000000-0005-0000-0000-0000DD660000}"/>
    <cellStyle name="Normal 325 6 2" xfId="26334" xr:uid="{00000000-0005-0000-0000-0000DE660000}"/>
    <cellStyle name="Normal 325 6 2 2" xfId="26335" xr:uid="{00000000-0005-0000-0000-0000DF660000}"/>
    <cellStyle name="Normal 325 6 3" xfId="26336" xr:uid="{00000000-0005-0000-0000-0000E0660000}"/>
    <cellStyle name="Normal 325 7" xfId="26337" xr:uid="{00000000-0005-0000-0000-0000E1660000}"/>
    <cellStyle name="Normal 326" xfId="26338" xr:uid="{00000000-0005-0000-0000-0000E2660000}"/>
    <cellStyle name="Normal 326 2" xfId="26339" xr:uid="{00000000-0005-0000-0000-0000E3660000}"/>
    <cellStyle name="Normal 326 2 2" xfId="26340" xr:uid="{00000000-0005-0000-0000-0000E4660000}"/>
    <cellStyle name="Normal 326 2 2 2" xfId="26341" xr:uid="{00000000-0005-0000-0000-0000E5660000}"/>
    <cellStyle name="Normal 326 2 3" xfId="26342" xr:uid="{00000000-0005-0000-0000-0000E6660000}"/>
    <cellStyle name="Normal 326 2 3 2" xfId="26343" xr:uid="{00000000-0005-0000-0000-0000E7660000}"/>
    <cellStyle name="Normal 326 2 3 2 2" xfId="26344" xr:uid="{00000000-0005-0000-0000-0000E8660000}"/>
    <cellStyle name="Normal 326 2 3 3" xfId="26345" xr:uid="{00000000-0005-0000-0000-0000E9660000}"/>
    <cellStyle name="Normal 326 2 4" xfId="26346" xr:uid="{00000000-0005-0000-0000-0000EA660000}"/>
    <cellStyle name="Normal 326 2 4 2" xfId="26347" xr:uid="{00000000-0005-0000-0000-0000EB660000}"/>
    <cellStyle name="Normal 326 2 4 2 2" xfId="26348" xr:uid="{00000000-0005-0000-0000-0000EC660000}"/>
    <cellStyle name="Normal 326 2 4 3" xfId="26349" xr:uid="{00000000-0005-0000-0000-0000ED660000}"/>
    <cellStyle name="Normal 326 2 5" xfId="26350" xr:uid="{00000000-0005-0000-0000-0000EE660000}"/>
    <cellStyle name="Normal 326 3" xfId="26351" xr:uid="{00000000-0005-0000-0000-0000EF660000}"/>
    <cellStyle name="Normal 326 3 2" xfId="26352" xr:uid="{00000000-0005-0000-0000-0000F0660000}"/>
    <cellStyle name="Normal 326 3 2 2" xfId="26353" xr:uid="{00000000-0005-0000-0000-0000F1660000}"/>
    <cellStyle name="Normal 326 3 2 2 2" xfId="26354" xr:uid="{00000000-0005-0000-0000-0000F2660000}"/>
    <cellStyle name="Normal 326 3 2 3" xfId="26355" xr:uid="{00000000-0005-0000-0000-0000F3660000}"/>
    <cellStyle name="Normal 326 3 2 3 2" xfId="26356" xr:uid="{00000000-0005-0000-0000-0000F4660000}"/>
    <cellStyle name="Normal 326 3 2 3 2 2" xfId="26357" xr:uid="{00000000-0005-0000-0000-0000F5660000}"/>
    <cellStyle name="Normal 326 3 2 3 3" xfId="26358" xr:uid="{00000000-0005-0000-0000-0000F6660000}"/>
    <cellStyle name="Normal 326 3 2 4" xfId="26359" xr:uid="{00000000-0005-0000-0000-0000F7660000}"/>
    <cellStyle name="Normal 326 3 3" xfId="26360" xr:uid="{00000000-0005-0000-0000-0000F8660000}"/>
    <cellStyle name="Normal 326 3 3 2" xfId="26361" xr:uid="{00000000-0005-0000-0000-0000F9660000}"/>
    <cellStyle name="Normal 326 3 3 2 2" xfId="26362" xr:uid="{00000000-0005-0000-0000-0000FA660000}"/>
    <cellStyle name="Normal 326 3 3 3" xfId="26363" xr:uid="{00000000-0005-0000-0000-0000FB660000}"/>
    <cellStyle name="Normal 326 3 4" xfId="26364" xr:uid="{00000000-0005-0000-0000-0000FC660000}"/>
    <cellStyle name="Normal 326 3 4 2" xfId="26365" xr:uid="{00000000-0005-0000-0000-0000FD660000}"/>
    <cellStyle name="Normal 326 3 4 2 2" xfId="26366" xr:uid="{00000000-0005-0000-0000-0000FE660000}"/>
    <cellStyle name="Normal 326 3 4 3" xfId="26367" xr:uid="{00000000-0005-0000-0000-0000FF660000}"/>
    <cellStyle name="Normal 326 3 5" xfId="26368" xr:uid="{00000000-0005-0000-0000-000000670000}"/>
    <cellStyle name="Normal 326 3 5 2" xfId="26369" xr:uid="{00000000-0005-0000-0000-000001670000}"/>
    <cellStyle name="Normal 326 3 5 2 2" xfId="26370" xr:uid="{00000000-0005-0000-0000-000002670000}"/>
    <cellStyle name="Normal 326 3 5 3" xfId="26371" xr:uid="{00000000-0005-0000-0000-000003670000}"/>
    <cellStyle name="Normal 326 3 6" xfId="26372" xr:uid="{00000000-0005-0000-0000-000004670000}"/>
    <cellStyle name="Normal 326 4" xfId="26373" xr:uid="{00000000-0005-0000-0000-000005670000}"/>
    <cellStyle name="Normal 326 4 2" xfId="26374" xr:uid="{00000000-0005-0000-0000-000006670000}"/>
    <cellStyle name="Normal 326 4 2 2" xfId="26375" xr:uid="{00000000-0005-0000-0000-000007670000}"/>
    <cellStyle name="Normal 326 4 3" xfId="26376" xr:uid="{00000000-0005-0000-0000-000008670000}"/>
    <cellStyle name="Normal 326 5" xfId="26377" xr:uid="{00000000-0005-0000-0000-000009670000}"/>
    <cellStyle name="Normal 326 5 2" xfId="26378" xr:uid="{00000000-0005-0000-0000-00000A670000}"/>
    <cellStyle name="Normal 326 5 2 2" xfId="26379" xr:uid="{00000000-0005-0000-0000-00000B670000}"/>
    <cellStyle name="Normal 326 5 3" xfId="26380" xr:uid="{00000000-0005-0000-0000-00000C670000}"/>
    <cellStyle name="Normal 326 6" xfId="26381" xr:uid="{00000000-0005-0000-0000-00000D670000}"/>
    <cellStyle name="Normal 326 6 2" xfId="26382" xr:uid="{00000000-0005-0000-0000-00000E670000}"/>
    <cellStyle name="Normal 326 6 2 2" xfId="26383" xr:uid="{00000000-0005-0000-0000-00000F670000}"/>
    <cellStyle name="Normal 326 6 3" xfId="26384" xr:uid="{00000000-0005-0000-0000-000010670000}"/>
    <cellStyle name="Normal 326 7" xfId="26385" xr:uid="{00000000-0005-0000-0000-000011670000}"/>
    <cellStyle name="Normal 327" xfId="26386" xr:uid="{00000000-0005-0000-0000-000012670000}"/>
    <cellStyle name="Normal 327 2" xfId="26387" xr:uid="{00000000-0005-0000-0000-000013670000}"/>
    <cellStyle name="Normal 327 2 2" xfId="26388" xr:uid="{00000000-0005-0000-0000-000014670000}"/>
    <cellStyle name="Normal 327 2 2 2" xfId="26389" xr:uid="{00000000-0005-0000-0000-000015670000}"/>
    <cellStyle name="Normal 327 2 3" xfId="26390" xr:uid="{00000000-0005-0000-0000-000016670000}"/>
    <cellStyle name="Normal 327 2 3 2" xfId="26391" xr:uid="{00000000-0005-0000-0000-000017670000}"/>
    <cellStyle name="Normal 327 2 3 2 2" xfId="26392" xr:uid="{00000000-0005-0000-0000-000018670000}"/>
    <cellStyle name="Normal 327 2 3 3" xfId="26393" xr:uid="{00000000-0005-0000-0000-000019670000}"/>
    <cellStyle name="Normal 327 2 4" xfId="26394" xr:uid="{00000000-0005-0000-0000-00001A670000}"/>
    <cellStyle name="Normal 327 2 4 2" xfId="26395" xr:uid="{00000000-0005-0000-0000-00001B670000}"/>
    <cellStyle name="Normal 327 2 4 2 2" xfId="26396" xr:uid="{00000000-0005-0000-0000-00001C670000}"/>
    <cellStyle name="Normal 327 2 4 3" xfId="26397" xr:uid="{00000000-0005-0000-0000-00001D670000}"/>
    <cellStyle name="Normal 327 2 5" xfId="26398" xr:uid="{00000000-0005-0000-0000-00001E670000}"/>
    <cellStyle name="Normal 327 3" xfId="26399" xr:uid="{00000000-0005-0000-0000-00001F670000}"/>
    <cellStyle name="Normal 327 3 2" xfId="26400" xr:uid="{00000000-0005-0000-0000-000020670000}"/>
    <cellStyle name="Normal 327 3 2 2" xfId="26401" xr:uid="{00000000-0005-0000-0000-000021670000}"/>
    <cellStyle name="Normal 327 3 2 2 2" xfId="26402" xr:uid="{00000000-0005-0000-0000-000022670000}"/>
    <cellStyle name="Normal 327 3 2 3" xfId="26403" xr:uid="{00000000-0005-0000-0000-000023670000}"/>
    <cellStyle name="Normal 327 3 2 3 2" xfId="26404" xr:uid="{00000000-0005-0000-0000-000024670000}"/>
    <cellStyle name="Normal 327 3 2 3 2 2" xfId="26405" xr:uid="{00000000-0005-0000-0000-000025670000}"/>
    <cellStyle name="Normal 327 3 2 3 3" xfId="26406" xr:uid="{00000000-0005-0000-0000-000026670000}"/>
    <cellStyle name="Normal 327 3 2 4" xfId="26407" xr:uid="{00000000-0005-0000-0000-000027670000}"/>
    <cellStyle name="Normal 327 3 3" xfId="26408" xr:uid="{00000000-0005-0000-0000-000028670000}"/>
    <cellStyle name="Normal 327 3 3 2" xfId="26409" xr:uid="{00000000-0005-0000-0000-000029670000}"/>
    <cellStyle name="Normal 327 3 3 2 2" xfId="26410" xr:uid="{00000000-0005-0000-0000-00002A670000}"/>
    <cellStyle name="Normal 327 3 3 3" xfId="26411" xr:uid="{00000000-0005-0000-0000-00002B670000}"/>
    <cellStyle name="Normal 327 3 4" xfId="26412" xr:uid="{00000000-0005-0000-0000-00002C670000}"/>
    <cellStyle name="Normal 327 3 4 2" xfId="26413" xr:uid="{00000000-0005-0000-0000-00002D670000}"/>
    <cellStyle name="Normal 327 3 4 2 2" xfId="26414" xr:uid="{00000000-0005-0000-0000-00002E670000}"/>
    <cellStyle name="Normal 327 3 4 3" xfId="26415" xr:uid="{00000000-0005-0000-0000-00002F670000}"/>
    <cellStyle name="Normal 327 3 5" xfId="26416" xr:uid="{00000000-0005-0000-0000-000030670000}"/>
    <cellStyle name="Normal 327 3 5 2" xfId="26417" xr:uid="{00000000-0005-0000-0000-000031670000}"/>
    <cellStyle name="Normal 327 3 5 2 2" xfId="26418" xr:uid="{00000000-0005-0000-0000-000032670000}"/>
    <cellStyle name="Normal 327 3 5 3" xfId="26419" xr:uid="{00000000-0005-0000-0000-000033670000}"/>
    <cellStyle name="Normal 327 3 6" xfId="26420" xr:uid="{00000000-0005-0000-0000-000034670000}"/>
    <cellStyle name="Normal 327 4" xfId="26421" xr:uid="{00000000-0005-0000-0000-000035670000}"/>
    <cellStyle name="Normal 327 4 2" xfId="26422" xr:uid="{00000000-0005-0000-0000-000036670000}"/>
    <cellStyle name="Normal 327 4 2 2" xfId="26423" xr:uid="{00000000-0005-0000-0000-000037670000}"/>
    <cellStyle name="Normal 327 4 3" xfId="26424" xr:uid="{00000000-0005-0000-0000-000038670000}"/>
    <cellStyle name="Normal 327 5" xfId="26425" xr:uid="{00000000-0005-0000-0000-000039670000}"/>
    <cellStyle name="Normal 327 5 2" xfId="26426" xr:uid="{00000000-0005-0000-0000-00003A670000}"/>
    <cellStyle name="Normal 327 5 2 2" xfId="26427" xr:uid="{00000000-0005-0000-0000-00003B670000}"/>
    <cellStyle name="Normal 327 5 3" xfId="26428" xr:uid="{00000000-0005-0000-0000-00003C670000}"/>
    <cellStyle name="Normal 327 6" xfId="26429" xr:uid="{00000000-0005-0000-0000-00003D670000}"/>
    <cellStyle name="Normal 327 6 2" xfId="26430" xr:uid="{00000000-0005-0000-0000-00003E670000}"/>
    <cellStyle name="Normal 327 6 2 2" xfId="26431" xr:uid="{00000000-0005-0000-0000-00003F670000}"/>
    <cellStyle name="Normal 327 6 3" xfId="26432" xr:uid="{00000000-0005-0000-0000-000040670000}"/>
    <cellStyle name="Normal 327 7" xfId="26433" xr:uid="{00000000-0005-0000-0000-000041670000}"/>
    <cellStyle name="Normal 328" xfId="26434" xr:uid="{00000000-0005-0000-0000-000042670000}"/>
    <cellStyle name="Normal 328 2" xfId="26435" xr:uid="{00000000-0005-0000-0000-000043670000}"/>
    <cellStyle name="Normal 328 2 2" xfId="26436" xr:uid="{00000000-0005-0000-0000-000044670000}"/>
    <cellStyle name="Normal 328 2 2 2" xfId="26437" xr:uid="{00000000-0005-0000-0000-000045670000}"/>
    <cellStyle name="Normal 328 2 3" xfId="26438" xr:uid="{00000000-0005-0000-0000-000046670000}"/>
    <cellStyle name="Normal 328 2 3 2" xfId="26439" xr:uid="{00000000-0005-0000-0000-000047670000}"/>
    <cellStyle name="Normal 328 2 3 2 2" xfId="26440" xr:uid="{00000000-0005-0000-0000-000048670000}"/>
    <cellStyle name="Normal 328 2 3 3" xfId="26441" xr:uid="{00000000-0005-0000-0000-000049670000}"/>
    <cellStyle name="Normal 328 2 4" xfId="26442" xr:uid="{00000000-0005-0000-0000-00004A670000}"/>
    <cellStyle name="Normal 328 2 4 2" xfId="26443" xr:uid="{00000000-0005-0000-0000-00004B670000}"/>
    <cellStyle name="Normal 328 2 4 2 2" xfId="26444" xr:uid="{00000000-0005-0000-0000-00004C670000}"/>
    <cellStyle name="Normal 328 2 4 3" xfId="26445" xr:uid="{00000000-0005-0000-0000-00004D670000}"/>
    <cellStyle name="Normal 328 2 5" xfId="26446" xr:uid="{00000000-0005-0000-0000-00004E670000}"/>
    <cellStyle name="Normal 328 3" xfId="26447" xr:uid="{00000000-0005-0000-0000-00004F670000}"/>
    <cellStyle name="Normal 328 3 2" xfId="26448" xr:uid="{00000000-0005-0000-0000-000050670000}"/>
    <cellStyle name="Normal 328 3 2 2" xfId="26449" xr:uid="{00000000-0005-0000-0000-000051670000}"/>
    <cellStyle name="Normal 328 3 2 2 2" xfId="26450" xr:uid="{00000000-0005-0000-0000-000052670000}"/>
    <cellStyle name="Normal 328 3 2 3" xfId="26451" xr:uid="{00000000-0005-0000-0000-000053670000}"/>
    <cellStyle name="Normal 328 3 2 3 2" xfId="26452" xr:uid="{00000000-0005-0000-0000-000054670000}"/>
    <cellStyle name="Normal 328 3 2 3 2 2" xfId="26453" xr:uid="{00000000-0005-0000-0000-000055670000}"/>
    <cellStyle name="Normal 328 3 2 3 3" xfId="26454" xr:uid="{00000000-0005-0000-0000-000056670000}"/>
    <cellStyle name="Normal 328 3 2 4" xfId="26455" xr:uid="{00000000-0005-0000-0000-000057670000}"/>
    <cellStyle name="Normal 328 3 3" xfId="26456" xr:uid="{00000000-0005-0000-0000-000058670000}"/>
    <cellStyle name="Normal 328 3 3 2" xfId="26457" xr:uid="{00000000-0005-0000-0000-000059670000}"/>
    <cellStyle name="Normal 328 3 3 2 2" xfId="26458" xr:uid="{00000000-0005-0000-0000-00005A670000}"/>
    <cellStyle name="Normal 328 3 3 3" xfId="26459" xr:uid="{00000000-0005-0000-0000-00005B670000}"/>
    <cellStyle name="Normal 328 3 4" xfId="26460" xr:uid="{00000000-0005-0000-0000-00005C670000}"/>
    <cellStyle name="Normal 328 3 4 2" xfId="26461" xr:uid="{00000000-0005-0000-0000-00005D670000}"/>
    <cellStyle name="Normal 328 3 4 2 2" xfId="26462" xr:uid="{00000000-0005-0000-0000-00005E670000}"/>
    <cellStyle name="Normal 328 3 4 3" xfId="26463" xr:uid="{00000000-0005-0000-0000-00005F670000}"/>
    <cellStyle name="Normal 328 3 5" xfId="26464" xr:uid="{00000000-0005-0000-0000-000060670000}"/>
    <cellStyle name="Normal 328 3 5 2" xfId="26465" xr:uid="{00000000-0005-0000-0000-000061670000}"/>
    <cellStyle name="Normal 328 3 5 2 2" xfId="26466" xr:uid="{00000000-0005-0000-0000-000062670000}"/>
    <cellStyle name="Normal 328 3 5 3" xfId="26467" xr:uid="{00000000-0005-0000-0000-000063670000}"/>
    <cellStyle name="Normal 328 3 6" xfId="26468" xr:uid="{00000000-0005-0000-0000-000064670000}"/>
    <cellStyle name="Normal 328 4" xfId="26469" xr:uid="{00000000-0005-0000-0000-000065670000}"/>
    <cellStyle name="Normal 328 4 2" xfId="26470" xr:uid="{00000000-0005-0000-0000-000066670000}"/>
    <cellStyle name="Normal 328 4 2 2" xfId="26471" xr:uid="{00000000-0005-0000-0000-000067670000}"/>
    <cellStyle name="Normal 328 4 3" xfId="26472" xr:uid="{00000000-0005-0000-0000-000068670000}"/>
    <cellStyle name="Normal 328 5" xfId="26473" xr:uid="{00000000-0005-0000-0000-000069670000}"/>
    <cellStyle name="Normal 328 5 2" xfId="26474" xr:uid="{00000000-0005-0000-0000-00006A670000}"/>
    <cellStyle name="Normal 328 5 2 2" xfId="26475" xr:uid="{00000000-0005-0000-0000-00006B670000}"/>
    <cellStyle name="Normal 328 5 3" xfId="26476" xr:uid="{00000000-0005-0000-0000-00006C670000}"/>
    <cellStyle name="Normal 328 6" xfId="26477" xr:uid="{00000000-0005-0000-0000-00006D670000}"/>
    <cellStyle name="Normal 328 6 2" xfId="26478" xr:uid="{00000000-0005-0000-0000-00006E670000}"/>
    <cellStyle name="Normal 328 6 2 2" xfId="26479" xr:uid="{00000000-0005-0000-0000-00006F670000}"/>
    <cellStyle name="Normal 328 6 3" xfId="26480" xr:uid="{00000000-0005-0000-0000-000070670000}"/>
    <cellStyle name="Normal 328 7" xfId="26481" xr:uid="{00000000-0005-0000-0000-000071670000}"/>
    <cellStyle name="Normal 329" xfId="26482" xr:uid="{00000000-0005-0000-0000-000072670000}"/>
    <cellStyle name="Normal 329 2" xfId="26483" xr:uid="{00000000-0005-0000-0000-000073670000}"/>
    <cellStyle name="Normal 329 2 2" xfId="26484" xr:uid="{00000000-0005-0000-0000-000074670000}"/>
    <cellStyle name="Normal 329 2 2 2" xfId="26485" xr:uid="{00000000-0005-0000-0000-000075670000}"/>
    <cellStyle name="Normal 329 2 3" xfId="26486" xr:uid="{00000000-0005-0000-0000-000076670000}"/>
    <cellStyle name="Normal 329 2 3 2" xfId="26487" xr:uid="{00000000-0005-0000-0000-000077670000}"/>
    <cellStyle name="Normal 329 2 3 2 2" xfId="26488" xr:uid="{00000000-0005-0000-0000-000078670000}"/>
    <cellStyle name="Normal 329 2 3 3" xfId="26489" xr:uid="{00000000-0005-0000-0000-000079670000}"/>
    <cellStyle name="Normal 329 2 4" xfId="26490" xr:uid="{00000000-0005-0000-0000-00007A670000}"/>
    <cellStyle name="Normal 329 2 4 2" xfId="26491" xr:uid="{00000000-0005-0000-0000-00007B670000}"/>
    <cellStyle name="Normal 329 2 4 2 2" xfId="26492" xr:uid="{00000000-0005-0000-0000-00007C670000}"/>
    <cellStyle name="Normal 329 2 4 3" xfId="26493" xr:uid="{00000000-0005-0000-0000-00007D670000}"/>
    <cellStyle name="Normal 329 2 5" xfId="26494" xr:uid="{00000000-0005-0000-0000-00007E670000}"/>
    <cellStyle name="Normal 329 3" xfId="26495" xr:uid="{00000000-0005-0000-0000-00007F670000}"/>
    <cellStyle name="Normal 329 3 2" xfId="26496" xr:uid="{00000000-0005-0000-0000-000080670000}"/>
    <cellStyle name="Normal 329 3 2 2" xfId="26497" xr:uid="{00000000-0005-0000-0000-000081670000}"/>
    <cellStyle name="Normal 329 3 2 2 2" xfId="26498" xr:uid="{00000000-0005-0000-0000-000082670000}"/>
    <cellStyle name="Normal 329 3 2 3" xfId="26499" xr:uid="{00000000-0005-0000-0000-000083670000}"/>
    <cellStyle name="Normal 329 3 2 3 2" xfId="26500" xr:uid="{00000000-0005-0000-0000-000084670000}"/>
    <cellStyle name="Normal 329 3 2 3 2 2" xfId="26501" xr:uid="{00000000-0005-0000-0000-000085670000}"/>
    <cellStyle name="Normal 329 3 2 3 3" xfId="26502" xr:uid="{00000000-0005-0000-0000-000086670000}"/>
    <cellStyle name="Normal 329 3 2 4" xfId="26503" xr:uid="{00000000-0005-0000-0000-000087670000}"/>
    <cellStyle name="Normal 329 3 3" xfId="26504" xr:uid="{00000000-0005-0000-0000-000088670000}"/>
    <cellStyle name="Normal 329 3 3 2" xfId="26505" xr:uid="{00000000-0005-0000-0000-000089670000}"/>
    <cellStyle name="Normal 329 3 3 2 2" xfId="26506" xr:uid="{00000000-0005-0000-0000-00008A670000}"/>
    <cellStyle name="Normal 329 3 3 3" xfId="26507" xr:uid="{00000000-0005-0000-0000-00008B670000}"/>
    <cellStyle name="Normal 329 3 4" xfId="26508" xr:uid="{00000000-0005-0000-0000-00008C670000}"/>
    <cellStyle name="Normal 329 3 4 2" xfId="26509" xr:uid="{00000000-0005-0000-0000-00008D670000}"/>
    <cellStyle name="Normal 329 3 4 2 2" xfId="26510" xr:uid="{00000000-0005-0000-0000-00008E670000}"/>
    <cellStyle name="Normal 329 3 4 3" xfId="26511" xr:uid="{00000000-0005-0000-0000-00008F670000}"/>
    <cellStyle name="Normal 329 3 5" xfId="26512" xr:uid="{00000000-0005-0000-0000-000090670000}"/>
    <cellStyle name="Normal 329 3 5 2" xfId="26513" xr:uid="{00000000-0005-0000-0000-000091670000}"/>
    <cellStyle name="Normal 329 3 5 2 2" xfId="26514" xr:uid="{00000000-0005-0000-0000-000092670000}"/>
    <cellStyle name="Normal 329 3 5 3" xfId="26515" xr:uid="{00000000-0005-0000-0000-000093670000}"/>
    <cellStyle name="Normal 329 3 6" xfId="26516" xr:uid="{00000000-0005-0000-0000-000094670000}"/>
    <cellStyle name="Normal 329 4" xfId="26517" xr:uid="{00000000-0005-0000-0000-000095670000}"/>
    <cellStyle name="Normal 329 4 2" xfId="26518" xr:uid="{00000000-0005-0000-0000-000096670000}"/>
    <cellStyle name="Normal 329 4 2 2" xfId="26519" xr:uid="{00000000-0005-0000-0000-000097670000}"/>
    <cellStyle name="Normal 329 4 3" xfId="26520" xr:uid="{00000000-0005-0000-0000-000098670000}"/>
    <cellStyle name="Normal 329 5" xfId="26521" xr:uid="{00000000-0005-0000-0000-000099670000}"/>
    <cellStyle name="Normal 329 5 2" xfId="26522" xr:uid="{00000000-0005-0000-0000-00009A670000}"/>
    <cellStyle name="Normal 329 5 2 2" xfId="26523" xr:uid="{00000000-0005-0000-0000-00009B670000}"/>
    <cellStyle name="Normal 329 5 3" xfId="26524" xr:uid="{00000000-0005-0000-0000-00009C670000}"/>
    <cellStyle name="Normal 329 6" xfId="26525" xr:uid="{00000000-0005-0000-0000-00009D670000}"/>
    <cellStyle name="Normal 329 6 2" xfId="26526" xr:uid="{00000000-0005-0000-0000-00009E670000}"/>
    <cellStyle name="Normal 329 6 2 2" xfId="26527" xr:uid="{00000000-0005-0000-0000-00009F670000}"/>
    <cellStyle name="Normal 329 6 3" xfId="26528" xr:uid="{00000000-0005-0000-0000-0000A0670000}"/>
    <cellStyle name="Normal 329 7" xfId="26529" xr:uid="{00000000-0005-0000-0000-0000A1670000}"/>
    <cellStyle name="Normal 33" xfId="26530" xr:uid="{00000000-0005-0000-0000-0000A2670000}"/>
    <cellStyle name="Normal 33 2" xfId="26531" xr:uid="{00000000-0005-0000-0000-0000A3670000}"/>
    <cellStyle name="Normal 33 2 2" xfId="26532" xr:uid="{00000000-0005-0000-0000-0000A4670000}"/>
    <cellStyle name="Normal 33 2 2 2" xfId="26533" xr:uid="{00000000-0005-0000-0000-0000A5670000}"/>
    <cellStyle name="Normal 33 2 2 2 2" xfId="26534" xr:uid="{00000000-0005-0000-0000-0000A6670000}"/>
    <cellStyle name="Normal 33 2 2 3" xfId="26535" xr:uid="{00000000-0005-0000-0000-0000A7670000}"/>
    <cellStyle name="Normal 33 2 2 3 2" xfId="26536" xr:uid="{00000000-0005-0000-0000-0000A8670000}"/>
    <cellStyle name="Normal 33 2 2 3 2 2" xfId="26537" xr:uid="{00000000-0005-0000-0000-0000A9670000}"/>
    <cellStyle name="Normal 33 2 2 3 3" xfId="26538" xr:uid="{00000000-0005-0000-0000-0000AA670000}"/>
    <cellStyle name="Normal 33 2 2 4" xfId="26539" xr:uid="{00000000-0005-0000-0000-0000AB670000}"/>
    <cellStyle name="Normal 33 2 2 4 2" xfId="26540" xr:uid="{00000000-0005-0000-0000-0000AC670000}"/>
    <cellStyle name="Normal 33 2 2 4 2 2" xfId="26541" xr:uid="{00000000-0005-0000-0000-0000AD670000}"/>
    <cellStyle name="Normal 33 2 2 4 3" xfId="26542" xr:uid="{00000000-0005-0000-0000-0000AE670000}"/>
    <cellStyle name="Normal 33 2 2 5" xfId="26543" xr:uid="{00000000-0005-0000-0000-0000AF670000}"/>
    <cellStyle name="Normal 33 2 3" xfId="26544" xr:uid="{00000000-0005-0000-0000-0000B0670000}"/>
    <cellStyle name="Normal 33 2 3 2" xfId="26545" xr:uid="{00000000-0005-0000-0000-0000B1670000}"/>
    <cellStyle name="Normal 33 2 3 2 2" xfId="26546" xr:uid="{00000000-0005-0000-0000-0000B2670000}"/>
    <cellStyle name="Normal 33 2 3 2 2 2" xfId="26547" xr:uid="{00000000-0005-0000-0000-0000B3670000}"/>
    <cellStyle name="Normal 33 2 3 2 3" xfId="26548" xr:uid="{00000000-0005-0000-0000-0000B4670000}"/>
    <cellStyle name="Normal 33 2 3 2 3 2" xfId="26549" xr:uid="{00000000-0005-0000-0000-0000B5670000}"/>
    <cellStyle name="Normal 33 2 3 2 3 2 2" xfId="26550" xr:uid="{00000000-0005-0000-0000-0000B6670000}"/>
    <cellStyle name="Normal 33 2 3 2 3 3" xfId="26551" xr:uid="{00000000-0005-0000-0000-0000B7670000}"/>
    <cellStyle name="Normal 33 2 3 2 4" xfId="26552" xr:uid="{00000000-0005-0000-0000-0000B8670000}"/>
    <cellStyle name="Normal 33 2 3 3" xfId="26553" xr:uid="{00000000-0005-0000-0000-0000B9670000}"/>
    <cellStyle name="Normal 33 2 3 3 2" xfId="26554" xr:uid="{00000000-0005-0000-0000-0000BA670000}"/>
    <cellStyle name="Normal 33 2 3 3 2 2" xfId="26555" xr:uid="{00000000-0005-0000-0000-0000BB670000}"/>
    <cellStyle name="Normal 33 2 3 3 3" xfId="26556" xr:uid="{00000000-0005-0000-0000-0000BC670000}"/>
    <cellStyle name="Normal 33 2 3 4" xfId="26557" xr:uid="{00000000-0005-0000-0000-0000BD670000}"/>
    <cellStyle name="Normal 33 2 3 4 2" xfId="26558" xr:uid="{00000000-0005-0000-0000-0000BE670000}"/>
    <cellStyle name="Normal 33 2 3 4 2 2" xfId="26559" xr:uid="{00000000-0005-0000-0000-0000BF670000}"/>
    <cellStyle name="Normal 33 2 3 4 3" xfId="26560" xr:uid="{00000000-0005-0000-0000-0000C0670000}"/>
    <cellStyle name="Normal 33 2 3 5" xfId="26561" xr:uid="{00000000-0005-0000-0000-0000C1670000}"/>
    <cellStyle name="Normal 33 2 3 5 2" xfId="26562" xr:uid="{00000000-0005-0000-0000-0000C2670000}"/>
    <cellStyle name="Normal 33 2 3 5 2 2" xfId="26563" xr:uid="{00000000-0005-0000-0000-0000C3670000}"/>
    <cellStyle name="Normal 33 2 3 5 3" xfId="26564" xr:uid="{00000000-0005-0000-0000-0000C4670000}"/>
    <cellStyle name="Normal 33 2 3 6" xfId="26565" xr:uid="{00000000-0005-0000-0000-0000C5670000}"/>
    <cellStyle name="Normal 33 2 4" xfId="26566" xr:uid="{00000000-0005-0000-0000-0000C6670000}"/>
    <cellStyle name="Normal 33 3" xfId="26567" xr:uid="{00000000-0005-0000-0000-0000C7670000}"/>
    <cellStyle name="Normal 33 3 2" xfId="26568" xr:uid="{00000000-0005-0000-0000-0000C8670000}"/>
    <cellStyle name="Normal 33 3 2 2" xfId="26569" xr:uid="{00000000-0005-0000-0000-0000C9670000}"/>
    <cellStyle name="Normal 33 3 2 2 2" xfId="26570" xr:uid="{00000000-0005-0000-0000-0000CA670000}"/>
    <cellStyle name="Normal 33 3 2 3" xfId="26571" xr:uid="{00000000-0005-0000-0000-0000CB670000}"/>
    <cellStyle name="Normal 33 3 2 3 2" xfId="26572" xr:uid="{00000000-0005-0000-0000-0000CC670000}"/>
    <cellStyle name="Normal 33 3 2 3 2 2" xfId="26573" xr:uid="{00000000-0005-0000-0000-0000CD670000}"/>
    <cellStyle name="Normal 33 3 2 3 3" xfId="26574" xr:uid="{00000000-0005-0000-0000-0000CE670000}"/>
    <cellStyle name="Normal 33 3 2 4" xfId="26575" xr:uid="{00000000-0005-0000-0000-0000CF670000}"/>
    <cellStyle name="Normal 33 3 2 4 2" xfId="26576" xr:uid="{00000000-0005-0000-0000-0000D0670000}"/>
    <cellStyle name="Normal 33 3 2 4 2 2" xfId="26577" xr:uid="{00000000-0005-0000-0000-0000D1670000}"/>
    <cellStyle name="Normal 33 3 2 4 3" xfId="26578" xr:uid="{00000000-0005-0000-0000-0000D2670000}"/>
    <cellStyle name="Normal 33 3 2 5" xfId="26579" xr:uid="{00000000-0005-0000-0000-0000D3670000}"/>
    <cellStyle name="Normal 33 3 3" xfId="26580" xr:uid="{00000000-0005-0000-0000-0000D4670000}"/>
    <cellStyle name="Normal 33 3 3 2" xfId="26581" xr:uid="{00000000-0005-0000-0000-0000D5670000}"/>
    <cellStyle name="Normal 33 3 3 2 2" xfId="26582" xr:uid="{00000000-0005-0000-0000-0000D6670000}"/>
    <cellStyle name="Normal 33 3 3 3" xfId="26583" xr:uid="{00000000-0005-0000-0000-0000D7670000}"/>
    <cellStyle name="Normal 33 3 4" xfId="26584" xr:uid="{00000000-0005-0000-0000-0000D8670000}"/>
    <cellStyle name="Normal 33 3 4 2" xfId="26585" xr:uid="{00000000-0005-0000-0000-0000D9670000}"/>
    <cellStyle name="Normal 33 3 4 2 2" xfId="26586" xr:uid="{00000000-0005-0000-0000-0000DA670000}"/>
    <cellStyle name="Normal 33 3 4 3" xfId="26587" xr:uid="{00000000-0005-0000-0000-0000DB670000}"/>
    <cellStyle name="Normal 33 3 5" xfId="26588" xr:uid="{00000000-0005-0000-0000-0000DC670000}"/>
    <cellStyle name="Normal 33 3 5 2" xfId="26589" xr:uid="{00000000-0005-0000-0000-0000DD670000}"/>
    <cellStyle name="Normal 33 3 5 2 2" xfId="26590" xr:uid="{00000000-0005-0000-0000-0000DE670000}"/>
    <cellStyle name="Normal 33 3 5 3" xfId="26591" xr:uid="{00000000-0005-0000-0000-0000DF670000}"/>
    <cellStyle name="Normal 33 3 6" xfId="26592" xr:uid="{00000000-0005-0000-0000-0000E0670000}"/>
    <cellStyle name="Normal 33 4" xfId="26593" xr:uid="{00000000-0005-0000-0000-0000E1670000}"/>
    <cellStyle name="Normal 33 4 2" xfId="26594" xr:uid="{00000000-0005-0000-0000-0000E2670000}"/>
    <cellStyle name="Normal 33 4 2 2" xfId="26595" xr:uid="{00000000-0005-0000-0000-0000E3670000}"/>
    <cellStyle name="Normal 33 4 3" xfId="26596" xr:uid="{00000000-0005-0000-0000-0000E4670000}"/>
    <cellStyle name="Normal 33 4 3 2" xfId="26597" xr:uid="{00000000-0005-0000-0000-0000E5670000}"/>
    <cellStyle name="Normal 33 4 3 2 2" xfId="26598" xr:uid="{00000000-0005-0000-0000-0000E6670000}"/>
    <cellStyle name="Normal 33 4 3 3" xfId="26599" xr:uid="{00000000-0005-0000-0000-0000E7670000}"/>
    <cellStyle name="Normal 33 4 4" xfId="26600" xr:uid="{00000000-0005-0000-0000-0000E8670000}"/>
    <cellStyle name="Normal 33 4 4 2" xfId="26601" xr:uid="{00000000-0005-0000-0000-0000E9670000}"/>
    <cellStyle name="Normal 33 4 4 2 2" xfId="26602" xr:uid="{00000000-0005-0000-0000-0000EA670000}"/>
    <cellStyle name="Normal 33 4 4 3" xfId="26603" xr:uid="{00000000-0005-0000-0000-0000EB670000}"/>
    <cellStyle name="Normal 33 4 5" xfId="26604" xr:uid="{00000000-0005-0000-0000-0000EC670000}"/>
    <cellStyle name="Normal 33 5" xfId="26605" xr:uid="{00000000-0005-0000-0000-0000ED670000}"/>
    <cellStyle name="Normal 33 5 2" xfId="26606" xr:uid="{00000000-0005-0000-0000-0000EE670000}"/>
    <cellStyle name="Normal 33 5 2 2" xfId="26607" xr:uid="{00000000-0005-0000-0000-0000EF670000}"/>
    <cellStyle name="Normal 33 5 3" xfId="26608" xr:uid="{00000000-0005-0000-0000-0000F0670000}"/>
    <cellStyle name="Normal 33 6" xfId="26609" xr:uid="{00000000-0005-0000-0000-0000F1670000}"/>
    <cellStyle name="Normal 330" xfId="26610" xr:uid="{00000000-0005-0000-0000-0000F2670000}"/>
    <cellStyle name="Normal 330 2" xfId="26611" xr:uid="{00000000-0005-0000-0000-0000F3670000}"/>
    <cellStyle name="Normal 330 2 2" xfId="26612" xr:uid="{00000000-0005-0000-0000-0000F4670000}"/>
    <cellStyle name="Normal 330 2 2 2" xfId="26613" xr:uid="{00000000-0005-0000-0000-0000F5670000}"/>
    <cellStyle name="Normal 330 2 3" xfId="26614" xr:uid="{00000000-0005-0000-0000-0000F6670000}"/>
    <cellStyle name="Normal 330 2 3 2" xfId="26615" xr:uid="{00000000-0005-0000-0000-0000F7670000}"/>
    <cellStyle name="Normal 330 2 3 2 2" xfId="26616" xr:uid="{00000000-0005-0000-0000-0000F8670000}"/>
    <cellStyle name="Normal 330 2 3 3" xfId="26617" xr:uid="{00000000-0005-0000-0000-0000F9670000}"/>
    <cellStyle name="Normal 330 2 4" xfId="26618" xr:uid="{00000000-0005-0000-0000-0000FA670000}"/>
    <cellStyle name="Normal 330 2 4 2" xfId="26619" xr:uid="{00000000-0005-0000-0000-0000FB670000}"/>
    <cellStyle name="Normal 330 2 4 2 2" xfId="26620" xr:uid="{00000000-0005-0000-0000-0000FC670000}"/>
    <cellStyle name="Normal 330 2 4 3" xfId="26621" xr:uid="{00000000-0005-0000-0000-0000FD670000}"/>
    <cellStyle name="Normal 330 2 5" xfId="26622" xr:uid="{00000000-0005-0000-0000-0000FE670000}"/>
    <cellStyle name="Normal 330 3" xfId="26623" xr:uid="{00000000-0005-0000-0000-0000FF670000}"/>
    <cellStyle name="Normal 330 3 2" xfId="26624" xr:uid="{00000000-0005-0000-0000-000000680000}"/>
    <cellStyle name="Normal 330 3 2 2" xfId="26625" xr:uid="{00000000-0005-0000-0000-000001680000}"/>
    <cellStyle name="Normal 330 3 2 2 2" xfId="26626" xr:uid="{00000000-0005-0000-0000-000002680000}"/>
    <cellStyle name="Normal 330 3 2 3" xfId="26627" xr:uid="{00000000-0005-0000-0000-000003680000}"/>
    <cellStyle name="Normal 330 3 2 3 2" xfId="26628" xr:uid="{00000000-0005-0000-0000-000004680000}"/>
    <cellStyle name="Normal 330 3 2 3 2 2" xfId="26629" xr:uid="{00000000-0005-0000-0000-000005680000}"/>
    <cellStyle name="Normal 330 3 2 3 3" xfId="26630" xr:uid="{00000000-0005-0000-0000-000006680000}"/>
    <cellStyle name="Normal 330 3 2 4" xfId="26631" xr:uid="{00000000-0005-0000-0000-000007680000}"/>
    <cellStyle name="Normal 330 3 3" xfId="26632" xr:uid="{00000000-0005-0000-0000-000008680000}"/>
    <cellStyle name="Normal 330 3 3 2" xfId="26633" xr:uid="{00000000-0005-0000-0000-000009680000}"/>
    <cellStyle name="Normal 330 3 3 2 2" xfId="26634" xr:uid="{00000000-0005-0000-0000-00000A680000}"/>
    <cellStyle name="Normal 330 3 3 3" xfId="26635" xr:uid="{00000000-0005-0000-0000-00000B680000}"/>
    <cellStyle name="Normal 330 3 4" xfId="26636" xr:uid="{00000000-0005-0000-0000-00000C680000}"/>
    <cellStyle name="Normal 330 3 4 2" xfId="26637" xr:uid="{00000000-0005-0000-0000-00000D680000}"/>
    <cellStyle name="Normal 330 3 4 2 2" xfId="26638" xr:uid="{00000000-0005-0000-0000-00000E680000}"/>
    <cellStyle name="Normal 330 3 4 3" xfId="26639" xr:uid="{00000000-0005-0000-0000-00000F680000}"/>
    <cellStyle name="Normal 330 3 5" xfId="26640" xr:uid="{00000000-0005-0000-0000-000010680000}"/>
    <cellStyle name="Normal 330 3 5 2" xfId="26641" xr:uid="{00000000-0005-0000-0000-000011680000}"/>
    <cellStyle name="Normal 330 3 5 2 2" xfId="26642" xr:uid="{00000000-0005-0000-0000-000012680000}"/>
    <cellStyle name="Normal 330 3 5 3" xfId="26643" xr:uid="{00000000-0005-0000-0000-000013680000}"/>
    <cellStyle name="Normal 330 3 6" xfId="26644" xr:uid="{00000000-0005-0000-0000-000014680000}"/>
    <cellStyle name="Normal 330 4" xfId="26645" xr:uid="{00000000-0005-0000-0000-000015680000}"/>
    <cellStyle name="Normal 330 4 2" xfId="26646" xr:uid="{00000000-0005-0000-0000-000016680000}"/>
    <cellStyle name="Normal 330 4 2 2" xfId="26647" xr:uid="{00000000-0005-0000-0000-000017680000}"/>
    <cellStyle name="Normal 330 4 3" xfId="26648" xr:uid="{00000000-0005-0000-0000-000018680000}"/>
    <cellStyle name="Normal 330 5" xfId="26649" xr:uid="{00000000-0005-0000-0000-000019680000}"/>
    <cellStyle name="Normal 330 5 2" xfId="26650" xr:uid="{00000000-0005-0000-0000-00001A680000}"/>
    <cellStyle name="Normal 330 5 2 2" xfId="26651" xr:uid="{00000000-0005-0000-0000-00001B680000}"/>
    <cellStyle name="Normal 330 5 3" xfId="26652" xr:uid="{00000000-0005-0000-0000-00001C680000}"/>
    <cellStyle name="Normal 330 6" xfId="26653" xr:uid="{00000000-0005-0000-0000-00001D680000}"/>
    <cellStyle name="Normal 330 6 2" xfId="26654" xr:uid="{00000000-0005-0000-0000-00001E680000}"/>
    <cellStyle name="Normal 330 6 2 2" xfId="26655" xr:uid="{00000000-0005-0000-0000-00001F680000}"/>
    <cellStyle name="Normal 330 6 3" xfId="26656" xr:uid="{00000000-0005-0000-0000-000020680000}"/>
    <cellStyle name="Normal 330 7" xfId="26657" xr:uid="{00000000-0005-0000-0000-000021680000}"/>
    <cellStyle name="Normal 331" xfId="26658" xr:uid="{00000000-0005-0000-0000-000022680000}"/>
    <cellStyle name="Normal 331 2" xfId="26659" xr:uid="{00000000-0005-0000-0000-000023680000}"/>
    <cellStyle name="Normal 331 2 2" xfId="26660" xr:uid="{00000000-0005-0000-0000-000024680000}"/>
    <cellStyle name="Normal 331 2 2 2" xfId="26661" xr:uid="{00000000-0005-0000-0000-000025680000}"/>
    <cellStyle name="Normal 331 2 3" xfId="26662" xr:uid="{00000000-0005-0000-0000-000026680000}"/>
    <cellStyle name="Normal 331 2 3 2" xfId="26663" xr:uid="{00000000-0005-0000-0000-000027680000}"/>
    <cellStyle name="Normal 331 2 3 2 2" xfId="26664" xr:uid="{00000000-0005-0000-0000-000028680000}"/>
    <cellStyle name="Normal 331 2 3 3" xfId="26665" xr:uid="{00000000-0005-0000-0000-000029680000}"/>
    <cellStyle name="Normal 331 2 4" xfId="26666" xr:uid="{00000000-0005-0000-0000-00002A680000}"/>
    <cellStyle name="Normal 331 2 4 2" xfId="26667" xr:uid="{00000000-0005-0000-0000-00002B680000}"/>
    <cellStyle name="Normal 331 2 4 2 2" xfId="26668" xr:uid="{00000000-0005-0000-0000-00002C680000}"/>
    <cellStyle name="Normal 331 2 4 3" xfId="26669" xr:uid="{00000000-0005-0000-0000-00002D680000}"/>
    <cellStyle name="Normal 331 2 5" xfId="26670" xr:uid="{00000000-0005-0000-0000-00002E680000}"/>
    <cellStyle name="Normal 331 3" xfId="26671" xr:uid="{00000000-0005-0000-0000-00002F680000}"/>
    <cellStyle name="Normal 331 3 2" xfId="26672" xr:uid="{00000000-0005-0000-0000-000030680000}"/>
    <cellStyle name="Normal 331 3 2 2" xfId="26673" xr:uid="{00000000-0005-0000-0000-000031680000}"/>
    <cellStyle name="Normal 331 3 2 2 2" xfId="26674" xr:uid="{00000000-0005-0000-0000-000032680000}"/>
    <cellStyle name="Normal 331 3 2 3" xfId="26675" xr:uid="{00000000-0005-0000-0000-000033680000}"/>
    <cellStyle name="Normal 331 3 2 3 2" xfId="26676" xr:uid="{00000000-0005-0000-0000-000034680000}"/>
    <cellStyle name="Normal 331 3 2 3 2 2" xfId="26677" xr:uid="{00000000-0005-0000-0000-000035680000}"/>
    <cellStyle name="Normal 331 3 2 3 3" xfId="26678" xr:uid="{00000000-0005-0000-0000-000036680000}"/>
    <cellStyle name="Normal 331 3 2 4" xfId="26679" xr:uid="{00000000-0005-0000-0000-000037680000}"/>
    <cellStyle name="Normal 331 3 3" xfId="26680" xr:uid="{00000000-0005-0000-0000-000038680000}"/>
    <cellStyle name="Normal 331 3 3 2" xfId="26681" xr:uid="{00000000-0005-0000-0000-000039680000}"/>
    <cellStyle name="Normal 331 3 3 2 2" xfId="26682" xr:uid="{00000000-0005-0000-0000-00003A680000}"/>
    <cellStyle name="Normal 331 3 3 3" xfId="26683" xr:uid="{00000000-0005-0000-0000-00003B680000}"/>
    <cellStyle name="Normal 331 3 4" xfId="26684" xr:uid="{00000000-0005-0000-0000-00003C680000}"/>
    <cellStyle name="Normal 331 3 4 2" xfId="26685" xr:uid="{00000000-0005-0000-0000-00003D680000}"/>
    <cellStyle name="Normal 331 3 4 2 2" xfId="26686" xr:uid="{00000000-0005-0000-0000-00003E680000}"/>
    <cellStyle name="Normal 331 3 4 3" xfId="26687" xr:uid="{00000000-0005-0000-0000-00003F680000}"/>
    <cellStyle name="Normal 331 3 5" xfId="26688" xr:uid="{00000000-0005-0000-0000-000040680000}"/>
    <cellStyle name="Normal 331 3 5 2" xfId="26689" xr:uid="{00000000-0005-0000-0000-000041680000}"/>
    <cellStyle name="Normal 331 3 5 2 2" xfId="26690" xr:uid="{00000000-0005-0000-0000-000042680000}"/>
    <cellStyle name="Normal 331 3 5 3" xfId="26691" xr:uid="{00000000-0005-0000-0000-000043680000}"/>
    <cellStyle name="Normal 331 3 6" xfId="26692" xr:uid="{00000000-0005-0000-0000-000044680000}"/>
    <cellStyle name="Normal 331 4" xfId="26693" xr:uid="{00000000-0005-0000-0000-000045680000}"/>
    <cellStyle name="Normal 331 4 2" xfId="26694" xr:uid="{00000000-0005-0000-0000-000046680000}"/>
    <cellStyle name="Normal 331 4 2 2" xfId="26695" xr:uid="{00000000-0005-0000-0000-000047680000}"/>
    <cellStyle name="Normal 331 4 3" xfId="26696" xr:uid="{00000000-0005-0000-0000-000048680000}"/>
    <cellStyle name="Normal 331 5" xfId="26697" xr:uid="{00000000-0005-0000-0000-000049680000}"/>
    <cellStyle name="Normal 331 5 2" xfId="26698" xr:uid="{00000000-0005-0000-0000-00004A680000}"/>
    <cellStyle name="Normal 331 5 2 2" xfId="26699" xr:uid="{00000000-0005-0000-0000-00004B680000}"/>
    <cellStyle name="Normal 331 5 3" xfId="26700" xr:uid="{00000000-0005-0000-0000-00004C680000}"/>
    <cellStyle name="Normal 331 6" xfId="26701" xr:uid="{00000000-0005-0000-0000-00004D680000}"/>
    <cellStyle name="Normal 331 6 2" xfId="26702" xr:uid="{00000000-0005-0000-0000-00004E680000}"/>
    <cellStyle name="Normal 331 6 2 2" xfId="26703" xr:uid="{00000000-0005-0000-0000-00004F680000}"/>
    <cellStyle name="Normal 331 6 3" xfId="26704" xr:uid="{00000000-0005-0000-0000-000050680000}"/>
    <cellStyle name="Normal 331 7" xfId="26705" xr:uid="{00000000-0005-0000-0000-000051680000}"/>
    <cellStyle name="Normal 332" xfId="26706" xr:uid="{00000000-0005-0000-0000-000052680000}"/>
    <cellStyle name="Normal 332 2" xfId="26707" xr:uid="{00000000-0005-0000-0000-000053680000}"/>
    <cellStyle name="Normal 332 2 2" xfId="26708" xr:uid="{00000000-0005-0000-0000-000054680000}"/>
    <cellStyle name="Normal 332 2 2 2" xfId="26709" xr:uid="{00000000-0005-0000-0000-000055680000}"/>
    <cellStyle name="Normal 332 2 3" xfId="26710" xr:uid="{00000000-0005-0000-0000-000056680000}"/>
    <cellStyle name="Normal 332 2 3 2" xfId="26711" xr:uid="{00000000-0005-0000-0000-000057680000}"/>
    <cellStyle name="Normal 332 2 3 2 2" xfId="26712" xr:uid="{00000000-0005-0000-0000-000058680000}"/>
    <cellStyle name="Normal 332 2 3 3" xfId="26713" xr:uid="{00000000-0005-0000-0000-000059680000}"/>
    <cellStyle name="Normal 332 2 4" xfId="26714" xr:uid="{00000000-0005-0000-0000-00005A680000}"/>
    <cellStyle name="Normal 332 2 4 2" xfId="26715" xr:uid="{00000000-0005-0000-0000-00005B680000}"/>
    <cellStyle name="Normal 332 2 4 2 2" xfId="26716" xr:uid="{00000000-0005-0000-0000-00005C680000}"/>
    <cellStyle name="Normal 332 2 4 3" xfId="26717" xr:uid="{00000000-0005-0000-0000-00005D680000}"/>
    <cellStyle name="Normal 332 2 5" xfId="26718" xr:uid="{00000000-0005-0000-0000-00005E680000}"/>
    <cellStyle name="Normal 332 3" xfId="26719" xr:uid="{00000000-0005-0000-0000-00005F680000}"/>
    <cellStyle name="Normal 332 3 2" xfId="26720" xr:uid="{00000000-0005-0000-0000-000060680000}"/>
    <cellStyle name="Normal 332 3 2 2" xfId="26721" xr:uid="{00000000-0005-0000-0000-000061680000}"/>
    <cellStyle name="Normal 332 3 2 2 2" xfId="26722" xr:uid="{00000000-0005-0000-0000-000062680000}"/>
    <cellStyle name="Normal 332 3 2 3" xfId="26723" xr:uid="{00000000-0005-0000-0000-000063680000}"/>
    <cellStyle name="Normal 332 3 2 3 2" xfId="26724" xr:uid="{00000000-0005-0000-0000-000064680000}"/>
    <cellStyle name="Normal 332 3 2 3 2 2" xfId="26725" xr:uid="{00000000-0005-0000-0000-000065680000}"/>
    <cellStyle name="Normal 332 3 2 3 3" xfId="26726" xr:uid="{00000000-0005-0000-0000-000066680000}"/>
    <cellStyle name="Normal 332 3 2 4" xfId="26727" xr:uid="{00000000-0005-0000-0000-000067680000}"/>
    <cellStyle name="Normal 332 3 3" xfId="26728" xr:uid="{00000000-0005-0000-0000-000068680000}"/>
    <cellStyle name="Normal 332 3 3 2" xfId="26729" xr:uid="{00000000-0005-0000-0000-000069680000}"/>
    <cellStyle name="Normal 332 3 3 2 2" xfId="26730" xr:uid="{00000000-0005-0000-0000-00006A680000}"/>
    <cellStyle name="Normal 332 3 3 3" xfId="26731" xr:uid="{00000000-0005-0000-0000-00006B680000}"/>
    <cellStyle name="Normal 332 3 4" xfId="26732" xr:uid="{00000000-0005-0000-0000-00006C680000}"/>
    <cellStyle name="Normal 332 3 4 2" xfId="26733" xr:uid="{00000000-0005-0000-0000-00006D680000}"/>
    <cellStyle name="Normal 332 3 4 2 2" xfId="26734" xr:uid="{00000000-0005-0000-0000-00006E680000}"/>
    <cellStyle name="Normal 332 3 4 3" xfId="26735" xr:uid="{00000000-0005-0000-0000-00006F680000}"/>
    <cellStyle name="Normal 332 3 5" xfId="26736" xr:uid="{00000000-0005-0000-0000-000070680000}"/>
    <cellStyle name="Normal 332 3 5 2" xfId="26737" xr:uid="{00000000-0005-0000-0000-000071680000}"/>
    <cellStyle name="Normal 332 3 5 2 2" xfId="26738" xr:uid="{00000000-0005-0000-0000-000072680000}"/>
    <cellStyle name="Normal 332 3 5 3" xfId="26739" xr:uid="{00000000-0005-0000-0000-000073680000}"/>
    <cellStyle name="Normal 332 3 6" xfId="26740" xr:uid="{00000000-0005-0000-0000-000074680000}"/>
    <cellStyle name="Normal 332 4" xfId="26741" xr:uid="{00000000-0005-0000-0000-000075680000}"/>
    <cellStyle name="Normal 332 4 2" xfId="26742" xr:uid="{00000000-0005-0000-0000-000076680000}"/>
    <cellStyle name="Normal 332 4 2 2" xfId="26743" xr:uid="{00000000-0005-0000-0000-000077680000}"/>
    <cellStyle name="Normal 332 4 3" xfId="26744" xr:uid="{00000000-0005-0000-0000-000078680000}"/>
    <cellStyle name="Normal 332 5" xfId="26745" xr:uid="{00000000-0005-0000-0000-000079680000}"/>
    <cellStyle name="Normal 332 5 2" xfId="26746" xr:uid="{00000000-0005-0000-0000-00007A680000}"/>
    <cellStyle name="Normal 332 5 2 2" xfId="26747" xr:uid="{00000000-0005-0000-0000-00007B680000}"/>
    <cellStyle name="Normal 332 5 3" xfId="26748" xr:uid="{00000000-0005-0000-0000-00007C680000}"/>
    <cellStyle name="Normal 332 6" xfId="26749" xr:uid="{00000000-0005-0000-0000-00007D680000}"/>
    <cellStyle name="Normal 332 6 2" xfId="26750" xr:uid="{00000000-0005-0000-0000-00007E680000}"/>
    <cellStyle name="Normal 332 6 2 2" xfId="26751" xr:uid="{00000000-0005-0000-0000-00007F680000}"/>
    <cellStyle name="Normal 332 6 3" xfId="26752" xr:uid="{00000000-0005-0000-0000-000080680000}"/>
    <cellStyle name="Normal 332 7" xfId="26753" xr:uid="{00000000-0005-0000-0000-000081680000}"/>
    <cellStyle name="Normal 333" xfId="26754" xr:uid="{00000000-0005-0000-0000-000082680000}"/>
    <cellStyle name="Normal 333 2" xfId="26755" xr:uid="{00000000-0005-0000-0000-000083680000}"/>
    <cellStyle name="Normal 333 2 2" xfId="26756" xr:uid="{00000000-0005-0000-0000-000084680000}"/>
    <cellStyle name="Normal 333 2 2 2" xfId="26757" xr:uid="{00000000-0005-0000-0000-000085680000}"/>
    <cellStyle name="Normal 333 2 3" xfId="26758" xr:uid="{00000000-0005-0000-0000-000086680000}"/>
    <cellStyle name="Normal 333 2 3 2" xfId="26759" xr:uid="{00000000-0005-0000-0000-000087680000}"/>
    <cellStyle name="Normal 333 2 3 2 2" xfId="26760" xr:uid="{00000000-0005-0000-0000-000088680000}"/>
    <cellStyle name="Normal 333 2 3 3" xfId="26761" xr:uid="{00000000-0005-0000-0000-000089680000}"/>
    <cellStyle name="Normal 333 2 4" xfId="26762" xr:uid="{00000000-0005-0000-0000-00008A680000}"/>
    <cellStyle name="Normal 333 2 4 2" xfId="26763" xr:uid="{00000000-0005-0000-0000-00008B680000}"/>
    <cellStyle name="Normal 333 2 4 2 2" xfId="26764" xr:uid="{00000000-0005-0000-0000-00008C680000}"/>
    <cellStyle name="Normal 333 2 4 3" xfId="26765" xr:uid="{00000000-0005-0000-0000-00008D680000}"/>
    <cellStyle name="Normal 333 2 5" xfId="26766" xr:uid="{00000000-0005-0000-0000-00008E680000}"/>
    <cellStyle name="Normal 333 3" xfId="26767" xr:uid="{00000000-0005-0000-0000-00008F680000}"/>
    <cellStyle name="Normal 333 3 2" xfId="26768" xr:uid="{00000000-0005-0000-0000-000090680000}"/>
    <cellStyle name="Normal 333 3 2 2" xfId="26769" xr:uid="{00000000-0005-0000-0000-000091680000}"/>
    <cellStyle name="Normal 333 3 2 2 2" xfId="26770" xr:uid="{00000000-0005-0000-0000-000092680000}"/>
    <cellStyle name="Normal 333 3 2 3" xfId="26771" xr:uid="{00000000-0005-0000-0000-000093680000}"/>
    <cellStyle name="Normal 333 3 2 3 2" xfId="26772" xr:uid="{00000000-0005-0000-0000-000094680000}"/>
    <cellStyle name="Normal 333 3 2 3 2 2" xfId="26773" xr:uid="{00000000-0005-0000-0000-000095680000}"/>
    <cellStyle name="Normal 333 3 2 3 3" xfId="26774" xr:uid="{00000000-0005-0000-0000-000096680000}"/>
    <cellStyle name="Normal 333 3 2 4" xfId="26775" xr:uid="{00000000-0005-0000-0000-000097680000}"/>
    <cellStyle name="Normal 333 3 3" xfId="26776" xr:uid="{00000000-0005-0000-0000-000098680000}"/>
    <cellStyle name="Normal 333 3 3 2" xfId="26777" xr:uid="{00000000-0005-0000-0000-000099680000}"/>
    <cellStyle name="Normal 333 3 3 2 2" xfId="26778" xr:uid="{00000000-0005-0000-0000-00009A680000}"/>
    <cellStyle name="Normal 333 3 3 3" xfId="26779" xr:uid="{00000000-0005-0000-0000-00009B680000}"/>
    <cellStyle name="Normal 333 3 4" xfId="26780" xr:uid="{00000000-0005-0000-0000-00009C680000}"/>
    <cellStyle name="Normal 333 3 4 2" xfId="26781" xr:uid="{00000000-0005-0000-0000-00009D680000}"/>
    <cellStyle name="Normal 333 3 4 2 2" xfId="26782" xr:uid="{00000000-0005-0000-0000-00009E680000}"/>
    <cellStyle name="Normal 333 3 4 3" xfId="26783" xr:uid="{00000000-0005-0000-0000-00009F680000}"/>
    <cellStyle name="Normal 333 3 5" xfId="26784" xr:uid="{00000000-0005-0000-0000-0000A0680000}"/>
    <cellStyle name="Normal 333 3 5 2" xfId="26785" xr:uid="{00000000-0005-0000-0000-0000A1680000}"/>
    <cellStyle name="Normal 333 3 5 2 2" xfId="26786" xr:uid="{00000000-0005-0000-0000-0000A2680000}"/>
    <cellStyle name="Normal 333 3 5 3" xfId="26787" xr:uid="{00000000-0005-0000-0000-0000A3680000}"/>
    <cellStyle name="Normal 333 3 6" xfId="26788" xr:uid="{00000000-0005-0000-0000-0000A4680000}"/>
    <cellStyle name="Normal 333 4" xfId="26789" xr:uid="{00000000-0005-0000-0000-0000A5680000}"/>
    <cellStyle name="Normal 333 4 2" xfId="26790" xr:uid="{00000000-0005-0000-0000-0000A6680000}"/>
    <cellStyle name="Normal 333 4 2 2" xfId="26791" xr:uid="{00000000-0005-0000-0000-0000A7680000}"/>
    <cellStyle name="Normal 333 4 3" xfId="26792" xr:uid="{00000000-0005-0000-0000-0000A8680000}"/>
    <cellStyle name="Normal 333 5" xfId="26793" xr:uid="{00000000-0005-0000-0000-0000A9680000}"/>
    <cellStyle name="Normal 333 5 2" xfId="26794" xr:uid="{00000000-0005-0000-0000-0000AA680000}"/>
    <cellStyle name="Normal 333 5 2 2" xfId="26795" xr:uid="{00000000-0005-0000-0000-0000AB680000}"/>
    <cellStyle name="Normal 333 5 3" xfId="26796" xr:uid="{00000000-0005-0000-0000-0000AC680000}"/>
    <cellStyle name="Normal 333 6" xfId="26797" xr:uid="{00000000-0005-0000-0000-0000AD680000}"/>
    <cellStyle name="Normal 333 6 2" xfId="26798" xr:uid="{00000000-0005-0000-0000-0000AE680000}"/>
    <cellStyle name="Normal 333 6 2 2" xfId="26799" xr:uid="{00000000-0005-0000-0000-0000AF680000}"/>
    <cellStyle name="Normal 333 6 3" xfId="26800" xr:uid="{00000000-0005-0000-0000-0000B0680000}"/>
    <cellStyle name="Normal 333 7" xfId="26801" xr:uid="{00000000-0005-0000-0000-0000B1680000}"/>
    <cellStyle name="Normal 334" xfId="26802" xr:uid="{00000000-0005-0000-0000-0000B2680000}"/>
    <cellStyle name="Normal 334 2" xfId="26803" xr:uid="{00000000-0005-0000-0000-0000B3680000}"/>
    <cellStyle name="Normal 334 2 2" xfId="26804" xr:uid="{00000000-0005-0000-0000-0000B4680000}"/>
    <cellStyle name="Normal 334 2 2 2" xfId="26805" xr:uid="{00000000-0005-0000-0000-0000B5680000}"/>
    <cellStyle name="Normal 334 2 3" xfId="26806" xr:uid="{00000000-0005-0000-0000-0000B6680000}"/>
    <cellStyle name="Normal 334 2 3 2" xfId="26807" xr:uid="{00000000-0005-0000-0000-0000B7680000}"/>
    <cellStyle name="Normal 334 2 3 2 2" xfId="26808" xr:uid="{00000000-0005-0000-0000-0000B8680000}"/>
    <cellStyle name="Normal 334 2 3 3" xfId="26809" xr:uid="{00000000-0005-0000-0000-0000B9680000}"/>
    <cellStyle name="Normal 334 2 4" xfId="26810" xr:uid="{00000000-0005-0000-0000-0000BA680000}"/>
    <cellStyle name="Normal 334 2 4 2" xfId="26811" xr:uid="{00000000-0005-0000-0000-0000BB680000}"/>
    <cellStyle name="Normal 334 2 4 2 2" xfId="26812" xr:uid="{00000000-0005-0000-0000-0000BC680000}"/>
    <cellStyle name="Normal 334 2 4 3" xfId="26813" xr:uid="{00000000-0005-0000-0000-0000BD680000}"/>
    <cellStyle name="Normal 334 2 5" xfId="26814" xr:uid="{00000000-0005-0000-0000-0000BE680000}"/>
    <cellStyle name="Normal 334 3" xfId="26815" xr:uid="{00000000-0005-0000-0000-0000BF680000}"/>
    <cellStyle name="Normal 334 3 2" xfId="26816" xr:uid="{00000000-0005-0000-0000-0000C0680000}"/>
    <cellStyle name="Normal 334 3 2 2" xfId="26817" xr:uid="{00000000-0005-0000-0000-0000C1680000}"/>
    <cellStyle name="Normal 334 3 2 2 2" xfId="26818" xr:uid="{00000000-0005-0000-0000-0000C2680000}"/>
    <cellStyle name="Normal 334 3 2 3" xfId="26819" xr:uid="{00000000-0005-0000-0000-0000C3680000}"/>
    <cellStyle name="Normal 334 3 2 3 2" xfId="26820" xr:uid="{00000000-0005-0000-0000-0000C4680000}"/>
    <cellStyle name="Normal 334 3 2 3 2 2" xfId="26821" xr:uid="{00000000-0005-0000-0000-0000C5680000}"/>
    <cellStyle name="Normal 334 3 2 3 3" xfId="26822" xr:uid="{00000000-0005-0000-0000-0000C6680000}"/>
    <cellStyle name="Normal 334 3 2 4" xfId="26823" xr:uid="{00000000-0005-0000-0000-0000C7680000}"/>
    <cellStyle name="Normal 334 3 3" xfId="26824" xr:uid="{00000000-0005-0000-0000-0000C8680000}"/>
    <cellStyle name="Normal 334 3 3 2" xfId="26825" xr:uid="{00000000-0005-0000-0000-0000C9680000}"/>
    <cellStyle name="Normal 334 3 3 2 2" xfId="26826" xr:uid="{00000000-0005-0000-0000-0000CA680000}"/>
    <cellStyle name="Normal 334 3 3 3" xfId="26827" xr:uid="{00000000-0005-0000-0000-0000CB680000}"/>
    <cellStyle name="Normal 334 3 4" xfId="26828" xr:uid="{00000000-0005-0000-0000-0000CC680000}"/>
    <cellStyle name="Normal 334 3 4 2" xfId="26829" xr:uid="{00000000-0005-0000-0000-0000CD680000}"/>
    <cellStyle name="Normal 334 3 4 2 2" xfId="26830" xr:uid="{00000000-0005-0000-0000-0000CE680000}"/>
    <cellStyle name="Normal 334 3 4 3" xfId="26831" xr:uid="{00000000-0005-0000-0000-0000CF680000}"/>
    <cellStyle name="Normal 334 3 5" xfId="26832" xr:uid="{00000000-0005-0000-0000-0000D0680000}"/>
    <cellStyle name="Normal 334 3 5 2" xfId="26833" xr:uid="{00000000-0005-0000-0000-0000D1680000}"/>
    <cellStyle name="Normal 334 3 5 2 2" xfId="26834" xr:uid="{00000000-0005-0000-0000-0000D2680000}"/>
    <cellStyle name="Normal 334 3 5 3" xfId="26835" xr:uid="{00000000-0005-0000-0000-0000D3680000}"/>
    <cellStyle name="Normal 334 3 6" xfId="26836" xr:uid="{00000000-0005-0000-0000-0000D4680000}"/>
    <cellStyle name="Normal 334 4" xfId="26837" xr:uid="{00000000-0005-0000-0000-0000D5680000}"/>
    <cellStyle name="Normal 334 4 2" xfId="26838" xr:uid="{00000000-0005-0000-0000-0000D6680000}"/>
    <cellStyle name="Normal 334 4 2 2" xfId="26839" xr:uid="{00000000-0005-0000-0000-0000D7680000}"/>
    <cellStyle name="Normal 334 4 3" xfId="26840" xr:uid="{00000000-0005-0000-0000-0000D8680000}"/>
    <cellStyle name="Normal 334 5" xfId="26841" xr:uid="{00000000-0005-0000-0000-0000D9680000}"/>
    <cellStyle name="Normal 334 5 2" xfId="26842" xr:uid="{00000000-0005-0000-0000-0000DA680000}"/>
    <cellStyle name="Normal 334 5 2 2" xfId="26843" xr:uid="{00000000-0005-0000-0000-0000DB680000}"/>
    <cellStyle name="Normal 334 5 3" xfId="26844" xr:uid="{00000000-0005-0000-0000-0000DC680000}"/>
    <cellStyle name="Normal 334 6" xfId="26845" xr:uid="{00000000-0005-0000-0000-0000DD680000}"/>
    <cellStyle name="Normal 334 6 2" xfId="26846" xr:uid="{00000000-0005-0000-0000-0000DE680000}"/>
    <cellStyle name="Normal 334 6 2 2" xfId="26847" xr:uid="{00000000-0005-0000-0000-0000DF680000}"/>
    <cellStyle name="Normal 334 6 3" xfId="26848" xr:uid="{00000000-0005-0000-0000-0000E0680000}"/>
    <cellStyle name="Normal 334 7" xfId="26849" xr:uid="{00000000-0005-0000-0000-0000E1680000}"/>
    <cellStyle name="Normal 335" xfId="26850" xr:uid="{00000000-0005-0000-0000-0000E2680000}"/>
    <cellStyle name="Normal 335 2" xfId="26851" xr:uid="{00000000-0005-0000-0000-0000E3680000}"/>
    <cellStyle name="Normal 335 2 2" xfId="26852" xr:uid="{00000000-0005-0000-0000-0000E4680000}"/>
    <cellStyle name="Normal 335 2 2 2" xfId="26853" xr:uid="{00000000-0005-0000-0000-0000E5680000}"/>
    <cellStyle name="Normal 335 2 3" xfId="26854" xr:uid="{00000000-0005-0000-0000-0000E6680000}"/>
    <cellStyle name="Normal 335 2 3 2" xfId="26855" xr:uid="{00000000-0005-0000-0000-0000E7680000}"/>
    <cellStyle name="Normal 335 2 3 2 2" xfId="26856" xr:uid="{00000000-0005-0000-0000-0000E8680000}"/>
    <cellStyle name="Normal 335 2 3 3" xfId="26857" xr:uid="{00000000-0005-0000-0000-0000E9680000}"/>
    <cellStyle name="Normal 335 2 4" xfId="26858" xr:uid="{00000000-0005-0000-0000-0000EA680000}"/>
    <cellStyle name="Normal 335 2 4 2" xfId="26859" xr:uid="{00000000-0005-0000-0000-0000EB680000}"/>
    <cellStyle name="Normal 335 2 4 2 2" xfId="26860" xr:uid="{00000000-0005-0000-0000-0000EC680000}"/>
    <cellStyle name="Normal 335 2 4 3" xfId="26861" xr:uid="{00000000-0005-0000-0000-0000ED680000}"/>
    <cellStyle name="Normal 335 2 5" xfId="26862" xr:uid="{00000000-0005-0000-0000-0000EE680000}"/>
    <cellStyle name="Normal 335 3" xfId="26863" xr:uid="{00000000-0005-0000-0000-0000EF680000}"/>
    <cellStyle name="Normal 335 3 2" xfId="26864" xr:uid="{00000000-0005-0000-0000-0000F0680000}"/>
    <cellStyle name="Normal 335 3 2 2" xfId="26865" xr:uid="{00000000-0005-0000-0000-0000F1680000}"/>
    <cellStyle name="Normal 335 3 2 2 2" xfId="26866" xr:uid="{00000000-0005-0000-0000-0000F2680000}"/>
    <cellStyle name="Normal 335 3 2 3" xfId="26867" xr:uid="{00000000-0005-0000-0000-0000F3680000}"/>
    <cellStyle name="Normal 335 3 2 3 2" xfId="26868" xr:uid="{00000000-0005-0000-0000-0000F4680000}"/>
    <cellStyle name="Normal 335 3 2 3 2 2" xfId="26869" xr:uid="{00000000-0005-0000-0000-0000F5680000}"/>
    <cellStyle name="Normal 335 3 2 3 3" xfId="26870" xr:uid="{00000000-0005-0000-0000-0000F6680000}"/>
    <cellStyle name="Normal 335 3 2 4" xfId="26871" xr:uid="{00000000-0005-0000-0000-0000F7680000}"/>
    <cellStyle name="Normal 335 3 3" xfId="26872" xr:uid="{00000000-0005-0000-0000-0000F8680000}"/>
    <cellStyle name="Normal 335 3 3 2" xfId="26873" xr:uid="{00000000-0005-0000-0000-0000F9680000}"/>
    <cellStyle name="Normal 335 3 3 2 2" xfId="26874" xr:uid="{00000000-0005-0000-0000-0000FA680000}"/>
    <cellStyle name="Normal 335 3 3 3" xfId="26875" xr:uid="{00000000-0005-0000-0000-0000FB680000}"/>
    <cellStyle name="Normal 335 3 4" xfId="26876" xr:uid="{00000000-0005-0000-0000-0000FC680000}"/>
    <cellStyle name="Normal 335 3 4 2" xfId="26877" xr:uid="{00000000-0005-0000-0000-0000FD680000}"/>
    <cellStyle name="Normal 335 3 4 2 2" xfId="26878" xr:uid="{00000000-0005-0000-0000-0000FE680000}"/>
    <cellStyle name="Normal 335 3 4 3" xfId="26879" xr:uid="{00000000-0005-0000-0000-0000FF680000}"/>
    <cellStyle name="Normal 335 3 5" xfId="26880" xr:uid="{00000000-0005-0000-0000-000000690000}"/>
    <cellStyle name="Normal 335 3 5 2" xfId="26881" xr:uid="{00000000-0005-0000-0000-000001690000}"/>
    <cellStyle name="Normal 335 3 5 2 2" xfId="26882" xr:uid="{00000000-0005-0000-0000-000002690000}"/>
    <cellStyle name="Normal 335 3 5 3" xfId="26883" xr:uid="{00000000-0005-0000-0000-000003690000}"/>
    <cellStyle name="Normal 335 3 6" xfId="26884" xr:uid="{00000000-0005-0000-0000-000004690000}"/>
    <cellStyle name="Normal 335 4" xfId="26885" xr:uid="{00000000-0005-0000-0000-000005690000}"/>
    <cellStyle name="Normal 335 4 2" xfId="26886" xr:uid="{00000000-0005-0000-0000-000006690000}"/>
    <cellStyle name="Normal 335 4 2 2" xfId="26887" xr:uid="{00000000-0005-0000-0000-000007690000}"/>
    <cellStyle name="Normal 335 4 3" xfId="26888" xr:uid="{00000000-0005-0000-0000-000008690000}"/>
    <cellStyle name="Normal 335 5" xfId="26889" xr:uid="{00000000-0005-0000-0000-000009690000}"/>
    <cellStyle name="Normal 335 5 2" xfId="26890" xr:uid="{00000000-0005-0000-0000-00000A690000}"/>
    <cellStyle name="Normal 335 5 2 2" xfId="26891" xr:uid="{00000000-0005-0000-0000-00000B690000}"/>
    <cellStyle name="Normal 335 5 3" xfId="26892" xr:uid="{00000000-0005-0000-0000-00000C690000}"/>
    <cellStyle name="Normal 335 6" xfId="26893" xr:uid="{00000000-0005-0000-0000-00000D690000}"/>
    <cellStyle name="Normal 335 6 2" xfId="26894" xr:uid="{00000000-0005-0000-0000-00000E690000}"/>
    <cellStyle name="Normal 335 6 2 2" xfId="26895" xr:uid="{00000000-0005-0000-0000-00000F690000}"/>
    <cellStyle name="Normal 335 6 3" xfId="26896" xr:uid="{00000000-0005-0000-0000-000010690000}"/>
    <cellStyle name="Normal 335 7" xfId="26897" xr:uid="{00000000-0005-0000-0000-000011690000}"/>
    <cellStyle name="Normal 336" xfId="26898" xr:uid="{00000000-0005-0000-0000-000012690000}"/>
    <cellStyle name="Normal 336 2" xfId="26899" xr:uid="{00000000-0005-0000-0000-000013690000}"/>
    <cellStyle name="Normal 336 2 2" xfId="26900" xr:uid="{00000000-0005-0000-0000-000014690000}"/>
    <cellStyle name="Normal 336 2 2 2" xfId="26901" xr:uid="{00000000-0005-0000-0000-000015690000}"/>
    <cellStyle name="Normal 336 2 3" xfId="26902" xr:uid="{00000000-0005-0000-0000-000016690000}"/>
    <cellStyle name="Normal 336 2 3 2" xfId="26903" xr:uid="{00000000-0005-0000-0000-000017690000}"/>
    <cellStyle name="Normal 336 2 3 2 2" xfId="26904" xr:uid="{00000000-0005-0000-0000-000018690000}"/>
    <cellStyle name="Normal 336 2 3 3" xfId="26905" xr:uid="{00000000-0005-0000-0000-000019690000}"/>
    <cellStyle name="Normal 336 2 4" xfId="26906" xr:uid="{00000000-0005-0000-0000-00001A690000}"/>
    <cellStyle name="Normal 336 2 4 2" xfId="26907" xr:uid="{00000000-0005-0000-0000-00001B690000}"/>
    <cellStyle name="Normal 336 2 4 2 2" xfId="26908" xr:uid="{00000000-0005-0000-0000-00001C690000}"/>
    <cellStyle name="Normal 336 2 4 3" xfId="26909" xr:uid="{00000000-0005-0000-0000-00001D690000}"/>
    <cellStyle name="Normal 336 2 5" xfId="26910" xr:uid="{00000000-0005-0000-0000-00001E690000}"/>
    <cellStyle name="Normal 336 3" xfId="26911" xr:uid="{00000000-0005-0000-0000-00001F690000}"/>
    <cellStyle name="Normal 336 3 2" xfId="26912" xr:uid="{00000000-0005-0000-0000-000020690000}"/>
    <cellStyle name="Normal 336 3 2 2" xfId="26913" xr:uid="{00000000-0005-0000-0000-000021690000}"/>
    <cellStyle name="Normal 336 3 2 2 2" xfId="26914" xr:uid="{00000000-0005-0000-0000-000022690000}"/>
    <cellStyle name="Normal 336 3 2 3" xfId="26915" xr:uid="{00000000-0005-0000-0000-000023690000}"/>
    <cellStyle name="Normal 336 3 2 3 2" xfId="26916" xr:uid="{00000000-0005-0000-0000-000024690000}"/>
    <cellStyle name="Normal 336 3 2 3 2 2" xfId="26917" xr:uid="{00000000-0005-0000-0000-000025690000}"/>
    <cellStyle name="Normal 336 3 2 3 3" xfId="26918" xr:uid="{00000000-0005-0000-0000-000026690000}"/>
    <cellStyle name="Normal 336 3 2 4" xfId="26919" xr:uid="{00000000-0005-0000-0000-000027690000}"/>
    <cellStyle name="Normal 336 3 3" xfId="26920" xr:uid="{00000000-0005-0000-0000-000028690000}"/>
    <cellStyle name="Normal 336 3 3 2" xfId="26921" xr:uid="{00000000-0005-0000-0000-000029690000}"/>
    <cellStyle name="Normal 336 3 3 2 2" xfId="26922" xr:uid="{00000000-0005-0000-0000-00002A690000}"/>
    <cellStyle name="Normal 336 3 3 3" xfId="26923" xr:uid="{00000000-0005-0000-0000-00002B690000}"/>
    <cellStyle name="Normal 336 3 4" xfId="26924" xr:uid="{00000000-0005-0000-0000-00002C690000}"/>
    <cellStyle name="Normal 336 3 4 2" xfId="26925" xr:uid="{00000000-0005-0000-0000-00002D690000}"/>
    <cellStyle name="Normal 336 3 4 2 2" xfId="26926" xr:uid="{00000000-0005-0000-0000-00002E690000}"/>
    <cellStyle name="Normal 336 3 4 3" xfId="26927" xr:uid="{00000000-0005-0000-0000-00002F690000}"/>
    <cellStyle name="Normal 336 3 5" xfId="26928" xr:uid="{00000000-0005-0000-0000-000030690000}"/>
    <cellStyle name="Normal 336 3 5 2" xfId="26929" xr:uid="{00000000-0005-0000-0000-000031690000}"/>
    <cellStyle name="Normal 336 3 5 2 2" xfId="26930" xr:uid="{00000000-0005-0000-0000-000032690000}"/>
    <cellStyle name="Normal 336 3 5 3" xfId="26931" xr:uid="{00000000-0005-0000-0000-000033690000}"/>
    <cellStyle name="Normal 336 3 6" xfId="26932" xr:uid="{00000000-0005-0000-0000-000034690000}"/>
    <cellStyle name="Normal 336 4" xfId="26933" xr:uid="{00000000-0005-0000-0000-000035690000}"/>
    <cellStyle name="Normal 336 4 2" xfId="26934" xr:uid="{00000000-0005-0000-0000-000036690000}"/>
    <cellStyle name="Normal 336 4 2 2" xfId="26935" xr:uid="{00000000-0005-0000-0000-000037690000}"/>
    <cellStyle name="Normal 336 4 3" xfId="26936" xr:uid="{00000000-0005-0000-0000-000038690000}"/>
    <cellStyle name="Normal 336 5" xfId="26937" xr:uid="{00000000-0005-0000-0000-000039690000}"/>
    <cellStyle name="Normal 336 5 2" xfId="26938" xr:uid="{00000000-0005-0000-0000-00003A690000}"/>
    <cellStyle name="Normal 336 5 2 2" xfId="26939" xr:uid="{00000000-0005-0000-0000-00003B690000}"/>
    <cellStyle name="Normal 336 5 3" xfId="26940" xr:uid="{00000000-0005-0000-0000-00003C690000}"/>
    <cellStyle name="Normal 336 6" xfId="26941" xr:uid="{00000000-0005-0000-0000-00003D690000}"/>
    <cellStyle name="Normal 336 6 2" xfId="26942" xr:uid="{00000000-0005-0000-0000-00003E690000}"/>
    <cellStyle name="Normal 336 6 2 2" xfId="26943" xr:uid="{00000000-0005-0000-0000-00003F690000}"/>
    <cellStyle name="Normal 336 6 3" xfId="26944" xr:uid="{00000000-0005-0000-0000-000040690000}"/>
    <cellStyle name="Normal 336 7" xfId="26945" xr:uid="{00000000-0005-0000-0000-000041690000}"/>
    <cellStyle name="Normal 337" xfId="26946" xr:uid="{00000000-0005-0000-0000-000042690000}"/>
    <cellStyle name="Normal 337 2" xfId="26947" xr:uid="{00000000-0005-0000-0000-000043690000}"/>
    <cellStyle name="Normal 337 2 2" xfId="26948" xr:uid="{00000000-0005-0000-0000-000044690000}"/>
    <cellStyle name="Normal 337 2 2 2" xfId="26949" xr:uid="{00000000-0005-0000-0000-000045690000}"/>
    <cellStyle name="Normal 337 2 3" xfId="26950" xr:uid="{00000000-0005-0000-0000-000046690000}"/>
    <cellStyle name="Normal 337 2 3 2" xfId="26951" xr:uid="{00000000-0005-0000-0000-000047690000}"/>
    <cellStyle name="Normal 337 2 3 2 2" xfId="26952" xr:uid="{00000000-0005-0000-0000-000048690000}"/>
    <cellStyle name="Normal 337 2 3 3" xfId="26953" xr:uid="{00000000-0005-0000-0000-000049690000}"/>
    <cellStyle name="Normal 337 2 4" xfId="26954" xr:uid="{00000000-0005-0000-0000-00004A690000}"/>
    <cellStyle name="Normal 337 2 4 2" xfId="26955" xr:uid="{00000000-0005-0000-0000-00004B690000}"/>
    <cellStyle name="Normal 337 2 4 2 2" xfId="26956" xr:uid="{00000000-0005-0000-0000-00004C690000}"/>
    <cellStyle name="Normal 337 2 4 3" xfId="26957" xr:uid="{00000000-0005-0000-0000-00004D690000}"/>
    <cellStyle name="Normal 337 2 5" xfId="26958" xr:uid="{00000000-0005-0000-0000-00004E690000}"/>
    <cellStyle name="Normal 337 3" xfId="26959" xr:uid="{00000000-0005-0000-0000-00004F690000}"/>
    <cellStyle name="Normal 337 3 2" xfId="26960" xr:uid="{00000000-0005-0000-0000-000050690000}"/>
    <cellStyle name="Normal 337 3 2 2" xfId="26961" xr:uid="{00000000-0005-0000-0000-000051690000}"/>
    <cellStyle name="Normal 337 3 2 2 2" xfId="26962" xr:uid="{00000000-0005-0000-0000-000052690000}"/>
    <cellStyle name="Normal 337 3 2 3" xfId="26963" xr:uid="{00000000-0005-0000-0000-000053690000}"/>
    <cellStyle name="Normal 337 3 2 3 2" xfId="26964" xr:uid="{00000000-0005-0000-0000-000054690000}"/>
    <cellStyle name="Normal 337 3 2 3 2 2" xfId="26965" xr:uid="{00000000-0005-0000-0000-000055690000}"/>
    <cellStyle name="Normal 337 3 2 3 3" xfId="26966" xr:uid="{00000000-0005-0000-0000-000056690000}"/>
    <cellStyle name="Normal 337 3 2 4" xfId="26967" xr:uid="{00000000-0005-0000-0000-000057690000}"/>
    <cellStyle name="Normal 337 3 3" xfId="26968" xr:uid="{00000000-0005-0000-0000-000058690000}"/>
    <cellStyle name="Normal 337 3 3 2" xfId="26969" xr:uid="{00000000-0005-0000-0000-000059690000}"/>
    <cellStyle name="Normal 337 3 3 2 2" xfId="26970" xr:uid="{00000000-0005-0000-0000-00005A690000}"/>
    <cellStyle name="Normal 337 3 3 3" xfId="26971" xr:uid="{00000000-0005-0000-0000-00005B690000}"/>
    <cellStyle name="Normal 337 3 4" xfId="26972" xr:uid="{00000000-0005-0000-0000-00005C690000}"/>
    <cellStyle name="Normal 337 3 4 2" xfId="26973" xr:uid="{00000000-0005-0000-0000-00005D690000}"/>
    <cellStyle name="Normal 337 3 4 2 2" xfId="26974" xr:uid="{00000000-0005-0000-0000-00005E690000}"/>
    <cellStyle name="Normal 337 3 4 3" xfId="26975" xr:uid="{00000000-0005-0000-0000-00005F690000}"/>
    <cellStyle name="Normal 337 3 5" xfId="26976" xr:uid="{00000000-0005-0000-0000-000060690000}"/>
    <cellStyle name="Normal 337 3 5 2" xfId="26977" xr:uid="{00000000-0005-0000-0000-000061690000}"/>
    <cellStyle name="Normal 337 3 5 2 2" xfId="26978" xr:uid="{00000000-0005-0000-0000-000062690000}"/>
    <cellStyle name="Normal 337 3 5 3" xfId="26979" xr:uid="{00000000-0005-0000-0000-000063690000}"/>
    <cellStyle name="Normal 337 3 6" xfId="26980" xr:uid="{00000000-0005-0000-0000-000064690000}"/>
    <cellStyle name="Normal 337 4" xfId="26981" xr:uid="{00000000-0005-0000-0000-000065690000}"/>
    <cellStyle name="Normal 337 4 2" xfId="26982" xr:uid="{00000000-0005-0000-0000-000066690000}"/>
    <cellStyle name="Normal 337 4 2 2" xfId="26983" xr:uid="{00000000-0005-0000-0000-000067690000}"/>
    <cellStyle name="Normal 337 4 3" xfId="26984" xr:uid="{00000000-0005-0000-0000-000068690000}"/>
    <cellStyle name="Normal 337 5" xfId="26985" xr:uid="{00000000-0005-0000-0000-000069690000}"/>
    <cellStyle name="Normal 337 5 2" xfId="26986" xr:uid="{00000000-0005-0000-0000-00006A690000}"/>
    <cellStyle name="Normal 337 5 2 2" xfId="26987" xr:uid="{00000000-0005-0000-0000-00006B690000}"/>
    <cellStyle name="Normal 337 5 3" xfId="26988" xr:uid="{00000000-0005-0000-0000-00006C690000}"/>
    <cellStyle name="Normal 337 6" xfId="26989" xr:uid="{00000000-0005-0000-0000-00006D690000}"/>
    <cellStyle name="Normal 337 6 2" xfId="26990" xr:uid="{00000000-0005-0000-0000-00006E690000}"/>
    <cellStyle name="Normal 337 6 2 2" xfId="26991" xr:uid="{00000000-0005-0000-0000-00006F690000}"/>
    <cellStyle name="Normal 337 6 3" xfId="26992" xr:uid="{00000000-0005-0000-0000-000070690000}"/>
    <cellStyle name="Normal 337 7" xfId="26993" xr:uid="{00000000-0005-0000-0000-000071690000}"/>
    <cellStyle name="Normal 338" xfId="65" xr:uid="{00000000-0005-0000-0000-000041000000}"/>
    <cellStyle name="Normal 338 2" xfId="26994" xr:uid="{00000000-0005-0000-0000-000072690000}"/>
    <cellStyle name="Normal 338 2 2" xfId="26995" xr:uid="{00000000-0005-0000-0000-000073690000}"/>
    <cellStyle name="Normal 338 2 2 2" xfId="26996" xr:uid="{00000000-0005-0000-0000-000074690000}"/>
    <cellStyle name="Normal 338 2 3" xfId="26997" xr:uid="{00000000-0005-0000-0000-000075690000}"/>
    <cellStyle name="Normal 338 2 3 2" xfId="26998" xr:uid="{00000000-0005-0000-0000-000076690000}"/>
    <cellStyle name="Normal 338 2 3 2 2" xfId="26999" xr:uid="{00000000-0005-0000-0000-000077690000}"/>
    <cellStyle name="Normal 338 2 3 3" xfId="27000" xr:uid="{00000000-0005-0000-0000-000078690000}"/>
    <cellStyle name="Normal 338 2 4" xfId="27001" xr:uid="{00000000-0005-0000-0000-000079690000}"/>
    <cellStyle name="Normal 338 2 4 2" xfId="27002" xr:uid="{00000000-0005-0000-0000-00007A690000}"/>
    <cellStyle name="Normal 338 2 4 2 2" xfId="27003" xr:uid="{00000000-0005-0000-0000-00007B690000}"/>
    <cellStyle name="Normal 338 2 4 3" xfId="27004" xr:uid="{00000000-0005-0000-0000-00007C690000}"/>
    <cellStyle name="Normal 338 2 5" xfId="27005" xr:uid="{00000000-0005-0000-0000-00007D690000}"/>
    <cellStyle name="Normal 338 3" xfId="27006" xr:uid="{00000000-0005-0000-0000-00007E690000}"/>
    <cellStyle name="Normal 338 3 2" xfId="27007" xr:uid="{00000000-0005-0000-0000-00007F690000}"/>
    <cellStyle name="Normal 338 3 2 2" xfId="27008" xr:uid="{00000000-0005-0000-0000-000080690000}"/>
    <cellStyle name="Normal 338 3 2 2 2" xfId="27009" xr:uid="{00000000-0005-0000-0000-000081690000}"/>
    <cellStyle name="Normal 338 3 2 3" xfId="27010" xr:uid="{00000000-0005-0000-0000-000082690000}"/>
    <cellStyle name="Normal 338 3 2 3 2" xfId="27011" xr:uid="{00000000-0005-0000-0000-000083690000}"/>
    <cellStyle name="Normal 338 3 2 3 2 2" xfId="27012" xr:uid="{00000000-0005-0000-0000-000084690000}"/>
    <cellStyle name="Normal 338 3 2 3 3" xfId="27013" xr:uid="{00000000-0005-0000-0000-000085690000}"/>
    <cellStyle name="Normal 338 3 2 4" xfId="27014" xr:uid="{00000000-0005-0000-0000-000086690000}"/>
    <cellStyle name="Normal 338 3 3" xfId="27015" xr:uid="{00000000-0005-0000-0000-000087690000}"/>
    <cellStyle name="Normal 338 3 3 2" xfId="27016" xr:uid="{00000000-0005-0000-0000-000088690000}"/>
    <cellStyle name="Normal 338 3 3 2 2" xfId="27017" xr:uid="{00000000-0005-0000-0000-000089690000}"/>
    <cellStyle name="Normal 338 3 3 3" xfId="27018" xr:uid="{00000000-0005-0000-0000-00008A690000}"/>
    <cellStyle name="Normal 338 3 4" xfId="27019" xr:uid="{00000000-0005-0000-0000-00008B690000}"/>
    <cellStyle name="Normal 338 3 4 2" xfId="27020" xr:uid="{00000000-0005-0000-0000-00008C690000}"/>
    <cellStyle name="Normal 338 3 4 2 2" xfId="27021" xr:uid="{00000000-0005-0000-0000-00008D690000}"/>
    <cellStyle name="Normal 338 3 4 3" xfId="27022" xr:uid="{00000000-0005-0000-0000-00008E690000}"/>
    <cellStyle name="Normal 338 3 5" xfId="27023" xr:uid="{00000000-0005-0000-0000-00008F690000}"/>
    <cellStyle name="Normal 338 3 5 2" xfId="27024" xr:uid="{00000000-0005-0000-0000-000090690000}"/>
    <cellStyle name="Normal 338 3 5 2 2" xfId="27025" xr:uid="{00000000-0005-0000-0000-000091690000}"/>
    <cellStyle name="Normal 338 3 5 3" xfId="27026" xr:uid="{00000000-0005-0000-0000-000092690000}"/>
    <cellStyle name="Normal 338 3 6" xfId="27027" xr:uid="{00000000-0005-0000-0000-000093690000}"/>
    <cellStyle name="Normal 338 4" xfId="27028" xr:uid="{00000000-0005-0000-0000-000094690000}"/>
    <cellStyle name="Normal 338 4 2" xfId="27029" xr:uid="{00000000-0005-0000-0000-000095690000}"/>
    <cellStyle name="Normal 338 4 2 2" xfId="27030" xr:uid="{00000000-0005-0000-0000-000096690000}"/>
    <cellStyle name="Normal 338 4 3" xfId="27031" xr:uid="{00000000-0005-0000-0000-000097690000}"/>
    <cellStyle name="Normal 338 5" xfId="27032" xr:uid="{00000000-0005-0000-0000-000098690000}"/>
    <cellStyle name="Normal 338 5 2" xfId="27033" xr:uid="{00000000-0005-0000-0000-000099690000}"/>
    <cellStyle name="Normal 338 5 2 2" xfId="27034" xr:uid="{00000000-0005-0000-0000-00009A690000}"/>
    <cellStyle name="Normal 338 5 3" xfId="27035" xr:uid="{00000000-0005-0000-0000-00009B690000}"/>
    <cellStyle name="Normal 338 6" xfId="27036" xr:uid="{00000000-0005-0000-0000-00009C690000}"/>
    <cellStyle name="Normal 338 6 2" xfId="27037" xr:uid="{00000000-0005-0000-0000-00009D690000}"/>
    <cellStyle name="Normal 338 6 2 2" xfId="27038" xr:uid="{00000000-0005-0000-0000-00009E690000}"/>
    <cellStyle name="Normal 338 6 3" xfId="27039" xr:uid="{00000000-0005-0000-0000-00009F690000}"/>
    <cellStyle name="Normal 338 7" xfId="27040" xr:uid="{00000000-0005-0000-0000-0000A0690000}"/>
    <cellStyle name="Normal 339" xfId="27041" xr:uid="{00000000-0005-0000-0000-0000A1690000}"/>
    <cellStyle name="Normal 339 2" xfId="27042" xr:uid="{00000000-0005-0000-0000-0000A2690000}"/>
    <cellStyle name="Normal 339 2 2" xfId="27043" xr:uid="{00000000-0005-0000-0000-0000A3690000}"/>
    <cellStyle name="Normal 339 2 2 2" xfId="27044" xr:uid="{00000000-0005-0000-0000-0000A4690000}"/>
    <cellStyle name="Normal 339 2 3" xfId="27045" xr:uid="{00000000-0005-0000-0000-0000A5690000}"/>
    <cellStyle name="Normal 339 2 3 2" xfId="27046" xr:uid="{00000000-0005-0000-0000-0000A6690000}"/>
    <cellStyle name="Normal 339 2 3 2 2" xfId="27047" xr:uid="{00000000-0005-0000-0000-0000A7690000}"/>
    <cellStyle name="Normal 339 2 3 3" xfId="27048" xr:uid="{00000000-0005-0000-0000-0000A8690000}"/>
    <cellStyle name="Normal 339 2 4" xfId="27049" xr:uid="{00000000-0005-0000-0000-0000A9690000}"/>
    <cellStyle name="Normal 339 2 4 2" xfId="27050" xr:uid="{00000000-0005-0000-0000-0000AA690000}"/>
    <cellStyle name="Normal 339 2 4 2 2" xfId="27051" xr:uid="{00000000-0005-0000-0000-0000AB690000}"/>
    <cellStyle name="Normal 339 2 4 3" xfId="27052" xr:uid="{00000000-0005-0000-0000-0000AC690000}"/>
    <cellStyle name="Normal 339 2 5" xfId="27053" xr:uid="{00000000-0005-0000-0000-0000AD690000}"/>
    <cellStyle name="Normal 339 3" xfId="27054" xr:uid="{00000000-0005-0000-0000-0000AE690000}"/>
    <cellStyle name="Normal 339 3 2" xfId="27055" xr:uid="{00000000-0005-0000-0000-0000AF690000}"/>
    <cellStyle name="Normal 339 3 2 2" xfId="27056" xr:uid="{00000000-0005-0000-0000-0000B0690000}"/>
    <cellStyle name="Normal 339 3 2 2 2" xfId="27057" xr:uid="{00000000-0005-0000-0000-0000B1690000}"/>
    <cellStyle name="Normal 339 3 2 3" xfId="27058" xr:uid="{00000000-0005-0000-0000-0000B2690000}"/>
    <cellStyle name="Normal 339 3 2 3 2" xfId="27059" xr:uid="{00000000-0005-0000-0000-0000B3690000}"/>
    <cellStyle name="Normal 339 3 2 3 2 2" xfId="27060" xr:uid="{00000000-0005-0000-0000-0000B4690000}"/>
    <cellStyle name="Normal 339 3 2 3 3" xfId="27061" xr:uid="{00000000-0005-0000-0000-0000B5690000}"/>
    <cellStyle name="Normal 339 3 2 4" xfId="27062" xr:uid="{00000000-0005-0000-0000-0000B6690000}"/>
    <cellStyle name="Normal 339 3 3" xfId="27063" xr:uid="{00000000-0005-0000-0000-0000B7690000}"/>
    <cellStyle name="Normal 339 3 3 2" xfId="27064" xr:uid="{00000000-0005-0000-0000-0000B8690000}"/>
    <cellStyle name="Normal 339 3 3 2 2" xfId="27065" xr:uid="{00000000-0005-0000-0000-0000B9690000}"/>
    <cellStyle name="Normal 339 3 3 3" xfId="27066" xr:uid="{00000000-0005-0000-0000-0000BA690000}"/>
    <cellStyle name="Normal 339 3 4" xfId="27067" xr:uid="{00000000-0005-0000-0000-0000BB690000}"/>
    <cellStyle name="Normal 339 3 4 2" xfId="27068" xr:uid="{00000000-0005-0000-0000-0000BC690000}"/>
    <cellStyle name="Normal 339 3 4 2 2" xfId="27069" xr:uid="{00000000-0005-0000-0000-0000BD690000}"/>
    <cellStyle name="Normal 339 3 4 3" xfId="27070" xr:uid="{00000000-0005-0000-0000-0000BE690000}"/>
    <cellStyle name="Normal 339 3 5" xfId="27071" xr:uid="{00000000-0005-0000-0000-0000BF690000}"/>
    <cellStyle name="Normal 339 3 5 2" xfId="27072" xr:uid="{00000000-0005-0000-0000-0000C0690000}"/>
    <cellStyle name="Normal 339 3 5 2 2" xfId="27073" xr:uid="{00000000-0005-0000-0000-0000C1690000}"/>
    <cellStyle name="Normal 339 3 5 3" xfId="27074" xr:uid="{00000000-0005-0000-0000-0000C2690000}"/>
    <cellStyle name="Normal 339 3 6" xfId="27075" xr:uid="{00000000-0005-0000-0000-0000C3690000}"/>
    <cellStyle name="Normal 339 4" xfId="27076" xr:uid="{00000000-0005-0000-0000-0000C4690000}"/>
    <cellStyle name="Normal 339 4 2" xfId="27077" xr:uid="{00000000-0005-0000-0000-0000C5690000}"/>
    <cellStyle name="Normal 339 4 2 2" xfId="27078" xr:uid="{00000000-0005-0000-0000-0000C6690000}"/>
    <cellStyle name="Normal 339 4 3" xfId="27079" xr:uid="{00000000-0005-0000-0000-0000C7690000}"/>
    <cellStyle name="Normal 339 5" xfId="27080" xr:uid="{00000000-0005-0000-0000-0000C8690000}"/>
    <cellStyle name="Normal 339 5 2" xfId="27081" xr:uid="{00000000-0005-0000-0000-0000C9690000}"/>
    <cellStyle name="Normal 339 5 2 2" xfId="27082" xr:uid="{00000000-0005-0000-0000-0000CA690000}"/>
    <cellStyle name="Normal 339 5 3" xfId="27083" xr:uid="{00000000-0005-0000-0000-0000CB690000}"/>
    <cellStyle name="Normal 339 6" xfId="27084" xr:uid="{00000000-0005-0000-0000-0000CC690000}"/>
    <cellStyle name="Normal 339 6 2" xfId="27085" xr:uid="{00000000-0005-0000-0000-0000CD690000}"/>
    <cellStyle name="Normal 339 6 2 2" xfId="27086" xr:uid="{00000000-0005-0000-0000-0000CE690000}"/>
    <cellStyle name="Normal 339 6 3" xfId="27087" xr:uid="{00000000-0005-0000-0000-0000CF690000}"/>
    <cellStyle name="Normal 339 7" xfId="27088" xr:uid="{00000000-0005-0000-0000-0000D0690000}"/>
    <cellStyle name="Normal 34" xfId="27089" xr:uid="{00000000-0005-0000-0000-0000D1690000}"/>
    <cellStyle name="Normal 34 2" xfId="27090" xr:uid="{00000000-0005-0000-0000-0000D2690000}"/>
    <cellStyle name="Normal 34 2 2" xfId="27091" xr:uid="{00000000-0005-0000-0000-0000D3690000}"/>
    <cellStyle name="Normal 34 2 2 2" xfId="27092" xr:uid="{00000000-0005-0000-0000-0000D4690000}"/>
    <cellStyle name="Normal 34 2 2 2 2" xfId="27093" xr:uid="{00000000-0005-0000-0000-0000D5690000}"/>
    <cellStyle name="Normal 34 2 2 3" xfId="27094" xr:uid="{00000000-0005-0000-0000-0000D6690000}"/>
    <cellStyle name="Normal 34 2 2 3 2" xfId="27095" xr:uid="{00000000-0005-0000-0000-0000D7690000}"/>
    <cellStyle name="Normal 34 2 2 3 2 2" xfId="27096" xr:uid="{00000000-0005-0000-0000-0000D8690000}"/>
    <cellStyle name="Normal 34 2 2 3 3" xfId="27097" xr:uid="{00000000-0005-0000-0000-0000D9690000}"/>
    <cellStyle name="Normal 34 2 2 4" xfId="27098" xr:uid="{00000000-0005-0000-0000-0000DA690000}"/>
    <cellStyle name="Normal 34 2 2 4 2" xfId="27099" xr:uid="{00000000-0005-0000-0000-0000DB690000}"/>
    <cellStyle name="Normal 34 2 2 4 2 2" xfId="27100" xr:uid="{00000000-0005-0000-0000-0000DC690000}"/>
    <cellStyle name="Normal 34 2 2 4 3" xfId="27101" xr:uid="{00000000-0005-0000-0000-0000DD690000}"/>
    <cellStyle name="Normal 34 2 2 5" xfId="27102" xr:uid="{00000000-0005-0000-0000-0000DE690000}"/>
    <cellStyle name="Normal 34 2 3" xfId="27103" xr:uid="{00000000-0005-0000-0000-0000DF690000}"/>
    <cellStyle name="Normal 34 2 3 2" xfId="27104" xr:uid="{00000000-0005-0000-0000-0000E0690000}"/>
    <cellStyle name="Normal 34 2 3 2 2" xfId="27105" xr:uid="{00000000-0005-0000-0000-0000E1690000}"/>
    <cellStyle name="Normal 34 2 3 3" xfId="27106" xr:uid="{00000000-0005-0000-0000-0000E2690000}"/>
    <cellStyle name="Normal 34 2 4" xfId="27107" xr:uid="{00000000-0005-0000-0000-0000E3690000}"/>
    <cellStyle name="Normal 34 2 4 2" xfId="27108" xr:uid="{00000000-0005-0000-0000-0000E4690000}"/>
    <cellStyle name="Normal 34 2 4 2 2" xfId="27109" xr:uid="{00000000-0005-0000-0000-0000E5690000}"/>
    <cellStyle name="Normal 34 2 4 3" xfId="27110" xr:uid="{00000000-0005-0000-0000-0000E6690000}"/>
    <cellStyle name="Normal 34 2 5" xfId="27111" xr:uid="{00000000-0005-0000-0000-0000E7690000}"/>
    <cellStyle name="Normal 34 2 5 2" xfId="27112" xr:uid="{00000000-0005-0000-0000-0000E8690000}"/>
    <cellStyle name="Normal 34 2 5 2 2" xfId="27113" xr:uid="{00000000-0005-0000-0000-0000E9690000}"/>
    <cellStyle name="Normal 34 2 5 3" xfId="27114" xr:uid="{00000000-0005-0000-0000-0000EA690000}"/>
    <cellStyle name="Normal 34 2 6" xfId="27115" xr:uid="{00000000-0005-0000-0000-0000EB690000}"/>
    <cellStyle name="Normal 34 3" xfId="27116" xr:uid="{00000000-0005-0000-0000-0000EC690000}"/>
    <cellStyle name="Normal 34 3 2" xfId="27117" xr:uid="{00000000-0005-0000-0000-0000ED690000}"/>
    <cellStyle name="Normal 34 3 2 2" xfId="27118" xr:uid="{00000000-0005-0000-0000-0000EE690000}"/>
    <cellStyle name="Normal 34 3 3" xfId="27119" xr:uid="{00000000-0005-0000-0000-0000EF690000}"/>
    <cellStyle name="Normal 34 3 3 2" xfId="27120" xr:uid="{00000000-0005-0000-0000-0000F0690000}"/>
    <cellStyle name="Normal 34 3 3 2 2" xfId="27121" xr:uid="{00000000-0005-0000-0000-0000F1690000}"/>
    <cellStyle name="Normal 34 3 3 3" xfId="27122" xr:uid="{00000000-0005-0000-0000-0000F2690000}"/>
    <cellStyle name="Normal 34 3 4" xfId="27123" xr:uid="{00000000-0005-0000-0000-0000F3690000}"/>
    <cellStyle name="Normal 34 3 4 2" xfId="27124" xr:uid="{00000000-0005-0000-0000-0000F4690000}"/>
    <cellStyle name="Normal 34 3 4 2 2" xfId="27125" xr:uid="{00000000-0005-0000-0000-0000F5690000}"/>
    <cellStyle name="Normal 34 3 4 3" xfId="27126" xr:uid="{00000000-0005-0000-0000-0000F6690000}"/>
    <cellStyle name="Normal 34 3 5" xfId="27127" xr:uid="{00000000-0005-0000-0000-0000F7690000}"/>
    <cellStyle name="Normal 34 4" xfId="27128" xr:uid="{00000000-0005-0000-0000-0000F8690000}"/>
    <cellStyle name="Normal 34 4 2" xfId="27129" xr:uid="{00000000-0005-0000-0000-0000F9690000}"/>
    <cellStyle name="Normal 34 4 2 2" xfId="27130" xr:uid="{00000000-0005-0000-0000-0000FA690000}"/>
    <cellStyle name="Normal 34 4 3" xfId="27131" xr:uid="{00000000-0005-0000-0000-0000FB690000}"/>
    <cellStyle name="Normal 34 5" xfId="27132" xr:uid="{00000000-0005-0000-0000-0000FC690000}"/>
    <cellStyle name="Normal 34 5 2" xfId="27133" xr:uid="{00000000-0005-0000-0000-0000FD690000}"/>
    <cellStyle name="Normal 34 5 2 2" xfId="27134" xr:uid="{00000000-0005-0000-0000-0000FE690000}"/>
    <cellStyle name="Normal 34 5 3" xfId="27135" xr:uid="{00000000-0005-0000-0000-0000FF690000}"/>
    <cellStyle name="Normal 34 6" xfId="27136" xr:uid="{00000000-0005-0000-0000-0000006A0000}"/>
    <cellStyle name="Normal 34 6 2" xfId="27137" xr:uid="{00000000-0005-0000-0000-0000016A0000}"/>
    <cellStyle name="Normal 34 6 2 2" xfId="27138" xr:uid="{00000000-0005-0000-0000-0000026A0000}"/>
    <cellStyle name="Normal 34 6 3" xfId="27139" xr:uid="{00000000-0005-0000-0000-0000036A0000}"/>
    <cellStyle name="Normal 34 7" xfId="27140" xr:uid="{00000000-0005-0000-0000-0000046A0000}"/>
    <cellStyle name="Normal 340" xfId="27141" xr:uid="{00000000-0005-0000-0000-0000056A0000}"/>
    <cellStyle name="Normal 340 2" xfId="27142" xr:uid="{00000000-0005-0000-0000-0000066A0000}"/>
    <cellStyle name="Normal 340 2 2" xfId="27143" xr:uid="{00000000-0005-0000-0000-0000076A0000}"/>
    <cellStyle name="Normal 340 2 2 2" xfId="27144" xr:uid="{00000000-0005-0000-0000-0000086A0000}"/>
    <cellStyle name="Normal 340 2 3" xfId="27145" xr:uid="{00000000-0005-0000-0000-0000096A0000}"/>
    <cellStyle name="Normal 340 2 3 2" xfId="27146" xr:uid="{00000000-0005-0000-0000-00000A6A0000}"/>
    <cellStyle name="Normal 340 2 3 2 2" xfId="27147" xr:uid="{00000000-0005-0000-0000-00000B6A0000}"/>
    <cellStyle name="Normal 340 2 3 3" xfId="27148" xr:uid="{00000000-0005-0000-0000-00000C6A0000}"/>
    <cellStyle name="Normal 340 2 4" xfId="27149" xr:uid="{00000000-0005-0000-0000-00000D6A0000}"/>
    <cellStyle name="Normal 340 2 4 2" xfId="27150" xr:uid="{00000000-0005-0000-0000-00000E6A0000}"/>
    <cellStyle name="Normal 340 2 4 2 2" xfId="27151" xr:uid="{00000000-0005-0000-0000-00000F6A0000}"/>
    <cellStyle name="Normal 340 2 4 3" xfId="27152" xr:uid="{00000000-0005-0000-0000-0000106A0000}"/>
    <cellStyle name="Normal 340 2 5" xfId="27153" xr:uid="{00000000-0005-0000-0000-0000116A0000}"/>
    <cellStyle name="Normal 340 3" xfId="27154" xr:uid="{00000000-0005-0000-0000-0000126A0000}"/>
    <cellStyle name="Normal 340 3 2" xfId="27155" xr:uid="{00000000-0005-0000-0000-0000136A0000}"/>
    <cellStyle name="Normal 340 3 2 2" xfId="27156" xr:uid="{00000000-0005-0000-0000-0000146A0000}"/>
    <cellStyle name="Normal 340 3 2 2 2" xfId="27157" xr:uid="{00000000-0005-0000-0000-0000156A0000}"/>
    <cellStyle name="Normal 340 3 2 3" xfId="27158" xr:uid="{00000000-0005-0000-0000-0000166A0000}"/>
    <cellStyle name="Normal 340 3 2 3 2" xfId="27159" xr:uid="{00000000-0005-0000-0000-0000176A0000}"/>
    <cellStyle name="Normal 340 3 2 3 2 2" xfId="27160" xr:uid="{00000000-0005-0000-0000-0000186A0000}"/>
    <cellStyle name="Normal 340 3 2 3 3" xfId="27161" xr:uid="{00000000-0005-0000-0000-0000196A0000}"/>
    <cellStyle name="Normal 340 3 2 4" xfId="27162" xr:uid="{00000000-0005-0000-0000-00001A6A0000}"/>
    <cellStyle name="Normal 340 3 3" xfId="27163" xr:uid="{00000000-0005-0000-0000-00001B6A0000}"/>
    <cellStyle name="Normal 340 3 3 2" xfId="27164" xr:uid="{00000000-0005-0000-0000-00001C6A0000}"/>
    <cellStyle name="Normal 340 3 3 2 2" xfId="27165" xr:uid="{00000000-0005-0000-0000-00001D6A0000}"/>
    <cellStyle name="Normal 340 3 3 3" xfId="27166" xr:uid="{00000000-0005-0000-0000-00001E6A0000}"/>
    <cellStyle name="Normal 340 3 4" xfId="27167" xr:uid="{00000000-0005-0000-0000-00001F6A0000}"/>
    <cellStyle name="Normal 340 3 4 2" xfId="27168" xr:uid="{00000000-0005-0000-0000-0000206A0000}"/>
    <cellStyle name="Normal 340 3 4 2 2" xfId="27169" xr:uid="{00000000-0005-0000-0000-0000216A0000}"/>
    <cellStyle name="Normal 340 3 4 3" xfId="27170" xr:uid="{00000000-0005-0000-0000-0000226A0000}"/>
    <cellStyle name="Normal 340 3 5" xfId="27171" xr:uid="{00000000-0005-0000-0000-0000236A0000}"/>
    <cellStyle name="Normal 340 3 5 2" xfId="27172" xr:uid="{00000000-0005-0000-0000-0000246A0000}"/>
    <cellStyle name="Normal 340 3 5 2 2" xfId="27173" xr:uid="{00000000-0005-0000-0000-0000256A0000}"/>
    <cellStyle name="Normal 340 3 5 3" xfId="27174" xr:uid="{00000000-0005-0000-0000-0000266A0000}"/>
    <cellStyle name="Normal 340 3 6" xfId="27175" xr:uid="{00000000-0005-0000-0000-0000276A0000}"/>
    <cellStyle name="Normal 340 4" xfId="27176" xr:uid="{00000000-0005-0000-0000-0000286A0000}"/>
    <cellStyle name="Normal 340 4 2" xfId="27177" xr:uid="{00000000-0005-0000-0000-0000296A0000}"/>
    <cellStyle name="Normal 340 4 2 2" xfId="27178" xr:uid="{00000000-0005-0000-0000-00002A6A0000}"/>
    <cellStyle name="Normal 340 4 3" xfId="27179" xr:uid="{00000000-0005-0000-0000-00002B6A0000}"/>
    <cellStyle name="Normal 340 5" xfId="27180" xr:uid="{00000000-0005-0000-0000-00002C6A0000}"/>
    <cellStyle name="Normal 340 5 2" xfId="27181" xr:uid="{00000000-0005-0000-0000-00002D6A0000}"/>
    <cellStyle name="Normal 340 5 2 2" xfId="27182" xr:uid="{00000000-0005-0000-0000-00002E6A0000}"/>
    <cellStyle name="Normal 340 5 3" xfId="27183" xr:uid="{00000000-0005-0000-0000-00002F6A0000}"/>
    <cellStyle name="Normal 340 6" xfId="27184" xr:uid="{00000000-0005-0000-0000-0000306A0000}"/>
    <cellStyle name="Normal 340 6 2" xfId="27185" xr:uid="{00000000-0005-0000-0000-0000316A0000}"/>
    <cellStyle name="Normal 340 6 2 2" xfId="27186" xr:uid="{00000000-0005-0000-0000-0000326A0000}"/>
    <cellStyle name="Normal 340 6 3" xfId="27187" xr:uid="{00000000-0005-0000-0000-0000336A0000}"/>
    <cellStyle name="Normal 340 7" xfId="27188" xr:uid="{00000000-0005-0000-0000-0000346A0000}"/>
    <cellStyle name="Normal 341" xfId="27189" xr:uid="{00000000-0005-0000-0000-0000356A0000}"/>
    <cellStyle name="Normal 341 2" xfId="27190" xr:uid="{00000000-0005-0000-0000-0000366A0000}"/>
    <cellStyle name="Normal 341 2 2" xfId="27191" xr:uid="{00000000-0005-0000-0000-0000376A0000}"/>
    <cellStyle name="Normal 341 2 2 2" xfId="27192" xr:uid="{00000000-0005-0000-0000-0000386A0000}"/>
    <cellStyle name="Normal 341 2 3" xfId="27193" xr:uid="{00000000-0005-0000-0000-0000396A0000}"/>
    <cellStyle name="Normal 341 2 3 2" xfId="27194" xr:uid="{00000000-0005-0000-0000-00003A6A0000}"/>
    <cellStyle name="Normal 341 2 3 2 2" xfId="27195" xr:uid="{00000000-0005-0000-0000-00003B6A0000}"/>
    <cellStyle name="Normal 341 2 3 3" xfId="27196" xr:uid="{00000000-0005-0000-0000-00003C6A0000}"/>
    <cellStyle name="Normal 341 2 4" xfId="27197" xr:uid="{00000000-0005-0000-0000-00003D6A0000}"/>
    <cellStyle name="Normal 341 2 4 2" xfId="27198" xr:uid="{00000000-0005-0000-0000-00003E6A0000}"/>
    <cellStyle name="Normal 341 2 4 2 2" xfId="27199" xr:uid="{00000000-0005-0000-0000-00003F6A0000}"/>
    <cellStyle name="Normal 341 2 4 3" xfId="27200" xr:uid="{00000000-0005-0000-0000-0000406A0000}"/>
    <cellStyle name="Normal 341 2 5" xfId="27201" xr:uid="{00000000-0005-0000-0000-0000416A0000}"/>
    <cellStyle name="Normal 341 3" xfId="27202" xr:uid="{00000000-0005-0000-0000-0000426A0000}"/>
    <cellStyle name="Normal 341 3 2" xfId="27203" xr:uid="{00000000-0005-0000-0000-0000436A0000}"/>
    <cellStyle name="Normal 341 3 2 2" xfId="27204" xr:uid="{00000000-0005-0000-0000-0000446A0000}"/>
    <cellStyle name="Normal 341 3 2 2 2" xfId="27205" xr:uid="{00000000-0005-0000-0000-0000456A0000}"/>
    <cellStyle name="Normal 341 3 2 3" xfId="27206" xr:uid="{00000000-0005-0000-0000-0000466A0000}"/>
    <cellStyle name="Normal 341 3 2 3 2" xfId="27207" xr:uid="{00000000-0005-0000-0000-0000476A0000}"/>
    <cellStyle name="Normal 341 3 2 3 2 2" xfId="27208" xr:uid="{00000000-0005-0000-0000-0000486A0000}"/>
    <cellStyle name="Normal 341 3 2 3 3" xfId="27209" xr:uid="{00000000-0005-0000-0000-0000496A0000}"/>
    <cellStyle name="Normal 341 3 2 4" xfId="27210" xr:uid="{00000000-0005-0000-0000-00004A6A0000}"/>
    <cellStyle name="Normal 341 3 3" xfId="27211" xr:uid="{00000000-0005-0000-0000-00004B6A0000}"/>
    <cellStyle name="Normal 341 3 3 2" xfId="27212" xr:uid="{00000000-0005-0000-0000-00004C6A0000}"/>
    <cellStyle name="Normal 341 3 3 2 2" xfId="27213" xr:uid="{00000000-0005-0000-0000-00004D6A0000}"/>
    <cellStyle name="Normal 341 3 3 3" xfId="27214" xr:uid="{00000000-0005-0000-0000-00004E6A0000}"/>
    <cellStyle name="Normal 341 3 4" xfId="27215" xr:uid="{00000000-0005-0000-0000-00004F6A0000}"/>
    <cellStyle name="Normal 341 3 4 2" xfId="27216" xr:uid="{00000000-0005-0000-0000-0000506A0000}"/>
    <cellStyle name="Normal 341 3 4 2 2" xfId="27217" xr:uid="{00000000-0005-0000-0000-0000516A0000}"/>
    <cellStyle name="Normal 341 3 4 3" xfId="27218" xr:uid="{00000000-0005-0000-0000-0000526A0000}"/>
    <cellStyle name="Normal 341 3 5" xfId="27219" xr:uid="{00000000-0005-0000-0000-0000536A0000}"/>
    <cellStyle name="Normal 341 3 5 2" xfId="27220" xr:uid="{00000000-0005-0000-0000-0000546A0000}"/>
    <cellStyle name="Normal 341 3 5 2 2" xfId="27221" xr:uid="{00000000-0005-0000-0000-0000556A0000}"/>
    <cellStyle name="Normal 341 3 5 3" xfId="27222" xr:uid="{00000000-0005-0000-0000-0000566A0000}"/>
    <cellStyle name="Normal 341 3 6" xfId="27223" xr:uid="{00000000-0005-0000-0000-0000576A0000}"/>
    <cellStyle name="Normal 341 4" xfId="27224" xr:uid="{00000000-0005-0000-0000-0000586A0000}"/>
    <cellStyle name="Normal 341 4 2" xfId="27225" xr:uid="{00000000-0005-0000-0000-0000596A0000}"/>
    <cellStyle name="Normal 341 4 2 2" xfId="27226" xr:uid="{00000000-0005-0000-0000-00005A6A0000}"/>
    <cellStyle name="Normal 341 4 3" xfId="27227" xr:uid="{00000000-0005-0000-0000-00005B6A0000}"/>
    <cellStyle name="Normal 341 5" xfId="27228" xr:uid="{00000000-0005-0000-0000-00005C6A0000}"/>
    <cellStyle name="Normal 341 5 2" xfId="27229" xr:uid="{00000000-0005-0000-0000-00005D6A0000}"/>
    <cellStyle name="Normal 341 5 2 2" xfId="27230" xr:uid="{00000000-0005-0000-0000-00005E6A0000}"/>
    <cellStyle name="Normal 341 5 3" xfId="27231" xr:uid="{00000000-0005-0000-0000-00005F6A0000}"/>
    <cellStyle name="Normal 341 6" xfId="27232" xr:uid="{00000000-0005-0000-0000-0000606A0000}"/>
    <cellStyle name="Normal 341 6 2" xfId="27233" xr:uid="{00000000-0005-0000-0000-0000616A0000}"/>
    <cellStyle name="Normal 341 6 2 2" xfId="27234" xr:uid="{00000000-0005-0000-0000-0000626A0000}"/>
    <cellStyle name="Normal 341 6 3" xfId="27235" xr:uid="{00000000-0005-0000-0000-0000636A0000}"/>
    <cellStyle name="Normal 341 7" xfId="27236" xr:uid="{00000000-0005-0000-0000-0000646A0000}"/>
    <cellStyle name="Normal 342" xfId="27237" xr:uid="{00000000-0005-0000-0000-0000656A0000}"/>
    <cellStyle name="Normal 342 2" xfId="27238" xr:uid="{00000000-0005-0000-0000-0000666A0000}"/>
    <cellStyle name="Normal 342 2 2" xfId="27239" xr:uid="{00000000-0005-0000-0000-0000676A0000}"/>
    <cellStyle name="Normal 342 2 2 2" xfId="27240" xr:uid="{00000000-0005-0000-0000-0000686A0000}"/>
    <cellStyle name="Normal 342 2 3" xfId="27241" xr:uid="{00000000-0005-0000-0000-0000696A0000}"/>
    <cellStyle name="Normal 342 2 3 2" xfId="27242" xr:uid="{00000000-0005-0000-0000-00006A6A0000}"/>
    <cellStyle name="Normal 342 2 3 2 2" xfId="27243" xr:uid="{00000000-0005-0000-0000-00006B6A0000}"/>
    <cellStyle name="Normal 342 2 3 3" xfId="27244" xr:uid="{00000000-0005-0000-0000-00006C6A0000}"/>
    <cellStyle name="Normal 342 2 4" xfId="27245" xr:uid="{00000000-0005-0000-0000-00006D6A0000}"/>
    <cellStyle name="Normal 342 2 4 2" xfId="27246" xr:uid="{00000000-0005-0000-0000-00006E6A0000}"/>
    <cellStyle name="Normal 342 2 4 2 2" xfId="27247" xr:uid="{00000000-0005-0000-0000-00006F6A0000}"/>
    <cellStyle name="Normal 342 2 4 3" xfId="27248" xr:uid="{00000000-0005-0000-0000-0000706A0000}"/>
    <cellStyle name="Normal 342 2 5" xfId="27249" xr:uid="{00000000-0005-0000-0000-0000716A0000}"/>
    <cellStyle name="Normal 342 3" xfId="27250" xr:uid="{00000000-0005-0000-0000-0000726A0000}"/>
    <cellStyle name="Normal 342 3 2" xfId="27251" xr:uid="{00000000-0005-0000-0000-0000736A0000}"/>
    <cellStyle name="Normal 342 3 2 2" xfId="27252" xr:uid="{00000000-0005-0000-0000-0000746A0000}"/>
    <cellStyle name="Normal 342 3 2 2 2" xfId="27253" xr:uid="{00000000-0005-0000-0000-0000756A0000}"/>
    <cellStyle name="Normal 342 3 2 3" xfId="27254" xr:uid="{00000000-0005-0000-0000-0000766A0000}"/>
    <cellStyle name="Normal 342 3 2 3 2" xfId="27255" xr:uid="{00000000-0005-0000-0000-0000776A0000}"/>
    <cellStyle name="Normal 342 3 2 3 2 2" xfId="27256" xr:uid="{00000000-0005-0000-0000-0000786A0000}"/>
    <cellStyle name="Normal 342 3 2 3 3" xfId="27257" xr:uid="{00000000-0005-0000-0000-0000796A0000}"/>
    <cellStyle name="Normal 342 3 2 4" xfId="27258" xr:uid="{00000000-0005-0000-0000-00007A6A0000}"/>
    <cellStyle name="Normal 342 3 3" xfId="27259" xr:uid="{00000000-0005-0000-0000-00007B6A0000}"/>
    <cellStyle name="Normal 342 3 3 2" xfId="27260" xr:uid="{00000000-0005-0000-0000-00007C6A0000}"/>
    <cellStyle name="Normal 342 3 3 2 2" xfId="27261" xr:uid="{00000000-0005-0000-0000-00007D6A0000}"/>
    <cellStyle name="Normal 342 3 3 3" xfId="27262" xr:uid="{00000000-0005-0000-0000-00007E6A0000}"/>
    <cellStyle name="Normal 342 3 4" xfId="27263" xr:uid="{00000000-0005-0000-0000-00007F6A0000}"/>
    <cellStyle name="Normal 342 3 4 2" xfId="27264" xr:uid="{00000000-0005-0000-0000-0000806A0000}"/>
    <cellStyle name="Normal 342 3 4 2 2" xfId="27265" xr:uid="{00000000-0005-0000-0000-0000816A0000}"/>
    <cellStyle name="Normal 342 3 4 3" xfId="27266" xr:uid="{00000000-0005-0000-0000-0000826A0000}"/>
    <cellStyle name="Normal 342 3 5" xfId="27267" xr:uid="{00000000-0005-0000-0000-0000836A0000}"/>
    <cellStyle name="Normal 342 3 5 2" xfId="27268" xr:uid="{00000000-0005-0000-0000-0000846A0000}"/>
    <cellStyle name="Normal 342 3 5 2 2" xfId="27269" xr:uid="{00000000-0005-0000-0000-0000856A0000}"/>
    <cellStyle name="Normal 342 3 5 3" xfId="27270" xr:uid="{00000000-0005-0000-0000-0000866A0000}"/>
    <cellStyle name="Normal 342 3 6" xfId="27271" xr:uid="{00000000-0005-0000-0000-0000876A0000}"/>
    <cellStyle name="Normal 342 4" xfId="27272" xr:uid="{00000000-0005-0000-0000-0000886A0000}"/>
    <cellStyle name="Normal 342 4 2" xfId="27273" xr:uid="{00000000-0005-0000-0000-0000896A0000}"/>
    <cellStyle name="Normal 342 4 2 2" xfId="27274" xr:uid="{00000000-0005-0000-0000-00008A6A0000}"/>
    <cellStyle name="Normal 342 4 3" xfId="27275" xr:uid="{00000000-0005-0000-0000-00008B6A0000}"/>
    <cellStyle name="Normal 342 5" xfId="27276" xr:uid="{00000000-0005-0000-0000-00008C6A0000}"/>
    <cellStyle name="Normal 342 5 2" xfId="27277" xr:uid="{00000000-0005-0000-0000-00008D6A0000}"/>
    <cellStyle name="Normal 342 5 2 2" xfId="27278" xr:uid="{00000000-0005-0000-0000-00008E6A0000}"/>
    <cellStyle name="Normal 342 5 3" xfId="27279" xr:uid="{00000000-0005-0000-0000-00008F6A0000}"/>
    <cellStyle name="Normal 342 6" xfId="27280" xr:uid="{00000000-0005-0000-0000-0000906A0000}"/>
    <cellStyle name="Normal 342 6 2" xfId="27281" xr:uid="{00000000-0005-0000-0000-0000916A0000}"/>
    <cellStyle name="Normal 342 6 2 2" xfId="27282" xr:uid="{00000000-0005-0000-0000-0000926A0000}"/>
    <cellStyle name="Normal 342 6 3" xfId="27283" xr:uid="{00000000-0005-0000-0000-0000936A0000}"/>
    <cellStyle name="Normal 342 7" xfId="27284" xr:uid="{00000000-0005-0000-0000-0000946A0000}"/>
    <cellStyle name="Normal 343" xfId="27285" xr:uid="{00000000-0005-0000-0000-0000956A0000}"/>
    <cellStyle name="Normal 343 2" xfId="27286" xr:uid="{00000000-0005-0000-0000-0000966A0000}"/>
    <cellStyle name="Normal 343 2 2" xfId="27287" xr:uid="{00000000-0005-0000-0000-0000976A0000}"/>
    <cellStyle name="Normal 343 2 2 2" xfId="27288" xr:uid="{00000000-0005-0000-0000-0000986A0000}"/>
    <cellStyle name="Normal 343 2 3" xfId="27289" xr:uid="{00000000-0005-0000-0000-0000996A0000}"/>
    <cellStyle name="Normal 343 2 3 2" xfId="27290" xr:uid="{00000000-0005-0000-0000-00009A6A0000}"/>
    <cellStyle name="Normal 343 2 3 2 2" xfId="27291" xr:uid="{00000000-0005-0000-0000-00009B6A0000}"/>
    <cellStyle name="Normal 343 2 3 3" xfId="27292" xr:uid="{00000000-0005-0000-0000-00009C6A0000}"/>
    <cellStyle name="Normal 343 2 4" xfId="27293" xr:uid="{00000000-0005-0000-0000-00009D6A0000}"/>
    <cellStyle name="Normal 343 2 4 2" xfId="27294" xr:uid="{00000000-0005-0000-0000-00009E6A0000}"/>
    <cellStyle name="Normal 343 2 4 2 2" xfId="27295" xr:uid="{00000000-0005-0000-0000-00009F6A0000}"/>
    <cellStyle name="Normal 343 2 4 3" xfId="27296" xr:uid="{00000000-0005-0000-0000-0000A06A0000}"/>
    <cellStyle name="Normal 343 2 5" xfId="27297" xr:uid="{00000000-0005-0000-0000-0000A16A0000}"/>
    <cellStyle name="Normal 343 3" xfId="27298" xr:uid="{00000000-0005-0000-0000-0000A26A0000}"/>
    <cellStyle name="Normal 343 3 2" xfId="27299" xr:uid="{00000000-0005-0000-0000-0000A36A0000}"/>
    <cellStyle name="Normal 343 3 2 2" xfId="27300" xr:uid="{00000000-0005-0000-0000-0000A46A0000}"/>
    <cellStyle name="Normal 343 3 2 2 2" xfId="27301" xr:uid="{00000000-0005-0000-0000-0000A56A0000}"/>
    <cellStyle name="Normal 343 3 2 3" xfId="27302" xr:uid="{00000000-0005-0000-0000-0000A66A0000}"/>
    <cellStyle name="Normal 343 3 2 3 2" xfId="27303" xr:uid="{00000000-0005-0000-0000-0000A76A0000}"/>
    <cellStyle name="Normal 343 3 2 3 2 2" xfId="27304" xr:uid="{00000000-0005-0000-0000-0000A86A0000}"/>
    <cellStyle name="Normal 343 3 2 3 3" xfId="27305" xr:uid="{00000000-0005-0000-0000-0000A96A0000}"/>
    <cellStyle name="Normal 343 3 2 4" xfId="27306" xr:uid="{00000000-0005-0000-0000-0000AA6A0000}"/>
    <cellStyle name="Normal 343 3 3" xfId="27307" xr:uid="{00000000-0005-0000-0000-0000AB6A0000}"/>
    <cellStyle name="Normal 343 3 3 2" xfId="27308" xr:uid="{00000000-0005-0000-0000-0000AC6A0000}"/>
    <cellStyle name="Normal 343 3 3 2 2" xfId="27309" xr:uid="{00000000-0005-0000-0000-0000AD6A0000}"/>
    <cellStyle name="Normal 343 3 3 3" xfId="27310" xr:uid="{00000000-0005-0000-0000-0000AE6A0000}"/>
    <cellStyle name="Normal 343 3 4" xfId="27311" xr:uid="{00000000-0005-0000-0000-0000AF6A0000}"/>
    <cellStyle name="Normal 343 3 4 2" xfId="27312" xr:uid="{00000000-0005-0000-0000-0000B06A0000}"/>
    <cellStyle name="Normal 343 3 4 2 2" xfId="27313" xr:uid="{00000000-0005-0000-0000-0000B16A0000}"/>
    <cellStyle name="Normal 343 3 4 3" xfId="27314" xr:uid="{00000000-0005-0000-0000-0000B26A0000}"/>
    <cellStyle name="Normal 343 3 5" xfId="27315" xr:uid="{00000000-0005-0000-0000-0000B36A0000}"/>
    <cellStyle name="Normal 343 3 5 2" xfId="27316" xr:uid="{00000000-0005-0000-0000-0000B46A0000}"/>
    <cellStyle name="Normal 343 3 5 2 2" xfId="27317" xr:uid="{00000000-0005-0000-0000-0000B56A0000}"/>
    <cellStyle name="Normal 343 3 5 3" xfId="27318" xr:uid="{00000000-0005-0000-0000-0000B66A0000}"/>
    <cellStyle name="Normal 343 3 6" xfId="27319" xr:uid="{00000000-0005-0000-0000-0000B76A0000}"/>
    <cellStyle name="Normal 343 4" xfId="27320" xr:uid="{00000000-0005-0000-0000-0000B86A0000}"/>
    <cellStyle name="Normal 343 4 2" xfId="27321" xr:uid="{00000000-0005-0000-0000-0000B96A0000}"/>
    <cellStyle name="Normal 343 4 2 2" xfId="27322" xr:uid="{00000000-0005-0000-0000-0000BA6A0000}"/>
    <cellStyle name="Normal 343 4 3" xfId="27323" xr:uid="{00000000-0005-0000-0000-0000BB6A0000}"/>
    <cellStyle name="Normal 343 5" xfId="27324" xr:uid="{00000000-0005-0000-0000-0000BC6A0000}"/>
    <cellStyle name="Normal 343 5 2" xfId="27325" xr:uid="{00000000-0005-0000-0000-0000BD6A0000}"/>
    <cellStyle name="Normal 343 5 2 2" xfId="27326" xr:uid="{00000000-0005-0000-0000-0000BE6A0000}"/>
    <cellStyle name="Normal 343 5 3" xfId="27327" xr:uid="{00000000-0005-0000-0000-0000BF6A0000}"/>
    <cellStyle name="Normal 343 6" xfId="27328" xr:uid="{00000000-0005-0000-0000-0000C06A0000}"/>
    <cellStyle name="Normal 343 6 2" xfId="27329" xr:uid="{00000000-0005-0000-0000-0000C16A0000}"/>
    <cellStyle name="Normal 343 6 2 2" xfId="27330" xr:uid="{00000000-0005-0000-0000-0000C26A0000}"/>
    <cellStyle name="Normal 343 6 3" xfId="27331" xr:uid="{00000000-0005-0000-0000-0000C36A0000}"/>
    <cellStyle name="Normal 343 7" xfId="27332" xr:uid="{00000000-0005-0000-0000-0000C46A0000}"/>
    <cellStyle name="Normal 344" xfId="27333" xr:uid="{00000000-0005-0000-0000-0000C56A0000}"/>
    <cellStyle name="Normal 344 2" xfId="27334" xr:uid="{00000000-0005-0000-0000-0000C66A0000}"/>
    <cellStyle name="Normal 344 2 2" xfId="27335" xr:uid="{00000000-0005-0000-0000-0000C76A0000}"/>
    <cellStyle name="Normal 344 2 2 2" xfId="27336" xr:uid="{00000000-0005-0000-0000-0000C86A0000}"/>
    <cellStyle name="Normal 344 2 3" xfId="27337" xr:uid="{00000000-0005-0000-0000-0000C96A0000}"/>
    <cellStyle name="Normal 344 2 3 2" xfId="27338" xr:uid="{00000000-0005-0000-0000-0000CA6A0000}"/>
    <cellStyle name="Normal 344 2 3 2 2" xfId="27339" xr:uid="{00000000-0005-0000-0000-0000CB6A0000}"/>
    <cellStyle name="Normal 344 2 3 3" xfId="27340" xr:uid="{00000000-0005-0000-0000-0000CC6A0000}"/>
    <cellStyle name="Normal 344 2 4" xfId="27341" xr:uid="{00000000-0005-0000-0000-0000CD6A0000}"/>
    <cellStyle name="Normal 344 2 4 2" xfId="27342" xr:uid="{00000000-0005-0000-0000-0000CE6A0000}"/>
    <cellStyle name="Normal 344 2 4 2 2" xfId="27343" xr:uid="{00000000-0005-0000-0000-0000CF6A0000}"/>
    <cellStyle name="Normal 344 2 4 3" xfId="27344" xr:uid="{00000000-0005-0000-0000-0000D06A0000}"/>
    <cellStyle name="Normal 344 2 5" xfId="27345" xr:uid="{00000000-0005-0000-0000-0000D16A0000}"/>
    <cellStyle name="Normal 344 3" xfId="27346" xr:uid="{00000000-0005-0000-0000-0000D26A0000}"/>
    <cellStyle name="Normal 344 3 2" xfId="27347" xr:uid="{00000000-0005-0000-0000-0000D36A0000}"/>
    <cellStyle name="Normal 344 3 2 2" xfId="27348" xr:uid="{00000000-0005-0000-0000-0000D46A0000}"/>
    <cellStyle name="Normal 344 3 2 2 2" xfId="27349" xr:uid="{00000000-0005-0000-0000-0000D56A0000}"/>
    <cellStyle name="Normal 344 3 2 3" xfId="27350" xr:uid="{00000000-0005-0000-0000-0000D66A0000}"/>
    <cellStyle name="Normal 344 3 2 3 2" xfId="27351" xr:uid="{00000000-0005-0000-0000-0000D76A0000}"/>
    <cellStyle name="Normal 344 3 2 3 2 2" xfId="27352" xr:uid="{00000000-0005-0000-0000-0000D86A0000}"/>
    <cellStyle name="Normal 344 3 2 3 3" xfId="27353" xr:uid="{00000000-0005-0000-0000-0000D96A0000}"/>
    <cellStyle name="Normal 344 3 2 4" xfId="27354" xr:uid="{00000000-0005-0000-0000-0000DA6A0000}"/>
    <cellStyle name="Normal 344 3 3" xfId="27355" xr:uid="{00000000-0005-0000-0000-0000DB6A0000}"/>
    <cellStyle name="Normal 344 3 3 2" xfId="27356" xr:uid="{00000000-0005-0000-0000-0000DC6A0000}"/>
    <cellStyle name="Normal 344 3 3 2 2" xfId="27357" xr:uid="{00000000-0005-0000-0000-0000DD6A0000}"/>
    <cellStyle name="Normal 344 3 3 3" xfId="27358" xr:uid="{00000000-0005-0000-0000-0000DE6A0000}"/>
    <cellStyle name="Normal 344 3 4" xfId="27359" xr:uid="{00000000-0005-0000-0000-0000DF6A0000}"/>
    <cellStyle name="Normal 344 3 4 2" xfId="27360" xr:uid="{00000000-0005-0000-0000-0000E06A0000}"/>
    <cellStyle name="Normal 344 3 4 2 2" xfId="27361" xr:uid="{00000000-0005-0000-0000-0000E16A0000}"/>
    <cellStyle name="Normal 344 3 4 3" xfId="27362" xr:uid="{00000000-0005-0000-0000-0000E26A0000}"/>
    <cellStyle name="Normal 344 3 5" xfId="27363" xr:uid="{00000000-0005-0000-0000-0000E36A0000}"/>
    <cellStyle name="Normal 344 3 5 2" xfId="27364" xr:uid="{00000000-0005-0000-0000-0000E46A0000}"/>
    <cellStyle name="Normal 344 3 5 2 2" xfId="27365" xr:uid="{00000000-0005-0000-0000-0000E56A0000}"/>
    <cellStyle name="Normal 344 3 5 3" xfId="27366" xr:uid="{00000000-0005-0000-0000-0000E66A0000}"/>
    <cellStyle name="Normal 344 3 6" xfId="27367" xr:uid="{00000000-0005-0000-0000-0000E76A0000}"/>
    <cellStyle name="Normal 344 4" xfId="27368" xr:uid="{00000000-0005-0000-0000-0000E86A0000}"/>
    <cellStyle name="Normal 344 4 2" xfId="27369" xr:uid="{00000000-0005-0000-0000-0000E96A0000}"/>
    <cellStyle name="Normal 344 4 2 2" xfId="27370" xr:uid="{00000000-0005-0000-0000-0000EA6A0000}"/>
    <cellStyle name="Normal 344 4 3" xfId="27371" xr:uid="{00000000-0005-0000-0000-0000EB6A0000}"/>
    <cellStyle name="Normal 344 5" xfId="27372" xr:uid="{00000000-0005-0000-0000-0000EC6A0000}"/>
    <cellStyle name="Normal 344 5 2" xfId="27373" xr:uid="{00000000-0005-0000-0000-0000ED6A0000}"/>
    <cellStyle name="Normal 344 5 2 2" xfId="27374" xr:uid="{00000000-0005-0000-0000-0000EE6A0000}"/>
    <cellStyle name="Normal 344 5 3" xfId="27375" xr:uid="{00000000-0005-0000-0000-0000EF6A0000}"/>
    <cellStyle name="Normal 344 6" xfId="27376" xr:uid="{00000000-0005-0000-0000-0000F06A0000}"/>
    <cellStyle name="Normal 344 6 2" xfId="27377" xr:uid="{00000000-0005-0000-0000-0000F16A0000}"/>
    <cellStyle name="Normal 344 6 2 2" xfId="27378" xr:uid="{00000000-0005-0000-0000-0000F26A0000}"/>
    <cellStyle name="Normal 344 6 3" xfId="27379" xr:uid="{00000000-0005-0000-0000-0000F36A0000}"/>
    <cellStyle name="Normal 344 7" xfId="27380" xr:uid="{00000000-0005-0000-0000-0000F46A0000}"/>
    <cellStyle name="Normal 345" xfId="27381" xr:uid="{00000000-0005-0000-0000-0000F56A0000}"/>
    <cellStyle name="Normal 345 2" xfId="27382" xr:uid="{00000000-0005-0000-0000-0000F66A0000}"/>
    <cellStyle name="Normal 345 2 2" xfId="27383" xr:uid="{00000000-0005-0000-0000-0000F76A0000}"/>
    <cellStyle name="Normal 345 2 2 2" xfId="27384" xr:uid="{00000000-0005-0000-0000-0000F86A0000}"/>
    <cellStyle name="Normal 345 2 3" xfId="27385" xr:uid="{00000000-0005-0000-0000-0000F96A0000}"/>
    <cellStyle name="Normal 345 2 3 2" xfId="27386" xr:uid="{00000000-0005-0000-0000-0000FA6A0000}"/>
    <cellStyle name="Normal 345 2 3 2 2" xfId="27387" xr:uid="{00000000-0005-0000-0000-0000FB6A0000}"/>
    <cellStyle name="Normal 345 2 3 3" xfId="27388" xr:uid="{00000000-0005-0000-0000-0000FC6A0000}"/>
    <cellStyle name="Normal 345 2 4" xfId="27389" xr:uid="{00000000-0005-0000-0000-0000FD6A0000}"/>
    <cellStyle name="Normal 345 2 4 2" xfId="27390" xr:uid="{00000000-0005-0000-0000-0000FE6A0000}"/>
    <cellStyle name="Normal 345 2 4 2 2" xfId="27391" xr:uid="{00000000-0005-0000-0000-0000FF6A0000}"/>
    <cellStyle name="Normal 345 2 4 3" xfId="27392" xr:uid="{00000000-0005-0000-0000-0000006B0000}"/>
    <cellStyle name="Normal 345 2 5" xfId="27393" xr:uid="{00000000-0005-0000-0000-0000016B0000}"/>
    <cellStyle name="Normal 345 3" xfId="27394" xr:uid="{00000000-0005-0000-0000-0000026B0000}"/>
    <cellStyle name="Normal 345 3 2" xfId="27395" xr:uid="{00000000-0005-0000-0000-0000036B0000}"/>
    <cellStyle name="Normal 345 3 2 2" xfId="27396" xr:uid="{00000000-0005-0000-0000-0000046B0000}"/>
    <cellStyle name="Normal 345 3 2 2 2" xfId="27397" xr:uid="{00000000-0005-0000-0000-0000056B0000}"/>
    <cellStyle name="Normal 345 3 2 3" xfId="27398" xr:uid="{00000000-0005-0000-0000-0000066B0000}"/>
    <cellStyle name="Normal 345 3 2 3 2" xfId="27399" xr:uid="{00000000-0005-0000-0000-0000076B0000}"/>
    <cellStyle name="Normal 345 3 2 3 2 2" xfId="27400" xr:uid="{00000000-0005-0000-0000-0000086B0000}"/>
    <cellStyle name="Normal 345 3 2 3 3" xfId="27401" xr:uid="{00000000-0005-0000-0000-0000096B0000}"/>
    <cellStyle name="Normal 345 3 2 4" xfId="27402" xr:uid="{00000000-0005-0000-0000-00000A6B0000}"/>
    <cellStyle name="Normal 345 3 3" xfId="27403" xr:uid="{00000000-0005-0000-0000-00000B6B0000}"/>
    <cellStyle name="Normal 345 3 3 2" xfId="27404" xr:uid="{00000000-0005-0000-0000-00000C6B0000}"/>
    <cellStyle name="Normal 345 3 3 2 2" xfId="27405" xr:uid="{00000000-0005-0000-0000-00000D6B0000}"/>
    <cellStyle name="Normal 345 3 3 3" xfId="27406" xr:uid="{00000000-0005-0000-0000-00000E6B0000}"/>
    <cellStyle name="Normal 345 3 4" xfId="27407" xr:uid="{00000000-0005-0000-0000-00000F6B0000}"/>
    <cellStyle name="Normal 345 3 4 2" xfId="27408" xr:uid="{00000000-0005-0000-0000-0000106B0000}"/>
    <cellStyle name="Normal 345 3 4 2 2" xfId="27409" xr:uid="{00000000-0005-0000-0000-0000116B0000}"/>
    <cellStyle name="Normal 345 3 4 3" xfId="27410" xr:uid="{00000000-0005-0000-0000-0000126B0000}"/>
    <cellStyle name="Normal 345 3 5" xfId="27411" xr:uid="{00000000-0005-0000-0000-0000136B0000}"/>
    <cellStyle name="Normal 345 3 5 2" xfId="27412" xr:uid="{00000000-0005-0000-0000-0000146B0000}"/>
    <cellStyle name="Normal 345 3 5 2 2" xfId="27413" xr:uid="{00000000-0005-0000-0000-0000156B0000}"/>
    <cellStyle name="Normal 345 3 5 3" xfId="27414" xr:uid="{00000000-0005-0000-0000-0000166B0000}"/>
    <cellStyle name="Normal 345 3 6" xfId="27415" xr:uid="{00000000-0005-0000-0000-0000176B0000}"/>
    <cellStyle name="Normal 345 4" xfId="27416" xr:uid="{00000000-0005-0000-0000-0000186B0000}"/>
    <cellStyle name="Normal 345 4 2" xfId="27417" xr:uid="{00000000-0005-0000-0000-0000196B0000}"/>
    <cellStyle name="Normal 345 4 2 2" xfId="27418" xr:uid="{00000000-0005-0000-0000-00001A6B0000}"/>
    <cellStyle name="Normal 345 4 3" xfId="27419" xr:uid="{00000000-0005-0000-0000-00001B6B0000}"/>
    <cellStyle name="Normal 345 5" xfId="27420" xr:uid="{00000000-0005-0000-0000-00001C6B0000}"/>
    <cellStyle name="Normal 345 5 2" xfId="27421" xr:uid="{00000000-0005-0000-0000-00001D6B0000}"/>
    <cellStyle name="Normal 345 5 2 2" xfId="27422" xr:uid="{00000000-0005-0000-0000-00001E6B0000}"/>
    <cellStyle name="Normal 345 5 3" xfId="27423" xr:uid="{00000000-0005-0000-0000-00001F6B0000}"/>
    <cellStyle name="Normal 345 6" xfId="27424" xr:uid="{00000000-0005-0000-0000-0000206B0000}"/>
    <cellStyle name="Normal 345 6 2" xfId="27425" xr:uid="{00000000-0005-0000-0000-0000216B0000}"/>
    <cellStyle name="Normal 345 6 2 2" xfId="27426" xr:uid="{00000000-0005-0000-0000-0000226B0000}"/>
    <cellStyle name="Normal 345 6 3" xfId="27427" xr:uid="{00000000-0005-0000-0000-0000236B0000}"/>
    <cellStyle name="Normal 345 7" xfId="27428" xr:uid="{00000000-0005-0000-0000-0000246B0000}"/>
    <cellStyle name="Normal 346" xfId="27429" xr:uid="{00000000-0005-0000-0000-0000256B0000}"/>
    <cellStyle name="Normal 346 2" xfId="66" xr:uid="{00000000-0005-0000-0000-000042000000}"/>
    <cellStyle name="Normal 346 2 2" xfId="27430" xr:uid="{00000000-0005-0000-0000-0000266B0000}"/>
    <cellStyle name="Normal 346 2 2 2" xfId="27431" xr:uid="{00000000-0005-0000-0000-0000276B0000}"/>
    <cellStyle name="Normal 346 2 3" xfId="27432" xr:uid="{00000000-0005-0000-0000-0000286B0000}"/>
    <cellStyle name="Normal 346 2 3 2" xfId="27433" xr:uid="{00000000-0005-0000-0000-0000296B0000}"/>
    <cellStyle name="Normal 346 2 3 2 2" xfId="27434" xr:uid="{00000000-0005-0000-0000-00002A6B0000}"/>
    <cellStyle name="Normal 346 2 3 3" xfId="27435" xr:uid="{00000000-0005-0000-0000-00002B6B0000}"/>
    <cellStyle name="Normal 346 2 4" xfId="27436" xr:uid="{00000000-0005-0000-0000-00002C6B0000}"/>
    <cellStyle name="Normal 346 2 4 2" xfId="27437" xr:uid="{00000000-0005-0000-0000-00002D6B0000}"/>
    <cellStyle name="Normal 346 2 4 2 2" xfId="27438" xr:uid="{00000000-0005-0000-0000-00002E6B0000}"/>
    <cellStyle name="Normal 346 2 4 3" xfId="27439" xr:uid="{00000000-0005-0000-0000-00002F6B0000}"/>
    <cellStyle name="Normal 346 2 5" xfId="27440" xr:uid="{00000000-0005-0000-0000-0000306B0000}"/>
    <cellStyle name="Normal 346 3" xfId="27441" xr:uid="{00000000-0005-0000-0000-0000316B0000}"/>
    <cellStyle name="Normal 346 3 2" xfId="27442" xr:uid="{00000000-0005-0000-0000-0000326B0000}"/>
    <cellStyle name="Normal 346 3 2 2" xfId="27443" xr:uid="{00000000-0005-0000-0000-0000336B0000}"/>
    <cellStyle name="Normal 346 3 2 2 2" xfId="27444" xr:uid="{00000000-0005-0000-0000-0000346B0000}"/>
    <cellStyle name="Normal 346 3 2 3" xfId="27445" xr:uid="{00000000-0005-0000-0000-0000356B0000}"/>
    <cellStyle name="Normal 346 3 2 3 2" xfId="27446" xr:uid="{00000000-0005-0000-0000-0000366B0000}"/>
    <cellStyle name="Normal 346 3 2 3 2 2" xfId="27447" xr:uid="{00000000-0005-0000-0000-0000376B0000}"/>
    <cellStyle name="Normal 346 3 2 3 3" xfId="27448" xr:uid="{00000000-0005-0000-0000-0000386B0000}"/>
    <cellStyle name="Normal 346 3 2 4" xfId="27449" xr:uid="{00000000-0005-0000-0000-0000396B0000}"/>
    <cellStyle name="Normal 346 3 3" xfId="27450" xr:uid="{00000000-0005-0000-0000-00003A6B0000}"/>
    <cellStyle name="Normal 346 3 3 2" xfId="27451" xr:uid="{00000000-0005-0000-0000-00003B6B0000}"/>
    <cellStyle name="Normal 346 3 3 2 2" xfId="27452" xr:uid="{00000000-0005-0000-0000-00003C6B0000}"/>
    <cellStyle name="Normal 346 3 3 3" xfId="27453" xr:uid="{00000000-0005-0000-0000-00003D6B0000}"/>
    <cellStyle name="Normal 346 3 4" xfId="27454" xr:uid="{00000000-0005-0000-0000-00003E6B0000}"/>
    <cellStyle name="Normal 346 3 4 2" xfId="27455" xr:uid="{00000000-0005-0000-0000-00003F6B0000}"/>
    <cellStyle name="Normal 346 3 4 2 2" xfId="27456" xr:uid="{00000000-0005-0000-0000-0000406B0000}"/>
    <cellStyle name="Normal 346 3 4 3" xfId="27457" xr:uid="{00000000-0005-0000-0000-0000416B0000}"/>
    <cellStyle name="Normal 346 3 5" xfId="27458" xr:uid="{00000000-0005-0000-0000-0000426B0000}"/>
    <cellStyle name="Normal 346 3 5 2" xfId="27459" xr:uid="{00000000-0005-0000-0000-0000436B0000}"/>
    <cellStyle name="Normal 346 3 5 2 2" xfId="27460" xr:uid="{00000000-0005-0000-0000-0000446B0000}"/>
    <cellStyle name="Normal 346 3 5 3" xfId="27461" xr:uid="{00000000-0005-0000-0000-0000456B0000}"/>
    <cellStyle name="Normal 346 3 6" xfId="27462" xr:uid="{00000000-0005-0000-0000-0000466B0000}"/>
    <cellStyle name="Normal 346 4" xfId="27463" xr:uid="{00000000-0005-0000-0000-0000476B0000}"/>
    <cellStyle name="Normal 346 4 2" xfId="27464" xr:uid="{00000000-0005-0000-0000-0000486B0000}"/>
    <cellStyle name="Normal 346 4 2 2" xfId="27465" xr:uid="{00000000-0005-0000-0000-0000496B0000}"/>
    <cellStyle name="Normal 346 4 3" xfId="27466" xr:uid="{00000000-0005-0000-0000-00004A6B0000}"/>
    <cellStyle name="Normal 346 5" xfId="27467" xr:uid="{00000000-0005-0000-0000-00004B6B0000}"/>
    <cellStyle name="Normal 346 5 2" xfId="27468" xr:uid="{00000000-0005-0000-0000-00004C6B0000}"/>
    <cellStyle name="Normal 346 5 2 2" xfId="27469" xr:uid="{00000000-0005-0000-0000-00004D6B0000}"/>
    <cellStyle name="Normal 346 5 3" xfId="27470" xr:uid="{00000000-0005-0000-0000-00004E6B0000}"/>
    <cellStyle name="Normal 346 6" xfId="27471" xr:uid="{00000000-0005-0000-0000-00004F6B0000}"/>
    <cellStyle name="Normal 346 6 2" xfId="27472" xr:uid="{00000000-0005-0000-0000-0000506B0000}"/>
    <cellStyle name="Normal 346 6 2 2" xfId="27473" xr:uid="{00000000-0005-0000-0000-0000516B0000}"/>
    <cellStyle name="Normal 346 6 3" xfId="27474" xr:uid="{00000000-0005-0000-0000-0000526B0000}"/>
    <cellStyle name="Normal 346 7" xfId="27475" xr:uid="{00000000-0005-0000-0000-0000536B0000}"/>
    <cellStyle name="Normal 347" xfId="27476" xr:uid="{00000000-0005-0000-0000-0000546B0000}"/>
    <cellStyle name="Normal 347 2" xfId="27477" xr:uid="{00000000-0005-0000-0000-0000556B0000}"/>
    <cellStyle name="Normal 347 2 2" xfId="27478" xr:uid="{00000000-0005-0000-0000-0000566B0000}"/>
    <cellStyle name="Normal 347 2 2 2" xfId="27479" xr:uid="{00000000-0005-0000-0000-0000576B0000}"/>
    <cellStyle name="Normal 347 2 3" xfId="27480" xr:uid="{00000000-0005-0000-0000-0000586B0000}"/>
    <cellStyle name="Normal 347 2 3 2" xfId="27481" xr:uid="{00000000-0005-0000-0000-0000596B0000}"/>
    <cellStyle name="Normal 347 2 3 2 2" xfId="27482" xr:uid="{00000000-0005-0000-0000-00005A6B0000}"/>
    <cellStyle name="Normal 347 2 3 3" xfId="27483" xr:uid="{00000000-0005-0000-0000-00005B6B0000}"/>
    <cellStyle name="Normal 347 2 4" xfId="27484" xr:uid="{00000000-0005-0000-0000-00005C6B0000}"/>
    <cellStyle name="Normal 347 2 4 2" xfId="27485" xr:uid="{00000000-0005-0000-0000-00005D6B0000}"/>
    <cellStyle name="Normal 347 2 4 2 2" xfId="27486" xr:uid="{00000000-0005-0000-0000-00005E6B0000}"/>
    <cellStyle name="Normal 347 2 4 3" xfId="27487" xr:uid="{00000000-0005-0000-0000-00005F6B0000}"/>
    <cellStyle name="Normal 347 2 5" xfId="27488" xr:uid="{00000000-0005-0000-0000-0000606B0000}"/>
    <cellStyle name="Normal 347 3" xfId="27489" xr:uid="{00000000-0005-0000-0000-0000616B0000}"/>
    <cellStyle name="Normal 347 3 2" xfId="27490" xr:uid="{00000000-0005-0000-0000-0000626B0000}"/>
    <cellStyle name="Normal 347 3 2 2" xfId="27491" xr:uid="{00000000-0005-0000-0000-0000636B0000}"/>
    <cellStyle name="Normal 347 3 2 2 2" xfId="27492" xr:uid="{00000000-0005-0000-0000-0000646B0000}"/>
    <cellStyle name="Normal 347 3 2 3" xfId="27493" xr:uid="{00000000-0005-0000-0000-0000656B0000}"/>
    <cellStyle name="Normal 347 3 2 3 2" xfId="27494" xr:uid="{00000000-0005-0000-0000-0000666B0000}"/>
    <cellStyle name="Normal 347 3 2 3 2 2" xfId="27495" xr:uid="{00000000-0005-0000-0000-0000676B0000}"/>
    <cellStyle name="Normal 347 3 2 3 3" xfId="27496" xr:uid="{00000000-0005-0000-0000-0000686B0000}"/>
    <cellStyle name="Normal 347 3 2 4" xfId="27497" xr:uid="{00000000-0005-0000-0000-0000696B0000}"/>
    <cellStyle name="Normal 347 3 3" xfId="27498" xr:uid="{00000000-0005-0000-0000-00006A6B0000}"/>
    <cellStyle name="Normal 347 3 3 2" xfId="27499" xr:uid="{00000000-0005-0000-0000-00006B6B0000}"/>
    <cellStyle name="Normal 347 3 3 2 2" xfId="27500" xr:uid="{00000000-0005-0000-0000-00006C6B0000}"/>
    <cellStyle name="Normal 347 3 3 3" xfId="27501" xr:uid="{00000000-0005-0000-0000-00006D6B0000}"/>
    <cellStyle name="Normal 347 3 4" xfId="27502" xr:uid="{00000000-0005-0000-0000-00006E6B0000}"/>
    <cellStyle name="Normal 347 3 4 2" xfId="27503" xr:uid="{00000000-0005-0000-0000-00006F6B0000}"/>
    <cellStyle name="Normal 347 3 4 2 2" xfId="27504" xr:uid="{00000000-0005-0000-0000-0000706B0000}"/>
    <cellStyle name="Normal 347 3 4 3" xfId="27505" xr:uid="{00000000-0005-0000-0000-0000716B0000}"/>
    <cellStyle name="Normal 347 3 5" xfId="27506" xr:uid="{00000000-0005-0000-0000-0000726B0000}"/>
    <cellStyle name="Normal 347 3 5 2" xfId="27507" xr:uid="{00000000-0005-0000-0000-0000736B0000}"/>
    <cellStyle name="Normal 347 3 5 2 2" xfId="27508" xr:uid="{00000000-0005-0000-0000-0000746B0000}"/>
    <cellStyle name="Normal 347 3 5 3" xfId="27509" xr:uid="{00000000-0005-0000-0000-0000756B0000}"/>
    <cellStyle name="Normal 347 3 6" xfId="27510" xr:uid="{00000000-0005-0000-0000-0000766B0000}"/>
    <cellStyle name="Normal 347 4" xfId="27511" xr:uid="{00000000-0005-0000-0000-0000776B0000}"/>
    <cellStyle name="Normal 347 4 2" xfId="27512" xr:uid="{00000000-0005-0000-0000-0000786B0000}"/>
    <cellStyle name="Normal 347 4 2 2" xfId="27513" xr:uid="{00000000-0005-0000-0000-0000796B0000}"/>
    <cellStyle name="Normal 347 4 3" xfId="27514" xr:uid="{00000000-0005-0000-0000-00007A6B0000}"/>
    <cellStyle name="Normal 347 5" xfId="27515" xr:uid="{00000000-0005-0000-0000-00007B6B0000}"/>
    <cellStyle name="Normal 347 5 2" xfId="27516" xr:uid="{00000000-0005-0000-0000-00007C6B0000}"/>
    <cellStyle name="Normal 347 5 2 2" xfId="27517" xr:uid="{00000000-0005-0000-0000-00007D6B0000}"/>
    <cellStyle name="Normal 347 5 3" xfId="27518" xr:uid="{00000000-0005-0000-0000-00007E6B0000}"/>
    <cellStyle name="Normal 347 6" xfId="27519" xr:uid="{00000000-0005-0000-0000-00007F6B0000}"/>
    <cellStyle name="Normal 347 6 2" xfId="27520" xr:uid="{00000000-0005-0000-0000-0000806B0000}"/>
    <cellStyle name="Normal 347 6 2 2" xfId="27521" xr:uid="{00000000-0005-0000-0000-0000816B0000}"/>
    <cellStyle name="Normal 347 6 3" xfId="27522" xr:uid="{00000000-0005-0000-0000-0000826B0000}"/>
    <cellStyle name="Normal 347 7" xfId="27523" xr:uid="{00000000-0005-0000-0000-0000836B0000}"/>
    <cellStyle name="Normal 348" xfId="27524" xr:uid="{00000000-0005-0000-0000-0000846B0000}"/>
    <cellStyle name="Normal 348 2" xfId="67" xr:uid="{00000000-0005-0000-0000-000043000000}"/>
    <cellStyle name="Normal 348 2 2" xfId="27525" xr:uid="{00000000-0005-0000-0000-0000856B0000}"/>
    <cellStyle name="Normal 348 2 2 2" xfId="27526" xr:uid="{00000000-0005-0000-0000-0000866B0000}"/>
    <cellStyle name="Normal 348 2 3" xfId="27527" xr:uid="{00000000-0005-0000-0000-0000876B0000}"/>
    <cellStyle name="Normal 348 2 3 2" xfId="27528" xr:uid="{00000000-0005-0000-0000-0000886B0000}"/>
    <cellStyle name="Normal 348 2 3 2 2" xfId="27529" xr:uid="{00000000-0005-0000-0000-0000896B0000}"/>
    <cellStyle name="Normal 348 2 3 3" xfId="27530" xr:uid="{00000000-0005-0000-0000-00008A6B0000}"/>
    <cellStyle name="Normal 348 2 4" xfId="27531" xr:uid="{00000000-0005-0000-0000-00008B6B0000}"/>
    <cellStyle name="Normal 348 2 4 2" xfId="27532" xr:uid="{00000000-0005-0000-0000-00008C6B0000}"/>
    <cellStyle name="Normal 348 2 4 2 2" xfId="27533" xr:uid="{00000000-0005-0000-0000-00008D6B0000}"/>
    <cellStyle name="Normal 348 2 4 3" xfId="27534" xr:uid="{00000000-0005-0000-0000-00008E6B0000}"/>
    <cellStyle name="Normal 348 2 5" xfId="27535" xr:uid="{00000000-0005-0000-0000-00008F6B0000}"/>
    <cellStyle name="Normal 348 3" xfId="27536" xr:uid="{00000000-0005-0000-0000-0000906B0000}"/>
    <cellStyle name="Normal 348 3 2" xfId="27537" xr:uid="{00000000-0005-0000-0000-0000916B0000}"/>
    <cellStyle name="Normal 348 3 2 2" xfId="27538" xr:uid="{00000000-0005-0000-0000-0000926B0000}"/>
    <cellStyle name="Normal 348 3 2 2 2" xfId="27539" xr:uid="{00000000-0005-0000-0000-0000936B0000}"/>
    <cellStyle name="Normal 348 3 2 3" xfId="27540" xr:uid="{00000000-0005-0000-0000-0000946B0000}"/>
    <cellStyle name="Normal 348 3 2 3 2" xfId="27541" xr:uid="{00000000-0005-0000-0000-0000956B0000}"/>
    <cellStyle name="Normal 348 3 2 3 2 2" xfId="27542" xr:uid="{00000000-0005-0000-0000-0000966B0000}"/>
    <cellStyle name="Normal 348 3 2 3 3" xfId="27543" xr:uid="{00000000-0005-0000-0000-0000976B0000}"/>
    <cellStyle name="Normal 348 3 2 4" xfId="27544" xr:uid="{00000000-0005-0000-0000-0000986B0000}"/>
    <cellStyle name="Normal 348 3 3" xfId="27545" xr:uid="{00000000-0005-0000-0000-0000996B0000}"/>
    <cellStyle name="Normal 348 3 3 2" xfId="27546" xr:uid="{00000000-0005-0000-0000-00009A6B0000}"/>
    <cellStyle name="Normal 348 3 3 2 2" xfId="27547" xr:uid="{00000000-0005-0000-0000-00009B6B0000}"/>
    <cellStyle name="Normal 348 3 3 3" xfId="27548" xr:uid="{00000000-0005-0000-0000-00009C6B0000}"/>
    <cellStyle name="Normal 348 3 4" xfId="27549" xr:uid="{00000000-0005-0000-0000-00009D6B0000}"/>
    <cellStyle name="Normal 348 3 4 2" xfId="27550" xr:uid="{00000000-0005-0000-0000-00009E6B0000}"/>
    <cellStyle name="Normal 348 3 4 2 2" xfId="27551" xr:uid="{00000000-0005-0000-0000-00009F6B0000}"/>
    <cellStyle name="Normal 348 3 4 3" xfId="27552" xr:uid="{00000000-0005-0000-0000-0000A06B0000}"/>
    <cellStyle name="Normal 348 3 5" xfId="27553" xr:uid="{00000000-0005-0000-0000-0000A16B0000}"/>
    <cellStyle name="Normal 348 3 5 2" xfId="27554" xr:uid="{00000000-0005-0000-0000-0000A26B0000}"/>
    <cellStyle name="Normal 348 3 5 2 2" xfId="27555" xr:uid="{00000000-0005-0000-0000-0000A36B0000}"/>
    <cellStyle name="Normal 348 3 5 3" xfId="27556" xr:uid="{00000000-0005-0000-0000-0000A46B0000}"/>
    <cellStyle name="Normal 348 3 6" xfId="27557" xr:uid="{00000000-0005-0000-0000-0000A56B0000}"/>
    <cellStyle name="Normal 348 4" xfId="27558" xr:uid="{00000000-0005-0000-0000-0000A66B0000}"/>
    <cellStyle name="Normal 348 4 2" xfId="27559" xr:uid="{00000000-0005-0000-0000-0000A76B0000}"/>
    <cellStyle name="Normal 348 4 2 2" xfId="27560" xr:uid="{00000000-0005-0000-0000-0000A86B0000}"/>
    <cellStyle name="Normal 348 4 3" xfId="27561" xr:uid="{00000000-0005-0000-0000-0000A96B0000}"/>
    <cellStyle name="Normal 348 5" xfId="27562" xr:uid="{00000000-0005-0000-0000-0000AA6B0000}"/>
    <cellStyle name="Normal 348 5 2" xfId="27563" xr:uid="{00000000-0005-0000-0000-0000AB6B0000}"/>
    <cellStyle name="Normal 348 5 2 2" xfId="27564" xr:uid="{00000000-0005-0000-0000-0000AC6B0000}"/>
    <cellStyle name="Normal 348 5 3" xfId="27565" xr:uid="{00000000-0005-0000-0000-0000AD6B0000}"/>
    <cellStyle name="Normal 348 6" xfId="27566" xr:uid="{00000000-0005-0000-0000-0000AE6B0000}"/>
    <cellStyle name="Normal 348 6 2" xfId="27567" xr:uid="{00000000-0005-0000-0000-0000AF6B0000}"/>
    <cellStyle name="Normal 348 6 2 2" xfId="27568" xr:uid="{00000000-0005-0000-0000-0000B06B0000}"/>
    <cellStyle name="Normal 348 6 3" xfId="27569" xr:uid="{00000000-0005-0000-0000-0000B16B0000}"/>
    <cellStyle name="Normal 348 7" xfId="27570" xr:uid="{00000000-0005-0000-0000-0000B26B0000}"/>
    <cellStyle name="Normal 349" xfId="27571" xr:uid="{00000000-0005-0000-0000-0000B36B0000}"/>
    <cellStyle name="Normal 349 2" xfId="27572" xr:uid="{00000000-0005-0000-0000-0000B46B0000}"/>
    <cellStyle name="Normal 349 2 2" xfId="27573" xr:uid="{00000000-0005-0000-0000-0000B56B0000}"/>
    <cellStyle name="Normal 349 2 2 2" xfId="27574" xr:uid="{00000000-0005-0000-0000-0000B66B0000}"/>
    <cellStyle name="Normal 349 2 3" xfId="27575" xr:uid="{00000000-0005-0000-0000-0000B76B0000}"/>
    <cellStyle name="Normal 349 2 3 2" xfId="27576" xr:uid="{00000000-0005-0000-0000-0000B86B0000}"/>
    <cellStyle name="Normal 349 2 3 2 2" xfId="27577" xr:uid="{00000000-0005-0000-0000-0000B96B0000}"/>
    <cellStyle name="Normal 349 2 3 3" xfId="27578" xr:uid="{00000000-0005-0000-0000-0000BA6B0000}"/>
    <cellStyle name="Normal 349 2 4" xfId="27579" xr:uid="{00000000-0005-0000-0000-0000BB6B0000}"/>
    <cellStyle name="Normal 349 2 4 2" xfId="27580" xr:uid="{00000000-0005-0000-0000-0000BC6B0000}"/>
    <cellStyle name="Normal 349 2 4 2 2" xfId="27581" xr:uid="{00000000-0005-0000-0000-0000BD6B0000}"/>
    <cellStyle name="Normal 349 2 4 3" xfId="27582" xr:uid="{00000000-0005-0000-0000-0000BE6B0000}"/>
    <cellStyle name="Normal 349 2 5" xfId="27583" xr:uid="{00000000-0005-0000-0000-0000BF6B0000}"/>
    <cellStyle name="Normal 349 3" xfId="27584" xr:uid="{00000000-0005-0000-0000-0000C06B0000}"/>
    <cellStyle name="Normal 349 3 2" xfId="27585" xr:uid="{00000000-0005-0000-0000-0000C16B0000}"/>
    <cellStyle name="Normal 349 3 2 2" xfId="27586" xr:uid="{00000000-0005-0000-0000-0000C26B0000}"/>
    <cellStyle name="Normal 349 3 2 2 2" xfId="27587" xr:uid="{00000000-0005-0000-0000-0000C36B0000}"/>
    <cellStyle name="Normal 349 3 2 3" xfId="27588" xr:uid="{00000000-0005-0000-0000-0000C46B0000}"/>
    <cellStyle name="Normal 349 3 2 3 2" xfId="27589" xr:uid="{00000000-0005-0000-0000-0000C56B0000}"/>
    <cellStyle name="Normal 349 3 2 3 2 2" xfId="27590" xr:uid="{00000000-0005-0000-0000-0000C66B0000}"/>
    <cellStyle name="Normal 349 3 2 3 3" xfId="27591" xr:uid="{00000000-0005-0000-0000-0000C76B0000}"/>
    <cellStyle name="Normal 349 3 2 4" xfId="27592" xr:uid="{00000000-0005-0000-0000-0000C86B0000}"/>
    <cellStyle name="Normal 349 3 3" xfId="27593" xr:uid="{00000000-0005-0000-0000-0000C96B0000}"/>
    <cellStyle name="Normal 349 3 3 2" xfId="27594" xr:uid="{00000000-0005-0000-0000-0000CA6B0000}"/>
    <cellStyle name="Normal 349 3 3 2 2" xfId="27595" xr:uid="{00000000-0005-0000-0000-0000CB6B0000}"/>
    <cellStyle name="Normal 349 3 3 3" xfId="27596" xr:uid="{00000000-0005-0000-0000-0000CC6B0000}"/>
    <cellStyle name="Normal 349 3 4" xfId="27597" xr:uid="{00000000-0005-0000-0000-0000CD6B0000}"/>
    <cellStyle name="Normal 349 3 4 2" xfId="27598" xr:uid="{00000000-0005-0000-0000-0000CE6B0000}"/>
    <cellStyle name="Normal 349 3 4 2 2" xfId="27599" xr:uid="{00000000-0005-0000-0000-0000CF6B0000}"/>
    <cellStyle name="Normal 349 3 4 3" xfId="27600" xr:uid="{00000000-0005-0000-0000-0000D06B0000}"/>
    <cellStyle name="Normal 349 3 5" xfId="27601" xr:uid="{00000000-0005-0000-0000-0000D16B0000}"/>
    <cellStyle name="Normal 349 3 5 2" xfId="27602" xr:uid="{00000000-0005-0000-0000-0000D26B0000}"/>
    <cellStyle name="Normal 349 3 5 2 2" xfId="27603" xr:uid="{00000000-0005-0000-0000-0000D36B0000}"/>
    <cellStyle name="Normal 349 3 5 3" xfId="27604" xr:uid="{00000000-0005-0000-0000-0000D46B0000}"/>
    <cellStyle name="Normal 349 3 6" xfId="27605" xr:uid="{00000000-0005-0000-0000-0000D56B0000}"/>
    <cellStyle name="Normal 349 4" xfId="27606" xr:uid="{00000000-0005-0000-0000-0000D66B0000}"/>
    <cellStyle name="Normal 349 4 2" xfId="27607" xr:uid="{00000000-0005-0000-0000-0000D76B0000}"/>
    <cellStyle name="Normal 349 4 2 2" xfId="27608" xr:uid="{00000000-0005-0000-0000-0000D86B0000}"/>
    <cellStyle name="Normal 349 4 3" xfId="27609" xr:uid="{00000000-0005-0000-0000-0000D96B0000}"/>
    <cellStyle name="Normal 349 5" xfId="27610" xr:uid="{00000000-0005-0000-0000-0000DA6B0000}"/>
    <cellStyle name="Normal 349 5 2" xfId="27611" xr:uid="{00000000-0005-0000-0000-0000DB6B0000}"/>
    <cellStyle name="Normal 349 5 2 2" xfId="27612" xr:uid="{00000000-0005-0000-0000-0000DC6B0000}"/>
    <cellStyle name="Normal 349 5 3" xfId="27613" xr:uid="{00000000-0005-0000-0000-0000DD6B0000}"/>
    <cellStyle name="Normal 349 6" xfId="27614" xr:uid="{00000000-0005-0000-0000-0000DE6B0000}"/>
    <cellStyle name="Normal 349 6 2" xfId="27615" xr:uid="{00000000-0005-0000-0000-0000DF6B0000}"/>
    <cellStyle name="Normal 349 6 2 2" xfId="27616" xr:uid="{00000000-0005-0000-0000-0000E06B0000}"/>
    <cellStyle name="Normal 349 6 3" xfId="27617" xr:uid="{00000000-0005-0000-0000-0000E16B0000}"/>
    <cellStyle name="Normal 349 7" xfId="27618" xr:uid="{00000000-0005-0000-0000-0000E26B0000}"/>
    <cellStyle name="Normal 35" xfId="27619" xr:uid="{00000000-0005-0000-0000-0000E36B0000}"/>
    <cellStyle name="Normal 35 2" xfId="27620" xr:uid="{00000000-0005-0000-0000-0000E46B0000}"/>
    <cellStyle name="Normal 35 2 2" xfId="27621" xr:uid="{00000000-0005-0000-0000-0000E56B0000}"/>
    <cellStyle name="Normal 35 2 2 2" xfId="27622" xr:uid="{00000000-0005-0000-0000-0000E66B0000}"/>
    <cellStyle name="Normal 35 2 2 2 2" xfId="27623" xr:uid="{00000000-0005-0000-0000-0000E76B0000}"/>
    <cellStyle name="Normal 35 2 2 3" xfId="27624" xr:uid="{00000000-0005-0000-0000-0000E86B0000}"/>
    <cellStyle name="Normal 35 2 2 3 2" xfId="27625" xr:uid="{00000000-0005-0000-0000-0000E96B0000}"/>
    <cellStyle name="Normal 35 2 2 3 2 2" xfId="27626" xr:uid="{00000000-0005-0000-0000-0000EA6B0000}"/>
    <cellStyle name="Normal 35 2 2 3 3" xfId="27627" xr:uid="{00000000-0005-0000-0000-0000EB6B0000}"/>
    <cellStyle name="Normal 35 2 2 4" xfId="27628" xr:uid="{00000000-0005-0000-0000-0000EC6B0000}"/>
    <cellStyle name="Normal 35 2 2 4 2" xfId="27629" xr:uid="{00000000-0005-0000-0000-0000ED6B0000}"/>
    <cellStyle name="Normal 35 2 2 4 2 2" xfId="27630" xr:uid="{00000000-0005-0000-0000-0000EE6B0000}"/>
    <cellStyle name="Normal 35 2 2 4 3" xfId="27631" xr:uid="{00000000-0005-0000-0000-0000EF6B0000}"/>
    <cellStyle name="Normal 35 2 2 5" xfId="27632" xr:uid="{00000000-0005-0000-0000-0000F06B0000}"/>
    <cellStyle name="Normal 35 2 3" xfId="27633" xr:uid="{00000000-0005-0000-0000-0000F16B0000}"/>
    <cellStyle name="Normal 35 2 3 2" xfId="27634" xr:uid="{00000000-0005-0000-0000-0000F26B0000}"/>
    <cellStyle name="Normal 35 2 3 2 2" xfId="27635" xr:uid="{00000000-0005-0000-0000-0000F36B0000}"/>
    <cellStyle name="Normal 35 2 3 3" xfId="27636" xr:uid="{00000000-0005-0000-0000-0000F46B0000}"/>
    <cellStyle name="Normal 35 2 4" xfId="27637" xr:uid="{00000000-0005-0000-0000-0000F56B0000}"/>
    <cellStyle name="Normal 35 2 4 2" xfId="27638" xr:uid="{00000000-0005-0000-0000-0000F66B0000}"/>
    <cellStyle name="Normal 35 2 4 2 2" xfId="27639" xr:uid="{00000000-0005-0000-0000-0000F76B0000}"/>
    <cellStyle name="Normal 35 2 4 3" xfId="27640" xr:uid="{00000000-0005-0000-0000-0000F86B0000}"/>
    <cellStyle name="Normal 35 2 5" xfId="27641" xr:uid="{00000000-0005-0000-0000-0000F96B0000}"/>
    <cellStyle name="Normal 35 2 5 2" xfId="27642" xr:uid="{00000000-0005-0000-0000-0000FA6B0000}"/>
    <cellStyle name="Normal 35 2 5 2 2" xfId="27643" xr:uid="{00000000-0005-0000-0000-0000FB6B0000}"/>
    <cellStyle name="Normal 35 2 5 3" xfId="27644" xr:uid="{00000000-0005-0000-0000-0000FC6B0000}"/>
    <cellStyle name="Normal 35 2 6" xfId="27645" xr:uid="{00000000-0005-0000-0000-0000FD6B0000}"/>
    <cellStyle name="Normal 35 3" xfId="27646" xr:uid="{00000000-0005-0000-0000-0000FE6B0000}"/>
    <cellStyle name="Normal 35 3 2" xfId="27647" xr:uid="{00000000-0005-0000-0000-0000FF6B0000}"/>
    <cellStyle name="Normal 35 3 2 2" xfId="27648" xr:uid="{00000000-0005-0000-0000-0000006C0000}"/>
    <cellStyle name="Normal 35 3 3" xfId="27649" xr:uid="{00000000-0005-0000-0000-0000016C0000}"/>
    <cellStyle name="Normal 35 3 3 2" xfId="27650" xr:uid="{00000000-0005-0000-0000-0000026C0000}"/>
    <cellStyle name="Normal 35 3 3 2 2" xfId="27651" xr:uid="{00000000-0005-0000-0000-0000036C0000}"/>
    <cellStyle name="Normal 35 3 3 3" xfId="27652" xr:uid="{00000000-0005-0000-0000-0000046C0000}"/>
    <cellStyle name="Normal 35 3 4" xfId="27653" xr:uid="{00000000-0005-0000-0000-0000056C0000}"/>
    <cellStyle name="Normal 35 3 4 2" xfId="27654" xr:uid="{00000000-0005-0000-0000-0000066C0000}"/>
    <cellStyle name="Normal 35 3 4 2 2" xfId="27655" xr:uid="{00000000-0005-0000-0000-0000076C0000}"/>
    <cellStyle name="Normal 35 3 4 3" xfId="27656" xr:uid="{00000000-0005-0000-0000-0000086C0000}"/>
    <cellStyle name="Normal 35 3 5" xfId="27657" xr:uid="{00000000-0005-0000-0000-0000096C0000}"/>
    <cellStyle name="Normal 35 4" xfId="27658" xr:uid="{00000000-0005-0000-0000-00000A6C0000}"/>
    <cellStyle name="Normal 35 4 2" xfId="27659" xr:uid="{00000000-0005-0000-0000-00000B6C0000}"/>
    <cellStyle name="Normal 35 4 2 2" xfId="27660" xr:uid="{00000000-0005-0000-0000-00000C6C0000}"/>
    <cellStyle name="Normal 35 4 3" xfId="27661" xr:uid="{00000000-0005-0000-0000-00000D6C0000}"/>
    <cellStyle name="Normal 35 5" xfId="27662" xr:uid="{00000000-0005-0000-0000-00000E6C0000}"/>
    <cellStyle name="Normal 35 5 2" xfId="27663" xr:uid="{00000000-0005-0000-0000-00000F6C0000}"/>
    <cellStyle name="Normal 35 5 2 2" xfId="27664" xr:uid="{00000000-0005-0000-0000-0000106C0000}"/>
    <cellStyle name="Normal 35 5 3" xfId="27665" xr:uid="{00000000-0005-0000-0000-0000116C0000}"/>
    <cellStyle name="Normal 35 6" xfId="27666" xr:uid="{00000000-0005-0000-0000-0000126C0000}"/>
    <cellStyle name="Normal 35 6 2" xfId="27667" xr:uid="{00000000-0005-0000-0000-0000136C0000}"/>
    <cellStyle name="Normal 35 6 2 2" xfId="27668" xr:uid="{00000000-0005-0000-0000-0000146C0000}"/>
    <cellStyle name="Normal 35 6 3" xfId="27669" xr:uid="{00000000-0005-0000-0000-0000156C0000}"/>
    <cellStyle name="Normal 35 7" xfId="27670" xr:uid="{00000000-0005-0000-0000-0000166C0000}"/>
    <cellStyle name="Normal 350" xfId="68" xr:uid="{00000000-0005-0000-0000-000044000000}"/>
    <cellStyle name="Normal 350 2" xfId="27671" xr:uid="{00000000-0005-0000-0000-0000176C0000}"/>
    <cellStyle name="Normal 350 2 2" xfId="27672" xr:uid="{00000000-0005-0000-0000-0000186C0000}"/>
    <cellStyle name="Normal 350 2 2 2" xfId="27673" xr:uid="{00000000-0005-0000-0000-0000196C0000}"/>
    <cellStyle name="Normal 350 2 3" xfId="27674" xr:uid="{00000000-0005-0000-0000-00001A6C0000}"/>
    <cellStyle name="Normal 350 2 3 2" xfId="27675" xr:uid="{00000000-0005-0000-0000-00001B6C0000}"/>
    <cellStyle name="Normal 350 2 3 2 2" xfId="27676" xr:uid="{00000000-0005-0000-0000-00001C6C0000}"/>
    <cellStyle name="Normal 350 2 3 3" xfId="27677" xr:uid="{00000000-0005-0000-0000-00001D6C0000}"/>
    <cellStyle name="Normal 350 2 4" xfId="27678" xr:uid="{00000000-0005-0000-0000-00001E6C0000}"/>
    <cellStyle name="Normal 350 2 4 2" xfId="27679" xr:uid="{00000000-0005-0000-0000-00001F6C0000}"/>
    <cellStyle name="Normal 350 2 4 2 2" xfId="27680" xr:uid="{00000000-0005-0000-0000-0000206C0000}"/>
    <cellStyle name="Normal 350 2 4 3" xfId="27681" xr:uid="{00000000-0005-0000-0000-0000216C0000}"/>
    <cellStyle name="Normal 350 2 5" xfId="27682" xr:uid="{00000000-0005-0000-0000-0000226C0000}"/>
    <cellStyle name="Normal 350 3" xfId="27683" xr:uid="{00000000-0005-0000-0000-0000236C0000}"/>
    <cellStyle name="Normal 350 3 2" xfId="27684" xr:uid="{00000000-0005-0000-0000-0000246C0000}"/>
    <cellStyle name="Normal 350 3 2 2" xfId="27685" xr:uid="{00000000-0005-0000-0000-0000256C0000}"/>
    <cellStyle name="Normal 350 3 2 2 2" xfId="27686" xr:uid="{00000000-0005-0000-0000-0000266C0000}"/>
    <cellStyle name="Normal 350 3 2 3" xfId="27687" xr:uid="{00000000-0005-0000-0000-0000276C0000}"/>
    <cellStyle name="Normal 350 3 2 3 2" xfId="27688" xr:uid="{00000000-0005-0000-0000-0000286C0000}"/>
    <cellStyle name="Normal 350 3 2 3 2 2" xfId="27689" xr:uid="{00000000-0005-0000-0000-0000296C0000}"/>
    <cellStyle name="Normal 350 3 2 3 3" xfId="27690" xr:uid="{00000000-0005-0000-0000-00002A6C0000}"/>
    <cellStyle name="Normal 350 3 2 4" xfId="27691" xr:uid="{00000000-0005-0000-0000-00002B6C0000}"/>
    <cellStyle name="Normal 350 3 3" xfId="27692" xr:uid="{00000000-0005-0000-0000-00002C6C0000}"/>
    <cellStyle name="Normal 350 3 3 2" xfId="27693" xr:uid="{00000000-0005-0000-0000-00002D6C0000}"/>
    <cellStyle name="Normal 350 3 3 2 2" xfId="27694" xr:uid="{00000000-0005-0000-0000-00002E6C0000}"/>
    <cellStyle name="Normal 350 3 3 3" xfId="27695" xr:uid="{00000000-0005-0000-0000-00002F6C0000}"/>
    <cellStyle name="Normal 350 3 4" xfId="27696" xr:uid="{00000000-0005-0000-0000-0000306C0000}"/>
    <cellStyle name="Normal 350 3 4 2" xfId="27697" xr:uid="{00000000-0005-0000-0000-0000316C0000}"/>
    <cellStyle name="Normal 350 3 4 2 2" xfId="27698" xr:uid="{00000000-0005-0000-0000-0000326C0000}"/>
    <cellStyle name="Normal 350 3 4 3" xfId="27699" xr:uid="{00000000-0005-0000-0000-0000336C0000}"/>
    <cellStyle name="Normal 350 3 5" xfId="27700" xr:uid="{00000000-0005-0000-0000-0000346C0000}"/>
    <cellStyle name="Normal 350 3 5 2" xfId="27701" xr:uid="{00000000-0005-0000-0000-0000356C0000}"/>
    <cellStyle name="Normal 350 3 5 2 2" xfId="27702" xr:uid="{00000000-0005-0000-0000-0000366C0000}"/>
    <cellStyle name="Normal 350 3 5 3" xfId="27703" xr:uid="{00000000-0005-0000-0000-0000376C0000}"/>
    <cellStyle name="Normal 350 3 6" xfId="27704" xr:uid="{00000000-0005-0000-0000-0000386C0000}"/>
    <cellStyle name="Normal 350 4" xfId="27705" xr:uid="{00000000-0005-0000-0000-0000396C0000}"/>
    <cellStyle name="Normal 350 4 2" xfId="27706" xr:uid="{00000000-0005-0000-0000-00003A6C0000}"/>
    <cellStyle name="Normal 350 4 2 2" xfId="27707" xr:uid="{00000000-0005-0000-0000-00003B6C0000}"/>
    <cellStyle name="Normal 350 4 3" xfId="27708" xr:uid="{00000000-0005-0000-0000-00003C6C0000}"/>
    <cellStyle name="Normal 350 5" xfId="27709" xr:uid="{00000000-0005-0000-0000-00003D6C0000}"/>
    <cellStyle name="Normal 350 5 2" xfId="27710" xr:uid="{00000000-0005-0000-0000-00003E6C0000}"/>
    <cellStyle name="Normal 350 5 2 2" xfId="27711" xr:uid="{00000000-0005-0000-0000-00003F6C0000}"/>
    <cellStyle name="Normal 350 5 3" xfId="27712" xr:uid="{00000000-0005-0000-0000-0000406C0000}"/>
    <cellStyle name="Normal 350 6" xfId="27713" xr:uid="{00000000-0005-0000-0000-0000416C0000}"/>
    <cellStyle name="Normal 350 6 2" xfId="27714" xr:uid="{00000000-0005-0000-0000-0000426C0000}"/>
    <cellStyle name="Normal 350 6 2 2" xfId="27715" xr:uid="{00000000-0005-0000-0000-0000436C0000}"/>
    <cellStyle name="Normal 350 6 3" xfId="27716" xr:uid="{00000000-0005-0000-0000-0000446C0000}"/>
    <cellStyle name="Normal 350 7" xfId="27717" xr:uid="{00000000-0005-0000-0000-0000456C0000}"/>
    <cellStyle name="Normal 351" xfId="69" xr:uid="{00000000-0005-0000-0000-000045000000}"/>
    <cellStyle name="Normal 351 2" xfId="27718" xr:uid="{00000000-0005-0000-0000-0000466C0000}"/>
    <cellStyle name="Normal 351 2 2" xfId="27719" xr:uid="{00000000-0005-0000-0000-0000476C0000}"/>
    <cellStyle name="Normal 351 2 2 2" xfId="27720" xr:uid="{00000000-0005-0000-0000-0000486C0000}"/>
    <cellStyle name="Normal 351 2 3" xfId="27721" xr:uid="{00000000-0005-0000-0000-0000496C0000}"/>
    <cellStyle name="Normal 351 2 3 2" xfId="27722" xr:uid="{00000000-0005-0000-0000-00004A6C0000}"/>
    <cellStyle name="Normal 351 2 3 2 2" xfId="27723" xr:uid="{00000000-0005-0000-0000-00004B6C0000}"/>
    <cellStyle name="Normal 351 2 3 3" xfId="27724" xr:uid="{00000000-0005-0000-0000-00004C6C0000}"/>
    <cellStyle name="Normal 351 2 4" xfId="27725" xr:uid="{00000000-0005-0000-0000-00004D6C0000}"/>
    <cellStyle name="Normal 351 2 4 2" xfId="27726" xr:uid="{00000000-0005-0000-0000-00004E6C0000}"/>
    <cellStyle name="Normal 351 2 4 2 2" xfId="27727" xr:uid="{00000000-0005-0000-0000-00004F6C0000}"/>
    <cellStyle name="Normal 351 2 4 3" xfId="27728" xr:uid="{00000000-0005-0000-0000-0000506C0000}"/>
    <cellStyle name="Normal 351 2 5" xfId="27729" xr:uid="{00000000-0005-0000-0000-0000516C0000}"/>
    <cellStyle name="Normal 351 3" xfId="27730" xr:uid="{00000000-0005-0000-0000-0000526C0000}"/>
    <cellStyle name="Normal 351 3 2" xfId="27731" xr:uid="{00000000-0005-0000-0000-0000536C0000}"/>
    <cellStyle name="Normal 351 3 2 2" xfId="27732" xr:uid="{00000000-0005-0000-0000-0000546C0000}"/>
    <cellStyle name="Normal 351 3 2 2 2" xfId="27733" xr:uid="{00000000-0005-0000-0000-0000556C0000}"/>
    <cellStyle name="Normal 351 3 2 3" xfId="27734" xr:uid="{00000000-0005-0000-0000-0000566C0000}"/>
    <cellStyle name="Normal 351 3 2 3 2" xfId="27735" xr:uid="{00000000-0005-0000-0000-0000576C0000}"/>
    <cellStyle name="Normal 351 3 2 3 2 2" xfId="27736" xr:uid="{00000000-0005-0000-0000-0000586C0000}"/>
    <cellStyle name="Normal 351 3 2 3 3" xfId="27737" xr:uid="{00000000-0005-0000-0000-0000596C0000}"/>
    <cellStyle name="Normal 351 3 2 4" xfId="27738" xr:uid="{00000000-0005-0000-0000-00005A6C0000}"/>
    <cellStyle name="Normal 351 3 3" xfId="27739" xr:uid="{00000000-0005-0000-0000-00005B6C0000}"/>
    <cellStyle name="Normal 351 3 3 2" xfId="27740" xr:uid="{00000000-0005-0000-0000-00005C6C0000}"/>
    <cellStyle name="Normal 351 3 3 2 2" xfId="27741" xr:uid="{00000000-0005-0000-0000-00005D6C0000}"/>
    <cellStyle name="Normal 351 3 3 3" xfId="27742" xr:uid="{00000000-0005-0000-0000-00005E6C0000}"/>
    <cellStyle name="Normal 351 3 4" xfId="27743" xr:uid="{00000000-0005-0000-0000-00005F6C0000}"/>
    <cellStyle name="Normal 351 3 4 2" xfId="27744" xr:uid="{00000000-0005-0000-0000-0000606C0000}"/>
    <cellStyle name="Normal 351 3 4 2 2" xfId="27745" xr:uid="{00000000-0005-0000-0000-0000616C0000}"/>
    <cellStyle name="Normal 351 3 4 3" xfId="27746" xr:uid="{00000000-0005-0000-0000-0000626C0000}"/>
    <cellStyle name="Normal 351 3 5" xfId="27747" xr:uid="{00000000-0005-0000-0000-0000636C0000}"/>
    <cellStyle name="Normal 351 3 5 2" xfId="27748" xr:uid="{00000000-0005-0000-0000-0000646C0000}"/>
    <cellStyle name="Normal 351 3 5 2 2" xfId="27749" xr:uid="{00000000-0005-0000-0000-0000656C0000}"/>
    <cellStyle name="Normal 351 3 5 3" xfId="27750" xr:uid="{00000000-0005-0000-0000-0000666C0000}"/>
    <cellStyle name="Normal 351 3 6" xfId="27751" xr:uid="{00000000-0005-0000-0000-0000676C0000}"/>
    <cellStyle name="Normal 351 4" xfId="27752" xr:uid="{00000000-0005-0000-0000-0000686C0000}"/>
    <cellStyle name="Normal 351 4 2" xfId="27753" xr:uid="{00000000-0005-0000-0000-0000696C0000}"/>
    <cellStyle name="Normal 351 4 2 2" xfId="27754" xr:uid="{00000000-0005-0000-0000-00006A6C0000}"/>
    <cellStyle name="Normal 351 4 3" xfId="27755" xr:uid="{00000000-0005-0000-0000-00006B6C0000}"/>
    <cellStyle name="Normal 351 5" xfId="27756" xr:uid="{00000000-0005-0000-0000-00006C6C0000}"/>
    <cellStyle name="Normal 351 5 2" xfId="27757" xr:uid="{00000000-0005-0000-0000-00006D6C0000}"/>
    <cellStyle name="Normal 351 5 2 2" xfId="27758" xr:uid="{00000000-0005-0000-0000-00006E6C0000}"/>
    <cellStyle name="Normal 351 5 3" xfId="27759" xr:uid="{00000000-0005-0000-0000-00006F6C0000}"/>
    <cellStyle name="Normal 351 6" xfId="27760" xr:uid="{00000000-0005-0000-0000-0000706C0000}"/>
    <cellStyle name="Normal 351 6 2" xfId="27761" xr:uid="{00000000-0005-0000-0000-0000716C0000}"/>
    <cellStyle name="Normal 351 6 2 2" xfId="27762" xr:uid="{00000000-0005-0000-0000-0000726C0000}"/>
    <cellStyle name="Normal 351 6 3" xfId="27763" xr:uid="{00000000-0005-0000-0000-0000736C0000}"/>
    <cellStyle name="Normal 351 7" xfId="27764" xr:uid="{00000000-0005-0000-0000-0000746C0000}"/>
    <cellStyle name="Normal 352" xfId="70" xr:uid="{00000000-0005-0000-0000-000046000000}"/>
    <cellStyle name="Normal 352 2" xfId="27765" xr:uid="{00000000-0005-0000-0000-0000756C0000}"/>
    <cellStyle name="Normal 352 2 2" xfId="27766" xr:uid="{00000000-0005-0000-0000-0000766C0000}"/>
    <cellStyle name="Normal 352 2 2 2" xfId="27767" xr:uid="{00000000-0005-0000-0000-0000776C0000}"/>
    <cellStyle name="Normal 352 2 3" xfId="27768" xr:uid="{00000000-0005-0000-0000-0000786C0000}"/>
    <cellStyle name="Normal 352 2 3 2" xfId="27769" xr:uid="{00000000-0005-0000-0000-0000796C0000}"/>
    <cellStyle name="Normal 352 2 3 2 2" xfId="27770" xr:uid="{00000000-0005-0000-0000-00007A6C0000}"/>
    <cellStyle name="Normal 352 2 3 3" xfId="27771" xr:uid="{00000000-0005-0000-0000-00007B6C0000}"/>
    <cellStyle name="Normal 352 2 4" xfId="27772" xr:uid="{00000000-0005-0000-0000-00007C6C0000}"/>
    <cellStyle name="Normal 352 2 4 2" xfId="27773" xr:uid="{00000000-0005-0000-0000-00007D6C0000}"/>
    <cellStyle name="Normal 352 2 4 2 2" xfId="27774" xr:uid="{00000000-0005-0000-0000-00007E6C0000}"/>
    <cellStyle name="Normal 352 2 4 3" xfId="27775" xr:uid="{00000000-0005-0000-0000-00007F6C0000}"/>
    <cellStyle name="Normal 352 2 5" xfId="27776" xr:uid="{00000000-0005-0000-0000-0000806C0000}"/>
    <cellStyle name="Normal 352 3" xfId="27777" xr:uid="{00000000-0005-0000-0000-0000816C0000}"/>
    <cellStyle name="Normal 352 3 2" xfId="27778" xr:uid="{00000000-0005-0000-0000-0000826C0000}"/>
    <cellStyle name="Normal 352 3 2 2" xfId="27779" xr:uid="{00000000-0005-0000-0000-0000836C0000}"/>
    <cellStyle name="Normal 352 3 2 2 2" xfId="27780" xr:uid="{00000000-0005-0000-0000-0000846C0000}"/>
    <cellStyle name="Normal 352 3 2 3" xfId="27781" xr:uid="{00000000-0005-0000-0000-0000856C0000}"/>
    <cellStyle name="Normal 352 3 2 3 2" xfId="27782" xr:uid="{00000000-0005-0000-0000-0000866C0000}"/>
    <cellStyle name="Normal 352 3 2 3 2 2" xfId="27783" xr:uid="{00000000-0005-0000-0000-0000876C0000}"/>
    <cellStyle name="Normal 352 3 2 3 3" xfId="27784" xr:uid="{00000000-0005-0000-0000-0000886C0000}"/>
    <cellStyle name="Normal 352 3 2 4" xfId="27785" xr:uid="{00000000-0005-0000-0000-0000896C0000}"/>
    <cellStyle name="Normal 352 3 3" xfId="27786" xr:uid="{00000000-0005-0000-0000-00008A6C0000}"/>
    <cellStyle name="Normal 352 3 3 2" xfId="27787" xr:uid="{00000000-0005-0000-0000-00008B6C0000}"/>
    <cellStyle name="Normal 352 3 3 2 2" xfId="27788" xr:uid="{00000000-0005-0000-0000-00008C6C0000}"/>
    <cellStyle name="Normal 352 3 3 3" xfId="27789" xr:uid="{00000000-0005-0000-0000-00008D6C0000}"/>
    <cellStyle name="Normal 352 3 4" xfId="27790" xr:uid="{00000000-0005-0000-0000-00008E6C0000}"/>
    <cellStyle name="Normal 352 3 4 2" xfId="27791" xr:uid="{00000000-0005-0000-0000-00008F6C0000}"/>
    <cellStyle name="Normal 352 3 4 2 2" xfId="27792" xr:uid="{00000000-0005-0000-0000-0000906C0000}"/>
    <cellStyle name="Normal 352 3 4 3" xfId="27793" xr:uid="{00000000-0005-0000-0000-0000916C0000}"/>
    <cellStyle name="Normal 352 3 5" xfId="27794" xr:uid="{00000000-0005-0000-0000-0000926C0000}"/>
    <cellStyle name="Normal 352 3 5 2" xfId="27795" xr:uid="{00000000-0005-0000-0000-0000936C0000}"/>
    <cellStyle name="Normal 352 3 5 2 2" xfId="27796" xr:uid="{00000000-0005-0000-0000-0000946C0000}"/>
    <cellStyle name="Normal 352 3 5 3" xfId="27797" xr:uid="{00000000-0005-0000-0000-0000956C0000}"/>
    <cellStyle name="Normal 352 3 6" xfId="27798" xr:uid="{00000000-0005-0000-0000-0000966C0000}"/>
    <cellStyle name="Normal 352 4" xfId="27799" xr:uid="{00000000-0005-0000-0000-0000976C0000}"/>
    <cellStyle name="Normal 352 4 2" xfId="27800" xr:uid="{00000000-0005-0000-0000-0000986C0000}"/>
    <cellStyle name="Normal 352 4 2 2" xfId="27801" xr:uid="{00000000-0005-0000-0000-0000996C0000}"/>
    <cellStyle name="Normal 352 4 3" xfId="27802" xr:uid="{00000000-0005-0000-0000-00009A6C0000}"/>
    <cellStyle name="Normal 352 5" xfId="27803" xr:uid="{00000000-0005-0000-0000-00009B6C0000}"/>
    <cellStyle name="Normal 352 5 2" xfId="27804" xr:uid="{00000000-0005-0000-0000-00009C6C0000}"/>
    <cellStyle name="Normal 352 5 2 2" xfId="27805" xr:uid="{00000000-0005-0000-0000-00009D6C0000}"/>
    <cellStyle name="Normal 352 5 3" xfId="27806" xr:uid="{00000000-0005-0000-0000-00009E6C0000}"/>
    <cellStyle name="Normal 352 6" xfId="27807" xr:uid="{00000000-0005-0000-0000-00009F6C0000}"/>
    <cellStyle name="Normal 352 6 2" xfId="27808" xr:uid="{00000000-0005-0000-0000-0000A06C0000}"/>
    <cellStyle name="Normal 352 6 2 2" xfId="27809" xr:uid="{00000000-0005-0000-0000-0000A16C0000}"/>
    <cellStyle name="Normal 352 6 3" xfId="27810" xr:uid="{00000000-0005-0000-0000-0000A26C0000}"/>
    <cellStyle name="Normal 352 7" xfId="27811" xr:uid="{00000000-0005-0000-0000-0000A36C0000}"/>
    <cellStyle name="Normal 353" xfId="71" xr:uid="{00000000-0005-0000-0000-000047000000}"/>
    <cellStyle name="Normal 353 2" xfId="27812" xr:uid="{00000000-0005-0000-0000-0000A46C0000}"/>
    <cellStyle name="Normal 353 2 2" xfId="27813" xr:uid="{00000000-0005-0000-0000-0000A56C0000}"/>
    <cellStyle name="Normal 353 2 2 2" xfId="27814" xr:uid="{00000000-0005-0000-0000-0000A66C0000}"/>
    <cellStyle name="Normal 353 2 3" xfId="27815" xr:uid="{00000000-0005-0000-0000-0000A76C0000}"/>
    <cellStyle name="Normal 353 2 3 2" xfId="27816" xr:uid="{00000000-0005-0000-0000-0000A86C0000}"/>
    <cellStyle name="Normal 353 2 3 2 2" xfId="27817" xr:uid="{00000000-0005-0000-0000-0000A96C0000}"/>
    <cellStyle name="Normal 353 2 3 3" xfId="27818" xr:uid="{00000000-0005-0000-0000-0000AA6C0000}"/>
    <cellStyle name="Normal 353 2 4" xfId="27819" xr:uid="{00000000-0005-0000-0000-0000AB6C0000}"/>
    <cellStyle name="Normal 353 2 4 2" xfId="27820" xr:uid="{00000000-0005-0000-0000-0000AC6C0000}"/>
    <cellStyle name="Normal 353 2 4 2 2" xfId="27821" xr:uid="{00000000-0005-0000-0000-0000AD6C0000}"/>
    <cellStyle name="Normal 353 2 4 3" xfId="27822" xr:uid="{00000000-0005-0000-0000-0000AE6C0000}"/>
    <cellStyle name="Normal 353 2 5" xfId="27823" xr:uid="{00000000-0005-0000-0000-0000AF6C0000}"/>
    <cellStyle name="Normal 353 3" xfId="27824" xr:uid="{00000000-0005-0000-0000-0000B06C0000}"/>
    <cellStyle name="Normal 353 3 2" xfId="27825" xr:uid="{00000000-0005-0000-0000-0000B16C0000}"/>
    <cellStyle name="Normal 353 3 2 2" xfId="27826" xr:uid="{00000000-0005-0000-0000-0000B26C0000}"/>
    <cellStyle name="Normal 353 3 2 2 2" xfId="27827" xr:uid="{00000000-0005-0000-0000-0000B36C0000}"/>
    <cellStyle name="Normal 353 3 2 3" xfId="27828" xr:uid="{00000000-0005-0000-0000-0000B46C0000}"/>
    <cellStyle name="Normal 353 3 2 3 2" xfId="27829" xr:uid="{00000000-0005-0000-0000-0000B56C0000}"/>
    <cellStyle name="Normal 353 3 2 3 2 2" xfId="27830" xr:uid="{00000000-0005-0000-0000-0000B66C0000}"/>
    <cellStyle name="Normal 353 3 2 3 3" xfId="27831" xr:uid="{00000000-0005-0000-0000-0000B76C0000}"/>
    <cellStyle name="Normal 353 3 2 4" xfId="27832" xr:uid="{00000000-0005-0000-0000-0000B86C0000}"/>
    <cellStyle name="Normal 353 3 3" xfId="27833" xr:uid="{00000000-0005-0000-0000-0000B96C0000}"/>
    <cellStyle name="Normal 353 3 3 2" xfId="27834" xr:uid="{00000000-0005-0000-0000-0000BA6C0000}"/>
    <cellStyle name="Normal 353 3 3 2 2" xfId="27835" xr:uid="{00000000-0005-0000-0000-0000BB6C0000}"/>
    <cellStyle name="Normal 353 3 3 3" xfId="27836" xr:uid="{00000000-0005-0000-0000-0000BC6C0000}"/>
    <cellStyle name="Normal 353 3 4" xfId="27837" xr:uid="{00000000-0005-0000-0000-0000BD6C0000}"/>
    <cellStyle name="Normal 353 3 4 2" xfId="27838" xr:uid="{00000000-0005-0000-0000-0000BE6C0000}"/>
    <cellStyle name="Normal 353 3 4 2 2" xfId="27839" xr:uid="{00000000-0005-0000-0000-0000BF6C0000}"/>
    <cellStyle name="Normal 353 3 4 3" xfId="27840" xr:uid="{00000000-0005-0000-0000-0000C06C0000}"/>
    <cellStyle name="Normal 353 3 5" xfId="27841" xr:uid="{00000000-0005-0000-0000-0000C16C0000}"/>
    <cellStyle name="Normal 353 3 5 2" xfId="27842" xr:uid="{00000000-0005-0000-0000-0000C26C0000}"/>
    <cellStyle name="Normal 353 3 5 2 2" xfId="27843" xr:uid="{00000000-0005-0000-0000-0000C36C0000}"/>
    <cellStyle name="Normal 353 3 5 3" xfId="27844" xr:uid="{00000000-0005-0000-0000-0000C46C0000}"/>
    <cellStyle name="Normal 353 3 6" xfId="27845" xr:uid="{00000000-0005-0000-0000-0000C56C0000}"/>
    <cellStyle name="Normal 353 4" xfId="27846" xr:uid="{00000000-0005-0000-0000-0000C66C0000}"/>
    <cellStyle name="Normal 353 4 2" xfId="27847" xr:uid="{00000000-0005-0000-0000-0000C76C0000}"/>
    <cellStyle name="Normal 353 4 2 2" xfId="27848" xr:uid="{00000000-0005-0000-0000-0000C86C0000}"/>
    <cellStyle name="Normal 353 4 3" xfId="27849" xr:uid="{00000000-0005-0000-0000-0000C96C0000}"/>
    <cellStyle name="Normal 353 5" xfId="27850" xr:uid="{00000000-0005-0000-0000-0000CA6C0000}"/>
    <cellStyle name="Normal 353 5 2" xfId="27851" xr:uid="{00000000-0005-0000-0000-0000CB6C0000}"/>
    <cellStyle name="Normal 353 5 2 2" xfId="27852" xr:uid="{00000000-0005-0000-0000-0000CC6C0000}"/>
    <cellStyle name="Normal 353 5 3" xfId="27853" xr:uid="{00000000-0005-0000-0000-0000CD6C0000}"/>
    <cellStyle name="Normal 353 6" xfId="27854" xr:uid="{00000000-0005-0000-0000-0000CE6C0000}"/>
    <cellStyle name="Normal 353 6 2" xfId="27855" xr:uid="{00000000-0005-0000-0000-0000CF6C0000}"/>
    <cellStyle name="Normal 353 6 2 2" xfId="27856" xr:uid="{00000000-0005-0000-0000-0000D06C0000}"/>
    <cellStyle name="Normal 353 6 3" xfId="27857" xr:uid="{00000000-0005-0000-0000-0000D16C0000}"/>
    <cellStyle name="Normal 353 7" xfId="27858" xr:uid="{00000000-0005-0000-0000-0000D26C0000}"/>
    <cellStyle name="Normal 354" xfId="72" xr:uid="{00000000-0005-0000-0000-000048000000}"/>
    <cellStyle name="Normal 354 2" xfId="27859" xr:uid="{00000000-0005-0000-0000-0000D36C0000}"/>
    <cellStyle name="Normal 354 2 2" xfId="27860" xr:uid="{00000000-0005-0000-0000-0000D46C0000}"/>
    <cellStyle name="Normal 354 2 2 2" xfId="27861" xr:uid="{00000000-0005-0000-0000-0000D56C0000}"/>
    <cellStyle name="Normal 354 2 3" xfId="27862" xr:uid="{00000000-0005-0000-0000-0000D66C0000}"/>
    <cellStyle name="Normal 354 2 3 2" xfId="27863" xr:uid="{00000000-0005-0000-0000-0000D76C0000}"/>
    <cellStyle name="Normal 354 2 3 2 2" xfId="27864" xr:uid="{00000000-0005-0000-0000-0000D86C0000}"/>
    <cellStyle name="Normal 354 2 3 3" xfId="27865" xr:uid="{00000000-0005-0000-0000-0000D96C0000}"/>
    <cellStyle name="Normal 354 2 4" xfId="27866" xr:uid="{00000000-0005-0000-0000-0000DA6C0000}"/>
    <cellStyle name="Normal 354 2 4 2" xfId="27867" xr:uid="{00000000-0005-0000-0000-0000DB6C0000}"/>
    <cellStyle name="Normal 354 2 4 2 2" xfId="27868" xr:uid="{00000000-0005-0000-0000-0000DC6C0000}"/>
    <cellStyle name="Normal 354 2 4 3" xfId="27869" xr:uid="{00000000-0005-0000-0000-0000DD6C0000}"/>
    <cellStyle name="Normal 354 2 5" xfId="27870" xr:uid="{00000000-0005-0000-0000-0000DE6C0000}"/>
    <cellStyle name="Normal 354 3" xfId="27871" xr:uid="{00000000-0005-0000-0000-0000DF6C0000}"/>
    <cellStyle name="Normal 354 3 2" xfId="27872" xr:uid="{00000000-0005-0000-0000-0000E06C0000}"/>
    <cellStyle name="Normal 354 3 2 2" xfId="27873" xr:uid="{00000000-0005-0000-0000-0000E16C0000}"/>
    <cellStyle name="Normal 354 3 2 2 2" xfId="27874" xr:uid="{00000000-0005-0000-0000-0000E26C0000}"/>
    <cellStyle name="Normal 354 3 2 3" xfId="27875" xr:uid="{00000000-0005-0000-0000-0000E36C0000}"/>
    <cellStyle name="Normal 354 3 2 3 2" xfId="27876" xr:uid="{00000000-0005-0000-0000-0000E46C0000}"/>
    <cellStyle name="Normal 354 3 2 3 2 2" xfId="27877" xr:uid="{00000000-0005-0000-0000-0000E56C0000}"/>
    <cellStyle name="Normal 354 3 2 3 3" xfId="27878" xr:uid="{00000000-0005-0000-0000-0000E66C0000}"/>
    <cellStyle name="Normal 354 3 2 4" xfId="27879" xr:uid="{00000000-0005-0000-0000-0000E76C0000}"/>
    <cellStyle name="Normal 354 3 3" xfId="27880" xr:uid="{00000000-0005-0000-0000-0000E86C0000}"/>
    <cellStyle name="Normal 354 3 3 2" xfId="27881" xr:uid="{00000000-0005-0000-0000-0000E96C0000}"/>
    <cellStyle name="Normal 354 3 3 2 2" xfId="27882" xr:uid="{00000000-0005-0000-0000-0000EA6C0000}"/>
    <cellStyle name="Normal 354 3 3 3" xfId="27883" xr:uid="{00000000-0005-0000-0000-0000EB6C0000}"/>
    <cellStyle name="Normal 354 3 4" xfId="27884" xr:uid="{00000000-0005-0000-0000-0000EC6C0000}"/>
    <cellStyle name="Normal 354 3 4 2" xfId="27885" xr:uid="{00000000-0005-0000-0000-0000ED6C0000}"/>
    <cellStyle name="Normal 354 3 4 2 2" xfId="27886" xr:uid="{00000000-0005-0000-0000-0000EE6C0000}"/>
    <cellStyle name="Normal 354 3 4 3" xfId="27887" xr:uid="{00000000-0005-0000-0000-0000EF6C0000}"/>
    <cellStyle name="Normal 354 3 5" xfId="27888" xr:uid="{00000000-0005-0000-0000-0000F06C0000}"/>
    <cellStyle name="Normal 354 3 5 2" xfId="27889" xr:uid="{00000000-0005-0000-0000-0000F16C0000}"/>
    <cellStyle name="Normal 354 3 5 2 2" xfId="27890" xr:uid="{00000000-0005-0000-0000-0000F26C0000}"/>
    <cellStyle name="Normal 354 3 5 3" xfId="27891" xr:uid="{00000000-0005-0000-0000-0000F36C0000}"/>
    <cellStyle name="Normal 354 3 6" xfId="27892" xr:uid="{00000000-0005-0000-0000-0000F46C0000}"/>
    <cellStyle name="Normal 354 4" xfId="27893" xr:uid="{00000000-0005-0000-0000-0000F56C0000}"/>
    <cellStyle name="Normal 354 4 2" xfId="27894" xr:uid="{00000000-0005-0000-0000-0000F66C0000}"/>
    <cellStyle name="Normal 354 4 2 2" xfId="27895" xr:uid="{00000000-0005-0000-0000-0000F76C0000}"/>
    <cellStyle name="Normal 354 4 3" xfId="27896" xr:uid="{00000000-0005-0000-0000-0000F86C0000}"/>
    <cellStyle name="Normal 354 5" xfId="27897" xr:uid="{00000000-0005-0000-0000-0000F96C0000}"/>
    <cellStyle name="Normal 354 5 2" xfId="27898" xr:uid="{00000000-0005-0000-0000-0000FA6C0000}"/>
    <cellStyle name="Normal 354 5 2 2" xfId="27899" xr:uid="{00000000-0005-0000-0000-0000FB6C0000}"/>
    <cellStyle name="Normal 354 5 3" xfId="27900" xr:uid="{00000000-0005-0000-0000-0000FC6C0000}"/>
    <cellStyle name="Normal 354 6" xfId="27901" xr:uid="{00000000-0005-0000-0000-0000FD6C0000}"/>
    <cellStyle name="Normal 354 6 2" xfId="27902" xr:uid="{00000000-0005-0000-0000-0000FE6C0000}"/>
    <cellStyle name="Normal 354 6 2 2" xfId="27903" xr:uid="{00000000-0005-0000-0000-0000FF6C0000}"/>
    <cellStyle name="Normal 354 6 3" xfId="27904" xr:uid="{00000000-0005-0000-0000-0000006D0000}"/>
    <cellStyle name="Normal 354 7" xfId="27905" xr:uid="{00000000-0005-0000-0000-0000016D0000}"/>
    <cellStyle name="Normal 355" xfId="73" xr:uid="{00000000-0005-0000-0000-000049000000}"/>
    <cellStyle name="Normal 355 2" xfId="27906" xr:uid="{00000000-0005-0000-0000-0000026D0000}"/>
    <cellStyle name="Normal 355 2 2" xfId="27907" xr:uid="{00000000-0005-0000-0000-0000036D0000}"/>
    <cellStyle name="Normal 355 2 2 2" xfId="27908" xr:uid="{00000000-0005-0000-0000-0000046D0000}"/>
    <cellStyle name="Normal 355 2 3" xfId="27909" xr:uid="{00000000-0005-0000-0000-0000056D0000}"/>
    <cellStyle name="Normal 355 2 3 2" xfId="27910" xr:uid="{00000000-0005-0000-0000-0000066D0000}"/>
    <cellStyle name="Normal 355 2 3 2 2" xfId="27911" xr:uid="{00000000-0005-0000-0000-0000076D0000}"/>
    <cellStyle name="Normal 355 2 3 3" xfId="27912" xr:uid="{00000000-0005-0000-0000-0000086D0000}"/>
    <cellStyle name="Normal 355 2 4" xfId="27913" xr:uid="{00000000-0005-0000-0000-0000096D0000}"/>
    <cellStyle name="Normal 355 2 4 2" xfId="27914" xr:uid="{00000000-0005-0000-0000-00000A6D0000}"/>
    <cellStyle name="Normal 355 2 4 2 2" xfId="27915" xr:uid="{00000000-0005-0000-0000-00000B6D0000}"/>
    <cellStyle name="Normal 355 2 4 3" xfId="27916" xr:uid="{00000000-0005-0000-0000-00000C6D0000}"/>
    <cellStyle name="Normal 355 2 5" xfId="27917" xr:uid="{00000000-0005-0000-0000-00000D6D0000}"/>
    <cellStyle name="Normal 355 3" xfId="27918" xr:uid="{00000000-0005-0000-0000-00000E6D0000}"/>
    <cellStyle name="Normal 355 3 2" xfId="27919" xr:uid="{00000000-0005-0000-0000-00000F6D0000}"/>
    <cellStyle name="Normal 355 3 2 2" xfId="27920" xr:uid="{00000000-0005-0000-0000-0000106D0000}"/>
    <cellStyle name="Normal 355 3 2 2 2" xfId="27921" xr:uid="{00000000-0005-0000-0000-0000116D0000}"/>
    <cellStyle name="Normal 355 3 2 3" xfId="27922" xr:uid="{00000000-0005-0000-0000-0000126D0000}"/>
    <cellStyle name="Normal 355 3 2 3 2" xfId="27923" xr:uid="{00000000-0005-0000-0000-0000136D0000}"/>
    <cellStyle name="Normal 355 3 2 3 2 2" xfId="27924" xr:uid="{00000000-0005-0000-0000-0000146D0000}"/>
    <cellStyle name="Normal 355 3 2 3 3" xfId="27925" xr:uid="{00000000-0005-0000-0000-0000156D0000}"/>
    <cellStyle name="Normal 355 3 2 4" xfId="27926" xr:uid="{00000000-0005-0000-0000-0000166D0000}"/>
    <cellStyle name="Normal 355 3 3" xfId="27927" xr:uid="{00000000-0005-0000-0000-0000176D0000}"/>
    <cellStyle name="Normal 355 3 3 2" xfId="27928" xr:uid="{00000000-0005-0000-0000-0000186D0000}"/>
    <cellStyle name="Normal 355 3 3 2 2" xfId="27929" xr:uid="{00000000-0005-0000-0000-0000196D0000}"/>
    <cellStyle name="Normal 355 3 3 3" xfId="27930" xr:uid="{00000000-0005-0000-0000-00001A6D0000}"/>
    <cellStyle name="Normal 355 3 4" xfId="27931" xr:uid="{00000000-0005-0000-0000-00001B6D0000}"/>
    <cellStyle name="Normal 355 3 4 2" xfId="27932" xr:uid="{00000000-0005-0000-0000-00001C6D0000}"/>
    <cellStyle name="Normal 355 3 4 2 2" xfId="27933" xr:uid="{00000000-0005-0000-0000-00001D6D0000}"/>
    <cellStyle name="Normal 355 3 4 3" xfId="27934" xr:uid="{00000000-0005-0000-0000-00001E6D0000}"/>
    <cellStyle name="Normal 355 3 5" xfId="27935" xr:uid="{00000000-0005-0000-0000-00001F6D0000}"/>
    <cellStyle name="Normal 355 3 5 2" xfId="27936" xr:uid="{00000000-0005-0000-0000-0000206D0000}"/>
    <cellStyle name="Normal 355 3 5 2 2" xfId="27937" xr:uid="{00000000-0005-0000-0000-0000216D0000}"/>
    <cellStyle name="Normal 355 3 5 3" xfId="27938" xr:uid="{00000000-0005-0000-0000-0000226D0000}"/>
    <cellStyle name="Normal 355 3 6" xfId="27939" xr:uid="{00000000-0005-0000-0000-0000236D0000}"/>
    <cellStyle name="Normal 355 4" xfId="27940" xr:uid="{00000000-0005-0000-0000-0000246D0000}"/>
    <cellStyle name="Normal 355 4 2" xfId="27941" xr:uid="{00000000-0005-0000-0000-0000256D0000}"/>
    <cellStyle name="Normal 355 4 2 2" xfId="27942" xr:uid="{00000000-0005-0000-0000-0000266D0000}"/>
    <cellStyle name="Normal 355 4 3" xfId="27943" xr:uid="{00000000-0005-0000-0000-0000276D0000}"/>
    <cellStyle name="Normal 355 5" xfId="27944" xr:uid="{00000000-0005-0000-0000-0000286D0000}"/>
    <cellStyle name="Normal 355 5 2" xfId="27945" xr:uid="{00000000-0005-0000-0000-0000296D0000}"/>
    <cellStyle name="Normal 355 5 2 2" xfId="27946" xr:uid="{00000000-0005-0000-0000-00002A6D0000}"/>
    <cellStyle name="Normal 355 5 3" xfId="27947" xr:uid="{00000000-0005-0000-0000-00002B6D0000}"/>
    <cellStyle name="Normal 355 6" xfId="27948" xr:uid="{00000000-0005-0000-0000-00002C6D0000}"/>
    <cellStyle name="Normal 355 6 2" xfId="27949" xr:uid="{00000000-0005-0000-0000-00002D6D0000}"/>
    <cellStyle name="Normal 355 6 2 2" xfId="27950" xr:uid="{00000000-0005-0000-0000-00002E6D0000}"/>
    <cellStyle name="Normal 355 6 3" xfId="27951" xr:uid="{00000000-0005-0000-0000-00002F6D0000}"/>
    <cellStyle name="Normal 355 7" xfId="27952" xr:uid="{00000000-0005-0000-0000-0000306D0000}"/>
    <cellStyle name="Normal 356" xfId="27953" xr:uid="{00000000-0005-0000-0000-0000316D0000}"/>
    <cellStyle name="Normal 356 2" xfId="27954" xr:uid="{00000000-0005-0000-0000-0000326D0000}"/>
    <cellStyle name="Normal 356 2 2" xfId="27955" xr:uid="{00000000-0005-0000-0000-0000336D0000}"/>
    <cellStyle name="Normal 356 2 2 2" xfId="27956" xr:uid="{00000000-0005-0000-0000-0000346D0000}"/>
    <cellStyle name="Normal 356 2 3" xfId="27957" xr:uid="{00000000-0005-0000-0000-0000356D0000}"/>
    <cellStyle name="Normal 356 2 3 2" xfId="27958" xr:uid="{00000000-0005-0000-0000-0000366D0000}"/>
    <cellStyle name="Normal 356 2 3 2 2" xfId="27959" xr:uid="{00000000-0005-0000-0000-0000376D0000}"/>
    <cellStyle name="Normal 356 2 3 3" xfId="27960" xr:uid="{00000000-0005-0000-0000-0000386D0000}"/>
    <cellStyle name="Normal 356 2 4" xfId="27961" xr:uid="{00000000-0005-0000-0000-0000396D0000}"/>
    <cellStyle name="Normal 356 2 4 2" xfId="27962" xr:uid="{00000000-0005-0000-0000-00003A6D0000}"/>
    <cellStyle name="Normal 356 2 4 2 2" xfId="27963" xr:uid="{00000000-0005-0000-0000-00003B6D0000}"/>
    <cellStyle name="Normal 356 2 4 3" xfId="27964" xr:uid="{00000000-0005-0000-0000-00003C6D0000}"/>
    <cellStyle name="Normal 356 2 5" xfId="27965" xr:uid="{00000000-0005-0000-0000-00003D6D0000}"/>
    <cellStyle name="Normal 356 3" xfId="27966" xr:uid="{00000000-0005-0000-0000-00003E6D0000}"/>
    <cellStyle name="Normal 356 3 2" xfId="27967" xr:uid="{00000000-0005-0000-0000-00003F6D0000}"/>
    <cellStyle name="Normal 356 3 2 2" xfId="27968" xr:uid="{00000000-0005-0000-0000-0000406D0000}"/>
    <cellStyle name="Normal 356 3 2 2 2" xfId="27969" xr:uid="{00000000-0005-0000-0000-0000416D0000}"/>
    <cellStyle name="Normal 356 3 2 3" xfId="27970" xr:uid="{00000000-0005-0000-0000-0000426D0000}"/>
    <cellStyle name="Normal 356 3 2 3 2" xfId="27971" xr:uid="{00000000-0005-0000-0000-0000436D0000}"/>
    <cellStyle name="Normal 356 3 2 3 2 2" xfId="27972" xr:uid="{00000000-0005-0000-0000-0000446D0000}"/>
    <cellStyle name="Normal 356 3 2 3 3" xfId="27973" xr:uid="{00000000-0005-0000-0000-0000456D0000}"/>
    <cellStyle name="Normal 356 3 2 4" xfId="27974" xr:uid="{00000000-0005-0000-0000-0000466D0000}"/>
    <cellStyle name="Normal 356 3 3" xfId="27975" xr:uid="{00000000-0005-0000-0000-0000476D0000}"/>
    <cellStyle name="Normal 356 3 3 2" xfId="27976" xr:uid="{00000000-0005-0000-0000-0000486D0000}"/>
    <cellStyle name="Normal 356 3 3 2 2" xfId="27977" xr:uid="{00000000-0005-0000-0000-0000496D0000}"/>
    <cellStyle name="Normal 356 3 3 3" xfId="27978" xr:uid="{00000000-0005-0000-0000-00004A6D0000}"/>
    <cellStyle name="Normal 356 3 4" xfId="27979" xr:uid="{00000000-0005-0000-0000-00004B6D0000}"/>
    <cellStyle name="Normal 356 3 4 2" xfId="27980" xr:uid="{00000000-0005-0000-0000-00004C6D0000}"/>
    <cellStyle name="Normal 356 3 4 2 2" xfId="27981" xr:uid="{00000000-0005-0000-0000-00004D6D0000}"/>
    <cellStyle name="Normal 356 3 4 3" xfId="27982" xr:uid="{00000000-0005-0000-0000-00004E6D0000}"/>
    <cellStyle name="Normal 356 3 5" xfId="27983" xr:uid="{00000000-0005-0000-0000-00004F6D0000}"/>
    <cellStyle name="Normal 356 3 5 2" xfId="27984" xr:uid="{00000000-0005-0000-0000-0000506D0000}"/>
    <cellStyle name="Normal 356 3 5 2 2" xfId="27985" xr:uid="{00000000-0005-0000-0000-0000516D0000}"/>
    <cellStyle name="Normal 356 3 5 3" xfId="27986" xr:uid="{00000000-0005-0000-0000-0000526D0000}"/>
    <cellStyle name="Normal 356 3 6" xfId="27987" xr:uid="{00000000-0005-0000-0000-0000536D0000}"/>
    <cellStyle name="Normal 356 4" xfId="27988" xr:uid="{00000000-0005-0000-0000-0000546D0000}"/>
    <cellStyle name="Normal 356 4 2" xfId="27989" xr:uid="{00000000-0005-0000-0000-0000556D0000}"/>
    <cellStyle name="Normal 356 4 2 2" xfId="27990" xr:uid="{00000000-0005-0000-0000-0000566D0000}"/>
    <cellStyle name="Normal 356 4 3" xfId="27991" xr:uid="{00000000-0005-0000-0000-0000576D0000}"/>
    <cellStyle name="Normal 356 5" xfId="27992" xr:uid="{00000000-0005-0000-0000-0000586D0000}"/>
    <cellStyle name="Normal 356 5 2" xfId="27993" xr:uid="{00000000-0005-0000-0000-0000596D0000}"/>
    <cellStyle name="Normal 356 5 2 2" xfId="27994" xr:uid="{00000000-0005-0000-0000-00005A6D0000}"/>
    <cellStyle name="Normal 356 5 3" xfId="27995" xr:uid="{00000000-0005-0000-0000-00005B6D0000}"/>
    <cellStyle name="Normal 356 6" xfId="27996" xr:uid="{00000000-0005-0000-0000-00005C6D0000}"/>
    <cellStyle name="Normal 356 6 2" xfId="27997" xr:uid="{00000000-0005-0000-0000-00005D6D0000}"/>
    <cellStyle name="Normal 356 6 2 2" xfId="27998" xr:uid="{00000000-0005-0000-0000-00005E6D0000}"/>
    <cellStyle name="Normal 356 6 3" xfId="27999" xr:uid="{00000000-0005-0000-0000-00005F6D0000}"/>
    <cellStyle name="Normal 356 7" xfId="28000" xr:uid="{00000000-0005-0000-0000-0000606D0000}"/>
    <cellStyle name="Normal 357" xfId="28001" xr:uid="{00000000-0005-0000-0000-0000616D0000}"/>
    <cellStyle name="Normal 357 2" xfId="28002" xr:uid="{00000000-0005-0000-0000-0000626D0000}"/>
    <cellStyle name="Normal 357 2 2" xfId="28003" xr:uid="{00000000-0005-0000-0000-0000636D0000}"/>
    <cellStyle name="Normal 357 2 2 2" xfId="28004" xr:uid="{00000000-0005-0000-0000-0000646D0000}"/>
    <cellStyle name="Normal 357 2 3" xfId="28005" xr:uid="{00000000-0005-0000-0000-0000656D0000}"/>
    <cellStyle name="Normal 357 2 3 2" xfId="28006" xr:uid="{00000000-0005-0000-0000-0000666D0000}"/>
    <cellStyle name="Normal 357 2 3 2 2" xfId="28007" xr:uid="{00000000-0005-0000-0000-0000676D0000}"/>
    <cellStyle name="Normal 357 2 3 3" xfId="28008" xr:uid="{00000000-0005-0000-0000-0000686D0000}"/>
    <cellStyle name="Normal 357 2 4" xfId="28009" xr:uid="{00000000-0005-0000-0000-0000696D0000}"/>
    <cellStyle name="Normal 357 2 4 2" xfId="28010" xr:uid="{00000000-0005-0000-0000-00006A6D0000}"/>
    <cellStyle name="Normal 357 2 4 2 2" xfId="28011" xr:uid="{00000000-0005-0000-0000-00006B6D0000}"/>
    <cellStyle name="Normal 357 2 4 3" xfId="28012" xr:uid="{00000000-0005-0000-0000-00006C6D0000}"/>
    <cellStyle name="Normal 357 2 5" xfId="28013" xr:uid="{00000000-0005-0000-0000-00006D6D0000}"/>
    <cellStyle name="Normal 357 3" xfId="28014" xr:uid="{00000000-0005-0000-0000-00006E6D0000}"/>
    <cellStyle name="Normal 357 3 2" xfId="28015" xr:uid="{00000000-0005-0000-0000-00006F6D0000}"/>
    <cellStyle name="Normal 357 3 2 2" xfId="28016" xr:uid="{00000000-0005-0000-0000-0000706D0000}"/>
    <cellStyle name="Normal 357 3 2 2 2" xfId="28017" xr:uid="{00000000-0005-0000-0000-0000716D0000}"/>
    <cellStyle name="Normal 357 3 2 3" xfId="28018" xr:uid="{00000000-0005-0000-0000-0000726D0000}"/>
    <cellStyle name="Normal 357 3 2 3 2" xfId="28019" xr:uid="{00000000-0005-0000-0000-0000736D0000}"/>
    <cellStyle name="Normal 357 3 2 3 2 2" xfId="28020" xr:uid="{00000000-0005-0000-0000-0000746D0000}"/>
    <cellStyle name="Normal 357 3 2 3 3" xfId="28021" xr:uid="{00000000-0005-0000-0000-0000756D0000}"/>
    <cellStyle name="Normal 357 3 2 4" xfId="28022" xr:uid="{00000000-0005-0000-0000-0000766D0000}"/>
    <cellStyle name="Normal 357 3 3" xfId="28023" xr:uid="{00000000-0005-0000-0000-0000776D0000}"/>
    <cellStyle name="Normal 357 3 3 2" xfId="28024" xr:uid="{00000000-0005-0000-0000-0000786D0000}"/>
    <cellStyle name="Normal 357 3 3 2 2" xfId="28025" xr:uid="{00000000-0005-0000-0000-0000796D0000}"/>
    <cellStyle name="Normal 357 3 3 3" xfId="28026" xr:uid="{00000000-0005-0000-0000-00007A6D0000}"/>
    <cellStyle name="Normal 357 3 4" xfId="28027" xr:uid="{00000000-0005-0000-0000-00007B6D0000}"/>
    <cellStyle name="Normal 357 3 4 2" xfId="28028" xr:uid="{00000000-0005-0000-0000-00007C6D0000}"/>
    <cellStyle name="Normal 357 3 4 2 2" xfId="28029" xr:uid="{00000000-0005-0000-0000-00007D6D0000}"/>
    <cellStyle name="Normal 357 3 4 3" xfId="28030" xr:uid="{00000000-0005-0000-0000-00007E6D0000}"/>
    <cellStyle name="Normal 357 3 5" xfId="28031" xr:uid="{00000000-0005-0000-0000-00007F6D0000}"/>
    <cellStyle name="Normal 357 3 5 2" xfId="28032" xr:uid="{00000000-0005-0000-0000-0000806D0000}"/>
    <cellStyle name="Normal 357 3 5 2 2" xfId="28033" xr:uid="{00000000-0005-0000-0000-0000816D0000}"/>
    <cellStyle name="Normal 357 3 5 3" xfId="28034" xr:uid="{00000000-0005-0000-0000-0000826D0000}"/>
    <cellStyle name="Normal 357 3 6" xfId="28035" xr:uid="{00000000-0005-0000-0000-0000836D0000}"/>
    <cellStyle name="Normal 357 4" xfId="28036" xr:uid="{00000000-0005-0000-0000-0000846D0000}"/>
    <cellStyle name="Normal 357 4 2" xfId="28037" xr:uid="{00000000-0005-0000-0000-0000856D0000}"/>
    <cellStyle name="Normal 357 4 2 2" xfId="28038" xr:uid="{00000000-0005-0000-0000-0000866D0000}"/>
    <cellStyle name="Normal 357 4 3" xfId="28039" xr:uid="{00000000-0005-0000-0000-0000876D0000}"/>
    <cellStyle name="Normal 357 5" xfId="28040" xr:uid="{00000000-0005-0000-0000-0000886D0000}"/>
    <cellStyle name="Normal 357 5 2" xfId="28041" xr:uid="{00000000-0005-0000-0000-0000896D0000}"/>
    <cellStyle name="Normal 357 5 2 2" xfId="28042" xr:uid="{00000000-0005-0000-0000-00008A6D0000}"/>
    <cellStyle name="Normal 357 5 3" xfId="28043" xr:uid="{00000000-0005-0000-0000-00008B6D0000}"/>
    <cellStyle name="Normal 357 6" xfId="28044" xr:uid="{00000000-0005-0000-0000-00008C6D0000}"/>
    <cellStyle name="Normal 357 6 2" xfId="28045" xr:uid="{00000000-0005-0000-0000-00008D6D0000}"/>
    <cellStyle name="Normal 357 6 2 2" xfId="28046" xr:uid="{00000000-0005-0000-0000-00008E6D0000}"/>
    <cellStyle name="Normal 357 6 3" xfId="28047" xr:uid="{00000000-0005-0000-0000-00008F6D0000}"/>
    <cellStyle name="Normal 357 7" xfId="28048" xr:uid="{00000000-0005-0000-0000-0000906D0000}"/>
    <cellStyle name="Normal 358" xfId="28049" xr:uid="{00000000-0005-0000-0000-0000916D0000}"/>
    <cellStyle name="Normal 358 2" xfId="28050" xr:uid="{00000000-0005-0000-0000-0000926D0000}"/>
    <cellStyle name="Normal 358 2 2" xfId="28051" xr:uid="{00000000-0005-0000-0000-0000936D0000}"/>
    <cellStyle name="Normal 358 2 2 2" xfId="28052" xr:uid="{00000000-0005-0000-0000-0000946D0000}"/>
    <cellStyle name="Normal 358 2 3" xfId="28053" xr:uid="{00000000-0005-0000-0000-0000956D0000}"/>
    <cellStyle name="Normal 358 2 3 2" xfId="28054" xr:uid="{00000000-0005-0000-0000-0000966D0000}"/>
    <cellStyle name="Normal 358 2 3 2 2" xfId="28055" xr:uid="{00000000-0005-0000-0000-0000976D0000}"/>
    <cellStyle name="Normal 358 2 3 3" xfId="28056" xr:uid="{00000000-0005-0000-0000-0000986D0000}"/>
    <cellStyle name="Normal 358 2 4" xfId="28057" xr:uid="{00000000-0005-0000-0000-0000996D0000}"/>
    <cellStyle name="Normal 358 2 4 2" xfId="28058" xr:uid="{00000000-0005-0000-0000-00009A6D0000}"/>
    <cellStyle name="Normal 358 2 4 2 2" xfId="28059" xr:uid="{00000000-0005-0000-0000-00009B6D0000}"/>
    <cellStyle name="Normal 358 2 4 3" xfId="28060" xr:uid="{00000000-0005-0000-0000-00009C6D0000}"/>
    <cellStyle name="Normal 358 2 5" xfId="28061" xr:uid="{00000000-0005-0000-0000-00009D6D0000}"/>
    <cellStyle name="Normal 358 3" xfId="28062" xr:uid="{00000000-0005-0000-0000-00009E6D0000}"/>
    <cellStyle name="Normal 358 3 2" xfId="28063" xr:uid="{00000000-0005-0000-0000-00009F6D0000}"/>
    <cellStyle name="Normal 358 3 2 2" xfId="28064" xr:uid="{00000000-0005-0000-0000-0000A06D0000}"/>
    <cellStyle name="Normal 358 3 2 2 2" xfId="28065" xr:uid="{00000000-0005-0000-0000-0000A16D0000}"/>
    <cellStyle name="Normal 358 3 2 3" xfId="28066" xr:uid="{00000000-0005-0000-0000-0000A26D0000}"/>
    <cellStyle name="Normal 358 3 2 3 2" xfId="28067" xr:uid="{00000000-0005-0000-0000-0000A36D0000}"/>
    <cellStyle name="Normal 358 3 2 3 2 2" xfId="28068" xr:uid="{00000000-0005-0000-0000-0000A46D0000}"/>
    <cellStyle name="Normal 358 3 2 3 3" xfId="28069" xr:uid="{00000000-0005-0000-0000-0000A56D0000}"/>
    <cellStyle name="Normal 358 3 2 4" xfId="28070" xr:uid="{00000000-0005-0000-0000-0000A66D0000}"/>
    <cellStyle name="Normal 358 3 3" xfId="28071" xr:uid="{00000000-0005-0000-0000-0000A76D0000}"/>
    <cellStyle name="Normal 358 3 3 2" xfId="28072" xr:uid="{00000000-0005-0000-0000-0000A86D0000}"/>
    <cellStyle name="Normal 358 3 3 2 2" xfId="28073" xr:uid="{00000000-0005-0000-0000-0000A96D0000}"/>
    <cellStyle name="Normal 358 3 3 3" xfId="28074" xr:uid="{00000000-0005-0000-0000-0000AA6D0000}"/>
    <cellStyle name="Normal 358 3 4" xfId="28075" xr:uid="{00000000-0005-0000-0000-0000AB6D0000}"/>
    <cellStyle name="Normal 358 3 4 2" xfId="28076" xr:uid="{00000000-0005-0000-0000-0000AC6D0000}"/>
    <cellStyle name="Normal 358 3 4 2 2" xfId="28077" xr:uid="{00000000-0005-0000-0000-0000AD6D0000}"/>
    <cellStyle name="Normal 358 3 4 3" xfId="28078" xr:uid="{00000000-0005-0000-0000-0000AE6D0000}"/>
    <cellStyle name="Normal 358 3 5" xfId="28079" xr:uid="{00000000-0005-0000-0000-0000AF6D0000}"/>
    <cellStyle name="Normal 358 3 5 2" xfId="28080" xr:uid="{00000000-0005-0000-0000-0000B06D0000}"/>
    <cellStyle name="Normal 358 3 5 2 2" xfId="28081" xr:uid="{00000000-0005-0000-0000-0000B16D0000}"/>
    <cellStyle name="Normal 358 3 5 3" xfId="28082" xr:uid="{00000000-0005-0000-0000-0000B26D0000}"/>
    <cellStyle name="Normal 358 3 6" xfId="28083" xr:uid="{00000000-0005-0000-0000-0000B36D0000}"/>
    <cellStyle name="Normal 358 4" xfId="28084" xr:uid="{00000000-0005-0000-0000-0000B46D0000}"/>
    <cellStyle name="Normal 358 4 2" xfId="28085" xr:uid="{00000000-0005-0000-0000-0000B56D0000}"/>
    <cellStyle name="Normal 358 4 2 2" xfId="28086" xr:uid="{00000000-0005-0000-0000-0000B66D0000}"/>
    <cellStyle name="Normal 358 4 3" xfId="28087" xr:uid="{00000000-0005-0000-0000-0000B76D0000}"/>
    <cellStyle name="Normal 358 5" xfId="28088" xr:uid="{00000000-0005-0000-0000-0000B86D0000}"/>
    <cellStyle name="Normal 358 5 2" xfId="28089" xr:uid="{00000000-0005-0000-0000-0000B96D0000}"/>
    <cellStyle name="Normal 358 5 2 2" xfId="28090" xr:uid="{00000000-0005-0000-0000-0000BA6D0000}"/>
    <cellStyle name="Normal 358 5 3" xfId="28091" xr:uid="{00000000-0005-0000-0000-0000BB6D0000}"/>
    <cellStyle name="Normal 358 6" xfId="28092" xr:uid="{00000000-0005-0000-0000-0000BC6D0000}"/>
    <cellStyle name="Normal 358 6 2" xfId="28093" xr:uid="{00000000-0005-0000-0000-0000BD6D0000}"/>
    <cellStyle name="Normal 358 6 2 2" xfId="28094" xr:uid="{00000000-0005-0000-0000-0000BE6D0000}"/>
    <cellStyle name="Normal 358 6 3" xfId="28095" xr:uid="{00000000-0005-0000-0000-0000BF6D0000}"/>
    <cellStyle name="Normal 358 7" xfId="28096" xr:uid="{00000000-0005-0000-0000-0000C06D0000}"/>
    <cellStyle name="Normal 359" xfId="28097" xr:uid="{00000000-0005-0000-0000-0000C16D0000}"/>
    <cellStyle name="Normal 359 2" xfId="28098" xr:uid="{00000000-0005-0000-0000-0000C26D0000}"/>
    <cellStyle name="Normal 359 2 2" xfId="28099" xr:uid="{00000000-0005-0000-0000-0000C36D0000}"/>
    <cellStyle name="Normal 359 2 2 2" xfId="28100" xr:uid="{00000000-0005-0000-0000-0000C46D0000}"/>
    <cellStyle name="Normal 359 2 3" xfId="28101" xr:uid="{00000000-0005-0000-0000-0000C56D0000}"/>
    <cellStyle name="Normal 359 2 3 2" xfId="28102" xr:uid="{00000000-0005-0000-0000-0000C66D0000}"/>
    <cellStyle name="Normal 359 2 3 2 2" xfId="28103" xr:uid="{00000000-0005-0000-0000-0000C76D0000}"/>
    <cellStyle name="Normal 359 2 3 3" xfId="28104" xr:uid="{00000000-0005-0000-0000-0000C86D0000}"/>
    <cellStyle name="Normal 359 2 4" xfId="28105" xr:uid="{00000000-0005-0000-0000-0000C96D0000}"/>
    <cellStyle name="Normal 359 2 4 2" xfId="28106" xr:uid="{00000000-0005-0000-0000-0000CA6D0000}"/>
    <cellStyle name="Normal 359 2 4 2 2" xfId="28107" xr:uid="{00000000-0005-0000-0000-0000CB6D0000}"/>
    <cellStyle name="Normal 359 2 4 3" xfId="28108" xr:uid="{00000000-0005-0000-0000-0000CC6D0000}"/>
    <cellStyle name="Normal 359 2 5" xfId="28109" xr:uid="{00000000-0005-0000-0000-0000CD6D0000}"/>
    <cellStyle name="Normal 359 3" xfId="28110" xr:uid="{00000000-0005-0000-0000-0000CE6D0000}"/>
    <cellStyle name="Normal 359 3 2" xfId="28111" xr:uid="{00000000-0005-0000-0000-0000CF6D0000}"/>
    <cellStyle name="Normal 359 3 2 2" xfId="28112" xr:uid="{00000000-0005-0000-0000-0000D06D0000}"/>
    <cellStyle name="Normal 359 3 2 2 2" xfId="28113" xr:uid="{00000000-0005-0000-0000-0000D16D0000}"/>
    <cellStyle name="Normal 359 3 2 3" xfId="28114" xr:uid="{00000000-0005-0000-0000-0000D26D0000}"/>
    <cellStyle name="Normal 359 3 2 3 2" xfId="28115" xr:uid="{00000000-0005-0000-0000-0000D36D0000}"/>
    <cellStyle name="Normal 359 3 2 3 2 2" xfId="28116" xr:uid="{00000000-0005-0000-0000-0000D46D0000}"/>
    <cellStyle name="Normal 359 3 2 3 3" xfId="28117" xr:uid="{00000000-0005-0000-0000-0000D56D0000}"/>
    <cellStyle name="Normal 359 3 2 4" xfId="28118" xr:uid="{00000000-0005-0000-0000-0000D66D0000}"/>
    <cellStyle name="Normal 359 3 3" xfId="28119" xr:uid="{00000000-0005-0000-0000-0000D76D0000}"/>
    <cellStyle name="Normal 359 3 3 2" xfId="28120" xr:uid="{00000000-0005-0000-0000-0000D86D0000}"/>
    <cellStyle name="Normal 359 3 3 2 2" xfId="28121" xr:uid="{00000000-0005-0000-0000-0000D96D0000}"/>
    <cellStyle name="Normal 359 3 3 3" xfId="28122" xr:uid="{00000000-0005-0000-0000-0000DA6D0000}"/>
    <cellStyle name="Normal 359 3 4" xfId="28123" xr:uid="{00000000-0005-0000-0000-0000DB6D0000}"/>
    <cellStyle name="Normal 359 3 4 2" xfId="28124" xr:uid="{00000000-0005-0000-0000-0000DC6D0000}"/>
    <cellStyle name="Normal 359 3 4 2 2" xfId="28125" xr:uid="{00000000-0005-0000-0000-0000DD6D0000}"/>
    <cellStyle name="Normal 359 3 4 3" xfId="28126" xr:uid="{00000000-0005-0000-0000-0000DE6D0000}"/>
    <cellStyle name="Normal 359 3 5" xfId="28127" xr:uid="{00000000-0005-0000-0000-0000DF6D0000}"/>
    <cellStyle name="Normal 359 3 5 2" xfId="28128" xr:uid="{00000000-0005-0000-0000-0000E06D0000}"/>
    <cellStyle name="Normal 359 3 5 2 2" xfId="28129" xr:uid="{00000000-0005-0000-0000-0000E16D0000}"/>
    <cellStyle name="Normal 359 3 5 3" xfId="28130" xr:uid="{00000000-0005-0000-0000-0000E26D0000}"/>
    <cellStyle name="Normal 359 3 6" xfId="28131" xr:uid="{00000000-0005-0000-0000-0000E36D0000}"/>
    <cellStyle name="Normal 359 4" xfId="28132" xr:uid="{00000000-0005-0000-0000-0000E46D0000}"/>
    <cellStyle name="Normal 359 4 2" xfId="28133" xr:uid="{00000000-0005-0000-0000-0000E56D0000}"/>
    <cellStyle name="Normal 359 4 2 2" xfId="28134" xr:uid="{00000000-0005-0000-0000-0000E66D0000}"/>
    <cellStyle name="Normal 359 4 3" xfId="28135" xr:uid="{00000000-0005-0000-0000-0000E76D0000}"/>
    <cellStyle name="Normal 359 5" xfId="28136" xr:uid="{00000000-0005-0000-0000-0000E86D0000}"/>
    <cellStyle name="Normal 359 5 2" xfId="28137" xr:uid="{00000000-0005-0000-0000-0000E96D0000}"/>
    <cellStyle name="Normal 359 5 2 2" xfId="28138" xr:uid="{00000000-0005-0000-0000-0000EA6D0000}"/>
    <cellStyle name="Normal 359 5 3" xfId="28139" xr:uid="{00000000-0005-0000-0000-0000EB6D0000}"/>
    <cellStyle name="Normal 359 6" xfId="28140" xr:uid="{00000000-0005-0000-0000-0000EC6D0000}"/>
    <cellStyle name="Normal 359 6 2" xfId="28141" xr:uid="{00000000-0005-0000-0000-0000ED6D0000}"/>
    <cellStyle name="Normal 359 6 2 2" xfId="28142" xr:uid="{00000000-0005-0000-0000-0000EE6D0000}"/>
    <cellStyle name="Normal 359 6 3" xfId="28143" xr:uid="{00000000-0005-0000-0000-0000EF6D0000}"/>
    <cellStyle name="Normal 359 7" xfId="28144" xr:uid="{00000000-0005-0000-0000-0000F06D0000}"/>
    <cellStyle name="Normal 36" xfId="28145" xr:uid="{00000000-0005-0000-0000-0000F16D0000}"/>
    <cellStyle name="Normal 36 2" xfId="28146" xr:uid="{00000000-0005-0000-0000-0000F26D0000}"/>
    <cellStyle name="Normal 36 2 2" xfId="28147" xr:uid="{00000000-0005-0000-0000-0000F36D0000}"/>
    <cellStyle name="Normal 36 2 2 2" xfId="28148" xr:uid="{00000000-0005-0000-0000-0000F46D0000}"/>
    <cellStyle name="Normal 36 2 2 2 2" xfId="28149" xr:uid="{00000000-0005-0000-0000-0000F56D0000}"/>
    <cellStyle name="Normal 36 2 2 3" xfId="28150" xr:uid="{00000000-0005-0000-0000-0000F66D0000}"/>
    <cellStyle name="Normal 36 2 2 3 2" xfId="28151" xr:uid="{00000000-0005-0000-0000-0000F76D0000}"/>
    <cellStyle name="Normal 36 2 2 3 2 2" xfId="28152" xr:uid="{00000000-0005-0000-0000-0000F86D0000}"/>
    <cellStyle name="Normal 36 2 2 3 3" xfId="28153" xr:uid="{00000000-0005-0000-0000-0000F96D0000}"/>
    <cellStyle name="Normal 36 2 2 4" xfId="28154" xr:uid="{00000000-0005-0000-0000-0000FA6D0000}"/>
    <cellStyle name="Normal 36 2 2 4 2" xfId="28155" xr:uid="{00000000-0005-0000-0000-0000FB6D0000}"/>
    <cellStyle name="Normal 36 2 2 4 2 2" xfId="28156" xr:uid="{00000000-0005-0000-0000-0000FC6D0000}"/>
    <cellStyle name="Normal 36 2 2 4 3" xfId="28157" xr:uid="{00000000-0005-0000-0000-0000FD6D0000}"/>
    <cellStyle name="Normal 36 2 2 5" xfId="28158" xr:uid="{00000000-0005-0000-0000-0000FE6D0000}"/>
    <cellStyle name="Normal 36 2 3" xfId="28159" xr:uid="{00000000-0005-0000-0000-0000FF6D0000}"/>
    <cellStyle name="Normal 36 2 3 2" xfId="28160" xr:uid="{00000000-0005-0000-0000-0000006E0000}"/>
    <cellStyle name="Normal 36 2 3 2 2" xfId="28161" xr:uid="{00000000-0005-0000-0000-0000016E0000}"/>
    <cellStyle name="Normal 36 2 3 3" xfId="28162" xr:uid="{00000000-0005-0000-0000-0000026E0000}"/>
    <cellStyle name="Normal 36 2 4" xfId="28163" xr:uid="{00000000-0005-0000-0000-0000036E0000}"/>
    <cellStyle name="Normal 36 2 4 2" xfId="28164" xr:uid="{00000000-0005-0000-0000-0000046E0000}"/>
    <cellStyle name="Normal 36 2 4 2 2" xfId="28165" xr:uid="{00000000-0005-0000-0000-0000056E0000}"/>
    <cellStyle name="Normal 36 2 4 3" xfId="28166" xr:uid="{00000000-0005-0000-0000-0000066E0000}"/>
    <cellStyle name="Normal 36 2 5" xfId="28167" xr:uid="{00000000-0005-0000-0000-0000076E0000}"/>
    <cellStyle name="Normal 36 2 5 2" xfId="28168" xr:uid="{00000000-0005-0000-0000-0000086E0000}"/>
    <cellStyle name="Normal 36 2 5 2 2" xfId="28169" xr:uid="{00000000-0005-0000-0000-0000096E0000}"/>
    <cellStyle name="Normal 36 2 5 3" xfId="28170" xr:uid="{00000000-0005-0000-0000-00000A6E0000}"/>
    <cellStyle name="Normal 36 2 6" xfId="28171" xr:uid="{00000000-0005-0000-0000-00000B6E0000}"/>
    <cellStyle name="Normal 36 3" xfId="28172" xr:uid="{00000000-0005-0000-0000-00000C6E0000}"/>
    <cellStyle name="Normal 36 3 2" xfId="28173" xr:uid="{00000000-0005-0000-0000-00000D6E0000}"/>
    <cellStyle name="Normal 36 3 2 2" xfId="28174" xr:uid="{00000000-0005-0000-0000-00000E6E0000}"/>
    <cellStyle name="Normal 36 3 3" xfId="28175" xr:uid="{00000000-0005-0000-0000-00000F6E0000}"/>
    <cellStyle name="Normal 36 3 3 2" xfId="28176" xr:uid="{00000000-0005-0000-0000-0000106E0000}"/>
    <cellStyle name="Normal 36 3 3 2 2" xfId="28177" xr:uid="{00000000-0005-0000-0000-0000116E0000}"/>
    <cellStyle name="Normal 36 3 3 3" xfId="28178" xr:uid="{00000000-0005-0000-0000-0000126E0000}"/>
    <cellStyle name="Normal 36 3 4" xfId="28179" xr:uid="{00000000-0005-0000-0000-0000136E0000}"/>
    <cellStyle name="Normal 36 3 4 2" xfId="28180" xr:uid="{00000000-0005-0000-0000-0000146E0000}"/>
    <cellStyle name="Normal 36 3 4 2 2" xfId="28181" xr:uid="{00000000-0005-0000-0000-0000156E0000}"/>
    <cellStyle name="Normal 36 3 4 3" xfId="28182" xr:uid="{00000000-0005-0000-0000-0000166E0000}"/>
    <cellStyle name="Normal 36 3 5" xfId="28183" xr:uid="{00000000-0005-0000-0000-0000176E0000}"/>
    <cellStyle name="Normal 36 4" xfId="28184" xr:uid="{00000000-0005-0000-0000-0000186E0000}"/>
    <cellStyle name="Normal 36 4 2" xfId="28185" xr:uid="{00000000-0005-0000-0000-0000196E0000}"/>
    <cellStyle name="Normal 36 4 2 2" xfId="28186" xr:uid="{00000000-0005-0000-0000-00001A6E0000}"/>
    <cellStyle name="Normal 36 4 3" xfId="28187" xr:uid="{00000000-0005-0000-0000-00001B6E0000}"/>
    <cellStyle name="Normal 36 5" xfId="28188" xr:uid="{00000000-0005-0000-0000-00001C6E0000}"/>
    <cellStyle name="Normal 36 5 2" xfId="28189" xr:uid="{00000000-0005-0000-0000-00001D6E0000}"/>
    <cellStyle name="Normal 36 5 2 2" xfId="28190" xr:uid="{00000000-0005-0000-0000-00001E6E0000}"/>
    <cellStyle name="Normal 36 5 3" xfId="28191" xr:uid="{00000000-0005-0000-0000-00001F6E0000}"/>
    <cellStyle name="Normal 36 6" xfId="28192" xr:uid="{00000000-0005-0000-0000-0000206E0000}"/>
    <cellStyle name="Normal 36 6 2" xfId="28193" xr:uid="{00000000-0005-0000-0000-0000216E0000}"/>
    <cellStyle name="Normal 36 6 2 2" xfId="28194" xr:uid="{00000000-0005-0000-0000-0000226E0000}"/>
    <cellStyle name="Normal 36 6 3" xfId="28195" xr:uid="{00000000-0005-0000-0000-0000236E0000}"/>
    <cellStyle name="Normal 36 7" xfId="28196" xr:uid="{00000000-0005-0000-0000-0000246E0000}"/>
    <cellStyle name="Normal 360" xfId="28197" xr:uid="{00000000-0005-0000-0000-0000256E0000}"/>
    <cellStyle name="Normal 360 2" xfId="28198" xr:uid="{00000000-0005-0000-0000-0000266E0000}"/>
    <cellStyle name="Normal 360 2 2" xfId="28199" xr:uid="{00000000-0005-0000-0000-0000276E0000}"/>
    <cellStyle name="Normal 360 2 2 2" xfId="28200" xr:uid="{00000000-0005-0000-0000-0000286E0000}"/>
    <cellStyle name="Normal 360 2 3" xfId="28201" xr:uid="{00000000-0005-0000-0000-0000296E0000}"/>
    <cellStyle name="Normal 360 2 3 2" xfId="28202" xr:uid="{00000000-0005-0000-0000-00002A6E0000}"/>
    <cellStyle name="Normal 360 2 3 2 2" xfId="28203" xr:uid="{00000000-0005-0000-0000-00002B6E0000}"/>
    <cellStyle name="Normal 360 2 3 3" xfId="28204" xr:uid="{00000000-0005-0000-0000-00002C6E0000}"/>
    <cellStyle name="Normal 360 2 4" xfId="28205" xr:uid="{00000000-0005-0000-0000-00002D6E0000}"/>
    <cellStyle name="Normal 360 2 4 2" xfId="28206" xr:uid="{00000000-0005-0000-0000-00002E6E0000}"/>
    <cellStyle name="Normal 360 2 4 2 2" xfId="28207" xr:uid="{00000000-0005-0000-0000-00002F6E0000}"/>
    <cellStyle name="Normal 360 2 4 3" xfId="28208" xr:uid="{00000000-0005-0000-0000-0000306E0000}"/>
    <cellStyle name="Normal 360 2 5" xfId="28209" xr:uid="{00000000-0005-0000-0000-0000316E0000}"/>
    <cellStyle name="Normal 360 3" xfId="28210" xr:uid="{00000000-0005-0000-0000-0000326E0000}"/>
    <cellStyle name="Normal 360 3 2" xfId="28211" xr:uid="{00000000-0005-0000-0000-0000336E0000}"/>
    <cellStyle name="Normal 360 3 2 2" xfId="28212" xr:uid="{00000000-0005-0000-0000-0000346E0000}"/>
    <cellStyle name="Normal 360 3 2 2 2" xfId="28213" xr:uid="{00000000-0005-0000-0000-0000356E0000}"/>
    <cellStyle name="Normal 360 3 2 3" xfId="28214" xr:uid="{00000000-0005-0000-0000-0000366E0000}"/>
    <cellStyle name="Normal 360 3 2 3 2" xfId="28215" xr:uid="{00000000-0005-0000-0000-0000376E0000}"/>
    <cellStyle name="Normal 360 3 2 3 2 2" xfId="28216" xr:uid="{00000000-0005-0000-0000-0000386E0000}"/>
    <cellStyle name="Normal 360 3 2 3 3" xfId="28217" xr:uid="{00000000-0005-0000-0000-0000396E0000}"/>
    <cellStyle name="Normal 360 3 2 4" xfId="28218" xr:uid="{00000000-0005-0000-0000-00003A6E0000}"/>
    <cellStyle name="Normal 360 3 3" xfId="28219" xr:uid="{00000000-0005-0000-0000-00003B6E0000}"/>
    <cellStyle name="Normal 360 3 3 2" xfId="28220" xr:uid="{00000000-0005-0000-0000-00003C6E0000}"/>
    <cellStyle name="Normal 360 3 3 2 2" xfId="28221" xr:uid="{00000000-0005-0000-0000-00003D6E0000}"/>
    <cellStyle name="Normal 360 3 3 3" xfId="28222" xr:uid="{00000000-0005-0000-0000-00003E6E0000}"/>
    <cellStyle name="Normal 360 3 4" xfId="28223" xr:uid="{00000000-0005-0000-0000-00003F6E0000}"/>
    <cellStyle name="Normal 360 3 4 2" xfId="28224" xr:uid="{00000000-0005-0000-0000-0000406E0000}"/>
    <cellStyle name="Normal 360 3 4 2 2" xfId="28225" xr:uid="{00000000-0005-0000-0000-0000416E0000}"/>
    <cellStyle name="Normal 360 3 4 3" xfId="28226" xr:uid="{00000000-0005-0000-0000-0000426E0000}"/>
    <cellStyle name="Normal 360 3 5" xfId="28227" xr:uid="{00000000-0005-0000-0000-0000436E0000}"/>
    <cellStyle name="Normal 360 3 5 2" xfId="28228" xr:uid="{00000000-0005-0000-0000-0000446E0000}"/>
    <cellStyle name="Normal 360 3 5 2 2" xfId="28229" xr:uid="{00000000-0005-0000-0000-0000456E0000}"/>
    <cellStyle name="Normal 360 3 5 3" xfId="28230" xr:uid="{00000000-0005-0000-0000-0000466E0000}"/>
    <cellStyle name="Normal 360 3 6" xfId="28231" xr:uid="{00000000-0005-0000-0000-0000476E0000}"/>
    <cellStyle name="Normal 360 4" xfId="28232" xr:uid="{00000000-0005-0000-0000-0000486E0000}"/>
    <cellStyle name="Normal 360 4 2" xfId="28233" xr:uid="{00000000-0005-0000-0000-0000496E0000}"/>
    <cellStyle name="Normal 360 4 2 2" xfId="28234" xr:uid="{00000000-0005-0000-0000-00004A6E0000}"/>
    <cellStyle name="Normal 360 4 3" xfId="28235" xr:uid="{00000000-0005-0000-0000-00004B6E0000}"/>
    <cellStyle name="Normal 360 5" xfId="28236" xr:uid="{00000000-0005-0000-0000-00004C6E0000}"/>
    <cellStyle name="Normal 360 5 2" xfId="28237" xr:uid="{00000000-0005-0000-0000-00004D6E0000}"/>
    <cellStyle name="Normal 360 5 2 2" xfId="28238" xr:uid="{00000000-0005-0000-0000-00004E6E0000}"/>
    <cellStyle name="Normal 360 5 3" xfId="28239" xr:uid="{00000000-0005-0000-0000-00004F6E0000}"/>
    <cellStyle name="Normal 360 6" xfId="28240" xr:uid="{00000000-0005-0000-0000-0000506E0000}"/>
    <cellStyle name="Normal 360 6 2" xfId="28241" xr:uid="{00000000-0005-0000-0000-0000516E0000}"/>
    <cellStyle name="Normal 360 6 2 2" xfId="28242" xr:uid="{00000000-0005-0000-0000-0000526E0000}"/>
    <cellStyle name="Normal 360 6 3" xfId="28243" xr:uid="{00000000-0005-0000-0000-0000536E0000}"/>
    <cellStyle name="Normal 360 7" xfId="28244" xr:uid="{00000000-0005-0000-0000-0000546E0000}"/>
    <cellStyle name="Normal 361" xfId="28245" xr:uid="{00000000-0005-0000-0000-0000556E0000}"/>
    <cellStyle name="Normal 361 2" xfId="28246" xr:uid="{00000000-0005-0000-0000-0000566E0000}"/>
    <cellStyle name="Normal 361 2 2" xfId="28247" xr:uid="{00000000-0005-0000-0000-0000576E0000}"/>
    <cellStyle name="Normal 361 2 2 2" xfId="28248" xr:uid="{00000000-0005-0000-0000-0000586E0000}"/>
    <cellStyle name="Normal 361 2 3" xfId="28249" xr:uid="{00000000-0005-0000-0000-0000596E0000}"/>
    <cellStyle name="Normal 361 2 3 2" xfId="28250" xr:uid="{00000000-0005-0000-0000-00005A6E0000}"/>
    <cellStyle name="Normal 361 2 3 2 2" xfId="28251" xr:uid="{00000000-0005-0000-0000-00005B6E0000}"/>
    <cellStyle name="Normal 361 2 3 3" xfId="28252" xr:uid="{00000000-0005-0000-0000-00005C6E0000}"/>
    <cellStyle name="Normal 361 2 4" xfId="28253" xr:uid="{00000000-0005-0000-0000-00005D6E0000}"/>
    <cellStyle name="Normal 361 2 4 2" xfId="28254" xr:uid="{00000000-0005-0000-0000-00005E6E0000}"/>
    <cellStyle name="Normal 361 2 4 2 2" xfId="28255" xr:uid="{00000000-0005-0000-0000-00005F6E0000}"/>
    <cellStyle name="Normal 361 2 4 3" xfId="28256" xr:uid="{00000000-0005-0000-0000-0000606E0000}"/>
    <cellStyle name="Normal 361 2 5" xfId="28257" xr:uid="{00000000-0005-0000-0000-0000616E0000}"/>
    <cellStyle name="Normal 361 3" xfId="28258" xr:uid="{00000000-0005-0000-0000-0000626E0000}"/>
    <cellStyle name="Normal 361 3 2" xfId="28259" xr:uid="{00000000-0005-0000-0000-0000636E0000}"/>
    <cellStyle name="Normal 361 3 2 2" xfId="28260" xr:uid="{00000000-0005-0000-0000-0000646E0000}"/>
    <cellStyle name="Normal 361 3 2 2 2" xfId="28261" xr:uid="{00000000-0005-0000-0000-0000656E0000}"/>
    <cellStyle name="Normal 361 3 2 3" xfId="28262" xr:uid="{00000000-0005-0000-0000-0000666E0000}"/>
    <cellStyle name="Normal 361 3 2 3 2" xfId="28263" xr:uid="{00000000-0005-0000-0000-0000676E0000}"/>
    <cellStyle name="Normal 361 3 2 3 2 2" xfId="28264" xr:uid="{00000000-0005-0000-0000-0000686E0000}"/>
    <cellStyle name="Normal 361 3 2 3 3" xfId="28265" xr:uid="{00000000-0005-0000-0000-0000696E0000}"/>
    <cellStyle name="Normal 361 3 2 4" xfId="28266" xr:uid="{00000000-0005-0000-0000-00006A6E0000}"/>
    <cellStyle name="Normal 361 3 3" xfId="28267" xr:uid="{00000000-0005-0000-0000-00006B6E0000}"/>
    <cellStyle name="Normal 361 3 3 2" xfId="28268" xr:uid="{00000000-0005-0000-0000-00006C6E0000}"/>
    <cellStyle name="Normal 361 3 3 2 2" xfId="28269" xr:uid="{00000000-0005-0000-0000-00006D6E0000}"/>
    <cellStyle name="Normal 361 3 3 3" xfId="28270" xr:uid="{00000000-0005-0000-0000-00006E6E0000}"/>
    <cellStyle name="Normal 361 3 4" xfId="28271" xr:uid="{00000000-0005-0000-0000-00006F6E0000}"/>
    <cellStyle name="Normal 361 3 4 2" xfId="28272" xr:uid="{00000000-0005-0000-0000-0000706E0000}"/>
    <cellStyle name="Normal 361 3 4 2 2" xfId="28273" xr:uid="{00000000-0005-0000-0000-0000716E0000}"/>
    <cellStyle name="Normal 361 3 4 3" xfId="28274" xr:uid="{00000000-0005-0000-0000-0000726E0000}"/>
    <cellStyle name="Normal 361 3 5" xfId="28275" xr:uid="{00000000-0005-0000-0000-0000736E0000}"/>
    <cellStyle name="Normal 361 3 5 2" xfId="28276" xr:uid="{00000000-0005-0000-0000-0000746E0000}"/>
    <cellStyle name="Normal 361 3 5 2 2" xfId="28277" xr:uid="{00000000-0005-0000-0000-0000756E0000}"/>
    <cellStyle name="Normal 361 3 5 3" xfId="28278" xr:uid="{00000000-0005-0000-0000-0000766E0000}"/>
    <cellStyle name="Normal 361 3 6" xfId="28279" xr:uid="{00000000-0005-0000-0000-0000776E0000}"/>
    <cellStyle name="Normal 361 4" xfId="28280" xr:uid="{00000000-0005-0000-0000-0000786E0000}"/>
    <cellStyle name="Normal 361 4 2" xfId="28281" xr:uid="{00000000-0005-0000-0000-0000796E0000}"/>
    <cellStyle name="Normal 361 4 2 2" xfId="28282" xr:uid="{00000000-0005-0000-0000-00007A6E0000}"/>
    <cellStyle name="Normal 361 4 3" xfId="28283" xr:uid="{00000000-0005-0000-0000-00007B6E0000}"/>
    <cellStyle name="Normal 361 5" xfId="28284" xr:uid="{00000000-0005-0000-0000-00007C6E0000}"/>
    <cellStyle name="Normal 361 5 2" xfId="28285" xr:uid="{00000000-0005-0000-0000-00007D6E0000}"/>
    <cellStyle name="Normal 361 5 2 2" xfId="28286" xr:uid="{00000000-0005-0000-0000-00007E6E0000}"/>
    <cellStyle name="Normal 361 5 3" xfId="28287" xr:uid="{00000000-0005-0000-0000-00007F6E0000}"/>
    <cellStyle name="Normal 361 6" xfId="28288" xr:uid="{00000000-0005-0000-0000-0000806E0000}"/>
    <cellStyle name="Normal 361 6 2" xfId="28289" xr:uid="{00000000-0005-0000-0000-0000816E0000}"/>
    <cellStyle name="Normal 361 6 2 2" xfId="28290" xr:uid="{00000000-0005-0000-0000-0000826E0000}"/>
    <cellStyle name="Normal 361 6 3" xfId="28291" xr:uid="{00000000-0005-0000-0000-0000836E0000}"/>
    <cellStyle name="Normal 361 7" xfId="28292" xr:uid="{00000000-0005-0000-0000-0000846E0000}"/>
    <cellStyle name="Normal 362" xfId="28293" xr:uid="{00000000-0005-0000-0000-0000856E0000}"/>
    <cellStyle name="Normal 362 2" xfId="28294" xr:uid="{00000000-0005-0000-0000-0000866E0000}"/>
    <cellStyle name="Normal 362 2 2" xfId="28295" xr:uid="{00000000-0005-0000-0000-0000876E0000}"/>
    <cellStyle name="Normal 362 2 2 2" xfId="28296" xr:uid="{00000000-0005-0000-0000-0000886E0000}"/>
    <cellStyle name="Normal 362 2 3" xfId="28297" xr:uid="{00000000-0005-0000-0000-0000896E0000}"/>
    <cellStyle name="Normal 362 2 3 2" xfId="28298" xr:uid="{00000000-0005-0000-0000-00008A6E0000}"/>
    <cellStyle name="Normal 362 2 3 2 2" xfId="28299" xr:uid="{00000000-0005-0000-0000-00008B6E0000}"/>
    <cellStyle name="Normal 362 2 3 3" xfId="28300" xr:uid="{00000000-0005-0000-0000-00008C6E0000}"/>
    <cellStyle name="Normal 362 2 4" xfId="28301" xr:uid="{00000000-0005-0000-0000-00008D6E0000}"/>
    <cellStyle name="Normal 362 2 4 2" xfId="28302" xr:uid="{00000000-0005-0000-0000-00008E6E0000}"/>
    <cellStyle name="Normal 362 2 4 2 2" xfId="28303" xr:uid="{00000000-0005-0000-0000-00008F6E0000}"/>
    <cellStyle name="Normal 362 2 4 3" xfId="28304" xr:uid="{00000000-0005-0000-0000-0000906E0000}"/>
    <cellStyle name="Normal 362 2 5" xfId="28305" xr:uid="{00000000-0005-0000-0000-0000916E0000}"/>
    <cellStyle name="Normal 362 3" xfId="28306" xr:uid="{00000000-0005-0000-0000-0000926E0000}"/>
    <cellStyle name="Normal 362 3 2" xfId="28307" xr:uid="{00000000-0005-0000-0000-0000936E0000}"/>
    <cellStyle name="Normal 362 3 2 2" xfId="28308" xr:uid="{00000000-0005-0000-0000-0000946E0000}"/>
    <cellStyle name="Normal 362 3 2 2 2" xfId="28309" xr:uid="{00000000-0005-0000-0000-0000956E0000}"/>
    <cellStyle name="Normal 362 3 2 3" xfId="28310" xr:uid="{00000000-0005-0000-0000-0000966E0000}"/>
    <cellStyle name="Normal 362 3 2 3 2" xfId="28311" xr:uid="{00000000-0005-0000-0000-0000976E0000}"/>
    <cellStyle name="Normal 362 3 2 3 2 2" xfId="28312" xr:uid="{00000000-0005-0000-0000-0000986E0000}"/>
    <cellStyle name="Normal 362 3 2 3 3" xfId="28313" xr:uid="{00000000-0005-0000-0000-0000996E0000}"/>
    <cellStyle name="Normal 362 3 2 4" xfId="28314" xr:uid="{00000000-0005-0000-0000-00009A6E0000}"/>
    <cellStyle name="Normal 362 3 3" xfId="28315" xr:uid="{00000000-0005-0000-0000-00009B6E0000}"/>
    <cellStyle name="Normal 362 3 3 2" xfId="28316" xr:uid="{00000000-0005-0000-0000-00009C6E0000}"/>
    <cellStyle name="Normal 362 3 3 2 2" xfId="28317" xr:uid="{00000000-0005-0000-0000-00009D6E0000}"/>
    <cellStyle name="Normal 362 3 3 3" xfId="28318" xr:uid="{00000000-0005-0000-0000-00009E6E0000}"/>
    <cellStyle name="Normal 362 3 4" xfId="28319" xr:uid="{00000000-0005-0000-0000-00009F6E0000}"/>
    <cellStyle name="Normal 362 3 4 2" xfId="28320" xr:uid="{00000000-0005-0000-0000-0000A06E0000}"/>
    <cellStyle name="Normal 362 3 4 2 2" xfId="28321" xr:uid="{00000000-0005-0000-0000-0000A16E0000}"/>
    <cellStyle name="Normal 362 3 4 3" xfId="28322" xr:uid="{00000000-0005-0000-0000-0000A26E0000}"/>
    <cellStyle name="Normal 362 3 5" xfId="28323" xr:uid="{00000000-0005-0000-0000-0000A36E0000}"/>
    <cellStyle name="Normal 362 3 5 2" xfId="28324" xr:uid="{00000000-0005-0000-0000-0000A46E0000}"/>
    <cellStyle name="Normal 362 3 5 2 2" xfId="28325" xr:uid="{00000000-0005-0000-0000-0000A56E0000}"/>
    <cellStyle name="Normal 362 3 5 3" xfId="28326" xr:uid="{00000000-0005-0000-0000-0000A66E0000}"/>
    <cellStyle name="Normal 362 3 6" xfId="28327" xr:uid="{00000000-0005-0000-0000-0000A76E0000}"/>
    <cellStyle name="Normal 362 4" xfId="28328" xr:uid="{00000000-0005-0000-0000-0000A86E0000}"/>
    <cellStyle name="Normal 362 4 2" xfId="28329" xr:uid="{00000000-0005-0000-0000-0000A96E0000}"/>
    <cellStyle name="Normal 362 4 2 2" xfId="28330" xr:uid="{00000000-0005-0000-0000-0000AA6E0000}"/>
    <cellStyle name="Normal 362 4 3" xfId="28331" xr:uid="{00000000-0005-0000-0000-0000AB6E0000}"/>
    <cellStyle name="Normal 362 5" xfId="28332" xr:uid="{00000000-0005-0000-0000-0000AC6E0000}"/>
    <cellStyle name="Normal 362 5 2" xfId="28333" xr:uid="{00000000-0005-0000-0000-0000AD6E0000}"/>
    <cellStyle name="Normal 362 5 2 2" xfId="28334" xr:uid="{00000000-0005-0000-0000-0000AE6E0000}"/>
    <cellStyle name="Normal 362 5 3" xfId="28335" xr:uid="{00000000-0005-0000-0000-0000AF6E0000}"/>
    <cellStyle name="Normal 362 6" xfId="28336" xr:uid="{00000000-0005-0000-0000-0000B06E0000}"/>
    <cellStyle name="Normal 362 6 2" xfId="28337" xr:uid="{00000000-0005-0000-0000-0000B16E0000}"/>
    <cellStyle name="Normal 362 6 2 2" xfId="28338" xr:uid="{00000000-0005-0000-0000-0000B26E0000}"/>
    <cellStyle name="Normal 362 6 3" xfId="28339" xr:uid="{00000000-0005-0000-0000-0000B36E0000}"/>
    <cellStyle name="Normal 362 7" xfId="28340" xr:uid="{00000000-0005-0000-0000-0000B46E0000}"/>
    <cellStyle name="Normal 363" xfId="28341" xr:uid="{00000000-0005-0000-0000-0000B56E0000}"/>
    <cellStyle name="Normal 363 2" xfId="28342" xr:uid="{00000000-0005-0000-0000-0000B66E0000}"/>
    <cellStyle name="Normal 363 2 2" xfId="28343" xr:uid="{00000000-0005-0000-0000-0000B76E0000}"/>
    <cellStyle name="Normal 363 2 2 2" xfId="28344" xr:uid="{00000000-0005-0000-0000-0000B86E0000}"/>
    <cellStyle name="Normal 363 2 3" xfId="28345" xr:uid="{00000000-0005-0000-0000-0000B96E0000}"/>
    <cellStyle name="Normal 363 2 3 2" xfId="28346" xr:uid="{00000000-0005-0000-0000-0000BA6E0000}"/>
    <cellStyle name="Normal 363 2 3 2 2" xfId="28347" xr:uid="{00000000-0005-0000-0000-0000BB6E0000}"/>
    <cellStyle name="Normal 363 2 3 3" xfId="28348" xr:uid="{00000000-0005-0000-0000-0000BC6E0000}"/>
    <cellStyle name="Normal 363 2 4" xfId="28349" xr:uid="{00000000-0005-0000-0000-0000BD6E0000}"/>
    <cellStyle name="Normal 363 2 4 2" xfId="28350" xr:uid="{00000000-0005-0000-0000-0000BE6E0000}"/>
    <cellStyle name="Normal 363 2 4 2 2" xfId="28351" xr:uid="{00000000-0005-0000-0000-0000BF6E0000}"/>
    <cellStyle name="Normal 363 2 4 3" xfId="28352" xr:uid="{00000000-0005-0000-0000-0000C06E0000}"/>
    <cellStyle name="Normal 363 2 5" xfId="28353" xr:uid="{00000000-0005-0000-0000-0000C16E0000}"/>
    <cellStyle name="Normal 363 3" xfId="28354" xr:uid="{00000000-0005-0000-0000-0000C26E0000}"/>
    <cellStyle name="Normal 363 3 2" xfId="28355" xr:uid="{00000000-0005-0000-0000-0000C36E0000}"/>
    <cellStyle name="Normal 363 3 2 2" xfId="28356" xr:uid="{00000000-0005-0000-0000-0000C46E0000}"/>
    <cellStyle name="Normal 363 3 2 2 2" xfId="28357" xr:uid="{00000000-0005-0000-0000-0000C56E0000}"/>
    <cellStyle name="Normal 363 3 2 3" xfId="28358" xr:uid="{00000000-0005-0000-0000-0000C66E0000}"/>
    <cellStyle name="Normal 363 3 2 3 2" xfId="28359" xr:uid="{00000000-0005-0000-0000-0000C76E0000}"/>
    <cellStyle name="Normal 363 3 2 3 2 2" xfId="28360" xr:uid="{00000000-0005-0000-0000-0000C86E0000}"/>
    <cellStyle name="Normal 363 3 2 3 3" xfId="28361" xr:uid="{00000000-0005-0000-0000-0000C96E0000}"/>
    <cellStyle name="Normal 363 3 2 4" xfId="28362" xr:uid="{00000000-0005-0000-0000-0000CA6E0000}"/>
    <cellStyle name="Normal 363 3 3" xfId="28363" xr:uid="{00000000-0005-0000-0000-0000CB6E0000}"/>
    <cellStyle name="Normal 363 3 3 2" xfId="28364" xr:uid="{00000000-0005-0000-0000-0000CC6E0000}"/>
    <cellStyle name="Normal 363 3 3 2 2" xfId="28365" xr:uid="{00000000-0005-0000-0000-0000CD6E0000}"/>
    <cellStyle name="Normal 363 3 3 3" xfId="28366" xr:uid="{00000000-0005-0000-0000-0000CE6E0000}"/>
    <cellStyle name="Normal 363 3 4" xfId="28367" xr:uid="{00000000-0005-0000-0000-0000CF6E0000}"/>
    <cellStyle name="Normal 363 3 4 2" xfId="28368" xr:uid="{00000000-0005-0000-0000-0000D06E0000}"/>
    <cellStyle name="Normal 363 3 4 2 2" xfId="28369" xr:uid="{00000000-0005-0000-0000-0000D16E0000}"/>
    <cellStyle name="Normal 363 3 4 3" xfId="28370" xr:uid="{00000000-0005-0000-0000-0000D26E0000}"/>
    <cellStyle name="Normal 363 3 5" xfId="28371" xr:uid="{00000000-0005-0000-0000-0000D36E0000}"/>
    <cellStyle name="Normal 363 3 5 2" xfId="28372" xr:uid="{00000000-0005-0000-0000-0000D46E0000}"/>
    <cellStyle name="Normal 363 3 5 2 2" xfId="28373" xr:uid="{00000000-0005-0000-0000-0000D56E0000}"/>
    <cellStyle name="Normal 363 3 5 3" xfId="28374" xr:uid="{00000000-0005-0000-0000-0000D66E0000}"/>
    <cellStyle name="Normal 363 3 6" xfId="28375" xr:uid="{00000000-0005-0000-0000-0000D76E0000}"/>
    <cellStyle name="Normal 363 4" xfId="28376" xr:uid="{00000000-0005-0000-0000-0000D86E0000}"/>
    <cellStyle name="Normal 363 4 2" xfId="28377" xr:uid="{00000000-0005-0000-0000-0000D96E0000}"/>
    <cellStyle name="Normal 363 4 2 2" xfId="28378" xr:uid="{00000000-0005-0000-0000-0000DA6E0000}"/>
    <cellStyle name="Normal 363 4 3" xfId="28379" xr:uid="{00000000-0005-0000-0000-0000DB6E0000}"/>
    <cellStyle name="Normal 363 5" xfId="28380" xr:uid="{00000000-0005-0000-0000-0000DC6E0000}"/>
    <cellStyle name="Normal 363 5 2" xfId="28381" xr:uid="{00000000-0005-0000-0000-0000DD6E0000}"/>
    <cellStyle name="Normal 363 5 2 2" xfId="28382" xr:uid="{00000000-0005-0000-0000-0000DE6E0000}"/>
    <cellStyle name="Normal 363 5 3" xfId="28383" xr:uid="{00000000-0005-0000-0000-0000DF6E0000}"/>
    <cellStyle name="Normal 363 6" xfId="28384" xr:uid="{00000000-0005-0000-0000-0000E06E0000}"/>
    <cellStyle name="Normal 363 6 2" xfId="28385" xr:uid="{00000000-0005-0000-0000-0000E16E0000}"/>
    <cellStyle name="Normal 363 6 2 2" xfId="28386" xr:uid="{00000000-0005-0000-0000-0000E26E0000}"/>
    <cellStyle name="Normal 363 6 3" xfId="28387" xr:uid="{00000000-0005-0000-0000-0000E36E0000}"/>
    <cellStyle name="Normal 363 7" xfId="28388" xr:uid="{00000000-0005-0000-0000-0000E46E0000}"/>
    <cellStyle name="Normal 364" xfId="28389" xr:uid="{00000000-0005-0000-0000-0000E56E0000}"/>
    <cellStyle name="Normal 364 2" xfId="28390" xr:uid="{00000000-0005-0000-0000-0000E66E0000}"/>
    <cellStyle name="Normal 364 2 2" xfId="28391" xr:uid="{00000000-0005-0000-0000-0000E76E0000}"/>
    <cellStyle name="Normal 364 2 2 2" xfId="28392" xr:uid="{00000000-0005-0000-0000-0000E86E0000}"/>
    <cellStyle name="Normal 364 2 3" xfId="28393" xr:uid="{00000000-0005-0000-0000-0000E96E0000}"/>
    <cellStyle name="Normal 364 2 3 2" xfId="28394" xr:uid="{00000000-0005-0000-0000-0000EA6E0000}"/>
    <cellStyle name="Normal 364 2 3 2 2" xfId="28395" xr:uid="{00000000-0005-0000-0000-0000EB6E0000}"/>
    <cellStyle name="Normal 364 2 3 3" xfId="28396" xr:uid="{00000000-0005-0000-0000-0000EC6E0000}"/>
    <cellStyle name="Normal 364 2 4" xfId="28397" xr:uid="{00000000-0005-0000-0000-0000ED6E0000}"/>
    <cellStyle name="Normal 364 2 4 2" xfId="28398" xr:uid="{00000000-0005-0000-0000-0000EE6E0000}"/>
    <cellStyle name="Normal 364 2 4 2 2" xfId="28399" xr:uid="{00000000-0005-0000-0000-0000EF6E0000}"/>
    <cellStyle name="Normal 364 2 4 3" xfId="28400" xr:uid="{00000000-0005-0000-0000-0000F06E0000}"/>
    <cellStyle name="Normal 364 2 5" xfId="28401" xr:uid="{00000000-0005-0000-0000-0000F16E0000}"/>
    <cellStyle name="Normal 364 3" xfId="28402" xr:uid="{00000000-0005-0000-0000-0000F26E0000}"/>
    <cellStyle name="Normal 364 3 2" xfId="28403" xr:uid="{00000000-0005-0000-0000-0000F36E0000}"/>
    <cellStyle name="Normal 364 3 2 2" xfId="28404" xr:uid="{00000000-0005-0000-0000-0000F46E0000}"/>
    <cellStyle name="Normal 364 3 2 2 2" xfId="28405" xr:uid="{00000000-0005-0000-0000-0000F56E0000}"/>
    <cellStyle name="Normal 364 3 2 3" xfId="28406" xr:uid="{00000000-0005-0000-0000-0000F66E0000}"/>
    <cellStyle name="Normal 364 3 2 3 2" xfId="28407" xr:uid="{00000000-0005-0000-0000-0000F76E0000}"/>
    <cellStyle name="Normal 364 3 2 3 2 2" xfId="28408" xr:uid="{00000000-0005-0000-0000-0000F86E0000}"/>
    <cellStyle name="Normal 364 3 2 3 3" xfId="28409" xr:uid="{00000000-0005-0000-0000-0000F96E0000}"/>
    <cellStyle name="Normal 364 3 2 4" xfId="28410" xr:uid="{00000000-0005-0000-0000-0000FA6E0000}"/>
    <cellStyle name="Normal 364 3 3" xfId="28411" xr:uid="{00000000-0005-0000-0000-0000FB6E0000}"/>
    <cellStyle name="Normal 364 3 3 2" xfId="28412" xr:uid="{00000000-0005-0000-0000-0000FC6E0000}"/>
    <cellStyle name="Normal 364 3 3 2 2" xfId="28413" xr:uid="{00000000-0005-0000-0000-0000FD6E0000}"/>
    <cellStyle name="Normal 364 3 3 3" xfId="28414" xr:uid="{00000000-0005-0000-0000-0000FE6E0000}"/>
    <cellStyle name="Normal 364 3 4" xfId="28415" xr:uid="{00000000-0005-0000-0000-0000FF6E0000}"/>
    <cellStyle name="Normal 364 3 4 2" xfId="28416" xr:uid="{00000000-0005-0000-0000-0000006F0000}"/>
    <cellStyle name="Normal 364 3 4 2 2" xfId="28417" xr:uid="{00000000-0005-0000-0000-0000016F0000}"/>
    <cellStyle name="Normal 364 3 4 3" xfId="28418" xr:uid="{00000000-0005-0000-0000-0000026F0000}"/>
    <cellStyle name="Normal 364 3 5" xfId="28419" xr:uid="{00000000-0005-0000-0000-0000036F0000}"/>
    <cellStyle name="Normal 364 3 5 2" xfId="28420" xr:uid="{00000000-0005-0000-0000-0000046F0000}"/>
    <cellStyle name="Normal 364 3 5 2 2" xfId="28421" xr:uid="{00000000-0005-0000-0000-0000056F0000}"/>
    <cellStyle name="Normal 364 3 5 3" xfId="28422" xr:uid="{00000000-0005-0000-0000-0000066F0000}"/>
    <cellStyle name="Normal 364 3 6" xfId="28423" xr:uid="{00000000-0005-0000-0000-0000076F0000}"/>
    <cellStyle name="Normal 364 4" xfId="28424" xr:uid="{00000000-0005-0000-0000-0000086F0000}"/>
    <cellStyle name="Normal 364 4 2" xfId="28425" xr:uid="{00000000-0005-0000-0000-0000096F0000}"/>
    <cellStyle name="Normal 364 4 2 2" xfId="28426" xr:uid="{00000000-0005-0000-0000-00000A6F0000}"/>
    <cellStyle name="Normal 364 4 3" xfId="28427" xr:uid="{00000000-0005-0000-0000-00000B6F0000}"/>
    <cellStyle name="Normal 364 5" xfId="28428" xr:uid="{00000000-0005-0000-0000-00000C6F0000}"/>
    <cellStyle name="Normal 364 5 2" xfId="28429" xr:uid="{00000000-0005-0000-0000-00000D6F0000}"/>
    <cellStyle name="Normal 364 5 2 2" xfId="28430" xr:uid="{00000000-0005-0000-0000-00000E6F0000}"/>
    <cellStyle name="Normal 364 5 3" xfId="28431" xr:uid="{00000000-0005-0000-0000-00000F6F0000}"/>
    <cellStyle name="Normal 364 6" xfId="28432" xr:uid="{00000000-0005-0000-0000-0000106F0000}"/>
    <cellStyle name="Normal 364 6 2" xfId="28433" xr:uid="{00000000-0005-0000-0000-0000116F0000}"/>
    <cellStyle name="Normal 364 6 2 2" xfId="28434" xr:uid="{00000000-0005-0000-0000-0000126F0000}"/>
    <cellStyle name="Normal 364 6 3" xfId="28435" xr:uid="{00000000-0005-0000-0000-0000136F0000}"/>
    <cellStyle name="Normal 364 7" xfId="28436" xr:uid="{00000000-0005-0000-0000-0000146F0000}"/>
    <cellStyle name="Normal 365" xfId="28437" xr:uid="{00000000-0005-0000-0000-0000156F0000}"/>
    <cellStyle name="Normal 365 2" xfId="28438" xr:uid="{00000000-0005-0000-0000-0000166F0000}"/>
    <cellStyle name="Normal 365 2 2" xfId="28439" xr:uid="{00000000-0005-0000-0000-0000176F0000}"/>
    <cellStyle name="Normal 365 2 2 2" xfId="28440" xr:uid="{00000000-0005-0000-0000-0000186F0000}"/>
    <cellStyle name="Normal 365 2 3" xfId="28441" xr:uid="{00000000-0005-0000-0000-0000196F0000}"/>
    <cellStyle name="Normal 365 2 3 2" xfId="28442" xr:uid="{00000000-0005-0000-0000-00001A6F0000}"/>
    <cellStyle name="Normal 365 2 3 2 2" xfId="28443" xr:uid="{00000000-0005-0000-0000-00001B6F0000}"/>
    <cellStyle name="Normal 365 2 3 3" xfId="28444" xr:uid="{00000000-0005-0000-0000-00001C6F0000}"/>
    <cellStyle name="Normal 365 2 4" xfId="28445" xr:uid="{00000000-0005-0000-0000-00001D6F0000}"/>
    <cellStyle name="Normal 365 2 4 2" xfId="28446" xr:uid="{00000000-0005-0000-0000-00001E6F0000}"/>
    <cellStyle name="Normal 365 2 4 2 2" xfId="28447" xr:uid="{00000000-0005-0000-0000-00001F6F0000}"/>
    <cellStyle name="Normal 365 2 4 3" xfId="28448" xr:uid="{00000000-0005-0000-0000-0000206F0000}"/>
    <cellStyle name="Normal 365 2 5" xfId="28449" xr:uid="{00000000-0005-0000-0000-0000216F0000}"/>
    <cellStyle name="Normal 365 3" xfId="28450" xr:uid="{00000000-0005-0000-0000-0000226F0000}"/>
    <cellStyle name="Normal 365 3 2" xfId="28451" xr:uid="{00000000-0005-0000-0000-0000236F0000}"/>
    <cellStyle name="Normal 365 3 2 2" xfId="28452" xr:uid="{00000000-0005-0000-0000-0000246F0000}"/>
    <cellStyle name="Normal 365 3 2 2 2" xfId="28453" xr:uid="{00000000-0005-0000-0000-0000256F0000}"/>
    <cellStyle name="Normal 365 3 2 3" xfId="28454" xr:uid="{00000000-0005-0000-0000-0000266F0000}"/>
    <cellStyle name="Normal 365 3 2 3 2" xfId="28455" xr:uid="{00000000-0005-0000-0000-0000276F0000}"/>
    <cellStyle name="Normal 365 3 2 3 2 2" xfId="28456" xr:uid="{00000000-0005-0000-0000-0000286F0000}"/>
    <cellStyle name="Normal 365 3 2 3 3" xfId="28457" xr:uid="{00000000-0005-0000-0000-0000296F0000}"/>
    <cellStyle name="Normal 365 3 2 4" xfId="28458" xr:uid="{00000000-0005-0000-0000-00002A6F0000}"/>
    <cellStyle name="Normal 365 3 3" xfId="28459" xr:uid="{00000000-0005-0000-0000-00002B6F0000}"/>
    <cellStyle name="Normal 365 3 3 2" xfId="28460" xr:uid="{00000000-0005-0000-0000-00002C6F0000}"/>
    <cellStyle name="Normal 365 3 3 2 2" xfId="28461" xr:uid="{00000000-0005-0000-0000-00002D6F0000}"/>
    <cellStyle name="Normal 365 3 3 3" xfId="28462" xr:uid="{00000000-0005-0000-0000-00002E6F0000}"/>
    <cellStyle name="Normal 365 3 4" xfId="28463" xr:uid="{00000000-0005-0000-0000-00002F6F0000}"/>
    <cellStyle name="Normal 365 3 4 2" xfId="28464" xr:uid="{00000000-0005-0000-0000-0000306F0000}"/>
    <cellStyle name="Normal 365 3 4 2 2" xfId="28465" xr:uid="{00000000-0005-0000-0000-0000316F0000}"/>
    <cellStyle name="Normal 365 3 4 3" xfId="28466" xr:uid="{00000000-0005-0000-0000-0000326F0000}"/>
    <cellStyle name="Normal 365 3 5" xfId="28467" xr:uid="{00000000-0005-0000-0000-0000336F0000}"/>
    <cellStyle name="Normal 365 3 5 2" xfId="28468" xr:uid="{00000000-0005-0000-0000-0000346F0000}"/>
    <cellStyle name="Normal 365 3 5 2 2" xfId="28469" xr:uid="{00000000-0005-0000-0000-0000356F0000}"/>
    <cellStyle name="Normal 365 3 5 3" xfId="28470" xr:uid="{00000000-0005-0000-0000-0000366F0000}"/>
    <cellStyle name="Normal 365 3 6" xfId="28471" xr:uid="{00000000-0005-0000-0000-0000376F0000}"/>
    <cellStyle name="Normal 365 4" xfId="28472" xr:uid="{00000000-0005-0000-0000-0000386F0000}"/>
    <cellStyle name="Normal 365 4 2" xfId="28473" xr:uid="{00000000-0005-0000-0000-0000396F0000}"/>
    <cellStyle name="Normal 365 4 2 2" xfId="28474" xr:uid="{00000000-0005-0000-0000-00003A6F0000}"/>
    <cellStyle name="Normal 365 4 3" xfId="28475" xr:uid="{00000000-0005-0000-0000-00003B6F0000}"/>
    <cellStyle name="Normal 365 5" xfId="28476" xr:uid="{00000000-0005-0000-0000-00003C6F0000}"/>
    <cellStyle name="Normal 365 5 2" xfId="28477" xr:uid="{00000000-0005-0000-0000-00003D6F0000}"/>
    <cellStyle name="Normal 365 5 2 2" xfId="28478" xr:uid="{00000000-0005-0000-0000-00003E6F0000}"/>
    <cellStyle name="Normal 365 5 3" xfId="28479" xr:uid="{00000000-0005-0000-0000-00003F6F0000}"/>
    <cellStyle name="Normal 365 6" xfId="28480" xr:uid="{00000000-0005-0000-0000-0000406F0000}"/>
    <cellStyle name="Normal 365 6 2" xfId="28481" xr:uid="{00000000-0005-0000-0000-0000416F0000}"/>
    <cellStyle name="Normal 365 6 2 2" xfId="28482" xr:uid="{00000000-0005-0000-0000-0000426F0000}"/>
    <cellStyle name="Normal 365 6 3" xfId="28483" xr:uid="{00000000-0005-0000-0000-0000436F0000}"/>
    <cellStyle name="Normal 365 7" xfId="28484" xr:uid="{00000000-0005-0000-0000-0000446F0000}"/>
    <cellStyle name="Normal 366" xfId="28485" xr:uid="{00000000-0005-0000-0000-0000456F0000}"/>
    <cellStyle name="Normal 366 2" xfId="28486" xr:uid="{00000000-0005-0000-0000-0000466F0000}"/>
    <cellStyle name="Normal 366 2 2" xfId="28487" xr:uid="{00000000-0005-0000-0000-0000476F0000}"/>
    <cellStyle name="Normal 366 2 2 2" xfId="28488" xr:uid="{00000000-0005-0000-0000-0000486F0000}"/>
    <cellStyle name="Normal 366 2 3" xfId="28489" xr:uid="{00000000-0005-0000-0000-0000496F0000}"/>
    <cellStyle name="Normal 366 2 3 2" xfId="28490" xr:uid="{00000000-0005-0000-0000-00004A6F0000}"/>
    <cellStyle name="Normal 366 2 3 2 2" xfId="28491" xr:uid="{00000000-0005-0000-0000-00004B6F0000}"/>
    <cellStyle name="Normal 366 2 3 3" xfId="28492" xr:uid="{00000000-0005-0000-0000-00004C6F0000}"/>
    <cellStyle name="Normal 366 2 4" xfId="28493" xr:uid="{00000000-0005-0000-0000-00004D6F0000}"/>
    <cellStyle name="Normal 366 2 4 2" xfId="28494" xr:uid="{00000000-0005-0000-0000-00004E6F0000}"/>
    <cellStyle name="Normal 366 2 4 2 2" xfId="28495" xr:uid="{00000000-0005-0000-0000-00004F6F0000}"/>
    <cellStyle name="Normal 366 2 4 3" xfId="28496" xr:uid="{00000000-0005-0000-0000-0000506F0000}"/>
    <cellStyle name="Normal 366 2 5" xfId="28497" xr:uid="{00000000-0005-0000-0000-0000516F0000}"/>
    <cellStyle name="Normal 366 3" xfId="28498" xr:uid="{00000000-0005-0000-0000-0000526F0000}"/>
    <cellStyle name="Normal 366 3 2" xfId="28499" xr:uid="{00000000-0005-0000-0000-0000536F0000}"/>
    <cellStyle name="Normal 366 3 2 2" xfId="28500" xr:uid="{00000000-0005-0000-0000-0000546F0000}"/>
    <cellStyle name="Normal 366 3 2 2 2" xfId="28501" xr:uid="{00000000-0005-0000-0000-0000556F0000}"/>
    <cellStyle name="Normal 366 3 2 3" xfId="28502" xr:uid="{00000000-0005-0000-0000-0000566F0000}"/>
    <cellStyle name="Normal 366 3 2 3 2" xfId="28503" xr:uid="{00000000-0005-0000-0000-0000576F0000}"/>
    <cellStyle name="Normal 366 3 2 3 2 2" xfId="28504" xr:uid="{00000000-0005-0000-0000-0000586F0000}"/>
    <cellStyle name="Normal 366 3 2 3 3" xfId="28505" xr:uid="{00000000-0005-0000-0000-0000596F0000}"/>
    <cellStyle name="Normal 366 3 2 4" xfId="28506" xr:uid="{00000000-0005-0000-0000-00005A6F0000}"/>
    <cellStyle name="Normal 366 3 3" xfId="28507" xr:uid="{00000000-0005-0000-0000-00005B6F0000}"/>
    <cellStyle name="Normal 366 3 3 2" xfId="28508" xr:uid="{00000000-0005-0000-0000-00005C6F0000}"/>
    <cellStyle name="Normal 366 3 3 2 2" xfId="28509" xr:uid="{00000000-0005-0000-0000-00005D6F0000}"/>
    <cellStyle name="Normal 366 3 3 3" xfId="28510" xr:uid="{00000000-0005-0000-0000-00005E6F0000}"/>
    <cellStyle name="Normal 366 3 4" xfId="28511" xr:uid="{00000000-0005-0000-0000-00005F6F0000}"/>
    <cellStyle name="Normal 366 3 4 2" xfId="28512" xr:uid="{00000000-0005-0000-0000-0000606F0000}"/>
    <cellStyle name="Normal 366 3 4 2 2" xfId="28513" xr:uid="{00000000-0005-0000-0000-0000616F0000}"/>
    <cellStyle name="Normal 366 3 4 3" xfId="28514" xr:uid="{00000000-0005-0000-0000-0000626F0000}"/>
    <cellStyle name="Normal 366 3 5" xfId="28515" xr:uid="{00000000-0005-0000-0000-0000636F0000}"/>
    <cellStyle name="Normal 366 3 5 2" xfId="28516" xr:uid="{00000000-0005-0000-0000-0000646F0000}"/>
    <cellStyle name="Normal 366 3 5 2 2" xfId="28517" xr:uid="{00000000-0005-0000-0000-0000656F0000}"/>
    <cellStyle name="Normal 366 3 5 3" xfId="28518" xr:uid="{00000000-0005-0000-0000-0000666F0000}"/>
    <cellStyle name="Normal 366 3 6" xfId="28519" xr:uid="{00000000-0005-0000-0000-0000676F0000}"/>
    <cellStyle name="Normal 366 4" xfId="28520" xr:uid="{00000000-0005-0000-0000-0000686F0000}"/>
    <cellStyle name="Normal 366 4 2" xfId="28521" xr:uid="{00000000-0005-0000-0000-0000696F0000}"/>
    <cellStyle name="Normal 366 4 2 2" xfId="28522" xr:uid="{00000000-0005-0000-0000-00006A6F0000}"/>
    <cellStyle name="Normal 366 4 3" xfId="28523" xr:uid="{00000000-0005-0000-0000-00006B6F0000}"/>
    <cellStyle name="Normal 366 5" xfId="28524" xr:uid="{00000000-0005-0000-0000-00006C6F0000}"/>
    <cellStyle name="Normal 366 5 2" xfId="28525" xr:uid="{00000000-0005-0000-0000-00006D6F0000}"/>
    <cellStyle name="Normal 366 5 2 2" xfId="28526" xr:uid="{00000000-0005-0000-0000-00006E6F0000}"/>
    <cellStyle name="Normal 366 5 3" xfId="28527" xr:uid="{00000000-0005-0000-0000-00006F6F0000}"/>
    <cellStyle name="Normal 366 6" xfId="28528" xr:uid="{00000000-0005-0000-0000-0000706F0000}"/>
    <cellStyle name="Normal 366 6 2" xfId="28529" xr:uid="{00000000-0005-0000-0000-0000716F0000}"/>
    <cellStyle name="Normal 366 6 2 2" xfId="28530" xr:uid="{00000000-0005-0000-0000-0000726F0000}"/>
    <cellStyle name="Normal 366 6 3" xfId="28531" xr:uid="{00000000-0005-0000-0000-0000736F0000}"/>
    <cellStyle name="Normal 366 7" xfId="28532" xr:uid="{00000000-0005-0000-0000-0000746F0000}"/>
    <cellStyle name="Normal 367" xfId="28533" xr:uid="{00000000-0005-0000-0000-0000756F0000}"/>
    <cellStyle name="Normal 367 2" xfId="28534" xr:uid="{00000000-0005-0000-0000-0000766F0000}"/>
    <cellStyle name="Normal 367 2 2" xfId="28535" xr:uid="{00000000-0005-0000-0000-0000776F0000}"/>
    <cellStyle name="Normal 367 2 2 2" xfId="28536" xr:uid="{00000000-0005-0000-0000-0000786F0000}"/>
    <cellStyle name="Normal 367 2 3" xfId="28537" xr:uid="{00000000-0005-0000-0000-0000796F0000}"/>
    <cellStyle name="Normal 367 2 3 2" xfId="28538" xr:uid="{00000000-0005-0000-0000-00007A6F0000}"/>
    <cellStyle name="Normal 367 2 3 2 2" xfId="28539" xr:uid="{00000000-0005-0000-0000-00007B6F0000}"/>
    <cellStyle name="Normal 367 2 3 3" xfId="28540" xr:uid="{00000000-0005-0000-0000-00007C6F0000}"/>
    <cellStyle name="Normal 367 2 4" xfId="28541" xr:uid="{00000000-0005-0000-0000-00007D6F0000}"/>
    <cellStyle name="Normal 367 2 4 2" xfId="28542" xr:uid="{00000000-0005-0000-0000-00007E6F0000}"/>
    <cellStyle name="Normal 367 2 4 2 2" xfId="28543" xr:uid="{00000000-0005-0000-0000-00007F6F0000}"/>
    <cellStyle name="Normal 367 2 4 3" xfId="28544" xr:uid="{00000000-0005-0000-0000-0000806F0000}"/>
    <cellStyle name="Normal 367 2 5" xfId="28545" xr:uid="{00000000-0005-0000-0000-0000816F0000}"/>
    <cellStyle name="Normal 367 3" xfId="28546" xr:uid="{00000000-0005-0000-0000-0000826F0000}"/>
    <cellStyle name="Normal 367 3 2" xfId="28547" xr:uid="{00000000-0005-0000-0000-0000836F0000}"/>
    <cellStyle name="Normal 367 3 2 2" xfId="28548" xr:uid="{00000000-0005-0000-0000-0000846F0000}"/>
    <cellStyle name="Normal 367 3 2 2 2" xfId="28549" xr:uid="{00000000-0005-0000-0000-0000856F0000}"/>
    <cellStyle name="Normal 367 3 2 3" xfId="28550" xr:uid="{00000000-0005-0000-0000-0000866F0000}"/>
    <cellStyle name="Normal 367 3 2 3 2" xfId="28551" xr:uid="{00000000-0005-0000-0000-0000876F0000}"/>
    <cellStyle name="Normal 367 3 2 3 2 2" xfId="28552" xr:uid="{00000000-0005-0000-0000-0000886F0000}"/>
    <cellStyle name="Normal 367 3 2 3 3" xfId="28553" xr:uid="{00000000-0005-0000-0000-0000896F0000}"/>
    <cellStyle name="Normal 367 3 2 4" xfId="28554" xr:uid="{00000000-0005-0000-0000-00008A6F0000}"/>
    <cellStyle name="Normal 367 3 3" xfId="28555" xr:uid="{00000000-0005-0000-0000-00008B6F0000}"/>
    <cellStyle name="Normal 367 3 3 2" xfId="28556" xr:uid="{00000000-0005-0000-0000-00008C6F0000}"/>
    <cellStyle name="Normal 367 3 3 2 2" xfId="28557" xr:uid="{00000000-0005-0000-0000-00008D6F0000}"/>
    <cellStyle name="Normal 367 3 3 3" xfId="28558" xr:uid="{00000000-0005-0000-0000-00008E6F0000}"/>
    <cellStyle name="Normal 367 3 4" xfId="28559" xr:uid="{00000000-0005-0000-0000-00008F6F0000}"/>
    <cellStyle name="Normal 367 3 4 2" xfId="28560" xr:uid="{00000000-0005-0000-0000-0000906F0000}"/>
    <cellStyle name="Normal 367 3 4 2 2" xfId="28561" xr:uid="{00000000-0005-0000-0000-0000916F0000}"/>
    <cellStyle name="Normal 367 3 4 3" xfId="28562" xr:uid="{00000000-0005-0000-0000-0000926F0000}"/>
    <cellStyle name="Normal 367 3 5" xfId="28563" xr:uid="{00000000-0005-0000-0000-0000936F0000}"/>
    <cellStyle name="Normal 367 3 5 2" xfId="28564" xr:uid="{00000000-0005-0000-0000-0000946F0000}"/>
    <cellStyle name="Normal 367 3 5 2 2" xfId="28565" xr:uid="{00000000-0005-0000-0000-0000956F0000}"/>
    <cellStyle name="Normal 367 3 5 3" xfId="28566" xr:uid="{00000000-0005-0000-0000-0000966F0000}"/>
    <cellStyle name="Normal 367 3 6" xfId="28567" xr:uid="{00000000-0005-0000-0000-0000976F0000}"/>
    <cellStyle name="Normal 367 4" xfId="28568" xr:uid="{00000000-0005-0000-0000-0000986F0000}"/>
    <cellStyle name="Normal 367 4 2" xfId="28569" xr:uid="{00000000-0005-0000-0000-0000996F0000}"/>
    <cellStyle name="Normal 367 4 2 2" xfId="28570" xr:uid="{00000000-0005-0000-0000-00009A6F0000}"/>
    <cellStyle name="Normal 367 4 3" xfId="28571" xr:uid="{00000000-0005-0000-0000-00009B6F0000}"/>
    <cellStyle name="Normal 367 5" xfId="28572" xr:uid="{00000000-0005-0000-0000-00009C6F0000}"/>
    <cellStyle name="Normal 367 5 2" xfId="28573" xr:uid="{00000000-0005-0000-0000-00009D6F0000}"/>
    <cellStyle name="Normal 367 5 2 2" xfId="28574" xr:uid="{00000000-0005-0000-0000-00009E6F0000}"/>
    <cellStyle name="Normal 367 5 3" xfId="28575" xr:uid="{00000000-0005-0000-0000-00009F6F0000}"/>
    <cellStyle name="Normal 367 6" xfId="28576" xr:uid="{00000000-0005-0000-0000-0000A06F0000}"/>
    <cellStyle name="Normal 367 6 2" xfId="28577" xr:uid="{00000000-0005-0000-0000-0000A16F0000}"/>
    <cellStyle name="Normal 367 6 2 2" xfId="28578" xr:uid="{00000000-0005-0000-0000-0000A26F0000}"/>
    <cellStyle name="Normal 367 6 3" xfId="28579" xr:uid="{00000000-0005-0000-0000-0000A36F0000}"/>
    <cellStyle name="Normal 367 7" xfId="28580" xr:uid="{00000000-0005-0000-0000-0000A46F0000}"/>
    <cellStyle name="Normal 368" xfId="28581" xr:uid="{00000000-0005-0000-0000-0000A56F0000}"/>
    <cellStyle name="Normal 368 2" xfId="28582" xr:uid="{00000000-0005-0000-0000-0000A66F0000}"/>
    <cellStyle name="Normal 368 2 2" xfId="28583" xr:uid="{00000000-0005-0000-0000-0000A76F0000}"/>
    <cellStyle name="Normal 368 2 2 2" xfId="28584" xr:uid="{00000000-0005-0000-0000-0000A86F0000}"/>
    <cellStyle name="Normal 368 2 3" xfId="28585" xr:uid="{00000000-0005-0000-0000-0000A96F0000}"/>
    <cellStyle name="Normal 368 2 3 2" xfId="28586" xr:uid="{00000000-0005-0000-0000-0000AA6F0000}"/>
    <cellStyle name="Normal 368 2 3 2 2" xfId="28587" xr:uid="{00000000-0005-0000-0000-0000AB6F0000}"/>
    <cellStyle name="Normal 368 2 3 3" xfId="28588" xr:uid="{00000000-0005-0000-0000-0000AC6F0000}"/>
    <cellStyle name="Normal 368 2 4" xfId="28589" xr:uid="{00000000-0005-0000-0000-0000AD6F0000}"/>
    <cellStyle name="Normal 368 2 4 2" xfId="28590" xr:uid="{00000000-0005-0000-0000-0000AE6F0000}"/>
    <cellStyle name="Normal 368 2 4 2 2" xfId="28591" xr:uid="{00000000-0005-0000-0000-0000AF6F0000}"/>
    <cellStyle name="Normal 368 2 4 3" xfId="28592" xr:uid="{00000000-0005-0000-0000-0000B06F0000}"/>
    <cellStyle name="Normal 368 2 5" xfId="28593" xr:uid="{00000000-0005-0000-0000-0000B16F0000}"/>
    <cellStyle name="Normal 368 3" xfId="28594" xr:uid="{00000000-0005-0000-0000-0000B26F0000}"/>
    <cellStyle name="Normal 368 3 2" xfId="28595" xr:uid="{00000000-0005-0000-0000-0000B36F0000}"/>
    <cellStyle name="Normal 368 3 2 2" xfId="28596" xr:uid="{00000000-0005-0000-0000-0000B46F0000}"/>
    <cellStyle name="Normal 368 3 2 2 2" xfId="28597" xr:uid="{00000000-0005-0000-0000-0000B56F0000}"/>
    <cellStyle name="Normal 368 3 2 3" xfId="28598" xr:uid="{00000000-0005-0000-0000-0000B66F0000}"/>
    <cellStyle name="Normal 368 3 2 3 2" xfId="28599" xr:uid="{00000000-0005-0000-0000-0000B76F0000}"/>
    <cellStyle name="Normal 368 3 2 3 2 2" xfId="28600" xr:uid="{00000000-0005-0000-0000-0000B86F0000}"/>
    <cellStyle name="Normal 368 3 2 3 3" xfId="28601" xr:uid="{00000000-0005-0000-0000-0000B96F0000}"/>
    <cellStyle name="Normal 368 3 2 4" xfId="28602" xr:uid="{00000000-0005-0000-0000-0000BA6F0000}"/>
    <cellStyle name="Normal 368 3 3" xfId="28603" xr:uid="{00000000-0005-0000-0000-0000BB6F0000}"/>
    <cellStyle name="Normal 368 3 3 2" xfId="28604" xr:uid="{00000000-0005-0000-0000-0000BC6F0000}"/>
    <cellStyle name="Normal 368 3 3 2 2" xfId="28605" xr:uid="{00000000-0005-0000-0000-0000BD6F0000}"/>
    <cellStyle name="Normal 368 3 3 3" xfId="28606" xr:uid="{00000000-0005-0000-0000-0000BE6F0000}"/>
    <cellStyle name="Normal 368 3 4" xfId="28607" xr:uid="{00000000-0005-0000-0000-0000BF6F0000}"/>
    <cellStyle name="Normal 368 3 4 2" xfId="28608" xr:uid="{00000000-0005-0000-0000-0000C06F0000}"/>
    <cellStyle name="Normal 368 3 4 2 2" xfId="28609" xr:uid="{00000000-0005-0000-0000-0000C16F0000}"/>
    <cellStyle name="Normal 368 3 4 3" xfId="28610" xr:uid="{00000000-0005-0000-0000-0000C26F0000}"/>
    <cellStyle name="Normal 368 3 5" xfId="28611" xr:uid="{00000000-0005-0000-0000-0000C36F0000}"/>
    <cellStyle name="Normal 368 3 5 2" xfId="28612" xr:uid="{00000000-0005-0000-0000-0000C46F0000}"/>
    <cellStyle name="Normal 368 3 5 2 2" xfId="28613" xr:uid="{00000000-0005-0000-0000-0000C56F0000}"/>
    <cellStyle name="Normal 368 3 5 3" xfId="28614" xr:uid="{00000000-0005-0000-0000-0000C66F0000}"/>
    <cellStyle name="Normal 368 3 6" xfId="28615" xr:uid="{00000000-0005-0000-0000-0000C76F0000}"/>
    <cellStyle name="Normal 368 4" xfId="28616" xr:uid="{00000000-0005-0000-0000-0000C86F0000}"/>
    <cellStyle name="Normal 368 4 2" xfId="28617" xr:uid="{00000000-0005-0000-0000-0000C96F0000}"/>
    <cellStyle name="Normal 368 4 2 2" xfId="28618" xr:uid="{00000000-0005-0000-0000-0000CA6F0000}"/>
    <cellStyle name="Normal 368 4 3" xfId="28619" xr:uid="{00000000-0005-0000-0000-0000CB6F0000}"/>
    <cellStyle name="Normal 368 5" xfId="28620" xr:uid="{00000000-0005-0000-0000-0000CC6F0000}"/>
    <cellStyle name="Normal 368 5 2" xfId="28621" xr:uid="{00000000-0005-0000-0000-0000CD6F0000}"/>
    <cellStyle name="Normal 368 5 2 2" xfId="28622" xr:uid="{00000000-0005-0000-0000-0000CE6F0000}"/>
    <cellStyle name="Normal 368 5 3" xfId="28623" xr:uid="{00000000-0005-0000-0000-0000CF6F0000}"/>
    <cellStyle name="Normal 368 6" xfId="28624" xr:uid="{00000000-0005-0000-0000-0000D06F0000}"/>
    <cellStyle name="Normal 368 6 2" xfId="28625" xr:uid="{00000000-0005-0000-0000-0000D16F0000}"/>
    <cellStyle name="Normal 368 6 2 2" xfId="28626" xr:uid="{00000000-0005-0000-0000-0000D26F0000}"/>
    <cellStyle name="Normal 368 6 3" xfId="28627" xr:uid="{00000000-0005-0000-0000-0000D36F0000}"/>
    <cellStyle name="Normal 368 7" xfId="28628" xr:uid="{00000000-0005-0000-0000-0000D46F0000}"/>
    <cellStyle name="Normal 369" xfId="28629" xr:uid="{00000000-0005-0000-0000-0000D56F0000}"/>
    <cellStyle name="Normal 369 2" xfId="28630" xr:uid="{00000000-0005-0000-0000-0000D66F0000}"/>
    <cellStyle name="Normal 369 2 2" xfId="28631" xr:uid="{00000000-0005-0000-0000-0000D76F0000}"/>
    <cellStyle name="Normal 369 2 2 2" xfId="28632" xr:uid="{00000000-0005-0000-0000-0000D86F0000}"/>
    <cellStyle name="Normal 369 2 3" xfId="28633" xr:uid="{00000000-0005-0000-0000-0000D96F0000}"/>
    <cellStyle name="Normal 369 2 3 2" xfId="28634" xr:uid="{00000000-0005-0000-0000-0000DA6F0000}"/>
    <cellStyle name="Normal 369 2 3 2 2" xfId="28635" xr:uid="{00000000-0005-0000-0000-0000DB6F0000}"/>
    <cellStyle name="Normal 369 2 3 3" xfId="28636" xr:uid="{00000000-0005-0000-0000-0000DC6F0000}"/>
    <cellStyle name="Normal 369 2 4" xfId="28637" xr:uid="{00000000-0005-0000-0000-0000DD6F0000}"/>
    <cellStyle name="Normal 369 2 4 2" xfId="28638" xr:uid="{00000000-0005-0000-0000-0000DE6F0000}"/>
    <cellStyle name="Normal 369 2 4 2 2" xfId="28639" xr:uid="{00000000-0005-0000-0000-0000DF6F0000}"/>
    <cellStyle name="Normal 369 2 4 3" xfId="28640" xr:uid="{00000000-0005-0000-0000-0000E06F0000}"/>
    <cellStyle name="Normal 369 2 5" xfId="28641" xr:uid="{00000000-0005-0000-0000-0000E16F0000}"/>
    <cellStyle name="Normal 369 3" xfId="28642" xr:uid="{00000000-0005-0000-0000-0000E26F0000}"/>
    <cellStyle name="Normal 369 3 2" xfId="28643" xr:uid="{00000000-0005-0000-0000-0000E36F0000}"/>
    <cellStyle name="Normal 369 3 2 2" xfId="28644" xr:uid="{00000000-0005-0000-0000-0000E46F0000}"/>
    <cellStyle name="Normal 369 3 2 2 2" xfId="28645" xr:uid="{00000000-0005-0000-0000-0000E56F0000}"/>
    <cellStyle name="Normal 369 3 2 3" xfId="28646" xr:uid="{00000000-0005-0000-0000-0000E66F0000}"/>
    <cellStyle name="Normal 369 3 2 3 2" xfId="28647" xr:uid="{00000000-0005-0000-0000-0000E76F0000}"/>
    <cellStyle name="Normal 369 3 2 3 2 2" xfId="28648" xr:uid="{00000000-0005-0000-0000-0000E86F0000}"/>
    <cellStyle name="Normal 369 3 2 3 3" xfId="28649" xr:uid="{00000000-0005-0000-0000-0000E96F0000}"/>
    <cellStyle name="Normal 369 3 2 4" xfId="28650" xr:uid="{00000000-0005-0000-0000-0000EA6F0000}"/>
    <cellStyle name="Normal 369 3 3" xfId="28651" xr:uid="{00000000-0005-0000-0000-0000EB6F0000}"/>
    <cellStyle name="Normal 369 3 3 2" xfId="28652" xr:uid="{00000000-0005-0000-0000-0000EC6F0000}"/>
    <cellStyle name="Normal 369 3 3 2 2" xfId="28653" xr:uid="{00000000-0005-0000-0000-0000ED6F0000}"/>
    <cellStyle name="Normal 369 3 3 3" xfId="28654" xr:uid="{00000000-0005-0000-0000-0000EE6F0000}"/>
    <cellStyle name="Normal 369 3 4" xfId="28655" xr:uid="{00000000-0005-0000-0000-0000EF6F0000}"/>
    <cellStyle name="Normal 369 3 4 2" xfId="28656" xr:uid="{00000000-0005-0000-0000-0000F06F0000}"/>
    <cellStyle name="Normal 369 3 4 2 2" xfId="28657" xr:uid="{00000000-0005-0000-0000-0000F16F0000}"/>
    <cellStyle name="Normal 369 3 4 3" xfId="28658" xr:uid="{00000000-0005-0000-0000-0000F26F0000}"/>
    <cellStyle name="Normal 369 3 5" xfId="28659" xr:uid="{00000000-0005-0000-0000-0000F36F0000}"/>
    <cellStyle name="Normal 369 3 5 2" xfId="28660" xr:uid="{00000000-0005-0000-0000-0000F46F0000}"/>
    <cellStyle name="Normal 369 3 5 2 2" xfId="28661" xr:uid="{00000000-0005-0000-0000-0000F56F0000}"/>
    <cellStyle name="Normal 369 3 5 3" xfId="28662" xr:uid="{00000000-0005-0000-0000-0000F66F0000}"/>
    <cellStyle name="Normal 369 3 6" xfId="28663" xr:uid="{00000000-0005-0000-0000-0000F76F0000}"/>
    <cellStyle name="Normal 369 4" xfId="28664" xr:uid="{00000000-0005-0000-0000-0000F86F0000}"/>
    <cellStyle name="Normal 369 4 2" xfId="28665" xr:uid="{00000000-0005-0000-0000-0000F96F0000}"/>
    <cellStyle name="Normal 369 4 2 2" xfId="28666" xr:uid="{00000000-0005-0000-0000-0000FA6F0000}"/>
    <cellStyle name="Normal 369 4 3" xfId="28667" xr:uid="{00000000-0005-0000-0000-0000FB6F0000}"/>
    <cellStyle name="Normal 369 5" xfId="28668" xr:uid="{00000000-0005-0000-0000-0000FC6F0000}"/>
    <cellStyle name="Normal 369 5 2" xfId="28669" xr:uid="{00000000-0005-0000-0000-0000FD6F0000}"/>
    <cellStyle name="Normal 369 5 2 2" xfId="28670" xr:uid="{00000000-0005-0000-0000-0000FE6F0000}"/>
    <cellStyle name="Normal 369 5 3" xfId="28671" xr:uid="{00000000-0005-0000-0000-0000FF6F0000}"/>
    <cellStyle name="Normal 369 6" xfId="28672" xr:uid="{00000000-0005-0000-0000-000000700000}"/>
    <cellStyle name="Normal 369 6 2" xfId="28673" xr:uid="{00000000-0005-0000-0000-000001700000}"/>
    <cellStyle name="Normal 369 6 2 2" xfId="28674" xr:uid="{00000000-0005-0000-0000-000002700000}"/>
    <cellStyle name="Normal 369 6 3" xfId="28675" xr:uid="{00000000-0005-0000-0000-000003700000}"/>
    <cellStyle name="Normal 369 7" xfId="28676" xr:uid="{00000000-0005-0000-0000-000004700000}"/>
    <cellStyle name="Normal 37" xfId="28677" xr:uid="{00000000-0005-0000-0000-000005700000}"/>
    <cellStyle name="Normal 37 2" xfId="28678" xr:uid="{00000000-0005-0000-0000-000006700000}"/>
    <cellStyle name="Normal 37 2 2" xfId="28679" xr:uid="{00000000-0005-0000-0000-000007700000}"/>
    <cellStyle name="Normal 37 2 2 2" xfId="28680" xr:uid="{00000000-0005-0000-0000-000008700000}"/>
    <cellStyle name="Normal 37 2 2 2 2" xfId="28681" xr:uid="{00000000-0005-0000-0000-000009700000}"/>
    <cellStyle name="Normal 37 2 2 3" xfId="28682" xr:uid="{00000000-0005-0000-0000-00000A700000}"/>
    <cellStyle name="Normal 37 2 2 3 2" xfId="28683" xr:uid="{00000000-0005-0000-0000-00000B700000}"/>
    <cellStyle name="Normal 37 2 2 3 2 2" xfId="28684" xr:uid="{00000000-0005-0000-0000-00000C700000}"/>
    <cellStyle name="Normal 37 2 2 3 3" xfId="28685" xr:uid="{00000000-0005-0000-0000-00000D700000}"/>
    <cellStyle name="Normal 37 2 2 4" xfId="28686" xr:uid="{00000000-0005-0000-0000-00000E700000}"/>
    <cellStyle name="Normal 37 2 2 4 2" xfId="28687" xr:uid="{00000000-0005-0000-0000-00000F700000}"/>
    <cellStyle name="Normal 37 2 2 4 2 2" xfId="28688" xr:uid="{00000000-0005-0000-0000-000010700000}"/>
    <cellStyle name="Normal 37 2 2 4 3" xfId="28689" xr:uid="{00000000-0005-0000-0000-000011700000}"/>
    <cellStyle name="Normal 37 2 2 5" xfId="28690" xr:uid="{00000000-0005-0000-0000-000012700000}"/>
    <cellStyle name="Normal 37 2 3" xfId="28691" xr:uid="{00000000-0005-0000-0000-000013700000}"/>
    <cellStyle name="Normal 37 2 3 2" xfId="28692" xr:uid="{00000000-0005-0000-0000-000014700000}"/>
    <cellStyle name="Normal 37 2 3 2 2" xfId="28693" xr:uid="{00000000-0005-0000-0000-000015700000}"/>
    <cellStyle name="Normal 37 2 3 3" xfId="28694" xr:uid="{00000000-0005-0000-0000-000016700000}"/>
    <cellStyle name="Normal 37 2 4" xfId="28695" xr:uid="{00000000-0005-0000-0000-000017700000}"/>
    <cellStyle name="Normal 37 2 4 2" xfId="28696" xr:uid="{00000000-0005-0000-0000-000018700000}"/>
    <cellStyle name="Normal 37 2 4 2 2" xfId="28697" xr:uid="{00000000-0005-0000-0000-000019700000}"/>
    <cellStyle name="Normal 37 2 4 3" xfId="28698" xr:uid="{00000000-0005-0000-0000-00001A700000}"/>
    <cellStyle name="Normal 37 2 5" xfId="28699" xr:uid="{00000000-0005-0000-0000-00001B700000}"/>
    <cellStyle name="Normal 37 2 5 2" xfId="28700" xr:uid="{00000000-0005-0000-0000-00001C700000}"/>
    <cellStyle name="Normal 37 2 5 2 2" xfId="28701" xr:uid="{00000000-0005-0000-0000-00001D700000}"/>
    <cellStyle name="Normal 37 2 5 3" xfId="28702" xr:uid="{00000000-0005-0000-0000-00001E700000}"/>
    <cellStyle name="Normal 37 2 6" xfId="28703" xr:uid="{00000000-0005-0000-0000-00001F700000}"/>
    <cellStyle name="Normal 37 3" xfId="28704" xr:uid="{00000000-0005-0000-0000-000020700000}"/>
    <cellStyle name="Normal 37 3 2" xfId="28705" xr:uid="{00000000-0005-0000-0000-000021700000}"/>
    <cellStyle name="Normal 37 3 2 2" xfId="28706" xr:uid="{00000000-0005-0000-0000-000022700000}"/>
    <cellStyle name="Normal 37 3 3" xfId="28707" xr:uid="{00000000-0005-0000-0000-000023700000}"/>
    <cellStyle name="Normal 37 3 3 2" xfId="28708" xr:uid="{00000000-0005-0000-0000-000024700000}"/>
    <cellStyle name="Normal 37 3 3 2 2" xfId="28709" xr:uid="{00000000-0005-0000-0000-000025700000}"/>
    <cellStyle name="Normal 37 3 3 3" xfId="28710" xr:uid="{00000000-0005-0000-0000-000026700000}"/>
    <cellStyle name="Normal 37 3 4" xfId="28711" xr:uid="{00000000-0005-0000-0000-000027700000}"/>
    <cellStyle name="Normal 37 3 4 2" xfId="28712" xr:uid="{00000000-0005-0000-0000-000028700000}"/>
    <cellStyle name="Normal 37 3 4 2 2" xfId="28713" xr:uid="{00000000-0005-0000-0000-000029700000}"/>
    <cellStyle name="Normal 37 3 4 3" xfId="28714" xr:uid="{00000000-0005-0000-0000-00002A700000}"/>
    <cellStyle name="Normal 37 3 5" xfId="28715" xr:uid="{00000000-0005-0000-0000-00002B700000}"/>
    <cellStyle name="Normal 37 4" xfId="28716" xr:uid="{00000000-0005-0000-0000-00002C700000}"/>
    <cellStyle name="Normal 37 4 2" xfId="28717" xr:uid="{00000000-0005-0000-0000-00002D700000}"/>
    <cellStyle name="Normal 37 4 2 2" xfId="28718" xr:uid="{00000000-0005-0000-0000-00002E700000}"/>
    <cellStyle name="Normal 37 4 3" xfId="28719" xr:uid="{00000000-0005-0000-0000-00002F700000}"/>
    <cellStyle name="Normal 37 5" xfId="28720" xr:uid="{00000000-0005-0000-0000-000030700000}"/>
    <cellStyle name="Normal 37 5 2" xfId="28721" xr:uid="{00000000-0005-0000-0000-000031700000}"/>
    <cellStyle name="Normal 37 5 2 2" xfId="28722" xr:uid="{00000000-0005-0000-0000-000032700000}"/>
    <cellStyle name="Normal 37 5 3" xfId="28723" xr:uid="{00000000-0005-0000-0000-000033700000}"/>
    <cellStyle name="Normal 37 6" xfId="28724" xr:uid="{00000000-0005-0000-0000-000034700000}"/>
    <cellStyle name="Normal 37 6 2" xfId="28725" xr:uid="{00000000-0005-0000-0000-000035700000}"/>
    <cellStyle name="Normal 37 6 2 2" xfId="28726" xr:uid="{00000000-0005-0000-0000-000036700000}"/>
    <cellStyle name="Normal 37 6 3" xfId="28727" xr:uid="{00000000-0005-0000-0000-000037700000}"/>
    <cellStyle name="Normal 37 7" xfId="28728" xr:uid="{00000000-0005-0000-0000-000038700000}"/>
    <cellStyle name="Normal 370" xfId="28729" xr:uid="{00000000-0005-0000-0000-000039700000}"/>
    <cellStyle name="Normal 370 2" xfId="28730" xr:uid="{00000000-0005-0000-0000-00003A700000}"/>
    <cellStyle name="Normal 370 2 2" xfId="28731" xr:uid="{00000000-0005-0000-0000-00003B700000}"/>
    <cellStyle name="Normal 370 2 2 2" xfId="28732" xr:uid="{00000000-0005-0000-0000-00003C700000}"/>
    <cellStyle name="Normal 370 2 3" xfId="28733" xr:uid="{00000000-0005-0000-0000-00003D700000}"/>
    <cellStyle name="Normal 370 2 3 2" xfId="28734" xr:uid="{00000000-0005-0000-0000-00003E700000}"/>
    <cellStyle name="Normal 370 2 3 2 2" xfId="28735" xr:uid="{00000000-0005-0000-0000-00003F700000}"/>
    <cellStyle name="Normal 370 2 3 3" xfId="28736" xr:uid="{00000000-0005-0000-0000-000040700000}"/>
    <cellStyle name="Normal 370 2 4" xfId="28737" xr:uid="{00000000-0005-0000-0000-000041700000}"/>
    <cellStyle name="Normal 370 2 4 2" xfId="28738" xr:uid="{00000000-0005-0000-0000-000042700000}"/>
    <cellStyle name="Normal 370 2 4 2 2" xfId="28739" xr:uid="{00000000-0005-0000-0000-000043700000}"/>
    <cellStyle name="Normal 370 2 4 3" xfId="28740" xr:uid="{00000000-0005-0000-0000-000044700000}"/>
    <cellStyle name="Normal 370 2 5" xfId="28741" xr:uid="{00000000-0005-0000-0000-000045700000}"/>
    <cellStyle name="Normal 370 3" xfId="28742" xr:uid="{00000000-0005-0000-0000-000046700000}"/>
    <cellStyle name="Normal 370 3 2" xfId="28743" xr:uid="{00000000-0005-0000-0000-000047700000}"/>
    <cellStyle name="Normal 370 3 2 2" xfId="28744" xr:uid="{00000000-0005-0000-0000-000048700000}"/>
    <cellStyle name="Normal 370 3 2 2 2" xfId="28745" xr:uid="{00000000-0005-0000-0000-000049700000}"/>
    <cellStyle name="Normal 370 3 2 3" xfId="28746" xr:uid="{00000000-0005-0000-0000-00004A700000}"/>
    <cellStyle name="Normal 370 3 2 3 2" xfId="28747" xr:uid="{00000000-0005-0000-0000-00004B700000}"/>
    <cellStyle name="Normal 370 3 2 3 2 2" xfId="28748" xr:uid="{00000000-0005-0000-0000-00004C700000}"/>
    <cellStyle name="Normal 370 3 2 3 3" xfId="28749" xr:uid="{00000000-0005-0000-0000-00004D700000}"/>
    <cellStyle name="Normal 370 3 2 4" xfId="28750" xr:uid="{00000000-0005-0000-0000-00004E700000}"/>
    <cellStyle name="Normal 370 3 3" xfId="28751" xr:uid="{00000000-0005-0000-0000-00004F700000}"/>
    <cellStyle name="Normal 370 3 3 2" xfId="28752" xr:uid="{00000000-0005-0000-0000-000050700000}"/>
    <cellStyle name="Normal 370 3 3 2 2" xfId="28753" xr:uid="{00000000-0005-0000-0000-000051700000}"/>
    <cellStyle name="Normal 370 3 3 3" xfId="28754" xr:uid="{00000000-0005-0000-0000-000052700000}"/>
    <cellStyle name="Normal 370 3 4" xfId="28755" xr:uid="{00000000-0005-0000-0000-000053700000}"/>
    <cellStyle name="Normal 370 3 4 2" xfId="28756" xr:uid="{00000000-0005-0000-0000-000054700000}"/>
    <cellStyle name="Normal 370 3 4 2 2" xfId="28757" xr:uid="{00000000-0005-0000-0000-000055700000}"/>
    <cellStyle name="Normal 370 3 4 3" xfId="28758" xr:uid="{00000000-0005-0000-0000-000056700000}"/>
    <cellStyle name="Normal 370 3 5" xfId="28759" xr:uid="{00000000-0005-0000-0000-000057700000}"/>
    <cellStyle name="Normal 370 3 5 2" xfId="28760" xr:uid="{00000000-0005-0000-0000-000058700000}"/>
    <cellStyle name="Normal 370 3 5 2 2" xfId="28761" xr:uid="{00000000-0005-0000-0000-000059700000}"/>
    <cellStyle name="Normal 370 3 5 3" xfId="28762" xr:uid="{00000000-0005-0000-0000-00005A700000}"/>
    <cellStyle name="Normal 370 3 6" xfId="28763" xr:uid="{00000000-0005-0000-0000-00005B700000}"/>
    <cellStyle name="Normal 370 4" xfId="28764" xr:uid="{00000000-0005-0000-0000-00005C700000}"/>
    <cellStyle name="Normal 370 4 2" xfId="28765" xr:uid="{00000000-0005-0000-0000-00005D700000}"/>
    <cellStyle name="Normal 370 4 2 2" xfId="28766" xr:uid="{00000000-0005-0000-0000-00005E700000}"/>
    <cellStyle name="Normal 370 4 3" xfId="28767" xr:uid="{00000000-0005-0000-0000-00005F700000}"/>
    <cellStyle name="Normal 370 5" xfId="28768" xr:uid="{00000000-0005-0000-0000-000060700000}"/>
    <cellStyle name="Normal 370 5 2" xfId="28769" xr:uid="{00000000-0005-0000-0000-000061700000}"/>
    <cellStyle name="Normal 370 5 2 2" xfId="28770" xr:uid="{00000000-0005-0000-0000-000062700000}"/>
    <cellStyle name="Normal 370 5 3" xfId="28771" xr:uid="{00000000-0005-0000-0000-000063700000}"/>
    <cellStyle name="Normal 370 6" xfId="28772" xr:uid="{00000000-0005-0000-0000-000064700000}"/>
    <cellStyle name="Normal 370 6 2" xfId="28773" xr:uid="{00000000-0005-0000-0000-000065700000}"/>
    <cellStyle name="Normal 370 6 2 2" xfId="28774" xr:uid="{00000000-0005-0000-0000-000066700000}"/>
    <cellStyle name="Normal 370 6 3" xfId="28775" xr:uid="{00000000-0005-0000-0000-000067700000}"/>
    <cellStyle name="Normal 370 7" xfId="28776" xr:uid="{00000000-0005-0000-0000-000068700000}"/>
    <cellStyle name="Normal 371" xfId="28777" xr:uid="{00000000-0005-0000-0000-000069700000}"/>
    <cellStyle name="Normal 371 2" xfId="28778" xr:uid="{00000000-0005-0000-0000-00006A700000}"/>
    <cellStyle name="Normal 371 2 2" xfId="28779" xr:uid="{00000000-0005-0000-0000-00006B700000}"/>
    <cellStyle name="Normal 371 2 2 2" xfId="28780" xr:uid="{00000000-0005-0000-0000-00006C700000}"/>
    <cellStyle name="Normal 371 2 3" xfId="28781" xr:uid="{00000000-0005-0000-0000-00006D700000}"/>
    <cellStyle name="Normal 371 2 3 2" xfId="28782" xr:uid="{00000000-0005-0000-0000-00006E700000}"/>
    <cellStyle name="Normal 371 2 3 2 2" xfId="28783" xr:uid="{00000000-0005-0000-0000-00006F700000}"/>
    <cellStyle name="Normal 371 2 3 3" xfId="28784" xr:uid="{00000000-0005-0000-0000-000070700000}"/>
    <cellStyle name="Normal 371 2 4" xfId="28785" xr:uid="{00000000-0005-0000-0000-000071700000}"/>
    <cellStyle name="Normal 371 2 4 2" xfId="28786" xr:uid="{00000000-0005-0000-0000-000072700000}"/>
    <cellStyle name="Normal 371 2 4 2 2" xfId="28787" xr:uid="{00000000-0005-0000-0000-000073700000}"/>
    <cellStyle name="Normal 371 2 4 3" xfId="28788" xr:uid="{00000000-0005-0000-0000-000074700000}"/>
    <cellStyle name="Normal 371 2 5" xfId="28789" xr:uid="{00000000-0005-0000-0000-000075700000}"/>
    <cellStyle name="Normal 371 3" xfId="28790" xr:uid="{00000000-0005-0000-0000-000076700000}"/>
    <cellStyle name="Normal 371 3 2" xfId="28791" xr:uid="{00000000-0005-0000-0000-000077700000}"/>
    <cellStyle name="Normal 371 3 2 2" xfId="28792" xr:uid="{00000000-0005-0000-0000-000078700000}"/>
    <cellStyle name="Normal 371 3 2 2 2" xfId="28793" xr:uid="{00000000-0005-0000-0000-000079700000}"/>
    <cellStyle name="Normal 371 3 2 3" xfId="28794" xr:uid="{00000000-0005-0000-0000-00007A700000}"/>
    <cellStyle name="Normal 371 3 2 3 2" xfId="28795" xr:uid="{00000000-0005-0000-0000-00007B700000}"/>
    <cellStyle name="Normal 371 3 2 3 2 2" xfId="28796" xr:uid="{00000000-0005-0000-0000-00007C700000}"/>
    <cellStyle name="Normal 371 3 2 3 3" xfId="28797" xr:uid="{00000000-0005-0000-0000-00007D700000}"/>
    <cellStyle name="Normal 371 3 2 4" xfId="28798" xr:uid="{00000000-0005-0000-0000-00007E700000}"/>
    <cellStyle name="Normal 371 3 3" xfId="28799" xr:uid="{00000000-0005-0000-0000-00007F700000}"/>
    <cellStyle name="Normal 371 3 3 2" xfId="28800" xr:uid="{00000000-0005-0000-0000-000080700000}"/>
    <cellStyle name="Normal 371 3 3 2 2" xfId="28801" xr:uid="{00000000-0005-0000-0000-000081700000}"/>
    <cellStyle name="Normal 371 3 3 3" xfId="28802" xr:uid="{00000000-0005-0000-0000-000082700000}"/>
    <cellStyle name="Normal 371 3 4" xfId="28803" xr:uid="{00000000-0005-0000-0000-000083700000}"/>
    <cellStyle name="Normal 371 3 4 2" xfId="28804" xr:uid="{00000000-0005-0000-0000-000084700000}"/>
    <cellStyle name="Normal 371 3 4 2 2" xfId="28805" xr:uid="{00000000-0005-0000-0000-000085700000}"/>
    <cellStyle name="Normal 371 3 4 3" xfId="28806" xr:uid="{00000000-0005-0000-0000-000086700000}"/>
    <cellStyle name="Normal 371 3 5" xfId="28807" xr:uid="{00000000-0005-0000-0000-000087700000}"/>
    <cellStyle name="Normal 371 3 5 2" xfId="28808" xr:uid="{00000000-0005-0000-0000-000088700000}"/>
    <cellStyle name="Normal 371 3 5 2 2" xfId="28809" xr:uid="{00000000-0005-0000-0000-000089700000}"/>
    <cellStyle name="Normal 371 3 5 3" xfId="28810" xr:uid="{00000000-0005-0000-0000-00008A700000}"/>
    <cellStyle name="Normal 371 3 6" xfId="28811" xr:uid="{00000000-0005-0000-0000-00008B700000}"/>
    <cellStyle name="Normal 371 4" xfId="28812" xr:uid="{00000000-0005-0000-0000-00008C700000}"/>
    <cellStyle name="Normal 371 4 2" xfId="28813" xr:uid="{00000000-0005-0000-0000-00008D700000}"/>
    <cellStyle name="Normal 371 4 2 2" xfId="28814" xr:uid="{00000000-0005-0000-0000-00008E700000}"/>
    <cellStyle name="Normal 371 4 3" xfId="28815" xr:uid="{00000000-0005-0000-0000-00008F700000}"/>
    <cellStyle name="Normal 371 5" xfId="28816" xr:uid="{00000000-0005-0000-0000-000090700000}"/>
    <cellStyle name="Normal 371 5 2" xfId="28817" xr:uid="{00000000-0005-0000-0000-000091700000}"/>
    <cellStyle name="Normal 371 5 2 2" xfId="28818" xr:uid="{00000000-0005-0000-0000-000092700000}"/>
    <cellStyle name="Normal 371 5 3" xfId="28819" xr:uid="{00000000-0005-0000-0000-000093700000}"/>
    <cellStyle name="Normal 371 6" xfId="28820" xr:uid="{00000000-0005-0000-0000-000094700000}"/>
    <cellStyle name="Normal 371 6 2" xfId="28821" xr:uid="{00000000-0005-0000-0000-000095700000}"/>
    <cellStyle name="Normal 371 6 2 2" xfId="28822" xr:uid="{00000000-0005-0000-0000-000096700000}"/>
    <cellStyle name="Normal 371 6 3" xfId="28823" xr:uid="{00000000-0005-0000-0000-000097700000}"/>
    <cellStyle name="Normal 371 7" xfId="28824" xr:uid="{00000000-0005-0000-0000-000098700000}"/>
    <cellStyle name="Normal 372" xfId="28825" xr:uid="{00000000-0005-0000-0000-000099700000}"/>
    <cellStyle name="Normal 372 2" xfId="28826" xr:uid="{00000000-0005-0000-0000-00009A700000}"/>
    <cellStyle name="Normal 372 2 2" xfId="28827" xr:uid="{00000000-0005-0000-0000-00009B700000}"/>
    <cellStyle name="Normal 372 2 2 2" xfId="28828" xr:uid="{00000000-0005-0000-0000-00009C700000}"/>
    <cellStyle name="Normal 372 2 3" xfId="28829" xr:uid="{00000000-0005-0000-0000-00009D700000}"/>
    <cellStyle name="Normal 372 2 3 2" xfId="28830" xr:uid="{00000000-0005-0000-0000-00009E700000}"/>
    <cellStyle name="Normal 372 2 3 2 2" xfId="28831" xr:uid="{00000000-0005-0000-0000-00009F700000}"/>
    <cellStyle name="Normal 372 2 3 3" xfId="28832" xr:uid="{00000000-0005-0000-0000-0000A0700000}"/>
    <cellStyle name="Normal 372 2 4" xfId="28833" xr:uid="{00000000-0005-0000-0000-0000A1700000}"/>
    <cellStyle name="Normal 372 2 4 2" xfId="28834" xr:uid="{00000000-0005-0000-0000-0000A2700000}"/>
    <cellStyle name="Normal 372 2 4 2 2" xfId="28835" xr:uid="{00000000-0005-0000-0000-0000A3700000}"/>
    <cellStyle name="Normal 372 2 4 3" xfId="28836" xr:uid="{00000000-0005-0000-0000-0000A4700000}"/>
    <cellStyle name="Normal 372 2 5" xfId="28837" xr:uid="{00000000-0005-0000-0000-0000A5700000}"/>
    <cellStyle name="Normal 372 3" xfId="28838" xr:uid="{00000000-0005-0000-0000-0000A6700000}"/>
    <cellStyle name="Normal 372 3 2" xfId="28839" xr:uid="{00000000-0005-0000-0000-0000A7700000}"/>
    <cellStyle name="Normal 372 3 2 2" xfId="28840" xr:uid="{00000000-0005-0000-0000-0000A8700000}"/>
    <cellStyle name="Normal 372 3 2 2 2" xfId="28841" xr:uid="{00000000-0005-0000-0000-0000A9700000}"/>
    <cellStyle name="Normal 372 3 2 3" xfId="28842" xr:uid="{00000000-0005-0000-0000-0000AA700000}"/>
    <cellStyle name="Normal 372 3 2 3 2" xfId="28843" xr:uid="{00000000-0005-0000-0000-0000AB700000}"/>
    <cellStyle name="Normal 372 3 2 3 2 2" xfId="28844" xr:uid="{00000000-0005-0000-0000-0000AC700000}"/>
    <cellStyle name="Normal 372 3 2 3 3" xfId="28845" xr:uid="{00000000-0005-0000-0000-0000AD700000}"/>
    <cellStyle name="Normal 372 3 2 4" xfId="28846" xr:uid="{00000000-0005-0000-0000-0000AE700000}"/>
    <cellStyle name="Normal 372 3 3" xfId="28847" xr:uid="{00000000-0005-0000-0000-0000AF700000}"/>
    <cellStyle name="Normal 372 3 3 2" xfId="28848" xr:uid="{00000000-0005-0000-0000-0000B0700000}"/>
    <cellStyle name="Normal 372 3 3 2 2" xfId="28849" xr:uid="{00000000-0005-0000-0000-0000B1700000}"/>
    <cellStyle name="Normal 372 3 3 3" xfId="28850" xr:uid="{00000000-0005-0000-0000-0000B2700000}"/>
    <cellStyle name="Normal 372 3 4" xfId="28851" xr:uid="{00000000-0005-0000-0000-0000B3700000}"/>
    <cellStyle name="Normal 372 3 4 2" xfId="28852" xr:uid="{00000000-0005-0000-0000-0000B4700000}"/>
    <cellStyle name="Normal 372 3 4 2 2" xfId="28853" xr:uid="{00000000-0005-0000-0000-0000B5700000}"/>
    <cellStyle name="Normal 372 3 4 3" xfId="28854" xr:uid="{00000000-0005-0000-0000-0000B6700000}"/>
    <cellStyle name="Normal 372 3 5" xfId="28855" xr:uid="{00000000-0005-0000-0000-0000B7700000}"/>
    <cellStyle name="Normal 372 3 5 2" xfId="28856" xr:uid="{00000000-0005-0000-0000-0000B8700000}"/>
    <cellStyle name="Normal 372 3 5 2 2" xfId="28857" xr:uid="{00000000-0005-0000-0000-0000B9700000}"/>
    <cellStyle name="Normal 372 3 5 3" xfId="28858" xr:uid="{00000000-0005-0000-0000-0000BA700000}"/>
    <cellStyle name="Normal 372 3 6" xfId="28859" xr:uid="{00000000-0005-0000-0000-0000BB700000}"/>
    <cellStyle name="Normal 372 4" xfId="28860" xr:uid="{00000000-0005-0000-0000-0000BC700000}"/>
    <cellStyle name="Normal 372 4 2" xfId="28861" xr:uid="{00000000-0005-0000-0000-0000BD700000}"/>
    <cellStyle name="Normal 372 4 2 2" xfId="28862" xr:uid="{00000000-0005-0000-0000-0000BE700000}"/>
    <cellStyle name="Normal 372 4 3" xfId="28863" xr:uid="{00000000-0005-0000-0000-0000BF700000}"/>
    <cellStyle name="Normal 372 5" xfId="28864" xr:uid="{00000000-0005-0000-0000-0000C0700000}"/>
    <cellStyle name="Normal 372 5 2" xfId="28865" xr:uid="{00000000-0005-0000-0000-0000C1700000}"/>
    <cellStyle name="Normal 372 5 2 2" xfId="28866" xr:uid="{00000000-0005-0000-0000-0000C2700000}"/>
    <cellStyle name="Normal 372 5 3" xfId="28867" xr:uid="{00000000-0005-0000-0000-0000C3700000}"/>
    <cellStyle name="Normal 372 6" xfId="28868" xr:uid="{00000000-0005-0000-0000-0000C4700000}"/>
    <cellStyle name="Normal 372 6 2" xfId="28869" xr:uid="{00000000-0005-0000-0000-0000C5700000}"/>
    <cellStyle name="Normal 372 6 2 2" xfId="28870" xr:uid="{00000000-0005-0000-0000-0000C6700000}"/>
    <cellStyle name="Normal 372 6 3" xfId="28871" xr:uid="{00000000-0005-0000-0000-0000C7700000}"/>
    <cellStyle name="Normal 372 7" xfId="28872" xr:uid="{00000000-0005-0000-0000-0000C8700000}"/>
    <cellStyle name="Normal 373" xfId="28873" xr:uid="{00000000-0005-0000-0000-0000C9700000}"/>
    <cellStyle name="Normal 373 2" xfId="28874" xr:uid="{00000000-0005-0000-0000-0000CA700000}"/>
    <cellStyle name="Normal 373 2 2" xfId="28875" xr:uid="{00000000-0005-0000-0000-0000CB700000}"/>
    <cellStyle name="Normal 373 2 2 2" xfId="28876" xr:uid="{00000000-0005-0000-0000-0000CC700000}"/>
    <cellStyle name="Normal 373 2 3" xfId="28877" xr:uid="{00000000-0005-0000-0000-0000CD700000}"/>
    <cellStyle name="Normal 373 2 3 2" xfId="28878" xr:uid="{00000000-0005-0000-0000-0000CE700000}"/>
    <cellStyle name="Normal 373 2 3 2 2" xfId="28879" xr:uid="{00000000-0005-0000-0000-0000CF700000}"/>
    <cellStyle name="Normal 373 2 3 3" xfId="28880" xr:uid="{00000000-0005-0000-0000-0000D0700000}"/>
    <cellStyle name="Normal 373 2 4" xfId="28881" xr:uid="{00000000-0005-0000-0000-0000D1700000}"/>
    <cellStyle name="Normal 373 2 4 2" xfId="28882" xr:uid="{00000000-0005-0000-0000-0000D2700000}"/>
    <cellStyle name="Normal 373 2 4 2 2" xfId="28883" xr:uid="{00000000-0005-0000-0000-0000D3700000}"/>
    <cellStyle name="Normal 373 2 4 3" xfId="28884" xr:uid="{00000000-0005-0000-0000-0000D4700000}"/>
    <cellStyle name="Normal 373 2 5" xfId="28885" xr:uid="{00000000-0005-0000-0000-0000D5700000}"/>
    <cellStyle name="Normal 373 3" xfId="28886" xr:uid="{00000000-0005-0000-0000-0000D6700000}"/>
    <cellStyle name="Normal 373 3 2" xfId="28887" xr:uid="{00000000-0005-0000-0000-0000D7700000}"/>
    <cellStyle name="Normal 373 3 2 2" xfId="28888" xr:uid="{00000000-0005-0000-0000-0000D8700000}"/>
    <cellStyle name="Normal 373 3 2 2 2" xfId="28889" xr:uid="{00000000-0005-0000-0000-0000D9700000}"/>
    <cellStyle name="Normal 373 3 2 3" xfId="28890" xr:uid="{00000000-0005-0000-0000-0000DA700000}"/>
    <cellStyle name="Normal 373 3 2 3 2" xfId="28891" xr:uid="{00000000-0005-0000-0000-0000DB700000}"/>
    <cellStyle name="Normal 373 3 2 3 2 2" xfId="28892" xr:uid="{00000000-0005-0000-0000-0000DC700000}"/>
    <cellStyle name="Normal 373 3 2 3 3" xfId="28893" xr:uid="{00000000-0005-0000-0000-0000DD700000}"/>
    <cellStyle name="Normal 373 3 2 4" xfId="28894" xr:uid="{00000000-0005-0000-0000-0000DE700000}"/>
    <cellStyle name="Normal 373 3 3" xfId="28895" xr:uid="{00000000-0005-0000-0000-0000DF700000}"/>
    <cellStyle name="Normal 373 3 3 2" xfId="28896" xr:uid="{00000000-0005-0000-0000-0000E0700000}"/>
    <cellStyle name="Normal 373 3 3 2 2" xfId="28897" xr:uid="{00000000-0005-0000-0000-0000E1700000}"/>
    <cellStyle name="Normal 373 3 3 3" xfId="28898" xr:uid="{00000000-0005-0000-0000-0000E2700000}"/>
    <cellStyle name="Normal 373 3 4" xfId="28899" xr:uid="{00000000-0005-0000-0000-0000E3700000}"/>
    <cellStyle name="Normal 373 3 4 2" xfId="28900" xr:uid="{00000000-0005-0000-0000-0000E4700000}"/>
    <cellStyle name="Normal 373 3 4 2 2" xfId="28901" xr:uid="{00000000-0005-0000-0000-0000E5700000}"/>
    <cellStyle name="Normal 373 3 4 3" xfId="28902" xr:uid="{00000000-0005-0000-0000-0000E6700000}"/>
    <cellStyle name="Normal 373 3 5" xfId="28903" xr:uid="{00000000-0005-0000-0000-0000E7700000}"/>
    <cellStyle name="Normal 373 3 5 2" xfId="28904" xr:uid="{00000000-0005-0000-0000-0000E8700000}"/>
    <cellStyle name="Normal 373 3 5 2 2" xfId="28905" xr:uid="{00000000-0005-0000-0000-0000E9700000}"/>
    <cellStyle name="Normal 373 3 5 3" xfId="28906" xr:uid="{00000000-0005-0000-0000-0000EA700000}"/>
    <cellStyle name="Normal 373 3 6" xfId="28907" xr:uid="{00000000-0005-0000-0000-0000EB700000}"/>
    <cellStyle name="Normal 373 4" xfId="28908" xr:uid="{00000000-0005-0000-0000-0000EC700000}"/>
    <cellStyle name="Normal 373 4 2" xfId="28909" xr:uid="{00000000-0005-0000-0000-0000ED700000}"/>
    <cellStyle name="Normal 373 4 2 2" xfId="28910" xr:uid="{00000000-0005-0000-0000-0000EE700000}"/>
    <cellStyle name="Normal 373 4 3" xfId="28911" xr:uid="{00000000-0005-0000-0000-0000EF700000}"/>
    <cellStyle name="Normal 373 5" xfId="28912" xr:uid="{00000000-0005-0000-0000-0000F0700000}"/>
    <cellStyle name="Normal 373 5 2" xfId="28913" xr:uid="{00000000-0005-0000-0000-0000F1700000}"/>
    <cellStyle name="Normal 373 5 2 2" xfId="28914" xr:uid="{00000000-0005-0000-0000-0000F2700000}"/>
    <cellStyle name="Normal 373 5 3" xfId="28915" xr:uid="{00000000-0005-0000-0000-0000F3700000}"/>
    <cellStyle name="Normal 373 6" xfId="28916" xr:uid="{00000000-0005-0000-0000-0000F4700000}"/>
    <cellStyle name="Normal 373 6 2" xfId="28917" xr:uid="{00000000-0005-0000-0000-0000F5700000}"/>
    <cellStyle name="Normal 373 6 2 2" xfId="28918" xr:uid="{00000000-0005-0000-0000-0000F6700000}"/>
    <cellStyle name="Normal 373 6 3" xfId="28919" xr:uid="{00000000-0005-0000-0000-0000F7700000}"/>
    <cellStyle name="Normal 373 7" xfId="28920" xr:uid="{00000000-0005-0000-0000-0000F8700000}"/>
    <cellStyle name="Normal 374" xfId="28921" xr:uid="{00000000-0005-0000-0000-0000F9700000}"/>
    <cellStyle name="Normal 374 2" xfId="28922" xr:uid="{00000000-0005-0000-0000-0000FA700000}"/>
    <cellStyle name="Normal 374 2 2" xfId="28923" xr:uid="{00000000-0005-0000-0000-0000FB700000}"/>
    <cellStyle name="Normal 374 2 2 2" xfId="28924" xr:uid="{00000000-0005-0000-0000-0000FC700000}"/>
    <cellStyle name="Normal 374 2 3" xfId="28925" xr:uid="{00000000-0005-0000-0000-0000FD700000}"/>
    <cellStyle name="Normal 374 2 3 2" xfId="28926" xr:uid="{00000000-0005-0000-0000-0000FE700000}"/>
    <cellStyle name="Normal 374 2 3 2 2" xfId="28927" xr:uid="{00000000-0005-0000-0000-0000FF700000}"/>
    <cellStyle name="Normal 374 2 3 3" xfId="28928" xr:uid="{00000000-0005-0000-0000-000000710000}"/>
    <cellStyle name="Normal 374 2 4" xfId="28929" xr:uid="{00000000-0005-0000-0000-000001710000}"/>
    <cellStyle name="Normal 374 2 4 2" xfId="28930" xr:uid="{00000000-0005-0000-0000-000002710000}"/>
    <cellStyle name="Normal 374 2 4 2 2" xfId="28931" xr:uid="{00000000-0005-0000-0000-000003710000}"/>
    <cellStyle name="Normal 374 2 4 3" xfId="28932" xr:uid="{00000000-0005-0000-0000-000004710000}"/>
    <cellStyle name="Normal 374 2 5" xfId="28933" xr:uid="{00000000-0005-0000-0000-000005710000}"/>
    <cellStyle name="Normal 374 3" xfId="28934" xr:uid="{00000000-0005-0000-0000-000006710000}"/>
    <cellStyle name="Normal 374 3 2" xfId="28935" xr:uid="{00000000-0005-0000-0000-000007710000}"/>
    <cellStyle name="Normal 374 3 2 2" xfId="28936" xr:uid="{00000000-0005-0000-0000-000008710000}"/>
    <cellStyle name="Normal 374 3 2 2 2" xfId="28937" xr:uid="{00000000-0005-0000-0000-000009710000}"/>
    <cellStyle name="Normal 374 3 2 3" xfId="28938" xr:uid="{00000000-0005-0000-0000-00000A710000}"/>
    <cellStyle name="Normal 374 3 2 3 2" xfId="28939" xr:uid="{00000000-0005-0000-0000-00000B710000}"/>
    <cellStyle name="Normal 374 3 2 3 2 2" xfId="28940" xr:uid="{00000000-0005-0000-0000-00000C710000}"/>
    <cellStyle name="Normal 374 3 2 3 3" xfId="28941" xr:uid="{00000000-0005-0000-0000-00000D710000}"/>
    <cellStyle name="Normal 374 3 2 4" xfId="28942" xr:uid="{00000000-0005-0000-0000-00000E710000}"/>
    <cellStyle name="Normal 374 3 3" xfId="28943" xr:uid="{00000000-0005-0000-0000-00000F710000}"/>
    <cellStyle name="Normal 374 3 3 2" xfId="28944" xr:uid="{00000000-0005-0000-0000-000010710000}"/>
    <cellStyle name="Normal 374 3 3 2 2" xfId="28945" xr:uid="{00000000-0005-0000-0000-000011710000}"/>
    <cellStyle name="Normal 374 3 3 3" xfId="28946" xr:uid="{00000000-0005-0000-0000-000012710000}"/>
    <cellStyle name="Normal 374 3 4" xfId="28947" xr:uid="{00000000-0005-0000-0000-000013710000}"/>
    <cellStyle name="Normal 374 3 4 2" xfId="28948" xr:uid="{00000000-0005-0000-0000-000014710000}"/>
    <cellStyle name="Normal 374 3 4 2 2" xfId="28949" xr:uid="{00000000-0005-0000-0000-000015710000}"/>
    <cellStyle name="Normal 374 3 4 3" xfId="28950" xr:uid="{00000000-0005-0000-0000-000016710000}"/>
    <cellStyle name="Normal 374 3 5" xfId="28951" xr:uid="{00000000-0005-0000-0000-000017710000}"/>
    <cellStyle name="Normal 374 3 5 2" xfId="28952" xr:uid="{00000000-0005-0000-0000-000018710000}"/>
    <cellStyle name="Normal 374 3 5 2 2" xfId="28953" xr:uid="{00000000-0005-0000-0000-000019710000}"/>
    <cellStyle name="Normal 374 3 5 3" xfId="28954" xr:uid="{00000000-0005-0000-0000-00001A710000}"/>
    <cellStyle name="Normal 374 3 6" xfId="28955" xr:uid="{00000000-0005-0000-0000-00001B710000}"/>
    <cellStyle name="Normal 374 4" xfId="28956" xr:uid="{00000000-0005-0000-0000-00001C710000}"/>
    <cellStyle name="Normal 374 4 2" xfId="28957" xr:uid="{00000000-0005-0000-0000-00001D710000}"/>
    <cellStyle name="Normal 374 4 2 2" xfId="28958" xr:uid="{00000000-0005-0000-0000-00001E710000}"/>
    <cellStyle name="Normal 374 4 3" xfId="28959" xr:uid="{00000000-0005-0000-0000-00001F710000}"/>
    <cellStyle name="Normal 374 5" xfId="28960" xr:uid="{00000000-0005-0000-0000-000020710000}"/>
    <cellStyle name="Normal 374 5 2" xfId="28961" xr:uid="{00000000-0005-0000-0000-000021710000}"/>
    <cellStyle name="Normal 374 5 2 2" xfId="28962" xr:uid="{00000000-0005-0000-0000-000022710000}"/>
    <cellStyle name="Normal 374 5 3" xfId="28963" xr:uid="{00000000-0005-0000-0000-000023710000}"/>
    <cellStyle name="Normal 374 6" xfId="28964" xr:uid="{00000000-0005-0000-0000-000024710000}"/>
    <cellStyle name="Normal 374 6 2" xfId="28965" xr:uid="{00000000-0005-0000-0000-000025710000}"/>
    <cellStyle name="Normal 374 6 2 2" xfId="28966" xr:uid="{00000000-0005-0000-0000-000026710000}"/>
    <cellStyle name="Normal 374 6 3" xfId="28967" xr:uid="{00000000-0005-0000-0000-000027710000}"/>
    <cellStyle name="Normal 374 7" xfId="28968" xr:uid="{00000000-0005-0000-0000-000028710000}"/>
    <cellStyle name="Normal 375" xfId="28969" xr:uid="{00000000-0005-0000-0000-000029710000}"/>
    <cellStyle name="Normal 375 2" xfId="28970" xr:uid="{00000000-0005-0000-0000-00002A710000}"/>
    <cellStyle name="Normal 375 2 2" xfId="28971" xr:uid="{00000000-0005-0000-0000-00002B710000}"/>
    <cellStyle name="Normal 375 2 2 2" xfId="28972" xr:uid="{00000000-0005-0000-0000-00002C710000}"/>
    <cellStyle name="Normal 375 2 3" xfId="28973" xr:uid="{00000000-0005-0000-0000-00002D710000}"/>
    <cellStyle name="Normal 375 2 3 2" xfId="28974" xr:uid="{00000000-0005-0000-0000-00002E710000}"/>
    <cellStyle name="Normal 375 2 3 2 2" xfId="28975" xr:uid="{00000000-0005-0000-0000-00002F710000}"/>
    <cellStyle name="Normal 375 2 3 3" xfId="28976" xr:uid="{00000000-0005-0000-0000-000030710000}"/>
    <cellStyle name="Normal 375 2 4" xfId="28977" xr:uid="{00000000-0005-0000-0000-000031710000}"/>
    <cellStyle name="Normal 375 2 4 2" xfId="28978" xr:uid="{00000000-0005-0000-0000-000032710000}"/>
    <cellStyle name="Normal 375 2 4 2 2" xfId="28979" xr:uid="{00000000-0005-0000-0000-000033710000}"/>
    <cellStyle name="Normal 375 2 4 3" xfId="28980" xr:uid="{00000000-0005-0000-0000-000034710000}"/>
    <cellStyle name="Normal 375 2 5" xfId="28981" xr:uid="{00000000-0005-0000-0000-000035710000}"/>
    <cellStyle name="Normal 375 3" xfId="28982" xr:uid="{00000000-0005-0000-0000-000036710000}"/>
    <cellStyle name="Normal 375 3 2" xfId="28983" xr:uid="{00000000-0005-0000-0000-000037710000}"/>
    <cellStyle name="Normal 375 3 2 2" xfId="28984" xr:uid="{00000000-0005-0000-0000-000038710000}"/>
    <cellStyle name="Normal 375 3 2 2 2" xfId="28985" xr:uid="{00000000-0005-0000-0000-000039710000}"/>
    <cellStyle name="Normal 375 3 2 3" xfId="28986" xr:uid="{00000000-0005-0000-0000-00003A710000}"/>
    <cellStyle name="Normal 375 3 2 3 2" xfId="28987" xr:uid="{00000000-0005-0000-0000-00003B710000}"/>
    <cellStyle name="Normal 375 3 2 3 2 2" xfId="28988" xr:uid="{00000000-0005-0000-0000-00003C710000}"/>
    <cellStyle name="Normal 375 3 2 3 3" xfId="28989" xr:uid="{00000000-0005-0000-0000-00003D710000}"/>
    <cellStyle name="Normal 375 3 2 4" xfId="28990" xr:uid="{00000000-0005-0000-0000-00003E710000}"/>
    <cellStyle name="Normal 375 3 3" xfId="28991" xr:uid="{00000000-0005-0000-0000-00003F710000}"/>
    <cellStyle name="Normal 375 3 3 2" xfId="28992" xr:uid="{00000000-0005-0000-0000-000040710000}"/>
    <cellStyle name="Normal 375 3 3 2 2" xfId="28993" xr:uid="{00000000-0005-0000-0000-000041710000}"/>
    <cellStyle name="Normal 375 3 3 3" xfId="28994" xr:uid="{00000000-0005-0000-0000-000042710000}"/>
    <cellStyle name="Normal 375 3 4" xfId="28995" xr:uid="{00000000-0005-0000-0000-000043710000}"/>
    <cellStyle name="Normal 375 3 4 2" xfId="28996" xr:uid="{00000000-0005-0000-0000-000044710000}"/>
    <cellStyle name="Normal 375 3 4 2 2" xfId="28997" xr:uid="{00000000-0005-0000-0000-000045710000}"/>
    <cellStyle name="Normal 375 3 4 3" xfId="28998" xr:uid="{00000000-0005-0000-0000-000046710000}"/>
    <cellStyle name="Normal 375 3 5" xfId="28999" xr:uid="{00000000-0005-0000-0000-000047710000}"/>
    <cellStyle name="Normal 375 3 5 2" xfId="29000" xr:uid="{00000000-0005-0000-0000-000048710000}"/>
    <cellStyle name="Normal 375 3 5 2 2" xfId="29001" xr:uid="{00000000-0005-0000-0000-000049710000}"/>
    <cellStyle name="Normal 375 3 5 3" xfId="29002" xr:uid="{00000000-0005-0000-0000-00004A710000}"/>
    <cellStyle name="Normal 375 3 6" xfId="29003" xr:uid="{00000000-0005-0000-0000-00004B710000}"/>
    <cellStyle name="Normal 375 4" xfId="29004" xr:uid="{00000000-0005-0000-0000-00004C710000}"/>
    <cellStyle name="Normal 375 4 2" xfId="29005" xr:uid="{00000000-0005-0000-0000-00004D710000}"/>
    <cellStyle name="Normal 375 4 2 2" xfId="29006" xr:uid="{00000000-0005-0000-0000-00004E710000}"/>
    <cellStyle name="Normal 375 4 3" xfId="29007" xr:uid="{00000000-0005-0000-0000-00004F710000}"/>
    <cellStyle name="Normal 375 5" xfId="29008" xr:uid="{00000000-0005-0000-0000-000050710000}"/>
    <cellStyle name="Normal 375 5 2" xfId="29009" xr:uid="{00000000-0005-0000-0000-000051710000}"/>
    <cellStyle name="Normal 375 5 2 2" xfId="29010" xr:uid="{00000000-0005-0000-0000-000052710000}"/>
    <cellStyle name="Normal 375 5 3" xfId="29011" xr:uid="{00000000-0005-0000-0000-000053710000}"/>
    <cellStyle name="Normal 375 6" xfId="29012" xr:uid="{00000000-0005-0000-0000-000054710000}"/>
    <cellStyle name="Normal 375 6 2" xfId="29013" xr:uid="{00000000-0005-0000-0000-000055710000}"/>
    <cellStyle name="Normal 375 6 2 2" xfId="29014" xr:uid="{00000000-0005-0000-0000-000056710000}"/>
    <cellStyle name="Normal 375 6 3" xfId="29015" xr:uid="{00000000-0005-0000-0000-000057710000}"/>
    <cellStyle name="Normal 375 7" xfId="29016" xr:uid="{00000000-0005-0000-0000-000058710000}"/>
    <cellStyle name="Normal 376" xfId="29017" xr:uid="{00000000-0005-0000-0000-000059710000}"/>
    <cellStyle name="Normal 376 2" xfId="29018" xr:uid="{00000000-0005-0000-0000-00005A710000}"/>
    <cellStyle name="Normal 376 2 2" xfId="29019" xr:uid="{00000000-0005-0000-0000-00005B710000}"/>
    <cellStyle name="Normal 376 2 2 2" xfId="29020" xr:uid="{00000000-0005-0000-0000-00005C710000}"/>
    <cellStyle name="Normal 376 2 3" xfId="29021" xr:uid="{00000000-0005-0000-0000-00005D710000}"/>
    <cellStyle name="Normal 376 2 3 2" xfId="29022" xr:uid="{00000000-0005-0000-0000-00005E710000}"/>
    <cellStyle name="Normal 376 2 3 2 2" xfId="29023" xr:uid="{00000000-0005-0000-0000-00005F710000}"/>
    <cellStyle name="Normal 376 2 3 3" xfId="29024" xr:uid="{00000000-0005-0000-0000-000060710000}"/>
    <cellStyle name="Normal 376 2 4" xfId="29025" xr:uid="{00000000-0005-0000-0000-000061710000}"/>
    <cellStyle name="Normal 376 2 4 2" xfId="29026" xr:uid="{00000000-0005-0000-0000-000062710000}"/>
    <cellStyle name="Normal 376 2 4 2 2" xfId="29027" xr:uid="{00000000-0005-0000-0000-000063710000}"/>
    <cellStyle name="Normal 376 2 4 3" xfId="29028" xr:uid="{00000000-0005-0000-0000-000064710000}"/>
    <cellStyle name="Normal 376 2 5" xfId="29029" xr:uid="{00000000-0005-0000-0000-000065710000}"/>
    <cellStyle name="Normal 376 3" xfId="29030" xr:uid="{00000000-0005-0000-0000-000066710000}"/>
    <cellStyle name="Normal 376 3 2" xfId="29031" xr:uid="{00000000-0005-0000-0000-000067710000}"/>
    <cellStyle name="Normal 376 3 2 2" xfId="29032" xr:uid="{00000000-0005-0000-0000-000068710000}"/>
    <cellStyle name="Normal 376 3 2 2 2" xfId="29033" xr:uid="{00000000-0005-0000-0000-000069710000}"/>
    <cellStyle name="Normal 376 3 2 3" xfId="29034" xr:uid="{00000000-0005-0000-0000-00006A710000}"/>
    <cellStyle name="Normal 376 3 2 3 2" xfId="29035" xr:uid="{00000000-0005-0000-0000-00006B710000}"/>
    <cellStyle name="Normal 376 3 2 3 2 2" xfId="29036" xr:uid="{00000000-0005-0000-0000-00006C710000}"/>
    <cellStyle name="Normal 376 3 2 3 3" xfId="29037" xr:uid="{00000000-0005-0000-0000-00006D710000}"/>
    <cellStyle name="Normal 376 3 2 4" xfId="29038" xr:uid="{00000000-0005-0000-0000-00006E710000}"/>
    <cellStyle name="Normal 376 3 3" xfId="29039" xr:uid="{00000000-0005-0000-0000-00006F710000}"/>
    <cellStyle name="Normal 376 3 3 2" xfId="29040" xr:uid="{00000000-0005-0000-0000-000070710000}"/>
    <cellStyle name="Normal 376 3 3 2 2" xfId="29041" xr:uid="{00000000-0005-0000-0000-000071710000}"/>
    <cellStyle name="Normal 376 3 3 3" xfId="29042" xr:uid="{00000000-0005-0000-0000-000072710000}"/>
    <cellStyle name="Normal 376 3 4" xfId="29043" xr:uid="{00000000-0005-0000-0000-000073710000}"/>
    <cellStyle name="Normal 376 3 4 2" xfId="29044" xr:uid="{00000000-0005-0000-0000-000074710000}"/>
    <cellStyle name="Normal 376 3 4 2 2" xfId="29045" xr:uid="{00000000-0005-0000-0000-000075710000}"/>
    <cellStyle name="Normal 376 3 4 3" xfId="29046" xr:uid="{00000000-0005-0000-0000-000076710000}"/>
    <cellStyle name="Normal 376 3 5" xfId="29047" xr:uid="{00000000-0005-0000-0000-000077710000}"/>
    <cellStyle name="Normal 376 3 5 2" xfId="29048" xr:uid="{00000000-0005-0000-0000-000078710000}"/>
    <cellStyle name="Normal 376 3 5 2 2" xfId="29049" xr:uid="{00000000-0005-0000-0000-000079710000}"/>
    <cellStyle name="Normal 376 3 5 3" xfId="29050" xr:uid="{00000000-0005-0000-0000-00007A710000}"/>
    <cellStyle name="Normal 376 3 6" xfId="29051" xr:uid="{00000000-0005-0000-0000-00007B710000}"/>
    <cellStyle name="Normal 376 4" xfId="29052" xr:uid="{00000000-0005-0000-0000-00007C710000}"/>
    <cellStyle name="Normal 376 4 2" xfId="29053" xr:uid="{00000000-0005-0000-0000-00007D710000}"/>
    <cellStyle name="Normal 376 4 2 2" xfId="29054" xr:uid="{00000000-0005-0000-0000-00007E710000}"/>
    <cellStyle name="Normal 376 4 3" xfId="29055" xr:uid="{00000000-0005-0000-0000-00007F710000}"/>
    <cellStyle name="Normal 376 5" xfId="29056" xr:uid="{00000000-0005-0000-0000-000080710000}"/>
    <cellStyle name="Normal 376 5 2" xfId="29057" xr:uid="{00000000-0005-0000-0000-000081710000}"/>
    <cellStyle name="Normal 376 5 2 2" xfId="29058" xr:uid="{00000000-0005-0000-0000-000082710000}"/>
    <cellStyle name="Normal 376 5 3" xfId="29059" xr:uid="{00000000-0005-0000-0000-000083710000}"/>
    <cellStyle name="Normal 376 6" xfId="29060" xr:uid="{00000000-0005-0000-0000-000084710000}"/>
    <cellStyle name="Normal 376 6 2" xfId="29061" xr:uid="{00000000-0005-0000-0000-000085710000}"/>
    <cellStyle name="Normal 376 6 2 2" xfId="29062" xr:uid="{00000000-0005-0000-0000-000086710000}"/>
    <cellStyle name="Normal 376 6 3" xfId="29063" xr:uid="{00000000-0005-0000-0000-000087710000}"/>
    <cellStyle name="Normal 376 7" xfId="29064" xr:uid="{00000000-0005-0000-0000-000088710000}"/>
    <cellStyle name="Normal 377" xfId="29065" xr:uid="{00000000-0005-0000-0000-000089710000}"/>
    <cellStyle name="Normal 377 2" xfId="29066" xr:uid="{00000000-0005-0000-0000-00008A710000}"/>
    <cellStyle name="Normal 377 2 2" xfId="29067" xr:uid="{00000000-0005-0000-0000-00008B710000}"/>
    <cellStyle name="Normal 377 2 2 2" xfId="29068" xr:uid="{00000000-0005-0000-0000-00008C710000}"/>
    <cellStyle name="Normal 377 2 3" xfId="29069" xr:uid="{00000000-0005-0000-0000-00008D710000}"/>
    <cellStyle name="Normal 377 2 3 2" xfId="29070" xr:uid="{00000000-0005-0000-0000-00008E710000}"/>
    <cellStyle name="Normal 377 2 3 2 2" xfId="29071" xr:uid="{00000000-0005-0000-0000-00008F710000}"/>
    <cellStyle name="Normal 377 2 3 3" xfId="29072" xr:uid="{00000000-0005-0000-0000-000090710000}"/>
    <cellStyle name="Normal 377 2 4" xfId="29073" xr:uid="{00000000-0005-0000-0000-000091710000}"/>
    <cellStyle name="Normal 377 2 4 2" xfId="29074" xr:uid="{00000000-0005-0000-0000-000092710000}"/>
    <cellStyle name="Normal 377 2 4 2 2" xfId="29075" xr:uid="{00000000-0005-0000-0000-000093710000}"/>
    <cellStyle name="Normal 377 2 4 3" xfId="29076" xr:uid="{00000000-0005-0000-0000-000094710000}"/>
    <cellStyle name="Normal 377 2 5" xfId="29077" xr:uid="{00000000-0005-0000-0000-000095710000}"/>
    <cellStyle name="Normal 377 3" xfId="29078" xr:uid="{00000000-0005-0000-0000-000096710000}"/>
    <cellStyle name="Normal 377 3 2" xfId="29079" xr:uid="{00000000-0005-0000-0000-000097710000}"/>
    <cellStyle name="Normal 377 3 2 2" xfId="29080" xr:uid="{00000000-0005-0000-0000-000098710000}"/>
    <cellStyle name="Normal 377 3 2 2 2" xfId="29081" xr:uid="{00000000-0005-0000-0000-000099710000}"/>
    <cellStyle name="Normal 377 3 2 3" xfId="29082" xr:uid="{00000000-0005-0000-0000-00009A710000}"/>
    <cellStyle name="Normal 377 3 2 3 2" xfId="29083" xr:uid="{00000000-0005-0000-0000-00009B710000}"/>
    <cellStyle name="Normal 377 3 2 3 2 2" xfId="29084" xr:uid="{00000000-0005-0000-0000-00009C710000}"/>
    <cellStyle name="Normal 377 3 2 3 3" xfId="29085" xr:uid="{00000000-0005-0000-0000-00009D710000}"/>
    <cellStyle name="Normal 377 3 2 4" xfId="29086" xr:uid="{00000000-0005-0000-0000-00009E710000}"/>
    <cellStyle name="Normal 377 3 3" xfId="29087" xr:uid="{00000000-0005-0000-0000-00009F710000}"/>
    <cellStyle name="Normal 377 3 3 2" xfId="29088" xr:uid="{00000000-0005-0000-0000-0000A0710000}"/>
    <cellStyle name="Normal 377 3 3 2 2" xfId="29089" xr:uid="{00000000-0005-0000-0000-0000A1710000}"/>
    <cellStyle name="Normal 377 3 3 3" xfId="29090" xr:uid="{00000000-0005-0000-0000-0000A2710000}"/>
    <cellStyle name="Normal 377 3 4" xfId="29091" xr:uid="{00000000-0005-0000-0000-0000A3710000}"/>
    <cellStyle name="Normal 377 3 4 2" xfId="29092" xr:uid="{00000000-0005-0000-0000-0000A4710000}"/>
    <cellStyle name="Normal 377 3 4 2 2" xfId="29093" xr:uid="{00000000-0005-0000-0000-0000A5710000}"/>
    <cellStyle name="Normal 377 3 4 3" xfId="29094" xr:uid="{00000000-0005-0000-0000-0000A6710000}"/>
    <cellStyle name="Normal 377 3 5" xfId="29095" xr:uid="{00000000-0005-0000-0000-0000A7710000}"/>
    <cellStyle name="Normal 377 3 5 2" xfId="29096" xr:uid="{00000000-0005-0000-0000-0000A8710000}"/>
    <cellStyle name="Normal 377 3 5 2 2" xfId="29097" xr:uid="{00000000-0005-0000-0000-0000A9710000}"/>
    <cellStyle name="Normal 377 3 5 3" xfId="29098" xr:uid="{00000000-0005-0000-0000-0000AA710000}"/>
    <cellStyle name="Normal 377 3 6" xfId="29099" xr:uid="{00000000-0005-0000-0000-0000AB710000}"/>
    <cellStyle name="Normal 377 4" xfId="29100" xr:uid="{00000000-0005-0000-0000-0000AC710000}"/>
    <cellStyle name="Normal 377 4 2" xfId="29101" xr:uid="{00000000-0005-0000-0000-0000AD710000}"/>
    <cellStyle name="Normal 377 4 2 2" xfId="29102" xr:uid="{00000000-0005-0000-0000-0000AE710000}"/>
    <cellStyle name="Normal 377 4 3" xfId="29103" xr:uid="{00000000-0005-0000-0000-0000AF710000}"/>
    <cellStyle name="Normal 377 5" xfId="29104" xr:uid="{00000000-0005-0000-0000-0000B0710000}"/>
    <cellStyle name="Normal 377 5 2" xfId="29105" xr:uid="{00000000-0005-0000-0000-0000B1710000}"/>
    <cellStyle name="Normal 377 5 2 2" xfId="29106" xr:uid="{00000000-0005-0000-0000-0000B2710000}"/>
    <cellStyle name="Normal 377 5 3" xfId="29107" xr:uid="{00000000-0005-0000-0000-0000B3710000}"/>
    <cellStyle name="Normal 377 6" xfId="29108" xr:uid="{00000000-0005-0000-0000-0000B4710000}"/>
    <cellStyle name="Normal 377 6 2" xfId="29109" xr:uid="{00000000-0005-0000-0000-0000B5710000}"/>
    <cellStyle name="Normal 377 6 2 2" xfId="29110" xr:uid="{00000000-0005-0000-0000-0000B6710000}"/>
    <cellStyle name="Normal 377 6 3" xfId="29111" xr:uid="{00000000-0005-0000-0000-0000B7710000}"/>
    <cellStyle name="Normal 377 7" xfId="29112" xr:uid="{00000000-0005-0000-0000-0000B8710000}"/>
    <cellStyle name="Normal 378" xfId="29113" xr:uid="{00000000-0005-0000-0000-0000B9710000}"/>
    <cellStyle name="Normal 378 2" xfId="29114" xr:uid="{00000000-0005-0000-0000-0000BA710000}"/>
    <cellStyle name="Normal 378 2 2" xfId="29115" xr:uid="{00000000-0005-0000-0000-0000BB710000}"/>
    <cellStyle name="Normal 378 2 2 2" xfId="29116" xr:uid="{00000000-0005-0000-0000-0000BC710000}"/>
    <cellStyle name="Normal 378 2 3" xfId="29117" xr:uid="{00000000-0005-0000-0000-0000BD710000}"/>
    <cellStyle name="Normal 378 2 3 2" xfId="29118" xr:uid="{00000000-0005-0000-0000-0000BE710000}"/>
    <cellStyle name="Normal 378 2 3 2 2" xfId="29119" xr:uid="{00000000-0005-0000-0000-0000BF710000}"/>
    <cellStyle name="Normal 378 2 3 3" xfId="29120" xr:uid="{00000000-0005-0000-0000-0000C0710000}"/>
    <cellStyle name="Normal 378 2 4" xfId="29121" xr:uid="{00000000-0005-0000-0000-0000C1710000}"/>
    <cellStyle name="Normal 378 2 4 2" xfId="29122" xr:uid="{00000000-0005-0000-0000-0000C2710000}"/>
    <cellStyle name="Normal 378 2 4 2 2" xfId="29123" xr:uid="{00000000-0005-0000-0000-0000C3710000}"/>
    <cellStyle name="Normal 378 2 4 3" xfId="29124" xr:uid="{00000000-0005-0000-0000-0000C4710000}"/>
    <cellStyle name="Normal 378 2 5" xfId="29125" xr:uid="{00000000-0005-0000-0000-0000C5710000}"/>
    <cellStyle name="Normal 378 3" xfId="29126" xr:uid="{00000000-0005-0000-0000-0000C6710000}"/>
    <cellStyle name="Normal 378 3 2" xfId="29127" xr:uid="{00000000-0005-0000-0000-0000C7710000}"/>
    <cellStyle name="Normal 378 3 2 2" xfId="29128" xr:uid="{00000000-0005-0000-0000-0000C8710000}"/>
    <cellStyle name="Normal 378 3 2 2 2" xfId="29129" xr:uid="{00000000-0005-0000-0000-0000C9710000}"/>
    <cellStyle name="Normal 378 3 2 3" xfId="29130" xr:uid="{00000000-0005-0000-0000-0000CA710000}"/>
    <cellStyle name="Normal 378 3 2 3 2" xfId="29131" xr:uid="{00000000-0005-0000-0000-0000CB710000}"/>
    <cellStyle name="Normal 378 3 2 3 2 2" xfId="29132" xr:uid="{00000000-0005-0000-0000-0000CC710000}"/>
    <cellStyle name="Normal 378 3 2 3 3" xfId="29133" xr:uid="{00000000-0005-0000-0000-0000CD710000}"/>
    <cellStyle name="Normal 378 3 2 4" xfId="29134" xr:uid="{00000000-0005-0000-0000-0000CE710000}"/>
    <cellStyle name="Normal 378 3 3" xfId="29135" xr:uid="{00000000-0005-0000-0000-0000CF710000}"/>
    <cellStyle name="Normal 378 3 3 2" xfId="29136" xr:uid="{00000000-0005-0000-0000-0000D0710000}"/>
    <cellStyle name="Normal 378 3 3 2 2" xfId="29137" xr:uid="{00000000-0005-0000-0000-0000D1710000}"/>
    <cellStyle name="Normal 378 3 3 3" xfId="29138" xr:uid="{00000000-0005-0000-0000-0000D2710000}"/>
    <cellStyle name="Normal 378 3 4" xfId="29139" xr:uid="{00000000-0005-0000-0000-0000D3710000}"/>
    <cellStyle name="Normal 378 3 4 2" xfId="29140" xr:uid="{00000000-0005-0000-0000-0000D4710000}"/>
    <cellStyle name="Normal 378 3 4 2 2" xfId="29141" xr:uid="{00000000-0005-0000-0000-0000D5710000}"/>
    <cellStyle name="Normal 378 3 4 3" xfId="29142" xr:uid="{00000000-0005-0000-0000-0000D6710000}"/>
    <cellStyle name="Normal 378 3 5" xfId="29143" xr:uid="{00000000-0005-0000-0000-0000D7710000}"/>
    <cellStyle name="Normal 378 3 5 2" xfId="29144" xr:uid="{00000000-0005-0000-0000-0000D8710000}"/>
    <cellStyle name="Normal 378 3 5 2 2" xfId="29145" xr:uid="{00000000-0005-0000-0000-0000D9710000}"/>
    <cellStyle name="Normal 378 3 5 3" xfId="29146" xr:uid="{00000000-0005-0000-0000-0000DA710000}"/>
    <cellStyle name="Normal 378 3 6" xfId="29147" xr:uid="{00000000-0005-0000-0000-0000DB710000}"/>
    <cellStyle name="Normal 378 4" xfId="29148" xr:uid="{00000000-0005-0000-0000-0000DC710000}"/>
    <cellStyle name="Normal 378 4 2" xfId="29149" xr:uid="{00000000-0005-0000-0000-0000DD710000}"/>
    <cellStyle name="Normal 378 4 2 2" xfId="29150" xr:uid="{00000000-0005-0000-0000-0000DE710000}"/>
    <cellStyle name="Normal 378 4 3" xfId="29151" xr:uid="{00000000-0005-0000-0000-0000DF710000}"/>
    <cellStyle name="Normal 378 5" xfId="29152" xr:uid="{00000000-0005-0000-0000-0000E0710000}"/>
    <cellStyle name="Normal 378 5 2" xfId="29153" xr:uid="{00000000-0005-0000-0000-0000E1710000}"/>
    <cellStyle name="Normal 378 5 2 2" xfId="29154" xr:uid="{00000000-0005-0000-0000-0000E2710000}"/>
    <cellStyle name="Normal 378 5 3" xfId="29155" xr:uid="{00000000-0005-0000-0000-0000E3710000}"/>
    <cellStyle name="Normal 378 6" xfId="29156" xr:uid="{00000000-0005-0000-0000-0000E4710000}"/>
    <cellStyle name="Normal 378 6 2" xfId="29157" xr:uid="{00000000-0005-0000-0000-0000E5710000}"/>
    <cellStyle name="Normal 378 6 2 2" xfId="29158" xr:uid="{00000000-0005-0000-0000-0000E6710000}"/>
    <cellStyle name="Normal 378 6 3" xfId="29159" xr:uid="{00000000-0005-0000-0000-0000E7710000}"/>
    <cellStyle name="Normal 378 7" xfId="29160" xr:uid="{00000000-0005-0000-0000-0000E8710000}"/>
    <cellStyle name="Normal 379" xfId="29161" xr:uid="{00000000-0005-0000-0000-0000E9710000}"/>
    <cellStyle name="Normal 379 2" xfId="29162" xr:uid="{00000000-0005-0000-0000-0000EA710000}"/>
    <cellStyle name="Normal 379 2 2" xfId="29163" xr:uid="{00000000-0005-0000-0000-0000EB710000}"/>
    <cellStyle name="Normal 379 2 2 2" xfId="29164" xr:uid="{00000000-0005-0000-0000-0000EC710000}"/>
    <cellStyle name="Normal 379 2 3" xfId="29165" xr:uid="{00000000-0005-0000-0000-0000ED710000}"/>
    <cellStyle name="Normal 379 2 3 2" xfId="29166" xr:uid="{00000000-0005-0000-0000-0000EE710000}"/>
    <cellStyle name="Normal 379 2 3 2 2" xfId="29167" xr:uid="{00000000-0005-0000-0000-0000EF710000}"/>
    <cellStyle name="Normal 379 2 3 3" xfId="29168" xr:uid="{00000000-0005-0000-0000-0000F0710000}"/>
    <cellStyle name="Normal 379 2 4" xfId="29169" xr:uid="{00000000-0005-0000-0000-0000F1710000}"/>
    <cellStyle name="Normal 379 2 4 2" xfId="29170" xr:uid="{00000000-0005-0000-0000-0000F2710000}"/>
    <cellStyle name="Normal 379 2 4 2 2" xfId="29171" xr:uid="{00000000-0005-0000-0000-0000F3710000}"/>
    <cellStyle name="Normal 379 2 4 3" xfId="29172" xr:uid="{00000000-0005-0000-0000-0000F4710000}"/>
    <cellStyle name="Normal 379 2 5" xfId="29173" xr:uid="{00000000-0005-0000-0000-0000F5710000}"/>
    <cellStyle name="Normal 379 3" xfId="29174" xr:uid="{00000000-0005-0000-0000-0000F6710000}"/>
    <cellStyle name="Normal 379 3 2" xfId="29175" xr:uid="{00000000-0005-0000-0000-0000F7710000}"/>
    <cellStyle name="Normal 379 3 2 2" xfId="29176" xr:uid="{00000000-0005-0000-0000-0000F8710000}"/>
    <cellStyle name="Normal 379 3 2 2 2" xfId="29177" xr:uid="{00000000-0005-0000-0000-0000F9710000}"/>
    <cellStyle name="Normal 379 3 2 3" xfId="29178" xr:uid="{00000000-0005-0000-0000-0000FA710000}"/>
    <cellStyle name="Normal 379 3 2 3 2" xfId="29179" xr:uid="{00000000-0005-0000-0000-0000FB710000}"/>
    <cellStyle name="Normal 379 3 2 3 2 2" xfId="29180" xr:uid="{00000000-0005-0000-0000-0000FC710000}"/>
    <cellStyle name="Normal 379 3 2 3 3" xfId="29181" xr:uid="{00000000-0005-0000-0000-0000FD710000}"/>
    <cellStyle name="Normal 379 3 2 4" xfId="29182" xr:uid="{00000000-0005-0000-0000-0000FE710000}"/>
    <cellStyle name="Normal 379 3 3" xfId="29183" xr:uid="{00000000-0005-0000-0000-0000FF710000}"/>
    <cellStyle name="Normal 379 3 3 2" xfId="29184" xr:uid="{00000000-0005-0000-0000-000000720000}"/>
    <cellStyle name="Normal 379 3 3 2 2" xfId="29185" xr:uid="{00000000-0005-0000-0000-000001720000}"/>
    <cellStyle name="Normal 379 3 3 3" xfId="29186" xr:uid="{00000000-0005-0000-0000-000002720000}"/>
    <cellStyle name="Normal 379 3 4" xfId="29187" xr:uid="{00000000-0005-0000-0000-000003720000}"/>
    <cellStyle name="Normal 379 3 4 2" xfId="29188" xr:uid="{00000000-0005-0000-0000-000004720000}"/>
    <cellStyle name="Normal 379 3 4 2 2" xfId="29189" xr:uid="{00000000-0005-0000-0000-000005720000}"/>
    <cellStyle name="Normal 379 3 4 3" xfId="29190" xr:uid="{00000000-0005-0000-0000-000006720000}"/>
    <cellStyle name="Normal 379 3 5" xfId="29191" xr:uid="{00000000-0005-0000-0000-000007720000}"/>
    <cellStyle name="Normal 379 3 5 2" xfId="29192" xr:uid="{00000000-0005-0000-0000-000008720000}"/>
    <cellStyle name="Normal 379 3 5 2 2" xfId="29193" xr:uid="{00000000-0005-0000-0000-000009720000}"/>
    <cellStyle name="Normal 379 3 5 3" xfId="29194" xr:uid="{00000000-0005-0000-0000-00000A720000}"/>
    <cellStyle name="Normal 379 3 6" xfId="29195" xr:uid="{00000000-0005-0000-0000-00000B720000}"/>
    <cellStyle name="Normal 379 4" xfId="29196" xr:uid="{00000000-0005-0000-0000-00000C720000}"/>
    <cellStyle name="Normal 379 4 2" xfId="29197" xr:uid="{00000000-0005-0000-0000-00000D720000}"/>
    <cellStyle name="Normal 379 4 2 2" xfId="29198" xr:uid="{00000000-0005-0000-0000-00000E720000}"/>
    <cellStyle name="Normal 379 4 3" xfId="29199" xr:uid="{00000000-0005-0000-0000-00000F720000}"/>
    <cellStyle name="Normal 379 5" xfId="29200" xr:uid="{00000000-0005-0000-0000-000010720000}"/>
    <cellStyle name="Normal 379 5 2" xfId="29201" xr:uid="{00000000-0005-0000-0000-000011720000}"/>
    <cellStyle name="Normal 379 5 2 2" xfId="29202" xr:uid="{00000000-0005-0000-0000-000012720000}"/>
    <cellStyle name="Normal 379 5 3" xfId="29203" xr:uid="{00000000-0005-0000-0000-000013720000}"/>
    <cellStyle name="Normal 379 6" xfId="29204" xr:uid="{00000000-0005-0000-0000-000014720000}"/>
    <cellStyle name="Normal 379 6 2" xfId="29205" xr:uid="{00000000-0005-0000-0000-000015720000}"/>
    <cellStyle name="Normal 379 6 2 2" xfId="29206" xr:uid="{00000000-0005-0000-0000-000016720000}"/>
    <cellStyle name="Normal 379 6 3" xfId="29207" xr:uid="{00000000-0005-0000-0000-000017720000}"/>
    <cellStyle name="Normal 379 7" xfId="29208" xr:uid="{00000000-0005-0000-0000-000018720000}"/>
    <cellStyle name="Normal 38" xfId="29209" xr:uid="{00000000-0005-0000-0000-000019720000}"/>
    <cellStyle name="Normal 38 2" xfId="29210" xr:uid="{00000000-0005-0000-0000-00001A720000}"/>
    <cellStyle name="Normal 38 2 2" xfId="29211" xr:uid="{00000000-0005-0000-0000-00001B720000}"/>
    <cellStyle name="Normal 38 2 2 2" xfId="29212" xr:uid="{00000000-0005-0000-0000-00001C720000}"/>
    <cellStyle name="Normal 38 2 2 2 2" xfId="29213" xr:uid="{00000000-0005-0000-0000-00001D720000}"/>
    <cellStyle name="Normal 38 2 2 3" xfId="29214" xr:uid="{00000000-0005-0000-0000-00001E720000}"/>
    <cellStyle name="Normal 38 2 2 3 2" xfId="29215" xr:uid="{00000000-0005-0000-0000-00001F720000}"/>
    <cellStyle name="Normal 38 2 2 3 2 2" xfId="29216" xr:uid="{00000000-0005-0000-0000-000020720000}"/>
    <cellStyle name="Normal 38 2 2 3 3" xfId="29217" xr:uid="{00000000-0005-0000-0000-000021720000}"/>
    <cellStyle name="Normal 38 2 2 4" xfId="29218" xr:uid="{00000000-0005-0000-0000-000022720000}"/>
    <cellStyle name="Normal 38 2 2 4 2" xfId="29219" xr:uid="{00000000-0005-0000-0000-000023720000}"/>
    <cellStyle name="Normal 38 2 2 4 2 2" xfId="29220" xr:uid="{00000000-0005-0000-0000-000024720000}"/>
    <cellStyle name="Normal 38 2 2 4 3" xfId="29221" xr:uid="{00000000-0005-0000-0000-000025720000}"/>
    <cellStyle name="Normal 38 2 2 5" xfId="29222" xr:uid="{00000000-0005-0000-0000-000026720000}"/>
    <cellStyle name="Normal 38 2 3" xfId="29223" xr:uid="{00000000-0005-0000-0000-000027720000}"/>
    <cellStyle name="Normal 38 2 3 2" xfId="29224" xr:uid="{00000000-0005-0000-0000-000028720000}"/>
    <cellStyle name="Normal 38 2 3 2 2" xfId="29225" xr:uid="{00000000-0005-0000-0000-000029720000}"/>
    <cellStyle name="Normal 38 2 3 3" xfId="29226" xr:uid="{00000000-0005-0000-0000-00002A720000}"/>
    <cellStyle name="Normal 38 2 4" xfId="29227" xr:uid="{00000000-0005-0000-0000-00002B720000}"/>
    <cellStyle name="Normal 38 2 4 2" xfId="29228" xr:uid="{00000000-0005-0000-0000-00002C720000}"/>
    <cellStyle name="Normal 38 2 4 2 2" xfId="29229" xr:uid="{00000000-0005-0000-0000-00002D720000}"/>
    <cellStyle name="Normal 38 2 4 3" xfId="29230" xr:uid="{00000000-0005-0000-0000-00002E720000}"/>
    <cellStyle name="Normal 38 2 5" xfId="29231" xr:uid="{00000000-0005-0000-0000-00002F720000}"/>
    <cellStyle name="Normal 38 2 5 2" xfId="29232" xr:uid="{00000000-0005-0000-0000-000030720000}"/>
    <cellStyle name="Normal 38 2 5 2 2" xfId="29233" xr:uid="{00000000-0005-0000-0000-000031720000}"/>
    <cellStyle name="Normal 38 2 5 3" xfId="29234" xr:uid="{00000000-0005-0000-0000-000032720000}"/>
    <cellStyle name="Normal 38 2 6" xfId="29235" xr:uid="{00000000-0005-0000-0000-000033720000}"/>
    <cellStyle name="Normal 38 3" xfId="29236" xr:uid="{00000000-0005-0000-0000-000034720000}"/>
    <cellStyle name="Normal 38 3 2" xfId="29237" xr:uid="{00000000-0005-0000-0000-000035720000}"/>
    <cellStyle name="Normal 38 3 2 2" xfId="29238" xr:uid="{00000000-0005-0000-0000-000036720000}"/>
    <cellStyle name="Normal 38 3 3" xfId="29239" xr:uid="{00000000-0005-0000-0000-000037720000}"/>
    <cellStyle name="Normal 38 3 3 2" xfId="29240" xr:uid="{00000000-0005-0000-0000-000038720000}"/>
    <cellStyle name="Normal 38 3 3 2 2" xfId="29241" xr:uid="{00000000-0005-0000-0000-000039720000}"/>
    <cellStyle name="Normal 38 3 3 3" xfId="29242" xr:uid="{00000000-0005-0000-0000-00003A720000}"/>
    <cellStyle name="Normal 38 3 4" xfId="29243" xr:uid="{00000000-0005-0000-0000-00003B720000}"/>
    <cellStyle name="Normal 38 3 4 2" xfId="29244" xr:uid="{00000000-0005-0000-0000-00003C720000}"/>
    <cellStyle name="Normal 38 3 4 2 2" xfId="29245" xr:uid="{00000000-0005-0000-0000-00003D720000}"/>
    <cellStyle name="Normal 38 3 4 3" xfId="29246" xr:uid="{00000000-0005-0000-0000-00003E720000}"/>
    <cellStyle name="Normal 38 3 5" xfId="29247" xr:uid="{00000000-0005-0000-0000-00003F720000}"/>
    <cellStyle name="Normal 38 4" xfId="29248" xr:uid="{00000000-0005-0000-0000-000040720000}"/>
    <cellStyle name="Normal 38 4 2" xfId="29249" xr:uid="{00000000-0005-0000-0000-000041720000}"/>
    <cellStyle name="Normal 38 4 2 2" xfId="29250" xr:uid="{00000000-0005-0000-0000-000042720000}"/>
    <cellStyle name="Normal 38 4 3" xfId="29251" xr:uid="{00000000-0005-0000-0000-000043720000}"/>
    <cellStyle name="Normal 38 5" xfId="29252" xr:uid="{00000000-0005-0000-0000-000044720000}"/>
    <cellStyle name="Normal 38 5 2" xfId="29253" xr:uid="{00000000-0005-0000-0000-000045720000}"/>
    <cellStyle name="Normal 38 5 2 2" xfId="29254" xr:uid="{00000000-0005-0000-0000-000046720000}"/>
    <cellStyle name="Normal 38 5 3" xfId="29255" xr:uid="{00000000-0005-0000-0000-000047720000}"/>
    <cellStyle name="Normal 38 6" xfId="29256" xr:uid="{00000000-0005-0000-0000-000048720000}"/>
    <cellStyle name="Normal 38 6 2" xfId="29257" xr:uid="{00000000-0005-0000-0000-000049720000}"/>
    <cellStyle name="Normal 38 6 2 2" xfId="29258" xr:uid="{00000000-0005-0000-0000-00004A720000}"/>
    <cellStyle name="Normal 38 6 3" xfId="29259" xr:uid="{00000000-0005-0000-0000-00004B720000}"/>
    <cellStyle name="Normal 38 7" xfId="29260" xr:uid="{00000000-0005-0000-0000-00004C720000}"/>
    <cellStyle name="Normal 380" xfId="29261" xr:uid="{00000000-0005-0000-0000-00004D720000}"/>
    <cellStyle name="Normal 380 2" xfId="29262" xr:uid="{00000000-0005-0000-0000-00004E720000}"/>
    <cellStyle name="Normal 380 2 2" xfId="29263" xr:uid="{00000000-0005-0000-0000-00004F720000}"/>
    <cellStyle name="Normal 380 2 2 2" xfId="29264" xr:uid="{00000000-0005-0000-0000-000050720000}"/>
    <cellStyle name="Normal 380 2 3" xfId="29265" xr:uid="{00000000-0005-0000-0000-000051720000}"/>
    <cellStyle name="Normal 380 2 3 2" xfId="29266" xr:uid="{00000000-0005-0000-0000-000052720000}"/>
    <cellStyle name="Normal 380 2 3 2 2" xfId="29267" xr:uid="{00000000-0005-0000-0000-000053720000}"/>
    <cellStyle name="Normal 380 2 3 3" xfId="29268" xr:uid="{00000000-0005-0000-0000-000054720000}"/>
    <cellStyle name="Normal 380 2 4" xfId="29269" xr:uid="{00000000-0005-0000-0000-000055720000}"/>
    <cellStyle name="Normal 380 2 4 2" xfId="29270" xr:uid="{00000000-0005-0000-0000-000056720000}"/>
    <cellStyle name="Normal 380 2 4 2 2" xfId="29271" xr:uid="{00000000-0005-0000-0000-000057720000}"/>
    <cellStyle name="Normal 380 2 4 3" xfId="29272" xr:uid="{00000000-0005-0000-0000-000058720000}"/>
    <cellStyle name="Normal 380 2 5" xfId="29273" xr:uid="{00000000-0005-0000-0000-000059720000}"/>
    <cellStyle name="Normal 380 3" xfId="29274" xr:uid="{00000000-0005-0000-0000-00005A720000}"/>
    <cellStyle name="Normal 380 3 2" xfId="29275" xr:uid="{00000000-0005-0000-0000-00005B720000}"/>
    <cellStyle name="Normal 380 3 2 2" xfId="29276" xr:uid="{00000000-0005-0000-0000-00005C720000}"/>
    <cellStyle name="Normal 380 3 2 2 2" xfId="29277" xr:uid="{00000000-0005-0000-0000-00005D720000}"/>
    <cellStyle name="Normal 380 3 2 3" xfId="29278" xr:uid="{00000000-0005-0000-0000-00005E720000}"/>
    <cellStyle name="Normal 380 3 2 3 2" xfId="29279" xr:uid="{00000000-0005-0000-0000-00005F720000}"/>
    <cellStyle name="Normal 380 3 2 3 2 2" xfId="29280" xr:uid="{00000000-0005-0000-0000-000060720000}"/>
    <cellStyle name="Normal 380 3 2 3 3" xfId="29281" xr:uid="{00000000-0005-0000-0000-000061720000}"/>
    <cellStyle name="Normal 380 3 2 4" xfId="29282" xr:uid="{00000000-0005-0000-0000-000062720000}"/>
    <cellStyle name="Normal 380 3 3" xfId="29283" xr:uid="{00000000-0005-0000-0000-000063720000}"/>
    <cellStyle name="Normal 380 3 3 2" xfId="29284" xr:uid="{00000000-0005-0000-0000-000064720000}"/>
    <cellStyle name="Normal 380 3 3 2 2" xfId="29285" xr:uid="{00000000-0005-0000-0000-000065720000}"/>
    <cellStyle name="Normal 380 3 3 3" xfId="29286" xr:uid="{00000000-0005-0000-0000-000066720000}"/>
    <cellStyle name="Normal 380 3 4" xfId="29287" xr:uid="{00000000-0005-0000-0000-000067720000}"/>
    <cellStyle name="Normal 380 3 4 2" xfId="29288" xr:uid="{00000000-0005-0000-0000-000068720000}"/>
    <cellStyle name="Normal 380 3 4 2 2" xfId="29289" xr:uid="{00000000-0005-0000-0000-000069720000}"/>
    <cellStyle name="Normal 380 3 4 3" xfId="29290" xr:uid="{00000000-0005-0000-0000-00006A720000}"/>
    <cellStyle name="Normal 380 3 5" xfId="29291" xr:uid="{00000000-0005-0000-0000-00006B720000}"/>
    <cellStyle name="Normal 380 3 5 2" xfId="29292" xr:uid="{00000000-0005-0000-0000-00006C720000}"/>
    <cellStyle name="Normal 380 3 5 2 2" xfId="29293" xr:uid="{00000000-0005-0000-0000-00006D720000}"/>
    <cellStyle name="Normal 380 3 5 3" xfId="29294" xr:uid="{00000000-0005-0000-0000-00006E720000}"/>
    <cellStyle name="Normal 380 3 6" xfId="29295" xr:uid="{00000000-0005-0000-0000-00006F720000}"/>
    <cellStyle name="Normal 380 4" xfId="29296" xr:uid="{00000000-0005-0000-0000-000070720000}"/>
    <cellStyle name="Normal 380 4 2" xfId="29297" xr:uid="{00000000-0005-0000-0000-000071720000}"/>
    <cellStyle name="Normal 380 4 2 2" xfId="29298" xr:uid="{00000000-0005-0000-0000-000072720000}"/>
    <cellStyle name="Normal 380 4 3" xfId="29299" xr:uid="{00000000-0005-0000-0000-000073720000}"/>
    <cellStyle name="Normal 380 5" xfId="29300" xr:uid="{00000000-0005-0000-0000-000074720000}"/>
    <cellStyle name="Normal 380 5 2" xfId="29301" xr:uid="{00000000-0005-0000-0000-000075720000}"/>
    <cellStyle name="Normal 380 5 2 2" xfId="29302" xr:uid="{00000000-0005-0000-0000-000076720000}"/>
    <cellStyle name="Normal 380 5 3" xfId="29303" xr:uid="{00000000-0005-0000-0000-000077720000}"/>
    <cellStyle name="Normal 380 6" xfId="29304" xr:uid="{00000000-0005-0000-0000-000078720000}"/>
    <cellStyle name="Normal 380 6 2" xfId="29305" xr:uid="{00000000-0005-0000-0000-000079720000}"/>
    <cellStyle name="Normal 380 6 2 2" xfId="29306" xr:uid="{00000000-0005-0000-0000-00007A720000}"/>
    <cellStyle name="Normal 380 6 3" xfId="29307" xr:uid="{00000000-0005-0000-0000-00007B720000}"/>
    <cellStyle name="Normal 380 7" xfId="29308" xr:uid="{00000000-0005-0000-0000-00007C720000}"/>
    <cellStyle name="Normal 381" xfId="29309" xr:uid="{00000000-0005-0000-0000-00007D720000}"/>
    <cellStyle name="Normal 381 2" xfId="29310" xr:uid="{00000000-0005-0000-0000-00007E720000}"/>
    <cellStyle name="Normal 381 2 2" xfId="29311" xr:uid="{00000000-0005-0000-0000-00007F720000}"/>
    <cellStyle name="Normal 381 2 2 2" xfId="29312" xr:uid="{00000000-0005-0000-0000-000080720000}"/>
    <cellStyle name="Normal 381 2 3" xfId="29313" xr:uid="{00000000-0005-0000-0000-000081720000}"/>
    <cellStyle name="Normal 381 2 3 2" xfId="29314" xr:uid="{00000000-0005-0000-0000-000082720000}"/>
    <cellStyle name="Normal 381 2 3 2 2" xfId="29315" xr:uid="{00000000-0005-0000-0000-000083720000}"/>
    <cellStyle name="Normal 381 2 3 3" xfId="29316" xr:uid="{00000000-0005-0000-0000-000084720000}"/>
    <cellStyle name="Normal 381 2 4" xfId="29317" xr:uid="{00000000-0005-0000-0000-000085720000}"/>
    <cellStyle name="Normal 381 2 4 2" xfId="29318" xr:uid="{00000000-0005-0000-0000-000086720000}"/>
    <cellStyle name="Normal 381 2 4 2 2" xfId="29319" xr:uid="{00000000-0005-0000-0000-000087720000}"/>
    <cellStyle name="Normal 381 2 4 3" xfId="29320" xr:uid="{00000000-0005-0000-0000-000088720000}"/>
    <cellStyle name="Normal 381 2 5" xfId="29321" xr:uid="{00000000-0005-0000-0000-000089720000}"/>
    <cellStyle name="Normal 381 3" xfId="29322" xr:uid="{00000000-0005-0000-0000-00008A720000}"/>
    <cellStyle name="Normal 381 3 2" xfId="29323" xr:uid="{00000000-0005-0000-0000-00008B720000}"/>
    <cellStyle name="Normal 381 3 2 2" xfId="29324" xr:uid="{00000000-0005-0000-0000-00008C720000}"/>
    <cellStyle name="Normal 381 3 2 2 2" xfId="29325" xr:uid="{00000000-0005-0000-0000-00008D720000}"/>
    <cellStyle name="Normal 381 3 2 3" xfId="29326" xr:uid="{00000000-0005-0000-0000-00008E720000}"/>
    <cellStyle name="Normal 381 3 2 3 2" xfId="29327" xr:uid="{00000000-0005-0000-0000-00008F720000}"/>
    <cellStyle name="Normal 381 3 2 3 2 2" xfId="29328" xr:uid="{00000000-0005-0000-0000-000090720000}"/>
    <cellStyle name="Normal 381 3 2 3 3" xfId="29329" xr:uid="{00000000-0005-0000-0000-000091720000}"/>
    <cellStyle name="Normal 381 3 2 4" xfId="29330" xr:uid="{00000000-0005-0000-0000-000092720000}"/>
    <cellStyle name="Normal 381 3 3" xfId="29331" xr:uid="{00000000-0005-0000-0000-000093720000}"/>
    <cellStyle name="Normal 381 3 3 2" xfId="29332" xr:uid="{00000000-0005-0000-0000-000094720000}"/>
    <cellStyle name="Normal 381 3 3 2 2" xfId="29333" xr:uid="{00000000-0005-0000-0000-000095720000}"/>
    <cellStyle name="Normal 381 3 3 3" xfId="29334" xr:uid="{00000000-0005-0000-0000-000096720000}"/>
    <cellStyle name="Normal 381 3 4" xfId="29335" xr:uid="{00000000-0005-0000-0000-000097720000}"/>
    <cellStyle name="Normal 381 3 4 2" xfId="29336" xr:uid="{00000000-0005-0000-0000-000098720000}"/>
    <cellStyle name="Normal 381 3 4 2 2" xfId="29337" xr:uid="{00000000-0005-0000-0000-000099720000}"/>
    <cellStyle name="Normal 381 3 4 3" xfId="29338" xr:uid="{00000000-0005-0000-0000-00009A720000}"/>
    <cellStyle name="Normal 381 3 5" xfId="29339" xr:uid="{00000000-0005-0000-0000-00009B720000}"/>
    <cellStyle name="Normal 381 3 5 2" xfId="29340" xr:uid="{00000000-0005-0000-0000-00009C720000}"/>
    <cellStyle name="Normal 381 3 5 2 2" xfId="29341" xr:uid="{00000000-0005-0000-0000-00009D720000}"/>
    <cellStyle name="Normal 381 3 5 3" xfId="29342" xr:uid="{00000000-0005-0000-0000-00009E720000}"/>
    <cellStyle name="Normal 381 3 6" xfId="29343" xr:uid="{00000000-0005-0000-0000-00009F720000}"/>
    <cellStyle name="Normal 381 4" xfId="29344" xr:uid="{00000000-0005-0000-0000-0000A0720000}"/>
    <cellStyle name="Normal 381 4 2" xfId="29345" xr:uid="{00000000-0005-0000-0000-0000A1720000}"/>
    <cellStyle name="Normal 381 4 2 2" xfId="29346" xr:uid="{00000000-0005-0000-0000-0000A2720000}"/>
    <cellStyle name="Normal 381 4 3" xfId="29347" xr:uid="{00000000-0005-0000-0000-0000A3720000}"/>
    <cellStyle name="Normal 381 5" xfId="29348" xr:uid="{00000000-0005-0000-0000-0000A4720000}"/>
    <cellStyle name="Normal 381 5 2" xfId="29349" xr:uid="{00000000-0005-0000-0000-0000A5720000}"/>
    <cellStyle name="Normal 381 5 2 2" xfId="29350" xr:uid="{00000000-0005-0000-0000-0000A6720000}"/>
    <cellStyle name="Normal 381 5 3" xfId="29351" xr:uid="{00000000-0005-0000-0000-0000A7720000}"/>
    <cellStyle name="Normal 381 6" xfId="29352" xr:uid="{00000000-0005-0000-0000-0000A8720000}"/>
    <cellStyle name="Normal 381 6 2" xfId="29353" xr:uid="{00000000-0005-0000-0000-0000A9720000}"/>
    <cellStyle name="Normal 381 6 2 2" xfId="29354" xr:uid="{00000000-0005-0000-0000-0000AA720000}"/>
    <cellStyle name="Normal 381 6 3" xfId="29355" xr:uid="{00000000-0005-0000-0000-0000AB720000}"/>
    <cellStyle name="Normal 381 7" xfId="29356" xr:uid="{00000000-0005-0000-0000-0000AC720000}"/>
    <cellStyle name="Normal 382" xfId="29357" xr:uid="{00000000-0005-0000-0000-0000AD720000}"/>
    <cellStyle name="Normal 382 2" xfId="29358" xr:uid="{00000000-0005-0000-0000-0000AE720000}"/>
    <cellStyle name="Normal 382 2 2" xfId="29359" xr:uid="{00000000-0005-0000-0000-0000AF720000}"/>
    <cellStyle name="Normal 382 2 2 2" xfId="29360" xr:uid="{00000000-0005-0000-0000-0000B0720000}"/>
    <cellStyle name="Normal 382 2 3" xfId="29361" xr:uid="{00000000-0005-0000-0000-0000B1720000}"/>
    <cellStyle name="Normal 382 2 3 2" xfId="29362" xr:uid="{00000000-0005-0000-0000-0000B2720000}"/>
    <cellStyle name="Normal 382 2 3 2 2" xfId="29363" xr:uid="{00000000-0005-0000-0000-0000B3720000}"/>
    <cellStyle name="Normal 382 2 3 3" xfId="29364" xr:uid="{00000000-0005-0000-0000-0000B4720000}"/>
    <cellStyle name="Normal 382 2 4" xfId="29365" xr:uid="{00000000-0005-0000-0000-0000B5720000}"/>
    <cellStyle name="Normal 382 2 4 2" xfId="29366" xr:uid="{00000000-0005-0000-0000-0000B6720000}"/>
    <cellStyle name="Normal 382 2 4 2 2" xfId="29367" xr:uid="{00000000-0005-0000-0000-0000B7720000}"/>
    <cellStyle name="Normal 382 2 4 3" xfId="29368" xr:uid="{00000000-0005-0000-0000-0000B8720000}"/>
    <cellStyle name="Normal 382 2 5" xfId="29369" xr:uid="{00000000-0005-0000-0000-0000B9720000}"/>
    <cellStyle name="Normal 382 3" xfId="29370" xr:uid="{00000000-0005-0000-0000-0000BA720000}"/>
    <cellStyle name="Normal 382 3 2" xfId="29371" xr:uid="{00000000-0005-0000-0000-0000BB720000}"/>
    <cellStyle name="Normal 382 3 2 2" xfId="29372" xr:uid="{00000000-0005-0000-0000-0000BC720000}"/>
    <cellStyle name="Normal 382 3 2 2 2" xfId="29373" xr:uid="{00000000-0005-0000-0000-0000BD720000}"/>
    <cellStyle name="Normal 382 3 2 3" xfId="29374" xr:uid="{00000000-0005-0000-0000-0000BE720000}"/>
    <cellStyle name="Normal 382 3 2 3 2" xfId="29375" xr:uid="{00000000-0005-0000-0000-0000BF720000}"/>
    <cellStyle name="Normal 382 3 2 3 2 2" xfId="29376" xr:uid="{00000000-0005-0000-0000-0000C0720000}"/>
    <cellStyle name="Normal 382 3 2 3 3" xfId="29377" xr:uid="{00000000-0005-0000-0000-0000C1720000}"/>
    <cellStyle name="Normal 382 3 2 4" xfId="29378" xr:uid="{00000000-0005-0000-0000-0000C2720000}"/>
    <cellStyle name="Normal 382 3 3" xfId="29379" xr:uid="{00000000-0005-0000-0000-0000C3720000}"/>
    <cellStyle name="Normal 382 3 3 2" xfId="29380" xr:uid="{00000000-0005-0000-0000-0000C4720000}"/>
    <cellStyle name="Normal 382 3 3 2 2" xfId="29381" xr:uid="{00000000-0005-0000-0000-0000C5720000}"/>
    <cellStyle name="Normal 382 3 3 3" xfId="29382" xr:uid="{00000000-0005-0000-0000-0000C6720000}"/>
    <cellStyle name="Normal 382 3 4" xfId="29383" xr:uid="{00000000-0005-0000-0000-0000C7720000}"/>
    <cellStyle name="Normal 382 3 4 2" xfId="29384" xr:uid="{00000000-0005-0000-0000-0000C8720000}"/>
    <cellStyle name="Normal 382 3 4 2 2" xfId="29385" xr:uid="{00000000-0005-0000-0000-0000C9720000}"/>
    <cellStyle name="Normal 382 3 4 3" xfId="29386" xr:uid="{00000000-0005-0000-0000-0000CA720000}"/>
    <cellStyle name="Normal 382 3 5" xfId="29387" xr:uid="{00000000-0005-0000-0000-0000CB720000}"/>
    <cellStyle name="Normal 382 3 5 2" xfId="29388" xr:uid="{00000000-0005-0000-0000-0000CC720000}"/>
    <cellStyle name="Normal 382 3 5 2 2" xfId="29389" xr:uid="{00000000-0005-0000-0000-0000CD720000}"/>
    <cellStyle name="Normal 382 3 5 3" xfId="29390" xr:uid="{00000000-0005-0000-0000-0000CE720000}"/>
    <cellStyle name="Normal 382 3 6" xfId="29391" xr:uid="{00000000-0005-0000-0000-0000CF720000}"/>
    <cellStyle name="Normal 382 4" xfId="29392" xr:uid="{00000000-0005-0000-0000-0000D0720000}"/>
    <cellStyle name="Normal 382 4 2" xfId="29393" xr:uid="{00000000-0005-0000-0000-0000D1720000}"/>
    <cellStyle name="Normal 382 4 2 2" xfId="29394" xr:uid="{00000000-0005-0000-0000-0000D2720000}"/>
    <cellStyle name="Normal 382 4 3" xfId="29395" xr:uid="{00000000-0005-0000-0000-0000D3720000}"/>
    <cellStyle name="Normal 382 5" xfId="29396" xr:uid="{00000000-0005-0000-0000-0000D4720000}"/>
    <cellStyle name="Normal 382 5 2" xfId="29397" xr:uid="{00000000-0005-0000-0000-0000D5720000}"/>
    <cellStyle name="Normal 382 5 2 2" xfId="29398" xr:uid="{00000000-0005-0000-0000-0000D6720000}"/>
    <cellStyle name="Normal 382 5 3" xfId="29399" xr:uid="{00000000-0005-0000-0000-0000D7720000}"/>
    <cellStyle name="Normal 382 6" xfId="29400" xr:uid="{00000000-0005-0000-0000-0000D8720000}"/>
    <cellStyle name="Normal 382 6 2" xfId="29401" xr:uid="{00000000-0005-0000-0000-0000D9720000}"/>
    <cellStyle name="Normal 382 6 2 2" xfId="29402" xr:uid="{00000000-0005-0000-0000-0000DA720000}"/>
    <cellStyle name="Normal 382 6 3" xfId="29403" xr:uid="{00000000-0005-0000-0000-0000DB720000}"/>
    <cellStyle name="Normal 382 7" xfId="29404" xr:uid="{00000000-0005-0000-0000-0000DC720000}"/>
    <cellStyle name="Normal 383" xfId="29405" xr:uid="{00000000-0005-0000-0000-0000DD720000}"/>
    <cellStyle name="Normal 383 2" xfId="29406" xr:uid="{00000000-0005-0000-0000-0000DE720000}"/>
    <cellStyle name="Normal 383 2 2" xfId="29407" xr:uid="{00000000-0005-0000-0000-0000DF720000}"/>
    <cellStyle name="Normal 383 2 2 2" xfId="29408" xr:uid="{00000000-0005-0000-0000-0000E0720000}"/>
    <cellStyle name="Normal 383 2 3" xfId="29409" xr:uid="{00000000-0005-0000-0000-0000E1720000}"/>
    <cellStyle name="Normal 383 2 3 2" xfId="29410" xr:uid="{00000000-0005-0000-0000-0000E2720000}"/>
    <cellStyle name="Normal 383 2 3 2 2" xfId="29411" xr:uid="{00000000-0005-0000-0000-0000E3720000}"/>
    <cellStyle name="Normal 383 2 3 3" xfId="29412" xr:uid="{00000000-0005-0000-0000-0000E4720000}"/>
    <cellStyle name="Normal 383 2 4" xfId="29413" xr:uid="{00000000-0005-0000-0000-0000E5720000}"/>
    <cellStyle name="Normal 383 2 4 2" xfId="29414" xr:uid="{00000000-0005-0000-0000-0000E6720000}"/>
    <cellStyle name="Normal 383 2 4 2 2" xfId="29415" xr:uid="{00000000-0005-0000-0000-0000E7720000}"/>
    <cellStyle name="Normal 383 2 4 3" xfId="29416" xr:uid="{00000000-0005-0000-0000-0000E8720000}"/>
    <cellStyle name="Normal 383 2 5" xfId="29417" xr:uid="{00000000-0005-0000-0000-0000E9720000}"/>
    <cellStyle name="Normal 383 3" xfId="29418" xr:uid="{00000000-0005-0000-0000-0000EA720000}"/>
    <cellStyle name="Normal 383 3 2" xfId="29419" xr:uid="{00000000-0005-0000-0000-0000EB720000}"/>
    <cellStyle name="Normal 383 3 2 2" xfId="29420" xr:uid="{00000000-0005-0000-0000-0000EC720000}"/>
    <cellStyle name="Normal 383 3 2 2 2" xfId="29421" xr:uid="{00000000-0005-0000-0000-0000ED720000}"/>
    <cellStyle name="Normal 383 3 2 3" xfId="29422" xr:uid="{00000000-0005-0000-0000-0000EE720000}"/>
    <cellStyle name="Normal 383 3 2 3 2" xfId="29423" xr:uid="{00000000-0005-0000-0000-0000EF720000}"/>
    <cellStyle name="Normal 383 3 2 3 2 2" xfId="29424" xr:uid="{00000000-0005-0000-0000-0000F0720000}"/>
    <cellStyle name="Normal 383 3 2 3 3" xfId="29425" xr:uid="{00000000-0005-0000-0000-0000F1720000}"/>
    <cellStyle name="Normal 383 3 2 4" xfId="29426" xr:uid="{00000000-0005-0000-0000-0000F2720000}"/>
    <cellStyle name="Normal 383 3 3" xfId="29427" xr:uid="{00000000-0005-0000-0000-0000F3720000}"/>
    <cellStyle name="Normal 383 3 3 2" xfId="29428" xr:uid="{00000000-0005-0000-0000-0000F4720000}"/>
    <cellStyle name="Normal 383 3 3 2 2" xfId="29429" xr:uid="{00000000-0005-0000-0000-0000F5720000}"/>
    <cellStyle name="Normal 383 3 3 3" xfId="29430" xr:uid="{00000000-0005-0000-0000-0000F6720000}"/>
    <cellStyle name="Normal 383 3 4" xfId="29431" xr:uid="{00000000-0005-0000-0000-0000F7720000}"/>
    <cellStyle name="Normal 383 3 4 2" xfId="29432" xr:uid="{00000000-0005-0000-0000-0000F8720000}"/>
    <cellStyle name="Normal 383 3 4 2 2" xfId="29433" xr:uid="{00000000-0005-0000-0000-0000F9720000}"/>
    <cellStyle name="Normal 383 3 4 3" xfId="29434" xr:uid="{00000000-0005-0000-0000-0000FA720000}"/>
    <cellStyle name="Normal 383 3 5" xfId="29435" xr:uid="{00000000-0005-0000-0000-0000FB720000}"/>
    <cellStyle name="Normal 383 3 5 2" xfId="29436" xr:uid="{00000000-0005-0000-0000-0000FC720000}"/>
    <cellStyle name="Normal 383 3 5 2 2" xfId="29437" xr:uid="{00000000-0005-0000-0000-0000FD720000}"/>
    <cellStyle name="Normal 383 3 5 3" xfId="29438" xr:uid="{00000000-0005-0000-0000-0000FE720000}"/>
    <cellStyle name="Normal 383 3 6" xfId="29439" xr:uid="{00000000-0005-0000-0000-0000FF720000}"/>
    <cellStyle name="Normal 383 4" xfId="29440" xr:uid="{00000000-0005-0000-0000-000000730000}"/>
    <cellStyle name="Normal 383 4 2" xfId="29441" xr:uid="{00000000-0005-0000-0000-000001730000}"/>
    <cellStyle name="Normal 383 4 2 2" xfId="29442" xr:uid="{00000000-0005-0000-0000-000002730000}"/>
    <cellStyle name="Normal 383 4 3" xfId="29443" xr:uid="{00000000-0005-0000-0000-000003730000}"/>
    <cellStyle name="Normal 383 5" xfId="29444" xr:uid="{00000000-0005-0000-0000-000004730000}"/>
    <cellStyle name="Normal 383 5 2" xfId="29445" xr:uid="{00000000-0005-0000-0000-000005730000}"/>
    <cellStyle name="Normal 383 5 2 2" xfId="29446" xr:uid="{00000000-0005-0000-0000-000006730000}"/>
    <cellStyle name="Normal 383 5 3" xfId="29447" xr:uid="{00000000-0005-0000-0000-000007730000}"/>
    <cellStyle name="Normal 383 6" xfId="29448" xr:uid="{00000000-0005-0000-0000-000008730000}"/>
    <cellStyle name="Normal 383 6 2" xfId="29449" xr:uid="{00000000-0005-0000-0000-000009730000}"/>
    <cellStyle name="Normal 383 6 2 2" xfId="29450" xr:uid="{00000000-0005-0000-0000-00000A730000}"/>
    <cellStyle name="Normal 383 6 3" xfId="29451" xr:uid="{00000000-0005-0000-0000-00000B730000}"/>
    <cellStyle name="Normal 383 7" xfId="29452" xr:uid="{00000000-0005-0000-0000-00000C730000}"/>
    <cellStyle name="Normal 384" xfId="29453" xr:uid="{00000000-0005-0000-0000-00000D730000}"/>
    <cellStyle name="Normal 384 2" xfId="29454" xr:uid="{00000000-0005-0000-0000-00000E730000}"/>
    <cellStyle name="Normal 384 2 2" xfId="29455" xr:uid="{00000000-0005-0000-0000-00000F730000}"/>
    <cellStyle name="Normal 384 2 2 2" xfId="29456" xr:uid="{00000000-0005-0000-0000-000010730000}"/>
    <cellStyle name="Normal 384 2 3" xfId="29457" xr:uid="{00000000-0005-0000-0000-000011730000}"/>
    <cellStyle name="Normal 384 2 3 2" xfId="29458" xr:uid="{00000000-0005-0000-0000-000012730000}"/>
    <cellStyle name="Normal 384 2 3 2 2" xfId="29459" xr:uid="{00000000-0005-0000-0000-000013730000}"/>
    <cellStyle name="Normal 384 2 3 3" xfId="29460" xr:uid="{00000000-0005-0000-0000-000014730000}"/>
    <cellStyle name="Normal 384 2 4" xfId="29461" xr:uid="{00000000-0005-0000-0000-000015730000}"/>
    <cellStyle name="Normal 384 2 4 2" xfId="29462" xr:uid="{00000000-0005-0000-0000-000016730000}"/>
    <cellStyle name="Normal 384 2 4 2 2" xfId="29463" xr:uid="{00000000-0005-0000-0000-000017730000}"/>
    <cellStyle name="Normal 384 2 4 3" xfId="29464" xr:uid="{00000000-0005-0000-0000-000018730000}"/>
    <cellStyle name="Normal 384 2 5" xfId="29465" xr:uid="{00000000-0005-0000-0000-000019730000}"/>
    <cellStyle name="Normal 384 3" xfId="29466" xr:uid="{00000000-0005-0000-0000-00001A730000}"/>
    <cellStyle name="Normal 384 3 2" xfId="29467" xr:uid="{00000000-0005-0000-0000-00001B730000}"/>
    <cellStyle name="Normal 384 3 2 2" xfId="29468" xr:uid="{00000000-0005-0000-0000-00001C730000}"/>
    <cellStyle name="Normal 384 3 2 2 2" xfId="29469" xr:uid="{00000000-0005-0000-0000-00001D730000}"/>
    <cellStyle name="Normal 384 3 2 3" xfId="29470" xr:uid="{00000000-0005-0000-0000-00001E730000}"/>
    <cellStyle name="Normal 384 3 2 3 2" xfId="29471" xr:uid="{00000000-0005-0000-0000-00001F730000}"/>
    <cellStyle name="Normal 384 3 2 3 2 2" xfId="29472" xr:uid="{00000000-0005-0000-0000-000020730000}"/>
    <cellStyle name="Normal 384 3 2 3 3" xfId="29473" xr:uid="{00000000-0005-0000-0000-000021730000}"/>
    <cellStyle name="Normal 384 3 2 4" xfId="29474" xr:uid="{00000000-0005-0000-0000-000022730000}"/>
    <cellStyle name="Normal 384 3 3" xfId="29475" xr:uid="{00000000-0005-0000-0000-000023730000}"/>
    <cellStyle name="Normal 384 3 3 2" xfId="29476" xr:uid="{00000000-0005-0000-0000-000024730000}"/>
    <cellStyle name="Normal 384 3 3 2 2" xfId="29477" xr:uid="{00000000-0005-0000-0000-000025730000}"/>
    <cellStyle name="Normal 384 3 3 3" xfId="29478" xr:uid="{00000000-0005-0000-0000-000026730000}"/>
    <cellStyle name="Normal 384 3 4" xfId="29479" xr:uid="{00000000-0005-0000-0000-000027730000}"/>
    <cellStyle name="Normal 384 3 4 2" xfId="29480" xr:uid="{00000000-0005-0000-0000-000028730000}"/>
    <cellStyle name="Normal 384 3 4 2 2" xfId="29481" xr:uid="{00000000-0005-0000-0000-000029730000}"/>
    <cellStyle name="Normal 384 3 4 3" xfId="29482" xr:uid="{00000000-0005-0000-0000-00002A730000}"/>
    <cellStyle name="Normal 384 3 5" xfId="29483" xr:uid="{00000000-0005-0000-0000-00002B730000}"/>
    <cellStyle name="Normal 384 3 5 2" xfId="29484" xr:uid="{00000000-0005-0000-0000-00002C730000}"/>
    <cellStyle name="Normal 384 3 5 2 2" xfId="29485" xr:uid="{00000000-0005-0000-0000-00002D730000}"/>
    <cellStyle name="Normal 384 3 5 3" xfId="29486" xr:uid="{00000000-0005-0000-0000-00002E730000}"/>
    <cellStyle name="Normal 384 3 6" xfId="29487" xr:uid="{00000000-0005-0000-0000-00002F730000}"/>
    <cellStyle name="Normal 384 4" xfId="29488" xr:uid="{00000000-0005-0000-0000-000030730000}"/>
    <cellStyle name="Normal 384 4 2" xfId="29489" xr:uid="{00000000-0005-0000-0000-000031730000}"/>
    <cellStyle name="Normal 384 4 2 2" xfId="29490" xr:uid="{00000000-0005-0000-0000-000032730000}"/>
    <cellStyle name="Normal 384 4 3" xfId="29491" xr:uid="{00000000-0005-0000-0000-000033730000}"/>
    <cellStyle name="Normal 384 5" xfId="29492" xr:uid="{00000000-0005-0000-0000-000034730000}"/>
    <cellStyle name="Normal 384 5 2" xfId="29493" xr:uid="{00000000-0005-0000-0000-000035730000}"/>
    <cellStyle name="Normal 384 5 2 2" xfId="29494" xr:uid="{00000000-0005-0000-0000-000036730000}"/>
    <cellStyle name="Normal 384 5 3" xfId="29495" xr:uid="{00000000-0005-0000-0000-000037730000}"/>
    <cellStyle name="Normal 384 6" xfId="29496" xr:uid="{00000000-0005-0000-0000-000038730000}"/>
    <cellStyle name="Normal 384 6 2" xfId="29497" xr:uid="{00000000-0005-0000-0000-000039730000}"/>
    <cellStyle name="Normal 384 6 2 2" xfId="29498" xr:uid="{00000000-0005-0000-0000-00003A730000}"/>
    <cellStyle name="Normal 384 6 3" xfId="29499" xr:uid="{00000000-0005-0000-0000-00003B730000}"/>
    <cellStyle name="Normal 384 7" xfId="29500" xr:uid="{00000000-0005-0000-0000-00003C730000}"/>
    <cellStyle name="Normal 385" xfId="29501" xr:uid="{00000000-0005-0000-0000-00003D730000}"/>
    <cellStyle name="Normal 385 2" xfId="29502" xr:uid="{00000000-0005-0000-0000-00003E730000}"/>
    <cellStyle name="Normal 385 2 2" xfId="29503" xr:uid="{00000000-0005-0000-0000-00003F730000}"/>
    <cellStyle name="Normal 385 2 2 2" xfId="29504" xr:uid="{00000000-0005-0000-0000-000040730000}"/>
    <cellStyle name="Normal 385 2 3" xfId="29505" xr:uid="{00000000-0005-0000-0000-000041730000}"/>
    <cellStyle name="Normal 385 2 3 2" xfId="29506" xr:uid="{00000000-0005-0000-0000-000042730000}"/>
    <cellStyle name="Normal 385 2 3 2 2" xfId="29507" xr:uid="{00000000-0005-0000-0000-000043730000}"/>
    <cellStyle name="Normal 385 2 3 3" xfId="29508" xr:uid="{00000000-0005-0000-0000-000044730000}"/>
    <cellStyle name="Normal 385 2 4" xfId="29509" xr:uid="{00000000-0005-0000-0000-000045730000}"/>
    <cellStyle name="Normal 385 2 4 2" xfId="29510" xr:uid="{00000000-0005-0000-0000-000046730000}"/>
    <cellStyle name="Normal 385 2 4 2 2" xfId="29511" xr:uid="{00000000-0005-0000-0000-000047730000}"/>
    <cellStyle name="Normal 385 2 4 3" xfId="29512" xr:uid="{00000000-0005-0000-0000-000048730000}"/>
    <cellStyle name="Normal 385 2 5" xfId="29513" xr:uid="{00000000-0005-0000-0000-000049730000}"/>
    <cellStyle name="Normal 385 3" xfId="29514" xr:uid="{00000000-0005-0000-0000-00004A730000}"/>
    <cellStyle name="Normal 385 3 2" xfId="29515" xr:uid="{00000000-0005-0000-0000-00004B730000}"/>
    <cellStyle name="Normal 385 3 2 2" xfId="29516" xr:uid="{00000000-0005-0000-0000-00004C730000}"/>
    <cellStyle name="Normal 385 3 2 2 2" xfId="29517" xr:uid="{00000000-0005-0000-0000-00004D730000}"/>
    <cellStyle name="Normal 385 3 2 3" xfId="29518" xr:uid="{00000000-0005-0000-0000-00004E730000}"/>
    <cellStyle name="Normal 385 3 2 3 2" xfId="29519" xr:uid="{00000000-0005-0000-0000-00004F730000}"/>
    <cellStyle name="Normal 385 3 2 3 2 2" xfId="29520" xr:uid="{00000000-0005-0000-0000-000050730000}"/>
    <cellStyle name="Normal 385 3 2 3 3" xfId="29521" xr:uid="{00000000-0005-0000-0000-000051730000}"/>
    <cellStyle name="Normal 385 3 2 4" xfId="29522" xr:uid="{00000000-0005-0000-0000-000052730000}"/>
    <cellStyle name="Normal 385 3 3" xfId="29523" xr:uid="{00000000-0005-0000-0000-000053730000}"/>
    <cellStyle name="Normal 385 3 3 2" xfId="29524" xr:uid="{00000000-0005-0000-0000-000054730000}"/>
    <cellStyle name="Normal 385 3 3 2 2" xfId="29525" xr:uid="{00000000-0005-0000-0000-000055730000}"/>
    <cellStyle name="Normal 385 3 3 3" xfId="29526" xr:uid="{00000000-0005-0000-0000-000056730000}"/>
    <cellStyle name="Normal 385 3 4" xfId="29527" xr:uid="{00000000-0005-0000-0000-000057730000}"/>
    <cellStyle name="Normal 385 3 4 2" xfId="29528" xr:uid="{00000000-0005-0000-0000-000058730000}"/>
    <cellStyle name="Normal 385 3 4 2 2" xfId="29529" xr:uid="{00000000-0005-0000-0000-000059730000}"/>
    <cellStyle name="Normal 385 3 4 3" xfId="29530" xr:uid="{00000000-0005-0000-0000-00005A730000}"/>
    <cellStyle name="Normal 385 3 5" xfId="29531" xr:uid="{00000000-0005-0000-0000-00005B730000}"/>
    <cellStyle name="Normal 385 3 5 2" xfId="29532" xr:uid="{00000000-0005-0000-0000-00005C730000}"/>
    <cellStyle name="Normal 385 3 5 2 2" xfId="29533" xr:uid="{00000000-0005-0000-0000-00005D730000}"/>
    <cellStyle name="Normal 385 3 5 3" xfId="29534" xr:uid="{00000000-0005-0000-0000-00005E730000}"/>
    <cellStyle name="Normal 385 3 6" xfId="29535" xr:uid="{00000000-0005-0000-0000-00005F730000}"/>
    <cellStyle name="Normal 385 4" xfId="29536" xr:uid="{00000000-0005-0000-0000-000060730000}"/>
    <cellStyle name="Normal 385 4 2" xfId="29537" xr:uid="{00000000-0005-0000-0000-000061730000}"/>
    <cellStyle name="Normal 385 4 2 2" xfId="29538" xr:uid="{00000000-0005-0000-0000-000062730000}"/>
    <cellStyle name="Normal 385 4 3" xfId="29539" xr:uid="{00000000-0005-0000-0000-000063730000}"/>
    <cellStyle name="Normal 385 5" xfId="29540" xr:uid="{00000000-0005-0000-0000-000064730000}"/>
    <cellStyle name="Normal 385 5 2" xfId="29541" xr:uid="{00000000-0005-0000-0000-000065730000}"/>
    <cellStyle name="Normal 385 5 2 2" xfId="29542" xr:uid="{00000000-0005-0000-0000-000066730000}"/>
    <cellStyle name="Normal 385 5 3" xfId="29543" xr:uid="{00000000-0005-0000-0000-000067730000}"/>
    <cellStyle name="Normal 385 6" xfId="29544" xr:uid="{00000000-0005-0000-0000-000068730000}"/>
    <cellStyle name="Normal 385 6 2" xfId="29545" xr:uid="{00000000-0005-0000-0000-000069730000}"/>
    <cellStyle name="Normal 385 6 2 2" xfId="29546" xr:uid="{00000000-0005-0000-0000-00006A730000}"/>
    <cellStyle name="Normal 385 6 3" xfId="29547" xr:uid="{00000000-0005-0000-0000-00006B730000}"/>
    <cellStyle name="Normal 385 7" xfId="29548" xr:uid="{00000000-0005-0000-0000-00006C730000}"/>
    <cellStyle name="Normal 386" xfId="29549" xr:uid="{00000000-0005-0000-0000-00006D730000}"/>
    <cellStyle name="Normal 386 2" xfId="29550" xr:uid="{00000000-0005-0000-0000-00006E730000}"/>
    <cellStyle name="Normal 386 2 2" xfId="29551" xr:uid="{00000000-0005-0000-0000-00006F730000}"/>
    <cellStyle name="Normal 386 2 2 2" xfId="29552" xr:uid="{00000000-0005-0000-0000-000070730000}"/>
    <cellStyle name="Normal 386 2 3" xfId="29553" xr:uid="{00000000-0005-0000-0000-000071730000}"/>
    <cellStyle name="Normal 386 2 3 2" xfId="29554" xr:uid="{00000000-0005-0000-0000-000072730000}"/>
    <cellStyle name="Normal 386 2 3 2 2" xfId="29555" xr:uid="{00000000-0005-0000-0000-000073730000}"/>
    <cellStyle name="Normal 386 2 3 3" xfId="29556" xr:uid="{00000000-0005-0000-0000-000074730000}"/>
    <cellStyle name="Normal 386 2 4" xfId="29557" xr:uid="{00000000-0005-0000-0000-000075730000}"/>
    <cellStyle name="Normal 386 2 4 2" xfId="29558" xr:uid="{00000000-0005-0000-0000-000076730000}"/>
    <cellStyle name="Normal 386 2 4 2 2" xfId="29559" xr:uid="{00000000-0005-0000-0000-000077730000}"/>
    <cellStyle name="Normal 386 2 4 3" xfId="29560" xr:uid="{00000000-0005-0000-0000-000078730000}"/>
    <cellStyle name="Normal 386 2 5" xfId="29561" xr:uid="{00000000-0005-0000-0000-000079730000}"/>
    <cellStyle name="Normal 386 3" xfId="29562" xr:uid="{00000000-0005-0000-0000-00007A730000}"/>
    <cellStyle name="Normal 386 3 2" xfId="29563" xr:uid="{00000000-0005-0000-0000-00007B730000}"/>
    <cellStyle name="Normal 386 3 2 2" xfId="29564" xr:uid="{00000000-0005-0000-0000-00007C730000}"/>
    <cellStyle name="Normal 386 3 2 2 2" xfId="29565" xr:uid="{00000000-0005-0000-0000-00007D730000}"/>
    <cellStyle name="Normal 386 3 2 3" xfId="29566" xr:uid="{00000000-0005-0000-0000-00007E730000}"/>
    <cellStyle name="Normal 386 3 2 3 2" xfId="29567" xr:uid="{00000000-0005-0000-0000-00007F730000}"/>
    <cellStyle name="Normal 386 3 2 3 2 2" xfId="29568" xr:uid="{00000000-0005-0000-0000-000080730000}"/>
    <cellStyle name="Normal 386 3 2 3 3" xfId="29569" xr:uid="{00000000-0005-0000-0000-000081730000}"/>
    <cellStyle name="Normal 386 3 2 4" xfId="29570" xr:uid="{00000000-0005-0000-0000-000082730000}"/>
    <cellStyle name="Normal 386 3 3" xfId="29571" xr:uid="{00000000-0005-0000-0000-000083730000}"/>
    <cellStyle name="Normal 386 3 3 2" xfId="29572" xr:uid="{00000000-0005-0000-0000-000084730000}"/>
    <cellStyle name="Normal 386 3 3 2 2" xfId="29573" xr:uid="{00000000-0005-0000-0000-000085730000}"/>
    <cellStyle name="Normal 386 3 3 3" xfId="29574" xr:uid="{00000000-0005-0000-0000-000086730000}"/>
    <cellStyle name="Normal 386 3 4" xfId="29575" xr:uid="{00000000-0005-0000-0000-000087730000}"/>
    <cellStyle name="Normal 386 3 4 2" xfId="29576" xr:uid="{00000000-0005-0000-0000-000088730000}"/>
    <cellStyle name="Normal 386 3 4 2 2" xfId="29577" xr:uid="{00000000-0005-0000-0000-000089730000}"/>
    <cellStyle name="Normal 386 3 4 3" xfId="29578" xr:uid="{00000000-0005-0000-0000-00008A730000}"/>
    <cellStyle name="Normal 386 3 5" xfId="29579" xr:uid="{00000000-0005-0000-0000-00008B730000}"/>
    <cellStyle name="Normal 386 3 5 2" xfId="29580" xr:uid="{00000000-0005-0000-0000-00008C730000}"/>
    <cellStyle name="Normal 386 3 5 2 2" xfId="29581" xr:uid="{00000000-0005-0000-0000-00008D730000}"/>
    <cellStyle name="Normal 386 3 5 3" xfId="29582" xr:uid="{00000000-0005-0000-0000-00008E730000}"/>
    <cellStyle name="Normal 386 3 6" xfId="29583" xr:uid="{00000000-0005-0000-0000-00008F730000}"/>
    <cellStyle name="Normal 386 4" xfId="29584" xr:uid="{00000000-0005-0000-0000-000090730000}"/>
    <cellStyle name="Normal 386 4 2" xfId="29585" xr:uid="{00000000-0005-0000-0000-000091730000}"/>
    <cellStyle name="Normal 386 4 2 2" xfId="29586" xr:uid="{00000000-0005-0000-0000-000092730000}"/>
    <cellStyle name="Normal 386 4 3" xfId="29587" xr:uid="{00000000-0005-0000-0000-000093730000}"/>
    <cellStyle name="Normal 386 5" xfId="29588" xr:uid="{00000000-0005-0000-0000-000094730000}"/>
    <cellStyle name="Normal 386 5 2" xfId="29589" xr:uid="{00000000-0005-0000-0000-000095730000}"/>
    <cellStyle name="Normal 386 5 2 2" xfId="29590" xr:uid="{00000000-0005-0000-0000-000096730000}"/>
    <cellStyle name="Normal 386 5 3" xfId="29591" xr:uid="{00000000-0005-0000-0000-000097730000}"/>
    <cellStyle name="Normal 386 6" xfId="29592" xr:uid="{00000000-0005-0000-0000-000098730000}"/>
    <cellStyle name="Normal 386 6 2" xfId="29593" xr:uid="{00000000-0005-0000-0000-000099730000}"/>
    <cellStyle name="Normal 386 6 2 2" xfId="29594" xr:uid="{00000000-0005-0000-0000-00009A730000}"/>
    <cellStyle name="Normal 386 6 3" xfId="29595" xr:uid="{00000000-0005-0000-0000-00009B730000}"/>
    <cellStyle name="Normal 386 7" xfId="29596" xr:uid="{00000000-0005-0000-0000-00009C730000}"/>
    <cellStyle name="Normal 387" xfId="29597" xr:uid="{00000000-0005-0000-0000-00009D730000}"/>
    <cellStyle name="Normal 387 2" xfId="29598" xr:uid="{00000000-0005-0000-0000-00009E730000}"/>
    <cellStyle name="Normal 387 2 2" xfId="29599" xr:uid="{00000000-0005-0000-0000-00009F730000}"/>
    <cellStyle name="Normal 387 2 2 2" xfId="29600" xr:uid="{00000000-0005-0000-0000-0000A0730000}"/>
    <cellStyle name="Normal 387 2 3" xfId="29601" xr:uid="{00000000-0005-0000-0000-0000A1730000}"/>
    <cellStyle name="Normal 387 2 3 2" xfId="29602" xr:uid="{00000000-0005-0000-0000-0000A2730000}"/>
    <cellStyle name="Normal 387 2 3 2 2" xfId="29603" xr:uid="{00000000-0005-0000-0000-0000A3730000}"/>
    <cellStyle name="Normal 387 2 3 3" xfId="29604" xr:uid="{00000000-0005-0000-0000-0000A4730000}"/>
    <cellStyle name="Normal 387 2 4" xfId="29605" xr:uid="{00000000-0005-0000-0000-0000A5730000}"/>
    <cellStyle name="Normal 387 2 4 2" xfId="29606" xr:uid="{00000000-0005-0000-0000-0000A6730000}"/>
    <cellStyle name="Normal 387 2 4 2 2" xfId="29607" xr:uid="{00000000-0005-0000-0000-0000A7730000}"/>
    <cellStyle name="Normal 387 2 4 3" xfId="29608" xr:uid="{00000000-0005-0000-0000-0000A8730000}"/>
    <cellStyle name="Normal 387 2 5" xfId="29609" xr:uid="{00000000-0005-0000-0000-0000A9730000}"/>
    <cellStyle name="Normal 387 3" xfId="29610" xr:uid="{00000000-0005-0000-0000-0000AA730000}"/>
    <cellStyle name="Normal 387 3 2" xfId="29611" xr:uid="{00000000-0005-0000-0000-0000AB730000}"/>
    <cellStyle name="Normal 387 3 2 2" xfId="29612" xr:uid="{00000000-0005-0000-0000-0000AC730000}"/>
    <cellStyle name="Normal 387 3 2 2 2" xfId="29613" xr:uid="{00000000-0005-0000-0000-0000AD730000}"/>
    <cellStyle name="Normal 387 3 2 3" xfId="29614" xr:uid="{00000000-0005-0000-0000-0000AE730000}"/>
    <cellStyle name="Normal 387 3 2 3 2" xfId="29615" xr:uid="{00000000-0005-0000-0000-0000AF730000}"/>
    <cellStyle name="Normal 387 3 2 3 2 2" xfId="29616" xr:uid="{00000000-0005-0000-0000-0000B0730000}"/>
    <cellStyle name="Normal 387 3 2 3 3" xfId="29617" xr:uid="{00000000-0005-0000-0000-0000B1730000}"/>
    <cellStyle name="Normal 387 3 2 4" xfId="29618" xr:uid="{00000000-0005-0000-0000-0000B2730000}"/>
    <cellStyle name="Normal 387 3 3" xfId="29619" xr:uid="{00000000-0005-0000-0000-0000B3730000}"/>
    <cellStyle name="Normal 387 3 3 2" xfId="29620" xr:uid="{00000000-0005-0000-0000-0000B4730000}"/>
    <cellStyle name="Normal 387 3 3 2 2" xfId="29621" xr:uid="{00000000-0005-0000-0000-0000B5730000}"/>
    <cellStyle name="Normal 387 3 3 3" xfId="29622" xr:uid="{00000000-0005-0000-0000-0000B6730000}"/>
    <cellStyle name="Normal 387 3 4" xfId="29623" xr:uid="{00000000-0005-0000-0000-0000B7730000}"/>
    <cellStyle name="Normal 387 3 4 2" xfId="29624" xr:uid="{00000000-0005-0000-0000-0000B8730000}"/>
    <cellStyle name="Normal 387 3 4 2 2" xfId="29625" xr:uid="{00000000-0005-0000-0000-0000B9730000}"/>
    <cellStyle name="Normal 387 3 4 3" xfId="29626" xr:uid="{00000000-0005-0000-0000-0000BA730000}"/>
    <cellStyle name="Normal 387 3 5" xfId="29627" xr:uid="{00000000-0005-0000-0000-0000BB730000}"/>
    <cellStyle name="Normal 387 3 5 2" xfId="29628" xr:uid="{00000000-0005-0000-0000-0000BC730000}"/>
    <cellStyle name="Normal 387 3 5 2 2" xfId="29629" xr:uid="{00000000-0005-0000-0000-0000BD730000}"/>
    <cellStyle name="Normal 387 3 5 3" xfId="29630" xr:uid="{00000000-0005-0000-0000-0000BE730000}"/>
    <cellStyle name="Normal 387 3 6" xfId="29631" xr:uid="{00000000-0005-0000-0000-0000BF730000}"/>
    <cellStyle name="Normal 387 4" xfId="29632" xr:uid="{00000000-0005-0000-0000-0000C0730000}"/>
    <cellStyle name="Normal 387 4 2" xfId="29633" xr:uid="{00000000-0005-0000-0000-0000C1730000}"/>
    <cellStyle name="Normal 387 4 2 2" xfId="29634" xr:uid="{00000000-0005-0000-0000-0000C2730000}"/>
    <cellStyle name="Normal 387 4 3" xfId="29635" xr:uid="{00000000-0005-0000-0000-0000C3730000}"/>
    <cellStyle name="Normal 387 5" xfId="29636" xr:uid="{00000000-0005-0000-0000-0000C4730000}"/>
    <cellStyle name="Normal 387 5 2" xfId="29637" xr:uid="{00000000-0005-0000-0000-0000C5730000}"/>
    <cellStyle name="Normal 387 5 2 2" xfId="29638" xr:uid="{00000000-0005-0000-0000-0000C6730000}"/>
    <cellStyle name="Normal 387 5 3" xfId="29639" xr:uid="{00000000-0005-0000-0000-0000C7730000}"/>
    <cellStyle name="Normal 387 6" xfId="29640" xr:uid="{00000000-0005-0000-0000-0000C8730000}"/>
    <cellStyle name="Normal 387 6 2" xfId="29641" xr:uid="{00000000-0005-0000-0000-0000C9730000}"/>
    <cellStyle name="Normal 387 6 2 2" xfId="29642" xr:uid="{00000000-0005-0000-0000-0000CA730000}"/>
    <cellStyle name="Normal 387 6 3" xfId="29643" xr:uid="{00000000-0005-0000-0000-0000CB730000}"/>
    <cellStyle name="Normal 387 7" xfId="29644" xr:uid="{00000000-0005-0000-0000-0000CC730000}"/>
    <cellStyle name="Normal 388" xfId="29645" xr:uid="{00000000-0005-0000-0000-0000CD730000}"/>
    <cellStyle name="Normal 388 2" xfId="29646" xr:uid="{00000000-0005-0000-0000-0000CE730000}"/>
    <cellStyle name="Normal 388 2 2" xfId="29647" xr:uid="{00000000-0005-0000-0000-0000CF730000}"/>
    <cellStyle name="Normal 388 2 2 2" xfId="29648" xr:uid="{00000000-0005-0000-0000-0000D0730000}"/>
    <cellStyle name="Normal 388 2 3" xfId="29649" xr:uid="{00000000-0005-0000-0000-0000D1730000}"/>
    <cellStyle name="Normal 388 2 3 2" xfId="29650" xr:uid="{00000000-0005-0000-0000-0000D2730000}"/>
    <cellStyle name="Normal 388 2 3 2 2" xfId="29651" xr:uid="{00000000-0005-0000-0000-0000D3730000}"/>
    <cellStyle name="Normal 388 2 3 3" xfId="29652" xr:uid="{00000000-0005-0000-0000-0000D4730000}"/>
    <cellStyle name="Normal 388 2 4" xfId="29653" xr:uid="{00000000-0005-0000-0000-0000D5730000}"/>
    <cellStyle name="Normal 388 2 4 2" xfId="29654" xr:uid="{00000000-0005-0000-0000-0000D6730000}"/>
    <cellStyle name="Normal 388 2 4 2 2" xfId="29655" xr:uid="{00000000-0005-0000-0000-0000D7730000}"/>
    <cellStyle name="Normal 388 2 4 3" xfId="29656" xr:uid="{00000000-0005-0000-0000-0000D8730000}"/>
    <cellStyle name="Normal 388 2 5" xfId="29657" xr:uid="{00000000-0005-0000-0000-0000D9730000}"/>
    <cellStyle name="Normal 388 3" xfId="29658" xr:uid="{00000000-0005-0000-0000-0000DA730000}"/>
    <cellStyle name="Normal 388 3 2" xfId="29659" xr:uid="{00000000-0005-0000-0000-0000DB730000}"/>
    <cellStyle name="Normal 388 3 2 2" xfId="29660" xr:uid="{00000000-0005-0000-0000-0000DC730000}"/>
    <cellStyle name="Normal 388 3 2 2 2" xfId="29661" xr:uid="{00000000-0005-0000-0000-0000DD730000}"/>
    <cellStyle name="Normal 388 3 2 3" xfId="29662" xr:uid="{00000000-0005-0000-0000-0000DE730000}"/>
    <cellStyle name="Normal 388 3 2 3 2" xfId="29663" xr:uid="{00000000-0005-0000-0000-0000DF730000}"/>
    <cellStyle name="Normal 388 3 2 3 2 2" xfId="29664" xr:uid="{00000000-0005-0000-0000-0000E0730000}"/>
    <cellStyle name="Normal 388 3 2 3 3" xfId="29665" xr:uid="{00000000-0005-0000-0000-0000E1730000}"/>
    <cellStyle name="Normal 388 3 2 4" xfId="29666" xr:uid="{00000000-0005-0000-0000-0000E2730000}"/>
    <cellStyle name="Normal 388 3 3" xfId="29667" xr:uid="{00000000-0005-0000-0000-0000E3730000}"/>
    <cellStyle name="Normal 388 3 3 2" xfId="29668" xr:uid="{00000000-0005-0000-0000-0000E4730000}"/>
    <cellStyle name="Normal 388 3 3 2 2" xfId="29669" xr:uid="{00000000-0005-0000-0000-0000E5730000}"/>
    <cellStyle name="Normal 388 3 3 3" xfId="29670" xr:uid="{00000000-0005-0000-0000-0000E6730000}"/>
    <cellStyle name="Normal 388 3 4" xfId="29671" xr:uid="{00000000-0005-0000-0000-0000E7730000}"/>
    <cellStyle name="Normal 388 3 4 2" xfId="29672" xr:uid="{00000000-0005-0000-0000-0000E8730000}"/>
    <cellStyle name="Normal 388 3 4 2 2" xfId="29673" xr:uid="{00000000-0005-0000-0000-0000E9730000}"/>
    <cellStyle name="Normal 388 3 4 3" xfId="29674" xr:uid="{00000000-0005-0000-0000-0000EA730000}"/>
    <cellStyle name="Normal 388 3 5" xfId="29675" xr:uid="{00000000-0005-0000-0000-0000EB730000}"/>
    <cellStyle name="Normal 388 3 5 2" xfId="29676" xr:uid="{00000000-0005-0000-0000-0000EC730000}"/>
    <cellStyle name="Normal 388 3 5 2 2" xfId="29677" xr:uid="{00000000-0005-0000-0000-0000ED730000}"/>
    <cellStyle name="Normal 388 3 5 3" xfId="29678" xr:uid="{00000000-0005-0000-0000-0000EE730000}"/>
    <cellStyle name="Normal 388 3 6" xfId="29679" xr:uid="{00000000-0005-0000-0000-0000EF730000}"/>
    <cellStyle name="Normal 388 4" xfId="29680" xr:uid="{00000000-0005-0000-0000-0000F0730000}"/>
    <cellStyle name="Normal 388 4 2" xfId="29681" xr:uid="{00000000-0005-0000-0000-0000F1730000}"/>
    <cellStyle name="Normal 388 4 2 2" xfId="29682" xr:uid="{00000000-0005-0000-0000-0000F2730000}"/>
    <cellStyle name="Normal 388 4 3" xfId="29683" xr:uid="{00000000-0005-0000-0000-0000F3730000}"/>
    <cellStyle name="Normal 388 5" xfId="29684" xr:uid="{00000000-0005-0000-0000-0000F4730000}"/>
    <cellStyle name="Normal 388 5 2" xfId="29685" xr:uid="{00000000-0005-0000-0000-0000F5730000}"/>
    <cellStyle name="Normal 388 5 2 2" xfId="29686" xr:uid="{00000000-0005-0000-0000-0000F6730000}"/>
    <cellStyle name="Normal 388 5 3" xfId="29687" xr:uid="{00000000-0005-0000-0000-0000F7730000}"/>
    <cellStyle name="Normal 388 6" xfId="29688" xr:uid="{00000000-0005-0000-0000-0000F8730000}"/>
    <cellStyle name="Normal 388 6 2" xfId="29689" xr:uid="{00000000-0005-0000-0000-0000F9730000}"/>
    <cellStyle name="Normal 388 6 2 2" xfId="29690" xr:uid="{00000000-0005-0000-0000-0000FA730000}"/>
    <cellStyle name="Normal 388 6 3" xfId="29691" xr:uid="{00000000-0005-0000-0000-0000FB730000}"/>
    <cellStyle name="Normal 388 7" xfId="29692" xr:uid="{00000000-0005-0000-0000-0000FC730000}"/>
    <cellStyle name="Normal 389" xfId="29693" xr:uid="{00000000-0005-0000-0000-0000FD730000}"/>
    <cellStyle name="Normal 389 2" xfId="29694" xr:uid="{00000000-0005-0000-0000-0000FE730000}"/>
    <cellStyle name="Normal 389 2 2" xfId="29695" xr:uid="{00000000-0005-0000-0000-0000FF730000}"/>
    <cellStyle name="Normal 389 2 2 2" xfId="29696" xr:uid="{00000000-0005-0000-0000-000000740000}"/>
    <cellStyle name="Normal 389 2 3" xfId="29697" xr:uid="{00000000-0005-0000-0000-000001740000}"/>
    <cellStyle name="Normal 389 2 3 2" xfId="29698" xr:uid="{00000000-0005-0000-0000-000002740000}"/>
    <cellStyle name="Normal 389 2 3 2 2" xfId="29699" xr:uid="{00000000-0005-0000-0000-000003740000}"/>
    <cellStyle name="Normal 389 2 3 3" xfId="29700" xr:uid="{00000000-0005-0000-0000-000004740000}"/>
    <cellStyle name="Normal 389 2 4" xfId="29701" xr:uid="{00000000-0005-0000-0000-000005740000}"/>
    <cellStyle name="Normal 389 2 4 2" xfId="29702" xr:uid="{00000000-0005-0000-0000-000006740000}"/>
    <cellStyle name="Normal 389 2 4 2 2" xfId="29703" xr:uid="{00000000-0005-0000-0000-000007740000}"/>
    <cellStyle name="Normal 389 2 4 3" xfId="29704" xr:uid="{00000000-0005-0000-0000-000008740000}"/>
    <cellStyle name="Normal 389 2 5" xfId="29705" xr:uid="{00000000-0005-0000-0000-000009740000}"/>
    <cellStyle name="Normal 389 3" xfId="29706" xr:uid="{00000000-0005-0000-0000-00000A740000}"/>
    <cellStyle name="Normal 389 3 2" xfId="29707" xr:uid="{00000000-0005-0000-0000-00000B740000}"/>
    <cellStyle name="Normal 389 3 2 2" xfId="29708" xr:uid="{00000000-0005-0000-0000-00000C740000}"/>
    <cellStyle name="Normal 389 3 2 2 2" xfId="29709" xr:uid="{00000000-0005-0000-0000-00000D740000}"/>
    <cellStyle name="Normal 389 3 2 3" xfId="29710" xr:uid="{00000000-0005-0000-0000-00000E740000}"/>
    <cellStyle name="Normal 389 3 2 3 2" xfId="29711" xr:uid="{00000000-0005-0000-0000-00000F740000}"/>
    <cellStyle name="Normal 389 3 2 3 2 2" xfId="29712" xr:uid="{00000000-0005-0000-0000-000010740000}"/>
    <cellStyle name="Normal 389 3 2 3 3" xfId="29713" xr:uid="{00000000-0005-0000-0000-000011740000}"/>
    <cellStyle name="Normal 389 3 2 4" xfId="29714" xr:uid="{00000000-0005-0000-0000-000012740000}"/>
    <cellStyle name="Normal 389 3 3" xfId="29715" xr:uid="{00000000-0005-0000-0000-000013740000}"/>
    <cellStyle name="Normal 389 3 3 2" xfId="29716" xr:uid="{00000000-0005-0000-0000-000014740000}"/>
    <cellStyle name="Normal 389 3 3 2 2" xfId="29717" xr:uid="{00000000-0005-0000-0000-000015740000}"/>
    <cellStyle name="Normal 389 3 3 3" xfId="29718" xr:uid="{00000000-0005-0000-0000-000016740000}"/>
    <cellStyle name="Normal 389 3 4" xfId="29719" xr:uid="{00000000-0005-0000-0000-000017740000}"/>
    <cellStyle name="Normal 389 3 4 2" xfId="29720" xr:uid="{00000000-0005-0000-0000-000018740000}"/>
    <cellStyle name="Normal 389 3 4 2 2" xfId="29721" xr:uid="{00000000-0005-0000-0000-000019740000}"/>
    <cellStyle name="Normal 389 3 4 3" xfId="29722" xr:uid="{00000000-0005-0000-0000-00001A740000}"/>
    <cellStyle name="Normal 389 3 5" xfId="29723" xr:uid="{00000000-0005-0000-0000-00001B740000}"/>
    <cellStyle name="Normal 389 3 5 2" xfId="29724" xr:uid="{00000000-0005-0000-0000-00001C740000}"/>
    <cellStyle name="Normal 389 3 5 2 2" xfId="29725" xr:uid="{00000000-0005-0000-0000-00001D740000}"/>
    <cellStyle name="Normal 389 3 5 3" xfId="29726" xr:uid="{00000000-0005-0000-0000-00001E740000}"/>
    <cellStyle name="Normal 389 3 6" xfId="29727" xr:uid="{00000000-0005-0000-0000-00001F740000}"/>
    <cellStyle name="Normal 389 4" xfId="29728" xr:uid="{00000000-0005-0000-0000-000020740000}"/>
    <cellStyle name="Normal 389 4 2" xfId="29729" xr:uid="{00000000-0005-0000-0000-000021740000}"/>
    <cellStyle name="Normal 389 4 2 2" xfId="29730" xr:uid="{00000000-0005-0000-0000-000022740000}"/>
    <cellStyle name="Normal 389 4 3" xfId="29731" xr:uid="{00000000-0005-0000-0000-000023740000}"/>
    <cellStyle name="Normal 389 5" xfId="29732" xr:uid="{00000000-0005-0000-0000-000024740000}"/>
    <cellStyle name="Normal 389 5 2" xfId="29733" xr:uid="{00000000-0005-0000-0000-000025740000}"/>
    <cellStyle name="Normal 389 5 2 2" xfId="29734" xr:uid="{00000000-0005-0000-0000-000026740000}"/>
    <cellStyle name="Normal 389 5 3" xfId="29735" xr:uid="{00000000-0005-0000-0000-000027740000}"/>
    <cellStyle name="Normal 389 6" xfId="29736" xr:uid="{00000000-0005-0000-0000-000028740000}"/>
    <cellStyle name="Normal 389 6 2" xfId="29737" xr:uid="{00000000-0005-0000-0000-000029740000}"/>
    <cellStyle name="Normal 389 6 2 2" xfId="29738" xr:uid="{00000000-0005-0000-0000-00002A740000}"/>
    <cellStyle name="Normal 389 6 3" xfId="29739" xr:uid="{00000000-0005-0000-0000-00002B740000}"/>
    <cellStyle name="Normal 389 7" xfId="29740" xr:uid="{00000000-0005-0000-0000-00002C740000}"/>
    <cellStyle name="Normal 39" xfId="29741" xr:uid="{00000000-0005-0000-0000-00002D740000}"/>
    <cellStyle name="Normal 39 2" xfId="29742" xr:uid="{00000000-0005-0000-0000-00002E740000}"/>
    <cellStyle name="Normal 39 2 2" xfId="29743" xr:uid="{00000000-0005-0000-0000-00002F740000}"/>
    <cellStyle name="Normal 39 2 2 2" xfId="29744" xr:uid="{00000000-0005-0000-0000-000030740000}"/>
    <cellStyle name="Normal 39 2 2 2 2" xfId="29745" xr:uid="{00000000-0005-0000-0000-000031740000}"/>
    <cellStyle name="Normal 39 2 2 3" xfId="29746" xr:uid="{00000000-0005-0000-0000-000032740000}"/>
    <cellStyle name="Normal 39 2 2 3 2" xfId="29747" xr:uid="{00000000-0005-0000-0000-000033740000}"/>
    <cellStyle name="Normal 39 2 2 3 2 2" xfId="29748" xr:uid="{00000000-0005-0000-0000-000034740000}"/>
    <cellStyle name="Normal 39 2 2 3 3" xfId="29749" xr:uid="{00000000-0005-0000-0000-000035740000}"/>
    <cellStyle name="Normal 39 2 2 4" xfId="29750" xr:uid="{00000000-0005-0000-0000-000036740000}"/>
    <cellStyle name="Normal 39 2 2 4 2" xfId="29751" xr:uid="{00000000-0005-0000-0000-000037740000}"/>
    <cellStyle name="Normal 39 2 2 4 2 2" xfId="29752" xr:uid="{00000000-0005-0000-0000-000038740000}"/>
    <cellStyle name="Normal 39 2 2 4 3" xfId="29753" xr:uid="{00000000-0005-0000-0000-000039740000}"/>
    <cellStyle name="Normal 39 2 2 5" xfId="29754" xr:uid="{00000000-0005-0000-0000-00003A740000}"/>
    <cellStyle name="Normal 39 2 3" xfId="29755" xr:uid="{00000000-0005-0000-0000-00003B740000}"/>
    <cellStyle name="Normal 39 2 3 2" xfId="29756" xr:uid="{00000000-0005-0000-0000-00003C740000}"/>
    <cellStyle name="Normal 39 2 3 2 2" xfId="29757" xr:uid="{00000000-0005-0000-0000-00003D740000}"/>
    <cellStyle name="Normal 39 2 3 3" xfId="29758" xr:uid="{00000000-0005-0000-0000-00003E740000}"/>
    <cellStyle name="Normal 39 2 4" xfId="29759" xr:uid="{00000000-0005-0000-0000-00003F740000}"/>
    <cellStyle name="Normal 39 2 4 2" xfId="29760" xr:uid="{00000000-0005-0000-0000-000040740000}"/>
    <cellStyle name="Normal 39 2 4 2 2" xfId="29761" xr:uid="{00000000-0005-0000-0000-000041740000}"/>
    <cellStyle name="Normal 39 2 4 3" xfId="29762" xr:uid="{00000000-0005-0000-0000-000042740000}"/>
    <cellStyle name="Normal 39 2 5" xfId="29763" xr:uid="{00000000-0005-0000-0000-000043740000}"/>
    <cellStyle name="Normal 39 2 5 2" xfId="29764" xr:uid="{00000000-0005-0000-0000-000044740000}"/>
    <cellStyle name="Normal 39 2 5 2 2" xfId="29765" xr:uid="{00000000-0005-0000-0000-000045740000}"/>
    <cellStyle name="Normal 39 2 5 3" xfId="29766" xr:uid="{00000000-0005-0000-0000-000046740000}"/>
    <cellStyle name="Normal 39 2 6" xfId="29767" xr:uid="{00000000-0005-0000-0000-000047740000}"/>
    <cellStyle name="Normal 39 3" xfId="29768" xr:uid="{00000000-0005-0000-0000-000048740000}"/>
    <cellStyle name="Normal 39 3 2" xfId="29769" xr:uid="{00000000-0005-0000-0000-000049740000}"/>
    <cellStyle name="Normal 39 3 2 2" xfId="29770" xr:uid="{00000000-0005-0000-0000-00004A740000}"/>
    <cellStyle name="Normal 39 3 3" xfId="29771" xr:uid="{00000000-0005-0000-0000-00004B740000}"/>
    <cellStyle name="Normal 39 3 3 2" xfId="29772" xr:uid="{00000000-0005-0000-0000-00004C740000}"/>
    <cellStyle name="Normal 39 3 3 2 2" xfId="29773" xr:uid="{00000000-0005-0000-0000-00004D740000}"/>
    <cellStyle name="Normal 39 3 3 3" xfId="29774" xr:uid="{00000000-0005-0000-0000-00004E740000}"/>
    <cellStyle name="Normal 39 3 4" xfId="29775" xr:uid="{00000000-0005-0000-0000-00004F740000}"/>
    <cellStyle name="Normal 39 3 4 2" xfId="29776" xr:uid="{00000000-0005-0000-0000-000050740000}"/>
    <cellStyle name="Normal 39 3 4 2 2" xfId="29777" xr:uid="{00000000-0005-0000-0000-000051740000}"/>
    <cellStyle name="Normal 39 3 4 3" xfId="29778" xr:uid="{00000000-0005-0000-0000-000052740000}"/>
    <cellStyle name="Normal 39 3 5" xfId="29779" xr:uid="{00000000-0005-0000-0000-000053740000}"/>
    <cellStyle name="Normal 39 4" xfId="29780" xr:uid="{00000000-0005-0000-0000-000054740000}"/>
    <cellStyle name="Normal 39 4 2" xfId="29781" xr:uid="{00000000-0005-0000-0000-000055740000}"/>
    <cellStyle name="Normal 39 4 2 2" xfId="29782" xr:uid="{00000000-0005-0000-0000-000056740000}"/>
    <cellStyle name="Normal 39 4 3" xfId="29783" xr:uid="{00000000-0005-0000-0000-000057740000}"/>
    <cellStyle name="Normal 39 5" xfId="29784" xr:uid="{00000000-0005-0000-0000-000058740000}"/>
    <cellStyle name="Normal 39 5 2" xfId="29785" xr:uid="{00000000-0005-0000-0000-000059740000}"/>
    <cellStyle name="Normal 39 5 2 2" xfId="29786" xr:uid="{00000000-0005-0000-0000-00005A740000}"/>
    <cellStyle name="Normal 39 5 3" xfId="29787" xr:uid="{00000000-0005-0000-0000-00005B740000}"/>
    <cellStyle name="Normal 39 6" xfId="29788" xr:uid="{00000000-0005-0000-0000-00005C740000}"/>
    <cellStyle name="Normal 39 6 2" xfId="29789" xr:uid="{00000000-0005-0000-0000-00005D740000}"/>
    <cellStyle name="Normal 39 6 2 2" xfId="29790" xr:uid="{00000000-0005-0000-0000-00005E740000}"/>
    <cellStyle name="Normal 39 6 3" xfId="29791" xr:uid="{00000000-0005-0000-0000-00005F740000}"/>
    <cellStyle name="Normal 39 7" xfId="29792" xr:uid="{00000000-0005-0000-0000-000060740000}"/>
    <cellStyle name="Normal 390" xfId="29793" xr:uid="{00000000-0005-0000-0000-000061740000}"/>
    <cellStyle name="Normal 390 2" xfId="29794" xr:uid="{00000000-0005-0000-0000-000062740000}"/>
    <cellStyle name="Normal 390 2 2" xfId="29795" xr:uid="{00000000-0005-0000-0000-000063740000}"/>
    <cellStyle name="Normal 390 2 2 2" xfId="29796" xr:uid="{00000000-0005-0000-0000-000064740000}"/>
    <cellStyle name="Normal 390 2 3" xfId="29797" xr:uid="{00000000-0005-0000-0000-000065740000}"/>
    <cellStyle name="Normal 390 2 3 2" xfId="29798" xr:uid="{00000000-0005-0000-0000-000066740000}"/>
    <cellStyle name="Normal 390 2 3 2 2" xfId="29799" xr:uid="{00000000-0005-0000-0000-000067740000}"/>
    <cellStyle name="Normal 390 2 3 3" xfId="29800" xr:uid="{00000000-0005-0000-0000-000068740000}"/>
    <cellStyle name="Normal 390 2 4" xfId="29801" xr:uid="{00000000-0005-0000-0000-000069740000}"/>
    <cellStyle name="Normal 390 2 4 2" xfId="29802" xr:uid="{00000000-0005-0000-0000-00006A740000}"/>
    <cellStyle name="Normal 390 2 4 2 2" xfId="29803" xr:uid="{00000000-0005-0000-0000-00006B740000}"/>
    <cellStyle name="Normal 390 2 4 3" xfId="29804" xr:uid="{00000000-0005-0000-0000-00006C740000}"/>
    <cellStyle name="Normal 390 2 5" xfId="29805" xr:uid="{00000000-0005-0000-0000-00006D740000}"/>
    <cellStyle name="Normal 390 3" xfId="29806" xr:uid="{00000000-0005-0000-0000-00006E740000}"/>
    <cellStyle name="Normal 390 3 2" xfId="29807" xr:uid="{00000000-0005-0000-0000-00006F740000}"/>
    <cellStyle name="Normal 390 3 2 2" xfId="29808" xr:uid="{00000000-0005-0000-0000-000070740000}"/>
    <cellStyle name="Normal 390 3 2 2 2" xfId="29809" xr:uid="{00000000-0005-0000-0000-000071740000}"/>
    <cellStyle name="Normal 390 3 2 3" xfId="29810" xr:uid="{00000000-0005-0000-0000-000072740000}"/>
    <cellStyle name="Normal 390 3 2 3 2" xfId="29811" xr:uid="{00000000-0005-0000-0000-000073740000}"/>
    <cellStyle name="Normal 390 3 2 3 2 2" xfId="29812" xr:uid="{00000000-0005-0000-0000-000074740000}"/>
    <cellStyle name="Normal 390 3 2 3 3" xfId="29813" xr:uid="{00000000-0005-0000-0000-000075740000}"/>
    <cellStyle name="Normal 390 3 2 4" xfId="29814" xr:uid="{00000000-0005-0000-0000-000076740000}"/>
    <cellStyle name="Normal 390 3 3" xfId="29815" xr:uid="{00000000-0005-0000-0000-000077740000}"/>
    <cellStyle name="Normal 390 3 3 2" xfId="29816" xr:uid="{00000000-0005-0000-0000-000078740000}"/>
    <cellStyle name="Normal 390 3 3 2 2" xfId="29817" xr:uid="{00000000-0005-0000-0000-000079740000}"/>
    <cellStyle name="Normal 390 3 3 3" xfId="29818" xr:uid="{00000000-0005-0000-0000-00007A740000}"/>
    <cellStyle name="Normal 390 3 4" xfId="29819" xr:uid="{00000000-0005-0000-0000-00007B740000}"/>
    <cellStyle name="Normal 390 3 4 2" xfId="29820" xr:uid="{00000000-0005-0000-0000-00007C740000}"/>
    <cellStyle name="Normal 390 3 4 2 2" xfId="29821" xr:uid="{00000000-0005-0000-0000-00007D740000}"/>
    <cellStyle name="Normal 390 3 4 3" xfId="29822" xr:uid="{00000000-0005-0000-0000-00007E740000}"/>
    <cellStyle name="Normal 390 3 5" xfId="29823" xr:uid="{00000000-0005-0000-0000-00007F740000}"/>
    <cellStyle name="Normal 390 3 5 2" xfId="29824" xr:uid="{00000000-0005-0000-0000-000080740000}"/>
    <cellStyle name="Normal 390 3 5 2 2" xfId="29825" xr:uid="{00000000-0005-0000-0000-000081740000}"/>
    <cellStyle name="Normal 390 3 5 3" xfId="29826" xr:uid="{00000000-0005-0000-0000-000082740000}"/>
    <cellStyle name="Normal 390 3 6" xfId="29827" xr:uid="{00000000-0005-0000-0000-000083740000}"/>
    <cellStyle name="Normal 390 4" xfId="29828" xr:uid="{00000000-0005-0000-0000-000084740000}"/>
    <cellStyle name="Normal 390 4 2" xfId="29829" xr:uid="{00000000-0005-0000-0000-000085740000}"/>
    <cellStyle name="Normal 390 4 2 2" xfId="29830" xr:uid="{00000000-0005-0000-0000-000086740000}"/>
    <cellStyle name="Normal 390 4 3" xfId="29831" xr:uid="{00000000-0005-0000-0000-000087740000}"/>
    <cellStyle name="Normal 390 5" xfId="29832" xr:uid="{00000000-0005-0000-0000-000088740000}"/>
    <cellStyle name="Normal 390 5 2" xfId="29833" xr:uid="{00000000-0005-0000-0000-000089740000}"/>
    <cellStyle name="Normal 390 5 2 2" xfId="29834" xr:uid="{00000000-0005-0000-0000-00008A740000}"/>
    <cellStyle name="Normal 390 5 3" xfId="29835" xr:uid="{00000000-0005-0000-0000-00008B740000}"/>
    <cellStyle name="Normal 390 6" xfId="29836" xr:uid="{00000000-0005-0000-0000-00008C740000}"/>
    <cellStyle name="Normal 390 6 2" xfId="29837" xr:uid="{00000000-0005-0000-0000-00008D740000}"/>
    <cellStyle name="Normal 390 6 2 2" xfId="29838" xr:uid="{00000000-0005-0000-0000-00008E740000}"/>
    <cellStyle name="Normal 390 6 3" xfId="29839" xr:uid="{00000000-0005-0000-0000-00008F740000}"/>
    <cellStyle name="Normal 390 7" xfId="29840" xr:uid="{00000000-0005-0000-0000-000090740000}"/>
    <cellStyle name="Normal 391" xfId="29841" xr:uid="{00000000-0005-0000-0000-000091740000}"/>
    <cellStyle name="Normal 391 2" xfId="29842" xr:uid="{00000000-0005-0000-0000-000092740000}"/>
    <cellStyle name="Normal 391 2 2" xfId="29843" xr:uid="{00000000-0005-0000-0000-000093740000}"/>
    <cellStyle name="Normal 391 2 2 2" xfId="29844" xr:uid="{00000000-0005-0000-0000-000094740000}"/>
    <cellStyle name="Normal 391 2 3" xfId="29845" xr:uid="{00000000-0005-0000-0000-000095740000}"/>
    <cellStyle name="Normal 391 2 3 2" xfId="29846" xr:uid="{00000000-0005-0000-0000-000096740000}"/>
    <cellStyle name="Normal 391 2 3 2 2" xfId="29847" xr:uid="{00000000-0005-0000-0000-000097740000}"/>
    <cellStyle name="Normal 391 2 3 3" xfId="29848" xr:uid="{00000000-0005-0000-0000-000098740000}"/>
    <cellStyle name="Normal 391 2 4" xfId="29849" xr:uid="{00000000-0005-0000-0000-000099740000}"/>
    <cellStyle name="Normal 391 2 4 2" xfId="29850" xr:uid="{00000000-0005-0000-0000-00009A740000}"/>
    <cellStyle name="Normal 391 2 4 2 2" xfId="29851" xr:uid="{00000000-0005-0000-0000-00009B740000}"/>
    <cellStyle name="Normal 391 2 4 3" xfId="29852" xr:uid="{00000000-0005-0000-0000-00009C740000}"/>
    <cellStyle name="Normal 391 2 5" xfId="29853" xr:uid="{00000000-0005-0000-0000-00009D740000}"/>
    <cellStyle name="Normal 391 3" xfId="29854" xr:uid="{00000000-0005-0000-0000-00009E740000}"/>
    <cellStyle name="Normal 391 3 2" xfId="29855" xr:uid="{00000000-0005-0000-0000-00009F740000}"/>
    <cellStyle name="Normal 391 3 2 2" xfId="29856" xr:uid="{00000000-0005-0000-0000-0000A0740000}"/>
    <cellStyle name="Normal 391 3 2 2 2" xfId="29857" xr:uid="{00000000-0005-0000-0000-0000A1740000}"/>
    <cellStyle name="Normal 391 3 2 3" xfId="29858" xr:uid="{00000000-0005-0000-0000-0000A2740000}"/>
    <cellStyle name="Normal 391 3 2 3 2" xfId="29859" xr:uid="{00000000-0005-0000-0000-0000A3740000}"/>
    <cellStyle name="Normal 391 3 2 3 2 2" xfId="29860" xr:uid="{00000000-0005-0000-0000-0000A4740000}"/>
    <cellStyle name="Normal 391 3 2 3 3" xfId="29861" xr:uid="{00000000-0005-0000-0000-0000A5740000}"/>
    <cellStyle name="Normal 391 3 2 4" xfId="29862" xr:uid="{00000000-0005-0000-0000-0000A6740000}"/>
    <cellStyle name="Normal 391 3 3" xfId="29863" xr:uid="{00000000-0005-0000-0000-0000A7740000}"/>
    <cellStyle name="Normal 391 3 3 2" xfId="29864" xr:uid="{00000000-0005-0000-0000-0000A8740000}"/>
    <cellStyle name="Normal 391 3 3 2 2" xfId="29865" xr:uid="{00000000-0005-0000-0000-0000A9740000}"/>
    <cellStyle name="Normal 391 3 3 3" xfId="29866" xr:uid="{00000000-0005-0000-0000-0000AA740000}"/>
    <cellStyle name="Normal 391 3 4" xfId="29867" xr:uid="{00000000-0005-0000-0000-0000AB740000}"/>
    <cellStyle name="Normal 391 3 4 2" xfId="29868" xr:uid="{00000000-0005-0000-0000-0000AC740000}"/>
    <cellStyle name="Normal 391 3 4 2 2" xfId="29869" xr:uid="{00000000-0005-0000-0000-0000AD740000}"/>
    <cellStyle name="Normal 391 3 4 3" xfId="29870" xr:uid="{00000000-0005-0000-0000-0000AE740000}"/>
    <cellStyle name="Normal 391 3 5" xfId="29871" xr:uid="{00000000-0005-0000-0000-0000AF740000}"/>
    <cellStyle name="Normal 391 3 5 2" xfId="29872" xr:uid="{00000000-0005-0000-0000-0000B0740000}"/>
    <cellStyle name="Normal 391 3 5 2 2" xfId="29873" xr:uid="{00000000-0005-0000-0000-0000B1740000}"/>
    <cellStyle name="Normal 391 3 5 3" xfId="29874" xr:uid="{00000000-0005-0000-0000-0000B2740000}"/>
    <cellStyle name="Normal 391 3 6" xfId="29875" xr:uid="{00000000-0005-0000-0000-0000B3740000}"/>
    <cellStyle name="Normal 391 4" xfId="29876" xr:uid="{00000000-0005-0000-0000-0000B4740000}"/>
    <cellStyle name="Normal 391 4 2" xfId="29877" xr:uid="{00000000-0005-0000-0000-0000B5740000}"/>
    <cellStyle name="Normal 391 4 2 2" xfId="29878" xr:uid="{00000000-0005-0000-0000-0000B6740000}"/>
    <cellStyle name="Normal 391 4 3" xfId="29879" xr:uid="{00000000-0005-0000-0000-0000B7740000}"/>
    <cellStyle name="Normal 391 5" xfId="29880" xr:uid="{00000000-0005-0000-0000-0000B8740000}"/>
    <cellStyle name="Normal 391 5 2" xfId="29881" xr:uid="{00000000-0005-0000-0000-0000B9740000}"/>
    <cellStyle name="Normal 391 5 2 2" xfId="29882" xr:uid="{00000000-0005-0000-0000-0000BA740000}"/>
    <cellStyle name="Normal 391 5 3" xfId="29883" xr:uid="{00000000-0005-0000-0000-0000BB740000}"/>
    <cellStyle name="Normal 391 6" xfId="29884" xr:uid="{00000000-0005-0000-0000-0000BC740000}"/>
    <cellStyle name="Normal 391 6 2" xfId="29885" xr:uid="{00000000-0005-0000-0000-0000BD740000}"/>
    <cellStyle name="Normal 391 6 2 2" xfId="29886" xr:uid="{00000000-0005-0000-0000-0000BE740000}"/>
    <cellStyle name="Normal 391 6 3" xfId="29887" xr:uid="{00000000-0005-0000-0000-0000BF740000}"/>
    <cellStyle name="Normal 391 7" xfId="29888" xr:uid="{00000000-0005-0000-0000-0000C0740000}"/>
    <cellStyle name="Normal 392" xfId="29889" xr:uid="{00000000-0005-0000-0000-0000C1740000}"/>
    <cellStyle name="Normal 392 2" xfId="29890" xr:uid="{00000000-0005-0000-0000-0000C2740000}"/>
    <cellStyle name="Normal 392 2 2" xfId="29891" xr:uid="{00000000-0005-0000-0000-0000C3740000}"/>
    <cellStyle name="Normal 392 2 2 2" xfId="29892" xr:uid="{00000000-0005-0000-0000-0000C4740000}"/>
    <cellStyle name="Normal 392 2 3" xfId="29893" xr:uid="{00000000-0005-0000-0000-0000C5740000}"/>
    <cellStyle name="Normal 392 2 3 2" xfId="29894" xr:uid="{00000000-0005-0000-0000-0000C6740000}"/>
    <cellStyle name="Normal 392 2 3 2 2" xfId="29895" xr:uid="{00000000-0005-0000-0000-0000C7740000}"/>
    <cellStyle name="Normal 392 2 3 3" xfId="29896" xr:uid="{00000000-0005-0000-0000-0000C8740000}"/>
    <cellStyle name="Normal 392 2 4" xfId="29897" xr:uid="{00000000-0005-0000-0000-0000C9740000}"/>
    <cellStyle name="Normal 392 2 4 2" xfId="29898" xr:uid="{00000000-0005-0000-0000-0000CA740000}"/>
    <cellStyle name="Normal 392 2 4 2 2" xfId="29899" xr:uid="{00000000-0005-0000-0000-0000CB740000}"/>
    <cellStyle name="Normal 392 2 4 3" xfId="29900" xr:uid="{00000000-0005-0000-0000-0000CC740000}"/>
    <cellStyle name="Normal 392 2 5" xfId="29901" xr:uid="{00000000-0005-0000-0000-0000CD740000}"/>
    <cellStyle name="Normal 392 3" xfId="29902" xr:uid="{00000000-0005-0000-0000-0000CE740000}"/>
    <cellStyle name="Normal 392 3 2" xfId="29903" xr:uid="{00000000-0005-0000-0000-0000CF740000}"/>
    <cellStyle name="Normal 392 3 2 2" xfId="29904" xr:uid="{00000000-0005-0000-0000-0000D0740000}"/>
    <cellStyle name="Normal 392 3 2 2 2" xfId="29905" xr:uid="{00000000-0005-0000-0000-0000D1740000}"/>
    <cellStyle name="Normal 392 3 2 3" xfId="29906" xr:uid="{00000000-0005-0000-0000-0000D2740000}"/>
    <cellStyle name="Normal 392 3 2 3 2" xfId="29907" xr:uid="{00000000-0005-0000-0000-0000D3740000}"/>
    <cellStyle name="Normal 392 3 2 3 2 2" xfId="29908" xr:uid="{00000000-0005-0000-0000-0000D4740000}"/>
    <cellStyle name="Normal 392 3 2 3 3" xfId="29909" xr:uid="{00000000-0005-0000-0000-0000D5740000}"/>
    <cellStyle name="Normal 392 3 2 4" xfId="29910" xr:uid="{00000000-0005-0000-0000-0000D6740000}"/>
    <cellStyle name="Normal 392 3 3" xfId="29911" xr:uid="{00000000-0005-0000-0000-0000D7740000}"/>
    <cellStyle name="Normal 392 3 3 2" xfId="29912" xr:uid="{00000000-0005-0000-0000-0000D8740000}"/>
    <cellStyle name="Normal 392 3 3 2 2" xfId="29913" xr:uid="{00000000-0005-0000-0000-0000D9740000}"/>
    <cellStyle name="Normal 392 3 3 3" xfId="29914" xr:uid="{00000000-0005-0000-0000-0000DA740000}"/>
    <cellStyle name="Normal 392 3 4" xfId="29915" xr:uid="{00000000-0005-0000-0000-0000DB740000}"/>
    <cellStyle name="Normal 392 3 4 2" xfId="29916" xr:uid="{00000000-0005-0000-0000-0000DC740000}"/>
    <cellStyle name="Normal 392 3 4 2 2" xfId="29917" xr:uid="{00000000-0005-0000-0000-0000DD740000}"/>
    <cellStyle name="Normal 392 3 4 3" xfId="29918" xr:uid="{00000000-0005-0000-0000-0000DE740000}"/>
    <cellStyle name="Normal 392 3 5" xfId="29919" xr:uid="{00000000-0005-0000-0000-0000DF740000}"/>
    <cellStyle name="Normal 392 3 5 2" xfId="29920" xr:uid="{00000000-0005-0000-0000-0000E0740000}"/>
    <cellStyle name="Normal 392 3 5 2 2" xfId="29921" xr:uid="{00000000-0005-0000-0000-0000E1740000}"/>
    <cellStyle name="Normal 392 3 5 3" xfId="29922" xr:uid="{00000000-0005-0000-0000-0000E2740000}"/>
    <cellStyle name="Normal 392 3 6" xfId="29923" xr:uid="{00000000-0005-0000-0000-0000E3740000}"/>
    <cellStyle name="Normal 392 4" xfId="29924" xr:uid="{00000000-0005-0000-0000-0000E4740000}"/>
    <cellStyle name="Normal 392 4 2" xfId="29925" xr:uid="{00000000-0005-0000-0000-0000E5740000}"/>
    <cellStyle name="Normal 392 4 2 2" xfId="29926" xr:uid="{00000000-0005-0000-0000-0000E6740000}"/>
    <cellStyle name="Normal 392 4 3" xfId="29927" xr:uid="{00000000-0005-0000-0000-0000E7740000}"/>
    <cellStyle name="Normal 392 5" xfId="29928" xr:uid="{00000000-0005-0000-0000-0000E8740000}"/>
    <cellStyle name="Normal 392 5 2" xfId="29929" xr:uid="{00000000-0005-0000-0000-0000E9740000}"/>
    <cellStyle name="Normal 392 5 2 2" xfId="29930" xr:uid="{00000000-0005-0000-0000-0000EA740000}"/>
    <cellStyle name="Normal 392 5 3" xfId="29931" xr:uid="{00000000-0005-0000-0000-0000EB740000}"/>
    <cellStyle name="Normal 392 6" xfId="29932" xr:uid="{00000000-0005-0000-0000-0000EC740000}"/>
    <cellStyle name="Normal 392 6 2" xfId="29933" xr:uid="{00000000-0005-0000-0000-0000ED740000}"/>
    <cellStyle name="Normal 392 6 2 2" xfId="29934" xr:uid="{00000000-0005-0000-0000-0000EE740000}"/>
    <cellStyle name="Normal 392 6 3" xfId="29935" xr:uid="{00000000-0005-0000-0000-0000EF740000}"/>
    <cellStyle name="Normal 392 7" xfId="29936" xr:uid="{00000000-0005-0000-0000-0000F0740000}"/>
    <cellStyle name="Normal 393" xfId="29937" xr:uid="{00000000-0005-0000-0000-0000F1740000}"/>
    <cellStyle name="Normal 393 2" xfId="29938" xr:uid="{00000000-0005-0000-0000-0000F2740000}"/>
    <cellStyle name="Normal 393 2 2" xfId="29939" xr:uid="{00000000-0005-0000-0000-0000F3740000}"/>
    <cellStyle name="Normal 393 2 2 2" xfId="29940" xr:uid="{00000000-0005-0000-0000-0000F4740000}"/>
    <cellStyle name="Normal 393 2 3" xfId="29941" xr:uid="{00000000-0005-0000-0000-0000F5740000}"/>
    <cellStyle name="Normal 393 2 3 2" xfId="29942" xr:uid="{00000000-0005-0000-0000-0000F6740000}"/>
    <cellStyle name="Normal 393 2 3 2 2" xfId="29943" xr:uid="{00000000-0005-0000-0000-0000F7740000}"/>
    <cellStyle name="Normal 393 2 3 3" xfId="29944" xr:uid="{00000000-0005-0000-0000-0000F8740000}"/>
    <cellStyle name="Normal 393 2 4" xfId="29945" xr:uid="{00000000-0005-0000-0000-0000F9740000}"/>
    <cellStyle name="Normal 393 2 4 2" xfId="29946" xr:uid="{00000000-0005-0000-0000-0000FA740000}"/>
    <cellStyle name="Normal 393 2 4 2 2" xfId="29947" xr:uid="{00000000-0005-0000-0000-0000FB740000}"/>
    <cellStyle name="Normal 393 2 4 3" xfId="29948" xr:uid="{00000000-0005-0000-0000-0000FC740000}"/>
    <cellStyle name="Normal 393 2 5" xfId="29949" xr:uid="{00000000-0005-0000-0000-0000FD740000}"/>
    <cellStyle name="Normal 393 3" xfId="29950" xr:uid="{00000000-0005-0000-0000-0000FE740000}"/>
    <cellStyle name="Normal 393 3 2" xfId="29951" xr:uid="{00000000-0005-0000-0000-0000FF740000}"/>
    <cellStyle name="Normal 393 3 2 2" xfId="29952" xr:uid="{00000000-0005-0000-0000-000000750000}"/>
    <cellStyle name="Normal 393 3 2 2 2" xfId="29953" xr:uid="{00000000-0005-0000-0000-000001750000}"/>
    <cellStyle name="Normal 393 3 2 3" xfId="29954" xr:uid="{00000000-0005-0000-0000-000002750000}"/>
    <cellStyle name="Normal 393 3 2 3 2" xfId="29955" xr:uid="{00000000-0005-0000-0000-000003750000}"/>
    <cellStyle name="Normal 393 3 2 3 2 2" xfId="29956" xr:uid="{00000000-0005-0000-0000-000004750000}"/>
    <cellStyle name="Normal 393 3 2 3 3" xfId="29957" xr:uid="{00000000-0005-0000-0000-000005750000}"/>
    <cellStyle name="Normal 393 3 2 4" xfId="29958" xr:uid="{00000000-0005-0000-0000-000006750000}"/>
    <cellStyle name="Normal 393 3 3" xfId="29959" xr:uid="{00000000-0005-0000-0000-000007750000}"/>
    <cellStyle name="Normal 393 3 3 2" xfId="29960" xr:uid="{00000000-0005-0000-0000-000008750000}"/>
    <cellStyle name="Normal 393 3 3 2 2" xfId="29961" xr:uid="{00000000-0005-0000-0000-000009750000}"/>
    <cellStyle name="Normal 393 3 3 3" xfId="29962" xr:uid="{00000000-0005-0000-0000-00000A750000}"/>
    <cellStyle name="Normal 393 3 4" xfId="29963" xr:uid="{00000000-0005-0000-0000-00000B750000}"/>
    <cellStyle name="Normal 393 3 4 2" xfId="29964" xr:uid="{00000000-0005-0000-0000-00000C750000}"/>
    <cellStyle name="Normal 393 3 4 2 2" xfId="29965" xr:uid="{00000000-0005-0000-0000-00000D750000}"/>
    <cellStyle name="Normal 393 3 4 3" xfId="29966" xr:uid="{00000000-0005-0000-0000-00000E750000}"/>
    <cellStyle name="Normal 393 3 5" xfId="29967" xr:uid="{00000000-0005-0000-0000-00000F750000}"/>
    <cellStyle name="Normal 393 3 5 2" xfId="29968" xr:uid="{00000000-0005-0000-0000-000010750000}"/>
    <cellStyle name="Normal 393 3 5 2 2" xfId="29969" xr:uid="{00000000-0005-0000-0000-000011750000}"/>
    <cellStyle name="Normal 393 3 5 3" xfId="29970" xr:uid="{00000000-0005-0000-0000-000012750000}"/>
    <cellStyle name="Normal 393 3 6" xfId="29971" xr:uid="{00000000-0005-0000-0000-000013750000}"/>
    <cellStyle name="Normal 393 4" xfId="29972" xr:uid="{00000000-0005-0000-0000-000014750000}"/>
    <cellStyle name="Normal 393 4 2" xfId="29973" xr:uid="{00000000-0005-0000-0000-000015750000}"/>
    <cellStyle name="Normal 393 4 2 2" xfId="29974" xr:uid="{00000000-0005-0000-0000-000016750000}"/>
    <cellStyle name="Normal 393 4 3" xfId="29975" xr:uid="{00000000-0005-0000-0000-000017750000}"/>
    <cellStyle name="Normal 393 5" xfId="29976" xr:uid="{00000000-0005-0000-0000-000018750000}"/>
    <cellStyle name="Normal 393 5 2" xfId="29977" xr:uid="{00000000-0005-0000-0000-000019750000}"/>
    <cellStyle name="Normal 393 5 2 2" xfId="29978" xr:uid="{00000000-0005-0000-0000-00001A750000}"/>
    <cellStyle name="Normal 393 5 3" xfId="29979" xr:uid="{00000000-0005-0000-0000-00001B750000}"/>
    <cellStyle name="Normal 393 6" xfId="29980" xr:uid="{00000000-0005-0000-0000-00001C750000}"/>
    <cellStyle name="Normal 393 6 2" xfId="29981" xr:uid="{00000000-0005-0000-0000-00001D750000}"/>
    <cellStyle name="Normal 393 6 2 2" xfId="29982" xr:uid="{00000000-0005-0000-0000-00001E750000}"/>
    <cellStyle name="Normal 393 6 3" xfId="29983" xr:uid="{00000000-0005-0000-0000-00001F750000}"/>
    <cellStyle name="Normal 393 7" xfId="29984" xr:uid="{00000000-0005-0000-0000-000020750000}"/>
    <cellStyle name="Normal 394" xfId="29985" xr:uid="{00000000-0005-0000-0000-000021750000}"/>
    <cellStyle name="Normal 394 2" xfId="29986" xr:uid="{00000000-0005-0000-0000-000022750000}"/>
    <cellStyle name="Normal 394 2 2" xfId="29987" xr:uid="{00000000-0005-0000-0000-000023750000}"/>
    <cellStyle name="Normal 394 2 2 2" xfId="29988" xr:uid="{00000000-0005-0000-0000-000024750000}"/>
    <cellStyle name="Normal 394 2 3" xfId="29989" xr:uid="{00000000-0005-0000-0000-000025750000}"/>
    <cellStyle name="Normal 394 2 3 2" xfId="29990" xr:uid="{00000000-0005-0000-0000-000026750000}"/>
    <cellStyle name="Normal 394 2 3 2 2" xfId="29991" xr:uid="{00000000-0005-0000-0000-000027750000}"/>
    <cellStyle name="Normal 394 2 3 3" xfId="29992" xr:uid="{00000000-0005-0000-0000-000028750000}"/>
    <cellStyle name="Normal 394 2 4" xfId="29993" xr:uid="{00000000-0005-0000-0000-000029750000}"/>
    <cellStyle name="Normal 394 2 4 2" xfId="29994" xr:uid="{00000000-0005-0000-0000-00002A750000}"/>
    <cellStyle name="Normal 394 2 4 2 2" xfId="29995" xr:uid="{00000000-0005-0000-0000-00002B750000}"/>
    <cellStyle name="Normal 394 2 4 3" xfId="29996" xr:uid="{00000000-0005-0000-0000-00002C750000}"/>
    <cellStyle name="Normal 394 2 5" xfId="29997" xr:uid="{00000000-0005-0000-0000-00002D750000}"/>
    <cellStyle name="Normal 394 3" xfId="29998" xr:uid="{00000000-0005-0000-0000-00002E750000}"/>
    <cellStyle name="Normal 394 3 2" xfId="29999" xr:uid="{00000000-0005-0000-0000-00002F750000}"/>
    <cellStyle name="Normal 394 3 2 2" xfId="30000" xr:uid="{00000000-0005-0000-0000-000030750000}"/>
    <cellStyle name="Normal 394 3 2 2 2" xfId="30001" xr:uid="{00000000-0005-0000-0000-000031750000}"/>
    <cellStyle name="Normal 394 3 2 3" xfId="30002" xr:uid="{00000000-0005-0000-0000-000032750000}"/>
    <cellStyle name="Normal 394 3 2 3 2" xfId="30003" xr:uid="{00000000-0005-0000-0000-000033750000}"/>
    <cellStyle name="Normal 394 3 2 3 2 2" xfId="30004" xr:uid="{00000000-0005-0000-0000-000034750000}"/>
    <cellStyle name="Normal 394 3 2 3 3" xfId="30005" xr:uid="{00000000-0005-0000-0000-000035750000}"/>
    <cellStyle name="Normal 394 3 2 4" xfId="30006" xr:uid="{00000000-0005-0000-0000-000036750000}"/>
    <cellStyle name="Normal 394 3 3" xfId="30007" xr:uid="{00000000-0005-0000-0000-000037750000}"/>
    <cellStyle name="Normal 394 3 3 2" xfId="30008" xr:uid="{00000000-0005-0000-0000-000038750000}"/>
    <cellStyle name="Normal 394 3 3 2 2" xfId="30009" xr:uid="{00000000-0005-0000-0000-000039750000}"/>
    <cellStyle name="Normal 394 3 3 3" xfId="30010" xr:uid="{00000000-0005-0000-0000-00003A750000}"/>
    <cellStyle name="Normal 394 3 4" xfId="30011" xr:uid="{00000000-0005-0000-0000-00003B750000}"/>
    <cellStyle name="Normal 394 3 4 2" xfId="30012" xr:uid="{00000000-0005-0000-0000-00003C750000}"/>
    <cellStyle name="Normal 394 3 4 2 2" xfId="30013" xr:uid="{00000000-0005-0000-0000-00003D750000}"/>
    <cellStyle name="Normal 394 3 4 3" xfId="30014" xr:uid="{00000000-0005-0000-0000-00003E750000}"/>
    <cellStyle name="Normal 394 3 5" xfId="30015" xr:uid="{00000000-0005-0000-0000-00003F750000}"/>
    <cellStyle name="Normal 394 3 5 2" xfId="30016" xr:uid="{00000000-0005-0000-0000-000040750000}"/>
    <cellStyle name="Normal 394 3 5 2 2" xfId="30017" xr:uid="{00000000-0005-0000-0000-000041750000}"/>
    <cellStyle name="Normal 394 3 5 3" xfId="30018" xr:uid="{00000000-0005-0000-0000-000042750000}"/>
    <cellStyle name="Normal 394 3 6" xfId="30019" xr:uid="{00000000-0005-0000-0000-000043750000}"/>
    <cellStyle name="Normal 394 4" xfId="30020" xr:uid="{00000000-0005-0000-0000-000044750000}"/>
    <cellStyle name="Normal 394 4 2" xfId="30021" xr:uid="{00000000-0005-0000-0000-000045750000}"/>
    <cellStyle name="Normal 394 4 2 2" xfId="30022" xr:uid="{00000000-0005-0000-0000-000046750000}"/>
    <cellStyle name="Normal 394 4 3" xfId="30023" xr:uid="{00000000-0005-0000-0000-000047750000}"/>
    <cellStyle name="Normal 394 5" xfId="30024" xr:uid="{00000000-0005-0000-0000-000048750000}"/>
    <cellStyle name="Normal 394 5 2" xfId="30025" xr:uid="{00000000-0005-0000-0000-000049750000}"/>
    <cellStyle name="Normal 394 5 2 2" xfId="30026" xr:uid="{00000000-0005-0000-0000-00004A750000}"/>
    <cellStyle name="Normal 394 5 3" xfId="30027" xr:uid="{00000000-0005-0000-0000-00004B750000}"/>
    <cellStyle name="Normal 394 6" xfId="30028" xr:uid="{00000000-0005-0000-0000-00004C750000}"/>
    <cellStyle name="Normal 394 6 2" xfId="30029" xr:uid="{00000000-0005-0000-0000-00004D750000}"/>
    <cellStyle name="Normal 394 6 2 2" xfId="30030" xr:uid="{00000000-0005-0000-0000-00004E750000}"/>
    <cellStyle name="Normal 394 6 3" xfId="30031" xr:uid="{00000000-0005-0000-0000-00004F750000}"/>
    <cellStyle name="Normal 394 7" xfId="30032" xr:uid="{00000000-0005-0000-0000-000050750000}"/>
    <cellStyle name="Normal 395" xfId="30033" xr:uid="{00000000-0005-0000-0000-000051750000}"/>
    <cellStyle name="Normal 395 2" xfId="30034" xr:uid="{00000000-0005-0000-0000-000052750000}"/>
    <cellStyle name="Normal 395 2 2" xfId="30035" xr:uid="{00000000-0005-0000-0000-000053750000}"/>
    <cellStyle name="Normal 395 2 2 2" xfId="30036" xr:uid="{00000000-0005-0000-0000-000054750000}"/>
    <cellStyle name="Normal 395 2 3" xfId="30037" xr:uid="{00000000-0005-0000-0000-000055750000}"/>
    <cellStyle name="Normal 395 2 3 2" xfId="30038" xr:uid="{00000000-0005-0000-0000-000056750000}"/>
    <cellStyle name="Normal 395 2 3 2 2" xfId="30039" xr:uid="{00000000-0005-0000-0000-000057750000}"/>
    <cellStyle name="Normal 395 2 3 3" xfId="30040" xr:uid="{00000000-0005-0000-0000-000058750000}"/>
    <cellStyle name="Normal 395 2 4" xfId="30041" xr:uid="{00000000-0005-0000-0000-000059750000}"/>
    <cellStyle name="Normal 395 2 4 2" xfId="30042" xr:uid="{00000000-0005-0000-0000-00005A750000}"/>
    <cellStyle name="Normal 395 2 4 2 2" xfId="30043" xr:uid="{00000000-0005-0000-0000-00005B750000}"/>
    <cellStyle name="Normal 395 2 4 3" xfId="30044" xr:uid="{00000000-0005-0000-0000-00005C750000}"/>
    <cellStyle name="Normal 395 2 5" xfId="30045" xr:uid="{00000000-0005-0000-0000-00005D750000}"/>
    <cellStyle name="Normal 395 3" xfId="30046" xr:uid="{00000000-0005-0000-0000-00005E750000}"/>
    <cellStyle name="Normal 395 3 2" xfId="30047" xr:uid="{00000000-0005-0000-0000-00005F750000}"/>
    <cellStyle name="Normal 395 3 2 2" xfId="30048" xr:uid="{00000000-0005-0000-0000-000060750000}"/>
    <cellStyle name="Normal 395 3 2 2 2" xfId="30049" xr:uid="{00000000-0005-0000-0000-000061750000}"/>
    <cellStyle name="Normal 395 3 2 3" xfId="30050" xr:uid="{00000000-0005-0000-0000-000062750000}"/>
    <cellStyle name="Normal 395 3 2 3 2" xfId="30051" xr:uid="{00000000-0005-0000-0000-000063750000}"/>
    <cellStyle name="Normal 395 3 2 3 2 2" xfId="30052" xr:uid="{00000000-0005-0000-0000-000064750000}"/>
    <cellStyle name="Normal 395 3 2 3 3" xfId="30053" xr:uid="{00000000-0005-0000-0000-000065750000}"/>
    <cellStyle name="Normal 395 3 2 4" xfId="30054" xr:uid="{00000000-0005-0000-0000-000066750000}"/>
    <cellStyle name="Normal 395 3 3" xfId="30055" xr:uid="{00000000-0005-0000-0000-000067750000}"/>
    <cellStyle name="Normal 395 3 3 2" xfId="30056" xr:uid="{00000000-0005-0000-0000-000068750000}"/>
    <cellStyle name="Normal 395 3 3 2 2" xfId="30057" xr:uid="{00000000-0005-0000-0000-000069750000}"/>
    <cellStyle name="Normal 395 3 3 3" xfId="30058" xr:uid="{00000000-0005-0000-0000-00006A750000}"/>
    <cellStyle name="Normal 395 3 4" xfId="30059" xr:uid="{00000000-0005-0000-0000-00006B750000}"/>
    <cellStyle name="Normal 395 3 4 2" xfId="30060" xr:uid="{00000000-0005-0000-0000-00006C750000}"/>
    <cellStyle name="Normal 395 3 4 2 2" xfId="30061" xr:uid="{00000000-0005-0000-0000-00006D750000}"/>
    <cellStyle name="Normal 395 3 4 3" xfId="30062" xr:uid="{00000000-0005-0000-0000-00006E750000}"/>
    <cellStyle name="Normal 395 3 5" xfId="30063" xr:uid="{00000000-0005-0000-0000-00006F750000}"/>
    <cellStyle name="Normal 395 3 5 2" xfId="30064" xr:uid="{00000000-0005-0000-0000-000070750000}"/>
    <cellStyle name="Normal 395 3 5 2 2" xfId="30065" xr:uid="{00000000-0005-0000-0000-000071750000}"/>
    <cellStyle name="Normal 395 3 5 3" xfId="30066" xr:uid="{00000000-0005-0000-0000-000072750000}"/>
    <cellStyle name="Normal 395 3 6" xfId="30067" xr:uid="{00000000-0005-0000-0000-000073750000}"/>
    <cellStyle name="Normal 395 4" xfId="30068" xr:uid="{00000000-0005-0000-0000-000074750000}"/>
    <cellStyle name="Normal 395 4 2" xfId="30069" xr:uid="{00000000-0005-0000-0000-000075750000}"/>
    <cellStyle name="Normal 395 4 2 2" xfId="30070" xr:uid="{00000000-0005-0000-0000-000076750000}"/>
    <cellStyle name="Normal 395 4 3" xfId="30071" xr:uid="{00000000-0005-0000-0000-000077750000}"/>
    <cellStyle name="Normal 395 5" xfId="30072" xr:uid="{00000000-0005-0000-0000-000078750000}"/>
    <cellStyle name="Normal 395 5 2" xfId="30073" xr:uid="{00000000-0005-0000-0000-000079750000}"/>
    <cellStyle name="Normal 395 5 2 2" xfId="30074" xr:uid="{00000000-0005-0000-0000-00007A750000}"/>
    <cellStyle name="Normal 395 5 3" xfId="30075" xr:uid="{00000000-0005-0000-0000-00007B750000}"/>
    <cellStyle name="Normal 395 6" xfId="30076" xr:uid="{00000000-0005-0000-0000-00007C750000}"/>
    <cellStyle name="Normal 395 6 2" xfId="30077" xr:uid="{00000000-0005-0000-0000-00007D750000}"/>
    <cellStyle name="Normal 395 6 2 2" xfId="30078" xr:uid="{00000000-0005-0000-0000-00007E750000}"/>
    <cellStyle name="Normal 395 6 3" xfId="30079" xr:uid="{00000000-0005-0000-0000-00007F750000}"/>
    <cellStyle name="Normal 395 7" xfId="30080" xr:uid="{00000000-0005-0000-0000-000080750000}"/>
    <cellStyle name="Normal 396" xfId="30081" xr:uid="{00000000-0005-0000-0000-000081750000}"/>
    <cellStyle name="Normal 396 2" xfId="30082" xr:uid="{00000000-0005-0000-0000-000082750000}"/>
    <cellStyle name="Normal 396 2 2" xfId="30083" xr:uid="{00000000-0005-0000-0000-000083750000}"/>
    <cellStyle name="Normal 396 2 2 2" xfId="30084" xr:uid="{00000000-0005-0000-0000-000084750000}"/>
    <cellStyle name="Normal 396 2 3" xfId="30085" xr:uid="{00000000-0005-0000-0000-000085750000}"/>
    <cellStyle name="Normal 396 2 3 2" xfId="30086" xr:uid="{00000000-0005-0000-0000-000086750000}"/>
    <cellStyle name="Normal 396 2 3 2 2" xfId="30087" xr:uid="{00000000-0005-0000-0000-000087750000}"/>
    <cellStyle name="Normal 396 2 3 3" xfId="30088" xr:uid="{00000000-0005-0000-0000-000088750000}"/>
    <cellStyle name="Normal 396 2 4" xfId="30089" xr:uid="{00000000-0005-0000-0000-000089750000}"/>
    <cellStyle name="Normal 396 2 4 2" xfId="30090" xr:uid="{00000000-0005-0000-0000-00008A750000}"/>
    <cellStyle name="Normal 396 2 4 2 2" xfId="30091" xr:uid="{00000000-0005-0000-0000-00008B750000}"/>
    <cellStyle name="Normal 396 2 4 3" xfId="30092" xr:uid="{00000000-0005-0000-0000-00008C750000}"/>
    <cellStyle name="Normal 396 2 5" xfId="30093" xr:uid="{00000000-0005-0000-0000-00008D750000}"/>
    <cellStyle name="Normal 396 3" xfId="30094" xr:uid="{00000000-0005-0000-0000-00008E750000}"/>
    <cellStyle name="Normal 396 3 2" xfId="30095" xr:uid="{00000000-0005-0000-0000-00008F750000}"/>
    <cellStyle name="Normal 396 3 2 2" xfId="30096" xr:uid="{00000000-0005-0000-0000-000090750000}"/>
    <cellStyle name="Normal 396 3 2 2 2" xfId="30097" xr:uid="{00000000-0005-0000-0000-000091750000}"/>
    <cellStyle name="Normal 396 3 2 3" xfId="30098" xr:uid="{00000000-0005-0000-0000-000092750000}"/>
    <cellStyle name="Normal 396 3 2 3 2" xfId="30099" xr:uid="{00000000-0005-0000-0000-000093750000}"/>
    <cellStyle name="Normal 396 3 2 3 2 2" xfId="30100" xr:uid="{00000000-0005-0000-0000-000094750000}"/>
    <cellStyle name="Normal 396 3 2 3 3" xfId="30101" xr:uid="{00000000-0005-0000-0000-000095750000}"/>
    <cellStyle name="Normal 396 3 2 4" xfId="30102" xr:uid="{00000000-0005-0000-0000-000096750000}"/>
    <cellStyle name="Normal 396 3 3" xfId="30103" xr:uid="{00000000-0005-0000-0000-000097750000}"/>
    <cellStyle name="Normal 396 3 3 2" xfId="30104" xr:uid="{00000000-0005-0000-0000-000098750000}"/>
    <cellStyle name="Normal 396 3 3 2 2" xfId="30105" xr:uid="{00000000-0005-0000-0000-000099750000}"/>
    <cellStyle name="Normal 396 3 3 3" xfId="30106" xr:uid="{00000000-0005-0000-0000-00009A750000}"/>
    <cellStyle name="Normal 396 3 4" xfId="30107" xr:uid="{00000000-0005-0000-0000-00009B750000}"/>
    <cellStyle name="Normal 396 3 4 2" xfId="30108" xr:uid="{00000000-0005-0000-0000-00009C750000}"/>
    <cellStyle name="Normal 396 3 4 2 2" xfId="30109" xr:uid="{00000000-0005-0000-0000-00009D750000}"/>
    <cellStyle name="Normal 396 3 4 3" xfId="30110" xr:uid="{00000000-0005-0000-0000-00009E750000}"/>
    <cellStyle name="Normal 396 3 5" xfId="30111" xr:uid="{00000000-0005-0000-0000-00009F750000}"/>
    <cellStyle name="Normal 396 3 5 2" xfId="30112" xr:uid="{00000000-0005-0000-0000-0000A0750000}"/>
    <cellStyle name="Normal 396 3 5 2 2" xfId="30113" xr:uid="{00000000-0005-0000-0000-0000A1750000}"/>
    <cellStyle name="Normal 396 3 5 3" xfId="30114" xr:uid="{00000000-0005-0000-0000-0000A2750000}"/>
    <cellStyle name="Normal 396 3 6" xfId="30115" xr:uid="{00000000-0005-0000-0000-0000A3750000}"/>
    <cellStyle name="Normal 396 4" xfId="30116" xr:uid="{00000000-0005-0000-0000-0000A4750000}"/>
    <cellStyle name="Normal 396 4 2" xfId="30117" xr:uid="{00000000-0005-0000-0000-0000A5750000}"/>
    <cellStyle name="Normal 396 4 2 2" xfId="30118" xr:uid="{00000000-0005-0000-0000-0000A6750000}"/>
    <cellStyle name="Normal 396 4 3" xfId="30119" xr:uid="{00000000-0005-0000-0000-0000A7750000}"/>
    <cellStyle name="Normal 396 5" xfId="30120" xr:uid="{00000000-0005-0000-0000-0000A8750000}"/>
    <cellStyle name="Normal 396 5 2" xfId="30121" xr:uid="{00000000-0005-0000-0000-0000A9750000}"/>
    <cellStyle name="Normal 396 5 2 2" xfId="30122" xr:uid="{00000000-0005-0000-0000-0000AA750000}"/>
    <cellStyle name="Normal 396 5 3" xfId="30123" xr:uid="{00000000-0005-0000-0000-0000AB750000}"/>
    <cellStyle name="Normal 396 6" xfId="30124" xr:uid="{00000000-0005-0000-0000-0000AC750000}"/>
    <cellStyle name="Normal 396 6 2" xfId="30125" xr:uid="{00000000-0005-0000-0000-0000AD750000}"/>
    <cellStyle name="Normal 396 6 2 2" xfId="30126" xr:uid="{00000000-0005-0000-0000-0000AE750000}"/>
    <cellStyle name="Normal 396 6 3" xfId="30127" xr:uid="{00000000-0005-0000-0000-0000AF750000}"/>
    <cellStyle name="Normal 396 7" xfId="30128" xr:uid="{00000000-0005-0000-0000-0000B0750000}"/>
    <cellStyle name="Normal 397" xfId="30129" xr:uid="{00000000-0005-0000-0000-0000B1750000}"/>
    <cellStyle name="Normal 397 2" xfId="30130" xr:uid="{00000000-0005-0000-0000-0000B2750000}"/>
    <cellStyle name="Normal 397 2 2" xfId="30131" xr:uid="{00000000-0005-0000-0000-0000B3750000}"/>
    <cellStyle name="Normal 397 2 2 2" xfId="30132" xr:uid="{00000000-0005-0000-0000-0000B4750000}"/>
    <cellStyle name="Normal 397 2 3" xfId="30133" xr:uid="{00000000-0005-0000-0000-0000B5750000}"/>
    <cellStyle name="Normal 397 2 3 2" xfId="30134" xr:uid="{00000000-0005-0000-0000-0000B6750000}"/>
    <cellStyle name="Normal 397 2 3 2 2" xfId="30135" xr:uid="{00000000-0005-0000-0000-0000B7750000}"/>
    <cellStyle name="Normal 397 2 3 3" xfId="30136" xr:uid="{00000000-0005-0000-0000-0000B8750000}"/>
    <cellStyle name="Normal 397 2 4" xfId="30137" xr:uid="{00000000-0005-0000-0000-0000B9750000}"/>
    <cellStyle name="Normal 397 2 4 2" xfId="30138" xr:uid="{00000000-0005-0000-0000-0000BA750000}"/>
    <cellStyle name="Normal 397 2 4 2 2" xfId="30139" xr:uid="{00000000-0005-0000-0000-0000BB750000}"/>
    <cellStyle name="Normal 397 2 4 3" xfId="30140" xr:uid="{00000000-0005-0000-0000-0000BC750000}"/>
    <cellStyle name="Normal 397 2 5" xfId="30141" xr:uid="{00000000-0005-0000-0000-0000BD750000}"/>
    <cellStyle name="Normal 397 3" xfId="30142" xr:uid="{00000000-0005-0000-0000-0000BE750000}"/>
    <cellStyle name="Normal 397 3 2" xfId="30143" xr:uid="{00000000-0005-0000-0000-0000BF750000}"/>
    <cellStyle name="Normal 397 3 2 2" xfId="30144" xr:uid="{00000000-0005-0000-0000-0000C0750000}"/>
    <cellStyle name="Normal 397 3 2 2 2" xfId="30145" xr:uid="{00000000-0005-0000-0000-0000C1750000}"/>
    <cellStyle name="Normal 397 3 2 3" xfId="30146" xr:uid="{00000000-0005-0000-0000-0000C2750000}"/>
    <cellStyle name="Normal 397 3 2 3 2" xfId="30147" xr:uid="{00000000-0005-0000-0000-0000C3750000}"/>
    <cellStyle name="Normal 397 3 2 3 2 2" xfId="30148" xr:uid="{00000000-0005-0000-0000-0000C4750000}"/>
    <cellStyle name="Normal 397 3 2 3 3" xfId="30149" xr:uid="{00000000-0005-0000-0000-0000C5750000}"/>
    <cellStyle name="Normal 397 3 2 4" xfId="30150" xr:uid="{00000000-0005-0000-0000-0000C6750000}"/>
    <cellStyle name="Normal 397 3 3" xfId="30151" xr:uid="{00000000-0005-0000-0000-0000C7750000}"/>
    <cellStyle name="Normal 397 3 3 2" xfId="30152" xr:uid="{00000000-0005-0000-0000-0000C8750000}"/>
    <cellStyle name="Normal 397 3 3 2 2" xfId="30153" xr:uid="{00000000-0005-0000-0000-0000C9750000}"/>
    <cellStyle name="Normal 397 3 3 3" xfId="30154" xr:uid="{00000000-0005-0000-0000-0000CA750000}"/>
    <cellStyle name="Normal 397 3 4" xfId="30155" xr:uid="{00000000-0005-0000-0000-0000CB750000}"/>
    <cellStyle name="Normal 397 3 4 2" xfId="30156" xr:uid="{00000000-0005-0000-0000-0000CC750000}"/>
    <cellStyle name="Normal 397 3 4 2 2" xfId="30157" xr:uid="{00000000-0005-0000-0000-0000CD750000}"/>
    <cellStyle name="Normal 397 3 4 3" xfId="30158" xr:uid="{00000000-0005-0000-0000-0000CE750000}"/>
    <cellStyle name="Normal 397 3 5" xfId="30159" xr:uid="{00000000-0005-0000-0000-0000CF750000}"/>
    <cellStyle name="Normal 397 3 5 2" xfId="30160" xr:uid="{00000000-0005-0000-0000-0000D0750000}"/>
    <cellStyle name="Normal 397 3 5 2 2" xfId="30161" xr:uid="{00000000-0005-0000-0000-0000D1750000}"/>
    <cellStyle name="Normal 397 3 5 3" xfId="30162" xr:uid="{00000000-0005-0000-0000-0000D2750000}"/>
    <cellStyle name="Normal 397 3 6" xfId="30163" xr:uid="{00000000-0005-0000-0000-0000D3750000}"/>
    <cellStyle name="Normal 397 4" xfId="30164" xr:uid="{00000000-0005-0000-0000-0000D4750000}"/>
    <cellStyle name="Normal 397 4 2" xfId="30165" xr:uid="{00000000-0005-0000-0000-0000D5750000}"/>
    <cellStyle name="Normal 397 4 2 2" xfId="30166" xr:uid="{00000000-0005-0000-0000-0000D6750000}"/>
    <cellStyle name="Normal 397 4 3" xfId="30167" xr:uid="{00000000-0005-0000-0000-0000D7750000}"/>
    <cellStyle name="Normal 397 5" xfId="30168" xr:uid="{00000000-0005-0000-0000-0000D8750000}"/>
    <cellStyle name="Normal 397 5 2" xfId="30169" xr:uid="{00000000-0005-0000-0000-0000D9750000}"/>
    <cellStyle name="Normal 397 5 2 2" xfId="30170" xr:uid="{00000000-0005-0000-0000-0000DA750000}"/>
    <cellStyle name="Normal 397 5 3" xfId="30171" xr:uid="{00000000-0005-0000-0000-0000DB750000}"/>
    <cellStyle name="Normal 397 6" xfId="30172" xr:uid="{00000000-0005-0000-0000-0000DC750000}"/>
    <cellStyle name="Normal 397 6 2" xfId="30173" xr:uid="{00000000-0005-0000-0000-0000DD750000}"/>
    <cellStyle name="Normal 397 6 2 2" xfId="30174" xr:uid="{00000000-0005-0000-0000-0000DE750000}"/>
    <cellStyle name="Normal 397 6 3" xfId="30175" xr:uid="{00000000-0005-0000-0000-0000DF750000}"/>
    <cellStyle name="Normal 397 7" xfId="30176" xr:uid="{00000000-0005-0000-0000-0000E0750000}"/>
    <cellStyle name="Normal 398" xfId="30177" xr:uid="{00000000-0005-0000-0000-0000E1750000}"/>
    <cellStyle name="Normal 398 2" xfId="30178" xr:uid="{00000000-0005-0000-0000-0000E2750000}"/>
    <cellStyle name="Normal 398 2 2" xfId="30179" xr:uid="{00000000-0005-0000-0000-0000E3750000}"/>
    <cellStyle name="Normal 398 2 2 2" xfId="30180" xr:uid="{00000000-0005-0000-0000-0000E4750000}"/>
    <cellStyle name="Normal 398 2 3" xfId="30181" xr:uid="{00000000-0005-0000-0000-0000E5750000}"/>
    <cellStyle name="Normal 398 2 3 2" xfId="30182" xr:uid="{00000000-0005-0000-0000-0000E6750000}"/>
    <cellStyle name="Normal 398 2 3 2 2" xfId="30183" xr:uid="{00000000-0005-0000-0000-0000E7750000}"/>
    <cellStyle name="Normal 398 2 3 3" xfId="30184" xr:uid="{00000000-0005-0000-0000-0000E8750000}"/>
    <cellStyle name="Normal 398 2 4" xfId="30185" xr:uid="{00000000-0005-0000-0000-0000E9750000}"/>
    <cellStyle name="Normal 398 2 4 2" xfId="30186" xr:uid="{00000000-0005-0000-0000-0000EA750000}"/>
    <cellStyle name="Normal 398 2 4 2 2" xfId="30187" xr:uid="{00000000-0005-0000-0000-0000EB750000}"/>
    <cellStyle name="Normal 398 2 4 3" xfId="30188" xr:uid="{00000000-0005-0000-0000-0000EC750000}"/>
    <cellStyle name="Normal 398 2 5" xfId="30189" xr:uid="{00000000-0005-0000-0000-0000ED750000}"/>
    <cellStyle name="Normal 398 3" xfId="30190" xr:uid="{00000000-0005-0000-0000-0000EE750000}"/>
    <cellStyle name="Normal 398 3 2" xfId="30191" xr:uid="{00000000-0005-0000-0000-0000EF750000}"/>
    <cellStyle name="Normal 398 3 2 2" xfId="30192" xr:uid="{00000000-0005-0000-0000-0000F0750000}"/>
    <cellStyle name="Normal 398 3 2 2 2" xfId="30193" xr:uid="{00000000-0005-0000-0000-0000F1750000}"/>
    <cellStyle name="Normal 398 3 2 3" xfId="30194" xr:uid="{00000000-0005-0000-0000-0000F2750000}"/>
    <cellStyle name="Normal 398 3 2 3 2" xfId="30195" xr:uid="{00000000-0005-0000-0000-0000F3750000}"/>
    <cellStyle name="Normal 398 3 2 3 2 2" xfId="30196" xr:uid="{00000000-0005-0000-0000-0000F4750000}"/>
    <cellStyle name="Normal 398 3 2 3 3" xfId="30197" xr:uid="{00000000-0005-0000-0000-0000F5750000}"/>
    <cellStyle name="Normal 398 3 2 4" xfId="30198" xr:uid="{00000000-0005-0000-0000-0000F6750000}"/>
    <cellStyle name="Normal 398 3 3" xfId="30199" xr:uid="{00000000-0005-0000-0000-0000F7750000}"/>
    <cellStyle name="Normal 398 3 3 2" xfId="30200" xr:uid="{00000000-0005-0000-0000-0000F8750000}"/>
    <cellStyle name="Normal 398 3 3 2 2" xfId="30201" xr:uid="{00000000-0005-0000-0000-0000F9750000}"/>
    <cellStyle name="Normal 398 3 3 3" xfId="30202" xr:uid="{00000000-0005-0000-0000-0000FA750000}"/>
    <cellStyle name="Normal 398 3 4" xfId="30203" xr:uid="{00000000-0005-0000-0000-0000FB750000}"/>
    <cellStyle name="Normal 398 3 4 2" xfId="30204" xr:uid="{00000000-0005-0000-0000-0000FC750000}"/>
    <cellStyle name="Normal 398 3 4 2 2" xfId="30205" xr:uid="{00000000-0005-0000-0000-0000FD750000}"/>
    <cellStyle name="Normal 398 3 4 3" xfId="30206" xr:uid="{00000000-0005-0000-0000-0000FE750000}"/>
    <cellStyle name="Normal 398 3 5" xfId="30207" xr:uid="{00000000-0005-0000-0000-0000FF750000}"/>
    <cellStyle name="Normal 398 3 5 2" xfId="30208" xr:uid="{00000000-0005-0000-0000-000000760000}"/>
    <cellStyle name="Normal 398 3 5 2 2" xfId="30209" xr:uid="{00000000-0005-0000-0000-000001760000}"/>
    <cellStyle name="Normal 398 3 5 3" xfId="30210" xr:uid="{00000000-0005-0000-0000-000002760000}"/>
    <cellStyle name="Normal 398 3 6" xfId="30211" xr:uid="{00000000-0005-0000-0000-000003760000}"/>
    <cellStyle name="Normal 398 4" xfId="30212" xr:uid="{00000000-0005-0000-0000-000004760000}"/>
    <cellStyle name="Normal 398 4 2" xfId="30213" xr:uid="{00000000-0005-0000-0000-000005760000}"/>
    <cellStyle name="Normal 398 4 2 2" xfId="30214" xr:uid="{00000000-0005-0000-0000-000006760000}"/>
    <cellStyle name="Normal 398 4 3" xfId="30215" xr:uid="{00000000-0005-0000-0000-000007760000}"/>
    <cellStyle name="Normal 398 5" xfId="30216" xr:uid="{00000000-0005-0000-0000-000008760000}"/>
    <cellStyle name="Normal 398 5 2" xfId="30217" xr:uid="{00000000-0005-0000-0000-000009760000}"/>
    <cellStyle name="Normal 398 5 2 2" xfId="30218" xr:uid="{00000000-0005-0000-0000-00000A760000}"/>
    <cellStyle name="Normal 398 5 3" xfId="30219" xr:uid="{00000000-0005-0000-0000-00000B760000}"/>
    <cellStyle name="Normal 398 6" xfId="30220" xr:uid="{00000000-0005-0000-0000-00000C760000}"/>
    <cellStyle name="Normal 398 6 2" xfId="30221" xr:uid="{00000000-0005-0000-0000-00000D760000}"/>
    <cellStyle name="Normal 398 6 2 2" xfId="30222" xr:uid="{00000000-0005-0000-0000-00000E760000}"/>
    <cellStyle name="Normal 398 6 3" xfId="30223" xr:uid="{00000000-0005-0000-0000-00000F760000}"/>
    <cellStyle name="Normal 398 7" xfId="30224" xr:uid="{00000000-0005-0000-0000-000010760000}"/>
    <cellStyle name="Normal 399" xfId="30225" xr:uid="{00000000-0005-0000-0000-000011760000}"/>
    <cellStyle name="Normal 399 2" xfId="30226" xr:uid="{00000000-0005-0000-0000-000012760000}"/>
    <cellStyle name="Normal 399 2 2" xfId="30227" xr:uid="{00000000-0005-0000-0000-000013760000}"/>
    <cellStyle name="Normal 399 2 2 2" xfId="30228" xr:uid="{00000000-0005-0000-0000-000014760000}"/>
    <cellStyle name="Normal 399 2 3" xfId="30229" xr:uid="{00000000-0005-0000-0000-000015760000}"/>
    <cellStyle name="Normal 399 2 3 2" xfId="30230" xr:uid="{00000000-0005-0000-0000-000016760000}"/>
    <cellStyle name="Normal 399 2 3 2 2" xfId="30231" xr:uid="{00000000-0005-0000-0000-000017760000}"/>
    <cellStyle name="Normal 399 2 3 3" xfId="30232" xr:uid="{00000000-0005-0000-0000-000018760000}"/>
    <cellStyle name="Normal 399 2 4" xfId="30233" xr:uid="{00000000-0005-0000-0000-000019760000}"/>
    <cellStyle name="Normal 399 2 4 2" xfId="30234" xr:uid="{00000000-0005-0000-0000-00001A760000}"/>
    <cellStyle name="Normal 399 2 4 2 2" xfId="30235" xr:uid="{00000000-0005-0000-0000-00001B760000}"/>
    <cellStyle name="Normal 399 2 4 3" xfId="30236" xr:uid="{00000000-0005-0000-0000-00001C760000}"/>
    <cellStyle name="Normal 399 2 5" xfId="30237" xr:uid="{00000000-0005-0000-0000-00001D760000}"/>
    <cellStyle name="Normal 399 3" xfId="30238" xr:uid="{00000000-0005-0000-0000-00001E760000}"/>
    <cellStyle name="Normal 399 3 2" xfId="30239" xr:uid="{00000000-0005-0000-0000-00001F760000}"/>
    <cellStyle name="Normal 399 3 2 2" xfId="30240" xr:uid="{00000000-0005-0000-0000-000020760000}"/>
    <cellStyle name="Normal 399 3 2 2 2" xfId="30241" xr:uid="{00000000-0005-0000-0000-000021760000}"/>
    <cellStyle name="Normal 399 3 2 3" xfId="30242" xr:uid="{00000000-0005-0000-0000-000022760000}"/>
    <cellStyle name="Normal 399 3 2 3 2" xfId="30243" xr:uid="{00000000-0005-0000-0000-000023760000}"/>
    <cellStyle name="Normal 399 3 2 3 2 2" xfId="30244" xr:uid="{00000000-0005-0000-0000-000024760000}"/>
    <cellStyle name="Normal 399 3 2 3 3" xfId="30245" xr:uid="{00000000-0005-0000-0000-000025760000}"/>
    <cellStyle name="Normal 399 3 2 4" xfId="30246" xr:uid="{00000000-0005-0000-0000-000026760000}"/>
    <cellStyle name="Normal 399 3 3" xfId="30247" xr:uid="{00000000-0005-0000-0000-000027760000}"/>
    <cellStyle name="Normal 399 3 3 2" xfId="30248" xr:uid="{00000000-0005-0000-0000-000028760000}"/>
    <cellStyle name="Normal 399 3 3 2 2" xfId="30249" xr:uid="{00000000-0005-0000-0000-000029760000}"/>
    <cellStyle name="Normal 399 3 3 3" xfId="30250" xr:uid="{00000000-0005-0000-0000-00002A760000}"/>
    <cellStyle name="Normal 399 3 4" xfId="30251" xr:uid="{00000000-0005-0000-0000-00002B760000}"/>
    <cellStyle name="Normal 399 3 4 2" xfId="30252" xr:uid="{00000000-0005-0000-0000-00002C760000}"/>
    <cellStyle name="Normal 399 3 4 2 2" xfId="30253" xr:uid="{00000000-0005-0000-0000-00002D760000}"/>
    <cellStyle name="Normal 399 3 4 3" xfId="30254" xr:uid="{00000000-0005-0000-0000-00002E760000}"/>
    <cellStyle name="Normal 399 3 5" xfId="30255" xr:uid="{00000000-0005-0000-0000-00002F760000}"/>
    <cellStyle name="Normal 399 3 5 2" xfId="30256" xr:uid="{00000000-0005-0000-0000-000030760000}"/>
    <cellStyle name="Normal 399 3 5 2 2" xfId="30257" xr:uid="{00000000-0005-0000-0000-000031760000}"/>
    <cellStyle name="Normal 399 3 5 3" xfId="30258" xr:uid="{00000000-0005-0000-0000-000032760000}"/>
    <cellStyle name="Normal 399 3 6" xfId="30259" xr:uid="{00000000-0005-0000-0000-000033760000}"/>
    <cellStyle name="Normal 399 4" xfId="30260" xr:uid="{00000000-0005-0000-0000-000034760000}"/>
    <cellStyle name="Normal 399 4 2" xfId="30261" xr:uid="{00000000-0005-0000-0000-000035760000}"/>
    <cellStyle name="Normal 399 4 2 2" xfId="30262" xr:uid="{00000000-0005-0000-0000-000036760000}"/>
    <cellStyle name="Normal 399 4 3" xfId="30263" xr:uid="{00000000-0005-0000-0000-000037760000}"/>
    <cellStyle name="Normal 399 5" xfId="30264" xr:uid="{00000000-0005-0000-0000-000038760000}"/>
    <cellStyle name="Normal 399 5 2" xfId="30265" xr:uid="{00000000-0005-0000-0000-000039760000}"/>
    <cellStyle name="Normal 399 5 2 2" xfId="30266" xr:uid="{00000000-0005-0000-0000-00003A760000}"/>
    <cellStyle name="Normal 399 5 3" xfId="30267" xr:uid="{00000000-0005-0000-0000-00003B760000}"/>
    <cellStyle name="Normal 399 6" xfId="30268" xr:uid="{00000000-0005-0000-0000-00003C760000}"/>
    <cellStyle name="Normal 399 6 2" xfId="30269" xr:uid="{00000000-0005-0000-0000-00003D760000}"/>
    <cellStyle name="Normal 399 6 2 2" xfId="30270" xr:uid="{00000000-0005-0000-0000-00003E760000}"/>
    <cellStyle name="Normal 399 6 3" xfId="30271" xr:uid="{00000000-0005-0000-0000-00003F760000}"/>
    <cellStyle name="Normal 399 7" xfId="30272" xr:uid="{00000000-0005-0000-0000-000040760000}"/>
    <cellStyle name="Normal 4" xfId="30273" xr:uid="{00000000-0005-0000-0000-000041760000}"/>
    <cellStyle name="Normal 4 10" xfId="30274" xr:uid="{00000000-0005-0000-0000-000042760000}"/>
    <cellStyle name="Normal 4 10 2" xfId="30275" xr:uid="{00000000-0005-0000-0000-000043760000}"/>
    <cellStyle name="Normal 4 11" xfId="30276" xr:uid="{00000000-0005-0000-0000-000044760000}"/>
    <cellStyle name="Normal 4 12" xfId="30277" xr:uid="{00000000-0005-0000-0000-000045760000}"/>
    <cellStyle name="Normal 4 2" xfId="30278" xr:uid="{00000000-0005-0000-0000-000046760000}"/>
    <cellStyle name="Normal 4 2 2" xfId="30279" xr:uid="{00000000-0005-0000-0000-000047760000}"/>
    <cellStyle name="Normal 4 2 2 2" xfId="30280" xr:uid="{00000000-0005-0000-0000-000048760000}"/>
    <cellStyle name="Normal 4 2 2 2 2" xfId="30281" xr:uid="{00000000-0005-0000-0000-000049760000}"/>
    <cellStyle name="Normal 4 2 2 3" xfId="30282" xr:uid="{00000000-0005-0000-0000-00004A760000}"/>
    <cellStyle name="Normal 4 2 2 3 2" xfId="30283" xr:uid="{00000000-0005-0000-0000-00004B760000}"/>
    <cellStyle name="Normal 4 2 2 3 2 2" xfId="30284" xr:uid="{00000000-0005-0000-0000-00004C760000}"/>
    <cellStyle name="Normal 4 2 2 3 3" xfId="30285" xr:uid="{00000000-0005-0000-0000-00004D760000}"/>
    <cellStyle name="Normal 4 2 2 4" xfId="30286" xr:uid="{00000000-0005-0000-0000-00004E760000}"/>
    <cellStyle name="Normal 4 2 2 4 2" xfId="30287" xr:uid="{00000000-0005-0000-0000-00004F760000}"/>
    <cellStyle name="Normal 4 2 2 4 2 2" xfId="30288" xr:uid="{00000000-0005-0000-0000-000050760000}"/>
    <cellStyle name="Normal 4 2 2 4 3" xfId="30289" xr:uid="{00000000-0005-0000-0000-000051760000}"/>
    <cellStyle name="Normal 4 2 2 5" xfId="30290" xr:uid="{00000000-0005-0000-0000-000052760000}"/>
    <cellStyle name="Normal 4 2 3" xfId="30291" xr:uid="{00000000-0005-0000-0000-000053760000}"/>
    <cellStyle name="Normal 4 2 3 2" xfId="30292" xr:uid="{00000000-0005-0000-0000-000054760000}"/>
    <cellStyle name="Normal 4 2 3 2 2" xfId="30293" xr:uid="{00000000-0005-0000-0000-000055760000}"/>
    <cellStyle name="Normal 4 2 3 2 2 2" xfId="30294" xr:uid="{00000000-0005-0000-0000-000056760000}"/>
    <cellStyle name="Normal 4 2 3 2 3" xfId="30295" xr:uid="{00000000-0005-0000-0000-000057760000}"/>
    <cellStyle name="Normal 4 2 3 2 3 2" xfId="30296" xr:uid="{00000000-0005-0000-0000-000058760000}"/>
    <cellStyle name="Normal 4 2 3 2 3 2 2" xfId="30297" xr:uid="{00000000-0005-0000-0000-000059760000}"/>
    <cellStyle name="Normal 4 2 3 2 3 3" xfId="30298" xr:uid="{00000000-0005-0000-0000-00005A760000}"/>
    <cellStyle name="Normal 4 2 3 2 4" xfId="30299" xr:uid="{00000000-0005-0000-0000-00005B760000}"/>
    <cellStyle name="Normal 4 2 3 3" xfId="30300" xr:uid="{00000000-0005-0000-0000-00005C760000}"/>
    <cellStyle name="Normal 4 2 3 3 2" xfId="30301" xr:uid="{00000000-0005-0000-0000-00005D760000}"/>
    <cellStyle name="Normal 4 2 3 3 2 2" xfId="30302" xr:uid="{00000000-0005-0000-0000-00005E760000}"/>
    <cellStyle name="Normal 4 2 3 3 3" xfId="30303" xr:uid="{00000000-0005-0000-0000-00005F760000}"/>
    <cellStyle name="Normal 4 2 3 4" xfId="30304" xr:uid="{00000000-0005-0000-0000-000060760000}"/>
    <cellStyle name="Normal 4 2 3 4 2" xfId="30305" xr:uid="{00000000-0005-0000-0000-000061760000}"/>
    <cellStyle name="Normal 4 2 3 4 2 2" xfId="30306" xr:uid="{00000000-0005-0000-0000-000062760000}"/>
    <cellStyle name="Normal 4 2 3 4 3" xfId="30307" xr:uid="{00000000-0005-0000-0000-000063760000}"/>
    <cellStyle name="Normal 4 2 3 5" xfId="30308" xr:uid="{00000000-0005-0000-0000-000064760000}"/>
    <cellStyle name="Normal 4 2 3 5 2" xfId="30309" xr:uid="{00000000-0005-0000-0000-000065760000}"/>
    <cellStyle name="Normal 4 2 3 5 2 2" xfId="30310" xr:uid="{00000000-0005-0000-0000-000066760000}"/>
    <cellStyle name="Normal 4 2 3 5 3" xfId="30311" xr:uid="{00000000-0005-0000-0000-000067760000}"/>
    <cellStyle name="Normal 4 2 3 6" xfId="30312" xr:uid="{00000000-0005-0000-0000-000068760000}"/>
    <cellStyle name="Normal 4 2 4" xfId="30313" xr:uid="{00000000-0005-0000-0000-000069760000}"/>
    <cellStyle name="Normal 4 2 4 2" xfId="30314" xr:uid="{00000000-0005-0000-0000-00006A760000}"/>
    <cellStyle name="Normal 4 2 4 2 2" xfId="30315" xr:uid="{00000000-0005-0000-0000-00006B760000}"/>
    <cellStyle name="Normal 4 2 4 3" xfId="30316" xr:uid="{00000000-0005-0000-0000-00006C760000}"/>
    <cellStyle name="Normal 4 2 5" xfId="30317" xr:uid="{00000000-0005-0000-0000-00006D760000}"/>
    <cellStyle name="Normal 4 2 5 2" xfId="30318" xr:uid="{00000000-0005-0000-0000-00006E760000}"/>
    <cellStyle name="Normal 4 2 5 2 2" xfId="30319" xr:uid="{00000000-0005-0000-0000-00006F760000}"/>
    <cellStyle name="Normal 4 2 5 3" xfId="30320" xr:uid="{00000000-0005-0000-0000-000070760000}"/>
    <cellStyle name="Normal 4 2 6" xfId="30321" xr:uid="{00000000-0005-0000-0000-000071760000}"/>
    <cellStyle name="Normal 4 2 6 2" xfId="30322" xr:uid="{00000000-0005-0000-0000-000072760000}"/>
    <cellStyle name="Normal 4 2 6 2 2" xfId="30323" xr:uid="{00000000-0005-0000-0000-000073760000}"/>
    <cellStyle name="Normal 4 2 6 3" xfId="30324" xr:uid="{00000000-0005-0000-0000-000074760000}"/>
    <cellStyle name="Normal 4 2 7" xfId="30325" xr:uid="{00000000-0005-0000-0000-000075760000}"/>
    <cellStyle name="Normal 4 2 7 2" xfId="30326" xr:uid="{00000000-0005-0000-0000-000076760000}"/>
    <cellStyle name="Normal 4 2 8" xfId="30327" xr:uid="{00000000-0005-0000-0000-000077760000}"/>
    <cellStyle name="Normal 4 3" xfId="30328" xr:uid="{00000000-0005-0000-0000-000078760000}"/>
    <cellStyle name="Normal 4 3 2" xfId="30329" xr:uid="{00000000-0005-0000-0000-000079760000}"/>
    <cellStyle name="Normal 4 3 2 2" xfId="30330" xr:uid="{00000000-0005-0000-0000-00007A760000}"/>
    <cellStyle name="Normal 4 3 2 2 2" xfId="30331" xr:uid="{00000000-0005-0000-0000-00007B760000}"/>
    <cellStyle name="Normal 4 3 2 3" xfId="30332" xr:uid="{00000000-0005-0000-0000-00007C760000}"/>
    <cellStyle name="Normal 4 3 2 3 2" xfId="30333" xr:uid="{00000000-0005-0000-0000-00007D760000}"/>
    <cellStyle name="Normal 4 3 2 3 2 2" xfId="30334" xr:uid="{00000000-0005-0000-0000-00007E760000}"/>
    <cellStyle name="Normal 4 3 2 3 3" xfId="30335" xr:uid="{00000000-0005-0000-0000-00007F760000}"/>
    <cellStyle name="Normal 4 3 2 4" xfId="30336" xr:uid="{00000000-0005-0000-0000-000080760000}"/>
    <cellStyle name="Normal 4 3 2 4 2" xfId="30337" xr:uid="{00000000-0005-0000-0000-000081760000}"/>
    <cellStyle name="Normal 4 3 2 4 2 2" xfId="30338" xr:uid="{00000000-0005-0000-0000-000082760000}"/>
    <cellStyle name="Normal 4 3 2 4 3" xfId="30339" xr:uid="{00000000-0005-0000-0000-000083760000}"/>
    <cellStyle name="Normal 4 3 2 5" xfId="30340" xr:uid="{00000000-0005-0000-0000-000084760000}"/>
    <cellStyle name="Normal 4 3 3" xfId="30341" xr:uid="{00000000-0005-0000-0000-000085760000}"/>
    <cellStyle name="Normal 4 3 3 2" xfId="30342" xr:uid="{00000000-0005-0000-0000-000086760000}"/>
    <cellStyle name="Normal 4 3 3 2 2" xfId="30343" xr:uid="{00000000-0005-0000-0000-000087760000}"/>
    <cellStyle name="Normal 4 3 3 3" xfId="30344" xr:uid="{00000000-0005-0000-0000-000088760000}"/>
    <cellStyle name="Normal 4 3 4" xfId="30345" xr:uid="{00000000-0005-0000-0000-000089760000}"/>
    <cellStyle name="Normal 4 3 4 2" xfId="30346" xr:uid="{00000000-0005-0000-0000-00008A760000}"/>
    <cellStyle name="Normal 4 3 4 2 2" xfId="30347" xr:uid="{00000000-0005-0000-0000-00008B760000}"/>
    <cellStyle name="Normal 4 3 4 3" xfId="30348" xr:uid="{00000000-0005-0000-0000-00008C760000}"/>
    <cellStyle name="Normal 4 3 5" xfId="30349" xr:uid="{00000000-0005-0000-0000-00008D760000}"/>
    <cellStyle name="Normal 4 3 5 2" xfId="30350" xr:uid="{00000000-0005-0000-0000-00008E760000}"/>
    <cellStyle name="Normal 4 3 5 2 2" xfId="30351" xr:uid="{00000000-0005-0000-0000-00008F760000}"/>
    <cellStyle name="Normal 4 3 5 3" xfId="30352" xr:uid="{00000000-0005-0000-0000-000090760000}"/>
    <cellStyle name="Normal 4 3 6" xfId="30353" xr:uid="{00000000-0005-0000-0000-000091760000}"/>
    <cellStyle name="Normal 4 4" xfId="30354" xr:uid="{00000000-0005-0000-0000-000092760000}"/>
    <cellStyle name="Normal 4 4 2" xfId="30355" xr:uid="{00000000-0005-0000-0000-000093760000}"/>
    <cellStyle name="Normal 4 4 2 2" xfId="30356" xr:uid="{00000000-0005-0000-0000-000094760000}"/>
    <cellStyle name="Normal 4 4 2 2 2" xfId="30357" xr:uid="{00000000-0005-0000-0000-000095760000}"/>
    <cellStyle name="Normal 4 4 2 3" xfId="30358" xr:uid="{00000000-0005-0000-0000-000096760000}"/>
    <cellStyle name="Normal 4 4 2 3 2" xfId="30359" xr:uid="{00000000-0005-0000-0000-000097760000}"/>
    <cellStyle name="Normal 4 4 2 3 2 2" xfId="30360" xr:uid="{00000000-0005-0000-0000-000098760000}"/>
    <cellStyle name="Normal 4 4 2 3 3" xfId="30361" xr:uid="{00000000-0005-0000-0000-000099760000}"/>
    <cellStyle name="Normal 4 4 2 4" xfId="30362" xr:uid="{00000000-0005-0000-0000-00009A760000}"/>
    <cellStyle name="Normal 4 4 2 4 2" xfId="30363" xr:uid="{00000000-0005-0000-0000-00009B760000}"/>
    <cellStyle name="Normal 4 4 2 4 2 2" xfId="30364" xr:uid="{00000000-0005-0000-0000-00009C760000}"/>
    <cellStyle name="Normal 4 4 2 4 3" xfId="30365" xr:uid="{00000000-0005-0000-0000-00009D760000}"/>
    <cellStyle name="Normal 4 4 2 5" xfId="30366" xr:uid="{00000000-0005-0000-0000-00009E760000}"/>
    <cellStyle name="Normal 4 4 3" xfId="30367" xr:uid="{00000000-0005-0000-0000-00009F760000}"/>
    <cellStyle name="Normal 4 4 3 2" xfId="30368" xr:uid="{00000000-0005-0000-0000-0000A0760000}"/>
    <cellStyle name="Normal 4 4 3 2 2" xfId="30369" xr:uid="{00000000-0005-0000-0000-0000A1760000}"/>
    <cellStyle name="Normal 4 4 3 3" xfId="30370" xr:uid="{00000000-0005-0000-0000-0000A2760000}"/>
    <cellStyle name="Normal 4 4 4" xfId="30371" xr:uid="{00000000-0005-0000-0000-0000A3760000}"/>
    <cellStyle name="Normal 4 4 4 2" xfId="30372" xr:uid="{00000000-0005-0000-0000-0000A4760000}"/>
    <cellStyle name="Normal 4 4 4 2 2" xfId="30373" xr:uid="{00000000-0005-0000-0000-0000A5760000}"/>
    <cellStyle name="Normal 4 4 4 3" xfId="30374" xr:uid="{00000000-0005-0000-0000-0000A6760000}"/>
    <cellStyle name="Normal 4 4 5" xfId="30375" xr:uid="{00000000-0005-0000-0000-0000A7760000}"/>
    <cellStyle name="Normal 4 4 5 2" xfId="30376" xr:uid="{00000000-0005-0000-0000-0000A8760000}"/>
    <cellStyle name="Normal 4 4 5 2 2" xfId="30377" xr:uid="{00000000-0005-0000-0000-0000A9760000}"/>
    <cellStyle name="Normal 4 4 5 3" xfId="30378" xr:uid="{00000000-0005-0000-0000-0000AA760000}"/>
    <cellStyle name="Normal 4 4 6" xfId="30379" xr:uid="{00000000-0005-0000-0000-0000AB760000}"/>
    <cellStyle name="Normal 4 5" xfId="30380" xr:uid="{00000000-0005-0000-0000-0000AC760000}"/>
    <cellStyle name="Normal 4 5 2" xfId="30381" xr:uid="{00000000-0005-0000-0000-0000AD760000}"/>
    <cellStyle name="Normal 4 5 2 2" xfId="30382" xr:uid="{00000000-0005-0000-0000-0000AE760000}"/>
    <cellStyle name="Normal 4 5 3" xfId="30383" xr:uid="{00000000-0005-0000-0000-0000AF760000}"/>
    <cellStyle name="Normal 4 5 3 2" xfId="30384" xr:uid="{00000000-0005-0000-0000-0000B0760000}"/>
    <cellStyle name="Normal 4 5 3 2 2" xfId="30385" xr:uid="{00000000-0005-0000-0000-0000B1760000}"/>
    <cellStyle name="Normal 4 5 3 3" xfId="30386" xr:uid="{00000000-0005-0000-0000-0000B2760000}"/>
    <cellStyle name="Normal 4 5 4" xfId="30387" xr:uid="{00000000-0005-0000-0000-0000B3760000}"/>
    <cellStyle name="Normal 4 5 4 2" xfId="30388" xr:uid="{00000000-0005-0000-0000-0000B4760000}"/>
    <cellStyle name="Normal 4 5 4 2 2" xfId="30389" xr:uid="{00000000-0005-0000-0000-0000B5760000}"/>
    <cellStyle name="Normal 4 5 4 3" xfId="30390" xr:uid="{00000000-0005-0000-0000-0000B6760000}"/>
    <cellStyle name="Normal 4 5 5" xfId="30391" xr:uid="{00000000-0005-0000-0000-0000B7760000}"/>
    <cellStyle name="Normal 4 6" xfId="30392" xr:uid="{00000000-0005-0000-0000-0000B8760000}"/>
    <cellStyle name="Normal 4 6 2" xfId="30393" xr:uid="{00000000-0005-0000-0000-0000B9760000}"/>
    <cellStyle name="Normal 4 6 2 2" xfId="30394" xr:uid="{00000000-0005-0000-0000-0000BA760000}"/>
    <cellStyle name="Normal 4 6 3" xfId="30395" xr:uid="{00000000-0005-0000-0000-0000BB760000}"/>
    <cellStyle name="Normal 4 6 3 2" xfId="30396" xr:uid="{00000000-0005-0000-0000-0000BC760000}"/>
    <cellStyle name="Normal 4 6 3 2 2" xfId="30397" xr:uid="{00000000-0005-0000-0000-0000BD760000}"/>
    <cellStyle name="Normal 4 6 3 3" xfId="30398" xr:uid="{00000000-0005-0000-0000-0000BE760000}"/>
    <cellStyle name="Normal 4 6 4" xfId="30399" xr:uid="{00000000-0005-0000-0000-0000BF760000}"/>
    <cellStyle name="Normal 4 6 4 2" xfId="30400" xr:uid="{00000000-0005-0000-0000-0000C0760000}"/>
    <cellStyle name="Normal 4 6 4 2 2" xfId="30401" xr:uid="{00000000-0005-0000-0000-0000C1760000}"/>
    <cellStyle name="Normal 4 6 4 3" xfId="30402" xr:uid="{00000000-0005-0000-0000-0000C2760000}"/>
    <cellStyle name="Normal 4 6 5" xfId="30403" xr:uid="{00000000-0005-0000-0000-0000C3760000}"/>
    <cellStyle name="Normal 4 7" xfId="30404" xr:uid="{00000000-0005-0000-0000-0000C4760000}"/>
    <cellStyle name="Normal 4 7 2" xfId="30405" xr:uid="{00000000-0005-0000-0000-0000C5760000}"/>
    <cellStyle name="Normal 4 7 2 2" xfId="30406" xr:uid="{00000000-0005-0000-0000-0000C6760000}"/>
    <cellStyle name="Normal 4 7 3" xfId="30407" xr:uid="{00000000-0005-0000-0000-0000C7760000}"/>
    <cellStyle name="Normal 4 8" xfId="30408" xr:uid="{00000000-0005-0000-0000-0000C8760000}"/>
    <cellStyle name="Normal 4 8 2" xfId="30409" xr:uid="{00000000-0005-0000-0000-0000C9760000}"/>
    <cellStyle name="Normal 4 8 2 2" xfId="30410" xr:uid="{00000000-0005-0000-0000-0000CA760000}"/>
    <cellStyle name="Normal 4 8 3" xfId="30411" xr:uid="{00000000-0005-0000-0000-0000CB760000}"/>
    <cellStyle name="Normal 4 9" xfId="30412" xr:uid="{00000000-0005-0000-0000-0000CC760000}"/>
    <cellStyle name="Normal 4 9 2" xfId="30413" xr:uid="{00000000-0005-0000-0000-0000CD760000}"/>
    <cellStyle name="Normal 4 9 2 2" xfId="30414" xr:uid="{00000000-0005-0000-0000-0000CE760000}"/>
    <cellStyle name="Normal 4 9 3" xfId="30415" xr:uid="{00000000-0005-0000-0000-0000CF760000}"/>
    <cellStyle name="Normal 40" xfId="30416" xr:uid="{00000000-0005-0000-0000-0000D0760000}"/>
    <cellStyle name="Normal 40 2" xfId="30417" xr:uid="{00000000-0005-0000-0000-0000D1760000}"/>
    <cellStyle name="Normal 40 2 2" xfId="30418" xr:uid="{00000000-0005-0000-0000-0000D2760000}"/>
    <cellStyle name="Normal 40 2 2 2" xfId="30419" xr:uid="{00000000-0005-0000-0000-0000D3760000}"/>
    <cellStyle name="Normal 40 2 2 2 2" xfId="30420" xr:uid="{00000000-0005-0000-0000-0000D4760000}"/>
    <cellStyle name="Normal 40 2 2 3" xfId="30421" xr:uid="{00000000-0005-0000-0000-0000D5760000}"/>
    <cellStyle name="Normal 40 2 2 3 2" xfId="30422" xr:uid="{00000000-0005-0000-0000-0000D6760000}"/>
    <cellStyle name="Normal 40 2 2 3 2 2" xfId="30423" xr:uid="{00000000-0005-0000-0000-0000D7760000}"/>
    <cellStyle name="Normal 40 2 2 3 3" xfId="30424" xr:uid="{00000000-0005-0000-0000-0000D8760000}"/>
    <cellStyle name="Normal 40 2 2 4" xfId="30425" xr:uid="{00000000-0005-0000-0000-0000D9760000}"/>
    <cellStyle name="Normal 40 2 2 4 2" xfId="30426" xr:uid="{00000000-0005-0000-0000-0000DA760000}"/>
    <cellStyle name="Normal 40 2 2 4 2 2" xfId="30427" xr:uid="{00000000-0005-0000-0000-0000DB760000}"/>
    <cellStyle name="Normal 40 2 2 4 3" xfId="30428" xr:uid="{00000000-0005-0000-0000-0000DC760000}"/>
    <cellStyle name="Normal 40 2 2 5" xfId="30429" xr:uid="{00000000-0005-0000-0000-0000DD760000}"/>
    <cellStyle name="Normal 40 2 3" xfId="30430" xr:uid="{00000000-0005-0000-0000-0000DE760000}"/>
    <cellStyle name="Normal 40 2 3 2" xfId="30431" xr:uid="{00000000-0005-0000-0000-0000DF760000}"/>
    <cellStyle name="Normal 40 2 3 2 2" xfId="30432" xr:uid="{00000000-0005-0000-0000-0000E0760000}"/>
    <cellStyle name="Normal 40 2 3 3" xfId="30433" xr:uid="{00000000-0005-0000-0000-0000E1760000}"/>
    <cellStyle name="Normal 40 2 4" xfId="30434" xr:uid="{00000000-0005-0000-0000-0000E2760000}"/>
    <cellStyle name="Normal 40 2 4 2" xfId="30435" xr:uid="{00000000-0005-0000-0000-0000E3760000}"/>
    <cellStyle name="Normal 40 2 4 2 2" xfId="30436" xr:uid="{00000000-0005-0000-0000-0000E4760000}"/>
    <cellStyle name="Normal 40 2 4 3" xfId="30437" xr:uid="{00000000-0005-0000-0000-0000E5760000}"/>
    <cellStyle name="Normal 40 2 5" xfId="30438" xr:uid="{00000000-0005-0000-0000-0000E6760000}"/>
    <cellStyle name="Normal 40 2 5 2" xfId="30439" xr:uid="{00000000-0005-0000-0000-0000E7760000}"/>
    <cellStyle name="Normal 40 2 5 2 2" xfId="30440" xr:uid="{00000000-0005-0000-0000-0000E8760000}"/>
    <cellStyle name="Normal 40 2 5 3" xfId="30441" xr:uid="{00000000-0005-0000-0000-0000E9760000}"/>
    <cellStyle name="Normal 40 2 6" xfId="30442" xr:uid="{00000000-0005-0000-0000-0000EA760000}"/>
    <cellStyle name="Normal 40 3" xfId="30443" xr:uid="{00000000-0005-0000-0000-0000EB760000}"/>
    <cellStyle name="Normal 40 3 2" xfId="30444" xr:uid="{00000000-0005-0000-0000-0000EC760000}"/>
    <cellStyle name="Normal 40 3 2 2" xfId="30445" xr:uid="{00000000-0005-0000-0000-0000ED760000}"/>
    <cellStyle name="Normal 40 3 3" xfId="30446" xr:uid="{00000000-0005-0000-0000-0000EE760000}"/>
    <cellStyle name="Normal 40 3 3 2" xfId="30447" xr:uid="{00000000-0005-0000-0000-0000EF760000}"/>
    <cellStyle name="Normal 40 3 3 2 2" xfId="30448" xr:uid="{00000000-0005-0000-0000-0000F0760000}"/>
    <cellStyle name="Normal 40 3 3 3" xfId="30449" xr:uid="{00000000-0005-0000-0000-0000F1760000}"/>
    <cellStyle name="Normal 40 3 4" xfId="30450" xr:uid="{00000000-0005-0000-0000-0000F2760000}"/>
    <cellStyle name="Normal 40 3 4 2" xfId="30451" xr:uid="{00000000-0005-0000-0000-0000F3760000}"/>
    <cellStyle name="Normal 40 3 4 2 2" xfId="30452" xr:uid="{00000000-0005-0000-0000-0000F4760000}"/>
    <cellStyle name="Normal 40 3 4 3" xfId="30453" xr:uid="{00000000-0005-0000-0000-0000F5760000}"/>
    <cellStyle name="Normal 40 3 5" xfId="30454" xr:uid="{00000000-0005-0000-0000-0000F6760000}"/>
    <cellStyle name="Normal 40 4" xfId="30455" xr:uid="{00000000-0005-0000-0000-0000F7760000}"/>
    <cellStyle name="Normal 40 4 2" xfId="30456" xr:uid="{00000000-0005-0000-0000-0000F8760000}"/>
    <cellStyle name="Normal 40 4 2 2" xfId="30457" xr:uid="{00000000-0005-0000-0000-0000F9760000}"/>
    <cellStyle name="Normal 40 4 3" xfId="30458" xr:uid="{00000000-0005-0000-0000-0000FA760000}"/>
    <cellStyle name="Normal 40 5" xfId="30459" xr:uid="{00000000-0005-0000-0000-0000FB760000}"/>
    <cellStyle name="Normal 40 5 2" xfId="30460" xr:uid="{00000000-0005-0000-0000-0000FC760000}"/>
    <cellStyle name="Normal 40 5 2 2" xfId="30461" xr:uid="{00000000-0005-0000-0000-0000FD760000}"/>
    <cellStyle name="Normal 40 5 3" xfId="30462" xr:uid="{00000000-0005-0000-0000-0000FE760000}"/>
    <cellStyle name="Normal 40 6" xfId="30463" xr:uid="{00000000-0005-0000-0000-0000FF760000}"/>
    <cellStyle name="Normal 40 6 2" xfId="30464" xr:uid="{00000000-0005-0000-0000-000000770000}"/>
    <cellStyle name="Normal 40 6 2 2" xfId="30465" xr:uid="{00000000-0005-0000-0000-000001770000}"/>
    <cellStyle name="Normal 40 6 3" xfId="30466" xr:uid="{00000000-0005-0000-0000-000002770000}"/>
    <cellStyle name="Normal 40 7" xfId="30467" xr:uid="{00000000-0005-0000-0000-000003770000}"/>
    <cellStyle name="Normal 400" xfId="30468" xr:uid="{00000000-0005-0000-0000-000004770000}"/>
    <cellStyle name="Normal 400 2" xfId="30469" xr:uid="{00000000-0005-0000-0000-000005770000}"/>
    <cellStyle name="Normal 400 2 2" xfId="30470" xr:uid="{00000000-0005-0000-0000-000006770000}"/>
    <cellStyle name="Normal 400 2 2 2" xfId="30471" xr:uid="{00000000-0005-0000-0000-000007770000}"/>
    <cellStyle name="Normal 400 2 3" xfId="30472" xr:uid="{00000000-0005-0000-0000-000008770000}"/>
    <cellStyle name="Normal 400 2 3 2" xfId="30473" xr:uid="{00000000-0005-0000-0000-000009770000}"/>
    <cellStyle name="Normal 400 2 3 2 2" xfId="30474" xr:uid="{00000000-0005-0000-0000-00000A770000}"/>
    <cellStyle name="Normal 400 2 3 3" xfId="30475" xr:uid="{00000000-0005-0000-0000-00000B770000}"/>
    <cellStyle name="Normal 400 2 4" xfId="30476" xr:uid="{00000000-0005-0000-0000-00000C770000}"/>
    <cellStyle name="Normal 400 2 4 2" xfId="30477" xr:uid="{00000000-0005-0000-0000-00000D770000}"/>
    <cellStyle name="Normal 400 2 4 2 2" xfId="30478" xr:uid="{00000000-0005-0000-0000-00000E770000}"/>
    <cellStyle name="Normal 400 2 4 3" xfId="30479" xr:uid="{00000000-0005-0000-0000-00000F770000}"/>
    <cellStyle name="Normal 400 2 5" xfId="30480" xr:uid="{00000000-0005-0000-0000-000010770000}"/>
    <cellStyle name="Normal 400 3" xfId="30481" xr:uid="{00000000-0005-0000-0000-000011770000}"/>
    <cellStyle name="Normal 400 3 2" xfId="30482" xr:uid="{00000000-0005-0000-0000-000012770000}"/>
    <cellStyle name="Normal 400 3 2 2" xfId="30483" xr:uid="{00000000-0005-0000-0000-000013770000}"/>
    <cellStyle name="Normal 400 3 2 2 2" xfId="30484" xr:uid="{00000000-0005-0000-0000-000014770000}"/>
    <cellStyle name="Normal 400 3 2 3" xfId="30485" xr:uid="{00000000-0005-0000-0000-000015770000}"/>
    <cellStyle name="Normal 400 3 2 3 2" xfId="30486" xr:uid="{00000000-0005-0000-0000-000016770000}"/>
    <cellStyle name="Normal 400 3 2 3 2 2" xfId="30487" xr:uid="{00000000-0005-0000-0000-000017770000}"/>
    <cellStyle name="Normal 400 3 2 3 3" xfId="30488" xr:uid="{00000000-0005-0000-0000-000018770000}"/>
    <cellStyle name="Normal 400 3 2 4" xfId="30489" xr:uid="{00000000-0005-0000-0000-000019770000}"/>
    <cellStyle name="Normal 400 3 3" xfId="30490" xr:uid="{00000000-0005-0000-0000-00001A770000}"/>
    <cellStyle name="Normal 400 3 3 2" xfId="30491" xr:uid="{00000000-0005-0000-0000-00001B770000}"/>
    <cellStyle name="Normal 400 3 3 2 2" xfId="30492" xr:uid="{00000000-0005-0000-0000-00001C770000}"/>
    <cellStyle name="Normal 400 3 3 3" xfId="30493" xr:uid="{00000000-0005-0000-0000-00001D770000}"/>
    <cellStyle name="Normal 400 3 4" xfId="30494" xr:uid="{00000000-0005-0000-0000-00001E770000}"/>
    <cellStyle name="Normal 400 3 4 2" xfId="30495" xr:uid="{00000000-0005-0000-0000-00001F770000}"/>
    <cellStyle name="Normal 400 3 4 2 2" xfId="30496" xr:uid="{00000000-0005-0000-0000-000020770000}"/>
    <cellStyle name="Normal 400 3 4 3" xfId="30497" xr:uid="{00000000-0005-0000-0000-000021770000}"/>
    <cellStyle name="Normal 400 3 5" xfId="30498" xr:uid="{00000000-0005-0000-0000-000022770000}"/>
    <cellStyle name="Normal 400 3 5 2" xfId="30499" xr:uid="{00000000-0005-0000-0000-000023770000}"/>
    <cellStyle name="Normal 400 3 5 2 2" xfId="30500" xr:uid="{00000000-0005-0000-0000-000024770000}"/>
    <cellStyle name="Normal 400 3 5 3" xfId="30501" xr:uid="{00000000-0005-0000-0000-000025770000}"/>
    <cellStyle name="Normal 400 3 6" xfId="30502" xr:uid="{00000000-0005-0000-0000-000026770000}"/>
    <cellStyle name="Normal 400 4" xfId="30503" xr:uid="{00000000-0005-0000-0000-000027770000}"/>
    <cellStyle name="Normal 400 4 2" xfId="30504" xr:uid="{00000000-0005-0000-0000-000028770000}"/>
    <cellStyle name="Normal 400 4 2 2" xfId="30505" xr:uid="{00000000-0005-0000-0000-000029770000}"/>
    <cellStyle name="Normal 400 4 3" xfId="30506" xr:uid="{00000000-0005-0000-0000-00002A770000}"/>
    <cellStyle name="Normal 400 5" xfId="30507" xr:uid="{00000000-0005-0000-0000-00002B770000}"/>
    <cellStyle name="Normal 400 5 2" xfId="30508" xr:uid="{00000000-0005-0000-0000-00002C770000}"/>
    <cellStyle name="Normal 400 5 2 2" xfId="30509" xr:uid="{00000000-0005-0000-0000-00002D770000}"/>
    <cellStyle name="Normal 400 5 3" xfId="30510" xr:uid="{00000000-0005-0000-0000-00002E770000}"/>
    <cellStyle name="Normal 400 6" xfId="30511" xr:uid="{00000000-0005-0000-0000-00002F770000}"/>
    <cellStyle name="Normal 400 6 2" xfId="30512" xr:uid="{00000000-0005-0000-0000-000030770000}"/>
    <cellStyle name="Normal 400 6 2 2" xfId="30513" xr:uid="{00000000-0005-0000-0000-000031770000}"/>
    <cellStyle name="Normal 400 6 3" xfId="30514" xr:uid="{00000000-0005-0000-0000-000032770000}"/>
    <cellStyle name="Normal 400 7" xfId="30515" xr:uid="{00000000-0005-0000-0000-000033770000}"/>
    <cellStyle name="Normal 401" xfId="30516" xr:uid="{00000000-0005-0000-0000-000034770000}"/>
    <cellStyle name="Normal 401 2" xfId="30517" xr:uid="{00000000-0005-0000-0000-000035770000}"/>
    <cellStyle name="Normal 401 2 2" xfId="30518" xr:uid="{00000000-0005-0000-0000-000036770000}"/>
    <cellStyle name="Normal 401 2 2 2" xfId="30519" xr:uid="{00000000-0005-0000-0000-000037770000}"/>
    <cellStyle name="Normal 401 2 3" xfId="30520" xr:uid="{00000000-0005-0000-0000-000038770000}"/>
    <cellStyle name="Normal 401 2 3 2" xfId="30521" xr:uid="{00000000-0005-0000-0000-000039770000}"/>
    <cellStyle name="Normal 401 2 3 2 2" xfId="30522" xr:uid="{00000000-0005-0000-0000-00003A770000}"/>
    <cellStyle name="Normal 401 2 3 3" xfId="30523" xr:uid="{00000000-0005-0000-0000-00003B770000}"/>
    <cellStyle name="Normal 401 2 4" xfId="30524" xr:uid="{00000000-0005-0000-0000-00003C770000}"/>
    <cellStyle name="Normal 401 2 4 2" xfId="30525" xr:uid="{00000000-0005-0000-0000-00003D770000}"/>
    <cellStyle name="Normal 401 2 4 2 2" xfId="30526" xr:uid="{00000000-0005-0000-0000-00003E770000}"/>
    <cellStyle name="Normal 401 2 4 3" xfId="30527" xr:uid="{00000000-0005-0000-0000-00003F770000}"/>
    <cellStyle name="Normal 401 2 5" xfId="30528" xr:uid="{00000000-0005-0000-0000-000040770000}"/>
    <cellStyle name="Normal 401 3" xfId="30529" xr:uid="{00000000-0005-0000-0000-000041770000}"/>
    <cellStyle name="Normal 401 3 2" xfId="30530" xr:uid="{00000000-0005-0000-0000-000042770000}"/>
    <cellStyle name="Normal 401 3 2 2" xfId="30531" xr:uid="{00000000-0005-0000-0000-000043770000}"/>
    <cellStyle name="Normal 401 3 2 2 2" xfId="30532" xr:uid="{00000000-0005-0000-0000-000044770000}"/>
    <cellStyle name="Normal 401 3 2 3" xfId="30533" xr:uid="{00000000-0005-0000-0000-000045770000}"/>
    <cellStyle name="Normal 401 3 2 3 2" xfId="30534" xr:uid="{00000000-0005-0000-0000-000046770000}"/>
    <cellStyle name="Normal 401 3 2 3 2 2" xfId="30535" xr:uid="{00000000-0005-0000-0000-000047770000}"/>
    <cellStyle name="Normal 401 3 2 3 3" xfId="30536" xr:uid="{00000000-0005-0000-0000-000048770000}"/>
    <cellStyle name="Normal 401 3 2 4" xfId="30537" xr:uid="{00000000-0005-0000-0000-000049770000}"/>
    <cellStyle name="Normal 401 3 3" xfId="30538" xr:uid="{00000000-0005-0000-0000-00004A770000}"/>
    <cellStyle name="Normal 401 3 3 2" xfId="30539" xr:uid="{00000000-0005-0000-0000-00004B770000}"/>
    <cellStyle name="Normal 401 3 3 2 2" xfId="30540" xr:uid="{00000000-0005-0000-0000-00004C770000}"/>
    <cellStyle name="Normal 401 3 3 3" xfId="30541" xr:uid="{00000000-0005-0000-0000-00004D770000}"/>
    <cellStyle name="Normal 401 3 4" xfId="30542" xr:uid="{00000000-0005-0000-0000-00004E770000}"/>
    <cellStyle name="Normal 401 3 4 2" xfId="30543" xr:uid="{00000000-0005-0000-0000-00004F770000}"/>
    <cellStyle name="Normal 401 3 4 2 2" xfId="30544" xr:uid="{00000000-0005-0000-0000-000050770000}"/>
    <cellStyle name="Normal 401 3 4 3" xfId="30545" xr:uid="{00000000-0005-0000-0000-000051770000}"/>
    <cellStyle name="Normal 401 3 5" xfId="30546" xr:uid="{00000000-0005-0000-0000-000052770000}"/>
    <cellStyle name="Normal 401 3 5 2" xfId="30547" xr:uid="{00000000-0005-0000-0000-000053770000}"/>
    <cellStyle name="Normal 401 3 5 2 2" xfId="30548" xr:uid="{00000000-0005-0000-0000-000054770000}"/>
    <cellStyle name="Normal 401 3 5 3" xfId="30549" xr:uid="{00000000-0005-0000-0000-000055770000}"/>
    <cellStyle name="Normal 401 3 6" xfId="30550" xr:uid="{00000000-0005-0000-0000-000056770000}"/>
    <cellStyle name="Normal 401 4" xfId="30551" xr:uid="{00000000-0005-0000-0000-000057770000}"/>
    <cellStyle name="Normal 401 4 2" xfId="30552" xr:uid="{00000000-0005-0000-0000-000058770000}"/>
    <cellStyle name="Normal 401 4 2 2" xfId="30553" xr:uid="{00000000-0005-0000-0000-000059770000}"/>
    <cellStyle name="Normal 401 4 3" xfId="30554" xr:uid="{00000000-0005-0000-0000-00005A770000}"/>
    <cellStyle name="Normal 401 5" xfId="30555" xr:uid="{00000000-0005-0000-0000-00005B770000}"/>
    <cellStyle name="Normal 401 5 2" xfId="30556" xr:uid="{00000000-0005-0000-0000-00005C770000}"/>
    <cellStyle name="Normal 401 5 2 2" xfId="30557" xr:uid="{00000000-0005-0000-0000-00005D770000}"/>
    <cellStyle name="Normal 401 5 3" xfId="30558" xr:uid="{00000000-0005-0000-0000-00005E770000}"/>
    <cellStyle name="Normal 401 6" xfId="30559" xr:uid="{00000000-0005-0000-0000-00005F770000}"/>
    <cellStyle name="Normal 401 6 2" xfId="30560" xr:uid="{00000000-0005-0000-0000-000060770000}"/>
    <cellStyle name="Normal 401 6 2 2" xfId="30561" xr:uid="{00000000-0005-0000-0000-000061770000}"/>
    <cellStyle name="Normal 401 6 3" xfId="30562" xr:uid="{00000000-0005-0000-0000-000062770000}"/>
    <cellStyle name="Normal 401 7" xfId="30563" xr:uid="{00000000-0005-0000-0000-000063770000}"/>
    <cellStyle name="Normal 402" xfId="30564" xr:uid="{00000000-0005-0000-0000-000064770000}"/>
    <cellStyle name="Normal 402 2" xfId="30565" xr:uid="{00000000-0005-0000-0000-000065770000}"/>
    <cellStyle name="Normal 402 2 2" xfId="30566" xr:uid="{00000000-0005-0000-0000-000066770000}"/>
    <cellStyle name="Normal 402 2 2 2" xfId="30567" xr:uid="{00000000-0005-0000-0000-000067770000}"/>
    <cellStyle name="Normal 402 2 3" xfId="30568" xr:uid="{00000000-0005-0000-0000-000068770000}"/>
    <cellStyle name="Normal 402 2 3 2" xfId="30569" xr:uid="{00000000-0005-0000-0000-000069770000}"/>
    <cellStyle name="Normal 402 2 3 2 2" xfId="30570" xr:uid="{00000000-0005-0000-0000-00006A770000}"/>
    <cellStyle name="Normal 402 2 3 3" xfId="30571" xr:uid="{00000000-0005-0000-0000-00006B770000}"/>
    <cellStyle name="Normal 402 2 4" xfId="30572" xr:uid="{00000000-0005-0000-0000-00006C770000}"/>
    <cellStyle name="Normal 402 2 4 2" xfId="30573" xr:uid="{00000000-0005-0000-0000-00006D770000}"/>
    <cellStyle name="Normal 402 2 4 2 2" xfId="30574" xr:uid="{00000000-0005-0000-0000-00006E770000}"/>
    <cellStyle name="Normal 402 2 4 3" xfId="30575" xr:uid="{00000000-0005-0000-0000-00006F770000}"/>
    <cellStyle name="Normal 402 2 5" xfId="30576" xr:uid="{00000000-0005-0000-0000-000070770000}"/>
    <cellStyle name="Normal 402 3" xfId="30577" xr:uid="{00000000-0005-0000-0000-000071770000}"/>
    <cellStyle name="Normal 402 3 2" xfId="30578" xr:uid="{00000000-0005-0000-0000-000072770000}"/>
    <cellStyle name="Normal 402 3 2 2" xfId="30579" xr:uid="{00000000-0005-0000-0000-000073770000}"/>
    <cellStyle name="Normal 402 3 2 2 2" xfId="30580" xr:uid="{00000000-0005-0000-0000-000074770000}"/>
    <cellStyle name="Normal 402 3 2 3" xfId="30581" xr:uid="{00000000-0005-0000-0000-000075770000}"/>
    <cellStyle name="Normal 402 3 2 3 2" xfId="30582" xr:uid="{00000000-0005-0000-0000-000076770000}"/>
    <cellStyle name="Normal 402 3 2 3 2 2" xfId="30583" xr:uid="{00000000-0005-0000-0000-000077770000}"/>
    <cellStyle name="Normal 402 3 2 3 3" xfId="30584" xr:uid="{00000000-0005-0000-0000-000078770000}"/>
    <cellStyle name="Normal 402 3 2 4" xfId="30585" xr:uid="{00000000-0005-0000-0000-000079770000}"/>
    <cellStyle name="Normal 402 3 3" xfId="30586" xr:uid="{00000000-0005-0000-0000-00007A770000}"/>
    <cellStyle name="Normal 402 3 3 2" xfId="30587" xr:uid="{00000000-0005-0000-0000-00007B770000}"/>
    <cellStyle name="Normal 402 3 3 2 2" xfId="30588" xr:uid="{00000000-0005-0000-0000-00007C770000}"/>
    <cellStyle name="Normal 402 3 3 3" xfId="30589" xr:uid="{00000000-0005-0000-0000-00007D770000}"/>
    <cellStyle name="Normal 402 3 4" xfId="30590" xr:uid="{00000000-0005-0000-0000-00007E770000}"/>
    <cellStyle name="Normal 402 3 4 2" xfId="30591" xr:uid="{00000000-0005-0000-0000-00007F770000}"/>
    <cellStyle name="Normal 402 3 4 2 2" xfId="30592" xr:uid="{00000000-0005-0000-0000-000080770000}"/>
    <cellStyle name="Normal 402 3 4 3" xfId="30593" xr:uid="{00000000-0005-0000-0000-000081770000}"/>
    <cellStyle name="Normal 402 3 5" xfId="30594" xr:uid="{00000000-0005-0000-0000-000082770000}"/>
    <cellStyle name="Normal 402 3 5 2" xfId="30595" xr:uid="{00000000-0005-0000-0000-000083770000}"/>
    <cellStyle name="Normal 402 3 5 2 2" xfId="30596" xr:uid="{00000000-0005-0000-0000-000084770000}"/>
    <cellStyle name="Normal 402 3 5 3" xfId="30597" xr:uid="{00000000-0005-0000-0000-000085770000}"/>
    <cellStyle name="Normal 402 3 6" xfId="30598" xr:uid="{00000000-0005-0000-0000-000086770000}"/>
    <cellStyle name="Normal 402 4" xfId="30599" xr:uid="{00000000-0005-0000-0000-000087770000}"/>
    <cellStyle name="Normal 402 4 2" xfId="30600" xr:uid="{00000000-0005-0000-0000-000088770000}"/>
    <cellStyle name="Normal 402 4 2 2" xfId="30601" xr:uid="{00000000-0005-0000-0000-000089770000}"/>
    <cellStyle name="Normal 402 4 3" xfId="30602" xr:uid="{00000000-0005-0000-0000-00008A770000}"/>
    <cellStyle name="Normal 402 5" xfId="30603" xr:uid="{00000000-0005-0000-0000-00008B770000}"/>
    <cellStyle name="Normal 402 5 2" xfId="30604" xr:uid="{00000000-0005-0000-0000-00008C770000}"/>
    <cellStyle name="Normal 402 5 2 2" xfId="30605" xr:uid="{00000000-0005-0000-0000-00008D770000}"/>
    <cellStyle name="Normal 402 5 3" xfId="30606" xr:uid="{00000000-0005-0000-0000-00008E770000}"/>
    <cellStyle name="Normal 402 6" xfId="30607" xr:uid="{00000000-0005-0000-0000-00008F770000}"/>
    <cellStyle name="Normal 402 6 2" xfId="30608" xr:uid="{00000000-0005-0000-0000-000090770000}"/>
    <cellStyle name="Normal 402 6 2 2" xfId="30609" xr:uid="{00000000-0005-0000-0000-000091770000}"/>
    <cellStyle name="Normal 402 6 3" xfId="30610" xr:uid="{00000000-0005-0000-0000-000092770000}"/>
    <cellStyle name="Normal 402 7" xfId="30611" xr:uid="{00000000-0005-0000-0000-000093770000}"/>
    <cellStyle name="Normal 403" xfId="30612" xr:uid="{00000000-0005-0000-0000-000094770000}"/>
    <cellStyle name="Normal 403 2" xfId="30613" xr:uid="{00000000-0005-0000-0000-000095770000}"/>
    <cellStyle name="Normal 403 2 2" xfId="30614" xr:uid="{00000000-0005-0000-0000-000096770000}"/>
    <cellStyle name="Normal 403 2 2 2" xfId="30615" xr:uid="{00000000-0005-0000-0000-000097770000}"/>
    <cellStyle name="Normal 403 2 3" xfId="30616" xr:uid="{00000000-0005-0000-0000-000098770000}"/>
    <cellStyle name="Normal 403 2 3 2" xfId="30617" xr:uid="{00000000-0005-0000-0000-000099770000}"/>
    <cellStyle name="Normal 403 2 3 2 2" xfId="30618" xr:uid="{00000000-0005-0000-0000-00009A770000}"/>
    <cellStyle name="Normal 403 2 3 3" xfId="30619" xr:uid="{00000000-0005-0000-0000-00009B770000}"/>
    <cellStyle name="Normal 403 2 4" xfId="30620" xr:uid="{00000000-0005-0000-0000-00009C770000}"/>
    <cellStyle name="Normal 403 2 4 2" xfId="30621" xr:uid="{00000000-0005-0000-0000-00009D770000}"/>
    <cellStyle name="Normal 403 2 4 2 2" xfId="30622" xr:uid="{00000000-0005-0000-0000-00009E770000}"/>
    <cellStyle name="Normal 403 2 4 3" xfId="30623" xr:uid="{00000000-0005-0000-0000-00009F770000}"/>
    <cellStyle name="Normal 403 2 5" xfId="30624" xr:uid="{00000000-0005-0000-0000-0000A0770000}"/>
    <cellStyle name="Normal 403 3" xfId="30625" xr:uid="{00000000-0005-0000-0000-0000A1770000}"/>
    <cellStyle name="Normal 403 3 2" xfId="30626" xr:uid="{00000000-0005-0000-0000-0000A2770000}"/>
    <cellStyle name="Normal 403 3 2 2" xfId="30627" xr:uid="{00000000-0005-0000-0000-0000A3770000}"/>
    <cellStyle name="Normal 403 3 2 2 2" xfId="30628" xr:uid="{00000000-0005-0000-0000-0000A4770000}"/>
    <cellStyle name="Normal 403 3 2 3" xfId="30629" xr:uid="{00000000-0005-0000-0000-0000A5770000}"/>
    <cellStyle name="Normal 403 3 2 3 2" xfId="30630" xr:uid="{00000000-0005-0000-0000-0000A6770000}"/>
    <cellStyle name="Normal 403 3 2 3 2 2" xfId="30631" xr:uid="{00000000-0005-0000-0000-0000A7770000}"/>
    <cellStyle name="Normal 403 3 2 3 3" xfId="30632" xr:uid="{00000000-0005-0000-0000-0000A8770000}"/>
    <cellStyle name="Normal 403 3 2 4" xfId="30633" xr:uid="{00000000-0005-0000-0000-0000A9770000}"/>
    <cellStyle name="Normal 403 3 3" xfId="30634" xr:uid="{00000000-0005-0000-0000-0000AA770000}"/>
    <cellStyle name="Normal 403 3 3 2" xfId="30635" xr:uid="{00000000-0005-0000-0000-0000AB770000}"/>
    <cellStyle name="Normal 403 3 3 2 2" xfId="30636" xr:uid="{00000000-0005-0000-0000-0000AC770000}"/>
    <cellStyle name="Normal 403 3 3 3" xfId="30637" xr:uid="{00000000-0005-0000-0000-0000AD770000}"/>
    <cellStyle name="Normal 403 3 4" xfId="30638" xr:uid="{00000000-0005-0000-0000-0000AE770000}"/>
    <cellStyle name="Normal 403 3 4 2" xfId="30639" xr:uid="{00000000-0005-0000-0000-0000AF770000}"/>
    <cellStyle name="Normal 403 3 4 2 2" xfId="30640" xr:uid="{00000000-0005-0000-0000-0000B0770000}"/>
    <cellStyle name="Normal 403 3 4 3" xfId="30641" xr:uid="{00000000-0005-0000-0000-0000B1770000}"/>
    <cellStyle name="Normal 403 3 5" xfId="30642" xr:uid="{00000000-0005-0000-0000-0000B2770000}"/>
    <cellStyle name="Normal 403 3 5 2" xfId="30643" xr:uid="{00000000-0005-0000-0000-0000B3770000}"/>
    <cellStyle name="Normal 403 3 5 2 2" xfId="30644" xr:uid="{00000000-0005-0000-0000-0000B4770000}"/>
    <cellStyle name="Normal 403 3 5 3" xfId="30645" xr:uid="{00000000-0005-0000-0000-0000B5770000}"/>
    <cellStyle name="Normal 403 3 6" xfId="30646" xr:uid="{00000000-0005-0000-0000-0000B6770000}"/>
    <cellStyle name="Normal 403 4" xfId="30647" xr:uid="{00000000-0005-0000-0000-0000B7770000}"/>
    <cellStyle name="Normal 403 4 2" xfId="30648" xr:uid="{00000000-0005-0000-0000-0000B8770000}"/>
    <cellStyle name="Normal 403 4 2 2" xfId="30649" xr:uid="{00000000-0005-0000-0000-0000B9770000}"/>
    <cellStyle name="Normal 403 4 3" xfId="30650" xr:uid="{00000000-0005-0000-0000-0000BA770000}"/>
    <cellStyle name="Normal 403 5" xfId="30651" xr:uid="{00000000-0005-0000-0000-0000BB770000}"/>
    <cellStyle name="Normal 403 5 2" xfId="30652" xr:uid="{00000000-0005-0000-0000-0000BC770000}"/>
    <cellStyle name="Normal 403 5 2 2" xfId="30653" xr:uid="{00000000-0005-0000-0000-0000BD770000}"/>
    <cellStyle name="Normal 403 5 3" xfId="30654" xr:uid="{00000000-0005-0000-0000-0000BE770000}"/>
    <cellStyle name="Normal 403 6" xfId="30655" xr:uid="{00000000-0005-0000-0000-0000BF770000}"/>
    <cellStyle name="Normal 403 6 2" xfId="30656" xr:uid="{00000000-0005-0000-0000-0000C0770000}"/>
    <cellStyle name="Normal 403 6 2 2" xfId="30657" xr:uid="{00000000-0005-0000-0000-0000C1770000}"/>
    <cellStyle name="Normal 403 6 3" xfId="30658" xr:uid="{00000000-0005-0000-0000-0000C2770000}"/>
    <cellStyle name="Normal 403 7" xfId="30659" xr:uid="{00000000-0005-0000-0000-0000C3770000}"/>
    <cellStyle name="Normal 404" xfId="30660" xr:uid="{00000000-0005-0000-0000-0000C4770000}"/>
    <cellStyle name="Normal 404 2" xfId="30661" xr:uid="{00000000-0005-0000-0000-0000C5770000}"/>
    <cellStyle name="Normal 404 2 2" xfId="30662" xr:uid="{00000000-0005-0000-0000-0000C6770000}"/>
    <cellStyle name="Normal 404 2 2 2" xfId="30663" xr:uid="{00000000-0005-0000-0000-0000C7770000}"/>
    <cellStyle name="Normal 404 2 3" xfId="30664" xr:uid="{00000000-0005-0000-0000-0000C8770000}"/>
    <cellStyle name="Normal 404 2 3 2" xfId="30665" xr:uid="{00000000-0005-0000-0000-0000C9770000}"/>
    <cellStyle name="Normal 404 2 3 2 2" xfId="30666" xr:uid="{00000000-0005-0000-0000-0000CA770000}"/>
    <cellStyle name="Normal 404 2 3 3" xfId="30667" xr:uid="{00000000-0005-0000-0000-0000CB770000}"/>
    <cellStyle name="Normal 404 2 4" xfId="30668" xr:uid="{00000000-0005-0000-0000-0000CC770000}"/>
    <cellStyle name="Normal 404 2 4 2" xfId="30669" xr:uid="{00000000-0005-0000-0000-0000CD770000}"/>
    <cellStyle name="Normal 404 2 4 2 2" xfId="30670" xr:uid="{00000000-0005-0000-0000-0000CE770000}"/>
    <cellStyle name="Normal 404 2 4 3" xfId="30671" xr:uid="{00000000-0005-0000-0000-0000CF770000}"/>
    <cellStyle name="Normal 404 2 5" xfId="30672" xr:uid="{00000000-0005-0000-0000-0000D0770000}"/>
    <cellStyle name="Normal 404 3" xfId="30673" xr:uid="{00000000-0005-0000-0000-0000D1770000}"/>
    <cellStyle name="Normal 404 3 2" xfId="30674" xr:uid="{00000000-0005-0000-0000-0000D2770000}"/>
    <cellStyle name="Normal 404 3 2 2" xfId="30675" xr:uid="{00000000-0005-0000-0000-0000D3770000}"/>
    <cellStyle name="Normal 404 3 2 2 2" xfId="30676" xr:uid="{00000000-0005-0000-0000-0000D4770000}"/>
    <cellStyle name="Normal 404 3 2 3" xfId="30677" xr:uid="{00000000-0005-0000-0000-0000D5770000}"/>
    <cellStyle name="Normal 404 3 2 3 2" xfId="30678" xr:uid="{00000000-0005-0000-0000-0000D6770000}"/>
    <cellStyle name="Normal 404 3 2 3 2 2" xfId="30679" xr:uid="{00000000-0005-0000-0000-0000D7770000}"/>
    <cellStyle name="Normal 404 3 2 3 3" xfId="30680" xr:uid="{00000000-0005-0000-0000-0000D8770000}"/>
    <cellStyle name="Normal 404 3 2 4" xfId="30681" xr:uid="{00000000-0005-0000-0000-0000D9770000}"/>
    <cellStyle name="Normal 404 3 3" xfId="30682" xr:uid="{00000000-0005-0000-0000-0000DA770000}"/>
    <cellStyle name="Normal 404 3 3 2" xfId="30683" xr:uid="{00000000-0005-0000-0000-0000DB770000}"/>
    <cellStyle name="Normal 404 3 3 2 2" xfId="30684" xr:uid="{00000000-0005-0000-0000-0000DC770000}"/>
    <cellStyle name="Normal 404 3 3 3" xfId="30685" xr:uid="{00000000-0005-0000-0000-0000DD770000}"/>
    <cellStyle name="Normal 404 3 4" xfId="30686" xr:uid="{00000000-0005-0000-0000-0000DE770000}"/>
    <cellStyle name="Normal 404 3 4 2" xfId="30687" xr:uid="{00000000-0005-0000-0000-0000DF770000}"/>
    <cellStyle name="Normal 404 3 4 2 2" xfId="30688" xr:uid="{00000000-0005-0000-0000-0000E0770000}"/>
    <cellStyle name="Normal 404 3 4 3" xfId="30689" xr:uid="{00000000-0005-0000-0000-0000E1770000}"/>
    <cellStyle name="Normal 404 3 5" xfId="30690" xr:uid="{00000000-0005-0000-0000-0000E2770000}"/>
    <cellStyle name="Normal 404 3 5 2" xfId="30691" xr:uid="{00000000-0005-0000-0000-0000E3770000}"/>
    <cellStyle name="Normal 404 3 5 2 2" xfId="30692" xr:uid="{00000000-0005-0000-0000-0000E4770000}"/>
    <cellStyle name="Normal 404 3 5 3" xfId="30693" xr:uid="{00000000-0005-0000-0000-0000E5770000}"/>
    <cellStyle name="Normal 404 3 6" xfId="30694" xr:uid="{00000000-0005-0000-0000-0000E6770000}"/>
    <cellStyle name="Normal 404 4" xfId="30695" xr:uid="{00000000-0005-0000-0000-0000E7770000}"/>
    <cellStyle name="Normal 404 4 2" xfId="30696" xr:uid="{00000000-0005-0000-0000-0000E8770000}"/>
    <cellStyle name="Normal 404 4 2 2" xfId="30697" xr:uid="{00000000-0005-0000-0000-0000E9770000}"/>
    <cellStyle name="Normal 404 4 3" xfId="30698" xr:uid="{00000000-0005-0000-0000-0000EA770000}"/>
    <cellStyle name="Normal 404 5" xfId="30699" xr:uid="{00000000-0005-0000-0000-0000EB770000}"/>
    <cellStyle name="Normal 404 5 2" xfId="30700" xr:uid="{00000000-0005-0000-0000-0000EC770000}"/>
    <cellStyle name="Normal 404 5 2 2" xfId="30701" xr:uid="{00000000-0005-0000-0000-0000ED770000}"/>
    <cellStyle name="Normal 404 5 3" xfId="30702" xr:uid="{00000000-0005-0000-0000-0000EE770000}"/>
    <cellStyle name="Normal 404 6" xfId="30703" xr:uid="{00000000-0005-0000-0000-0000EF770000}"/>
    <cellStyle name="Normal 404 6 2" xfId="30704" xr:uid="{00000000-0005-0000-0000-0000F0770000}"/>
    <cellStyle name="Normal 404 6 2 2" xfId="30705" xr:uid="{00000000-0005-0000-0000-0000F1770000}"/>
    <cellStyle name="Normal 404 6 3" xfId="30706" xr:uid="{00000000-0005-0000-0000-0000F2770000}"/>
    <cellStyle name="Normal 404 7" xfId="30707" xr:uid="{00000000-0005-0000-0000-0000F3770000}"/>
    <cellStyle name="Normal 405" xfId="30708" xr:uid="{00000000-0005-0000-0000-0000F4770000}"/>
    <cellStyle name="Normal 405 2" xfId="30709" xr:uid="{00000000-0005-0000-0000-0000F5770000}"/>
    <cellStyle name="Normal 405 2 2" xfId="30710" xr:uid="{00000000-0005-0000-0000-0000F6770000}"/>
    <cellStyle name="Normal 405 2 2 2" xfId="30711" xr:uid="{00000000-0005-0000-0000-0000F7770000}"/>
    <cellStyle name="Normal 405 2 3" xfId="30712" xr:uid="{00000000-0005-0000-0000-0000F8770000}"/>
    <cellStyle name="Normal 405 2 3 2" xfId="30713" xr:uid="{00000000-0005-0000-0000-0000F9770000}"/>
    <cellStyle name="Normal 405 2 3 2 2" xfId="30714" xr:uid="{00000000-0005-0000-0000-0000FA770000}"/>
    <cellStyle name="Normal 405 2 3 3" xfId="30715" xr:uid="{00000000-0005-0000-0000-0000FB770000}"/>
    <cellStyle name="Normal 405 2 4" xfId="30716" xr:uid="{00000000-0005-0000-0000-0000FC770000}"/>
    <cellStyle name="Normal 405 2 4 2" xfId="30717" xr:uid="{00000000-0005-0000-0000-0000FD770000}"/>
    <cellStyle name="Normal 405 2 4 2 2" xfId="30718" xr:uid="{00000000-0005-0000-0000-0000FE770000}"/>
    <cellStyle name="Normal 405 2 4 3" xfId="30719" xr:uid="{00000000-0005-0000-0000-0000FF770000}"/>
    <cellStyle name="Normal 405 2 5" xfId="30720" xr:uid="{00000000-0005-0000-0000-000000780000}"/>
    <cellStyle name="Normal 405 3" xfId="30721" xr:uid="{00000000-0005-0000-0000-000001780000}"/>
    <cellStyle name="Normal 405 3 2" xfId="30722" xr:uid="{00000000-0005-0000-0000-000002780000}"/>
    <cellStyle name="Normal 405 3 2 2" xfId="30723" xr:uid="{00000000-0005-0000-0000-000003780000}"/>
    <cellStyle name="Normal 405 3 2 2 2" xfId="30724" xr:uid="{00000000-0005-0000-0000-000004780000}"/>
    <cellStyle name="Normal 405 3 2 3" xfId="30725" xr:uid="{00000000-0005-0000-0000-000005780000}"/>
    <cellStyle name="Normal 405 3 2 3 2" xfId="30726" xr:uid="{00000000-0005-0000-0000-000006780000}"/>
    <cellStyle name="Normal 405 3 2 3 2 2" xfId="30727" xr:uid="{00000000-0005-0000-0000-000007780000}"/>
    <cellStyle name="Normal 405 3 2 3 3" xfId="30728" xr:uid="{00000000-0005-0000-0000-000008780000}"/>
    <cellStyle name="Normal 405 3 2 4" xfId="30729" xr:uid="{00000000-0005-0000-0000-000009780000}"/>
    <cellStyle name="Normal 405 3 3" xfId="30730" xr:uid="{00000000-0005-0000-0000-00000A780000}"/>
    <cellStyle name="Normal 405 3 3 2" xfId="30731" xr:uid="{00000000-0005-0000-0000-00000B780000}"/>
    <cellStyle name="Normal 405 3 3 2 2" xfId="30732" xr:uid="{00000000-0005-0000-0000-00000C780000}"/>
    <cellStyle name="Normal 405 3 3 3" xfId="30733" xr:uid="{00000000-0005-0000-0000-00000D780000}"/>
    <cellStyle name="Normal 405 3 4" xfId="30734" xr:uid="{00000000-0005-0000-0000-00000E780000}"/>
    <cellStyle name="Normal 405 3 4 2" xfId="30735" xr:uid="{00000000-0005-0000-0000-00000F780000}"/>
    <cellStyle name="Normal 405 3 4 2 2" xfId="30736" xr:uid="{00000000-0005-0000-0000-000010780000}"/>
    <cellStyle name="Normal 405 3 4 3" xfId="30737" xr:uid="{00000000-0005-0000-0000-000011780000}"/>
    <cellStyle name="Normal 405 3 5" xfId="30738" xr:uid="{00000000-0005-0000-0000-000012780000}"/>
    <cellStyle name="Normal 405 3 5 2" xfId="30739" xr:uid="{00000000-0005-0000-0000-000013780000}"/>
    <cellStyle name="Normal 405 3 5 2 2" xfId="30740" xr:uid="{00000000-0005-0000-0000-000014780000}"/>
    <cellStyle name="Normal 405 3 5 3" xfId="30741" xr:uid="{00000000-0005-0000-0000-000015780000}"/>
    <cellStyle name="Normal 405 3 6" xfId="30742" xr:uid="{00000000-0005-0000-0000-000016780000}"/>
    <cellStyle name="Normal 405 4" xfId="30743" xr:uid="{00000000-0005-0000-0000-000017780000}"/>
    <cellStyle name="Normal 405 4 2" xfId="30744" xr:uid="{00000000-0005-0000-0000-000018780000}"/>
    <cellStyle name="Normal 405 4 2 2" xfId="30745" xr:uid="{00000000-0005-0000-0000-000019780000}"/>
    <cellStyle name="Normal 405 4 3" xfId="30746" xr:uid="{00000000-0005-0000-0000-00001A780000}"/>
    <cellStyle name="Normal 405 5" xfId="30747" xr:uid="{00000000-0005-0000-0000-00001B780000}"/>
    <cellStyle name="Normal 405 5 2" xfId="30748" xr:uid="{00000000-0005-0000-0000-00001C780000}"/>
    <cellStyle name="Normal 405 5 2 2" xfId="30749" xr:uid="{00000000-0005-0000-0000-00001D780000}"/>
    <cellStyle name="Normal 405 5 3" xfId="30750" xr:uid="{00000000-0005-0000-0000-00001E780000}"/>
    <cellStyle name="Normal 405 6" xfId="30751" xr:uid="{00000000-0005-0000-0000-00001F780000}"/>
    <cellStyle name="Normal 405 6 2" xfId="30752" xr:uid="{00000000-0005-0000-0000-000020780000}"/>
    <cellStyle name="Normal 405 6 2 2" xfId="30753" xr:uid="{00000000-0005-0000-0000-000021780000}"/>
    <cellStyle name="Normal 405 6 3" xfId="30754" xr:uid="{00000000-0005-0000-0000-000022780000}"/>
    <cellStyle name="Normal 405 7" xfId="30755" xr:uid="{00000000-0005-0000-0000-000023780000}"/>
    <cellStyle name="Normal 406" xfId="30756" xr:uid="{00000000-0005-0000-0000-000024780000}"/>
    <cellStyle name="Normal 406 2" xfId="30757" xr:uid="{00000000-0005-0000-0000-000025780000}"/>
    <cellStyle name="Normal 406 2 2" xfId="30758" xr:uid="{00000000-0005-0000-0000-000026780000}"/>
    <cellStyle name="Normal 406 2 2 2" xfId="30759" xr:uid="{00000000-0005-0000-0000-000027780000}"/>
    <cellStyle name="Normal 406 2 3" xfId="30760" xr:uid="{00000000-0005-0000-0000-000028780000}"/>
    <cellStyle name="Normal 406 2 3 2" xfId="30761" xr:uid="{00000000-0005-0000-0000-000029780000}"/>
    <cellStyle name="Normal 406 2 3 2 2" xfId="30762" xr:uid="{00000000-0005-0000-0000-00002A780000}"/>
    <cellStyle name="Normal 406 2 3 3" xfId="30763" xr:uid="{00000000-0005-0000-0000-00002B780000}"/>
    <cellStyle name="Normal 406 2 4" xfId="30764" xr:uid="{00000000-0005-0000-0000-00002C780000}"/>
    <cellStyle name="Normal 406 2 4 2" xfId="30765" xr:uid="{00000000-0005-0000-0000-00002D780000}"/>
    <cellStyle name="Normal 406 2 4 2 2" xfId="30766" xr:uid="{00000000-0005-0000-0000-00002E780000}"/>
    <cellStyle name="Normal 406 2 4 3" xfId="30767" xr:uid="{00000000-0005-0000-0000-00002F780000}"/>
    <cellStyle name="Normal 406 2 5" xfId="30768" xr:uid="{00000000-0005-0000-0000-000030780000}"/>
    <cellStyle name="Normal 406 3" xfId="30769" xr:uid="{00000000-0005-0000-0000-000031780000}"/>
    <cellStyle name="Normal 406 3 2" xfId="30770" xr:uid="{00000000-0005-0000-0000-000032780000}"/>
    <cellStyle name="Normal 406 3 2 2" xfId="30771" xr:uid="{00000000-0005-0000-0000-000033780000}"/>
    <cellStyle name="Normal 406 3 2 2 2" xfId="30772" xr:uid="{00000000-0005-0000-0000-000034780000}"/>
    <cellStyle name="Normal 406 3 2 3" xfId="30773" xr:uid="{00000000-0005-0000-0000-000035780000}"/>
    <cellStyle name="Normal 406 3 2 3 2" xfId="30774" xr:uid="{00000000-0005-0000-0000-000036780000}"/>
    <cellStyle name="Normal 406 3 2 3 2 2" xfId="30775" xr:uid="{00000000-0005-0000-0000-000037780000}"/>
    <cellStyle name="Normal 406 3 2 3 3" xfId="30776" xr:uid="{00000000-0005-0000-0000-000038780000}"/>
    <cellStyle name="Normal 406 3 2 4" xfId="30777" xr:uid="{00000000-0005-0000-0000-000039780000}"/>
    <cellStyle name="Normal 406 3 3" xfId="30778" xr:uid="{00000000-0005-0000-0000-00003A780000}"/>
    <cellStyle name="Normal 406 3 3 2" xfId="30779" xr:uid="{00000000-0005-0000-0000-00003B780000}"/>
    <cellStyle name="Normal 406 3 3 2 2" xfId="30780" xr:uid="{00000000-0005-0000-0000-00003C780000}"/>
    <cellStyle name="Normal 406 3 3 3" xfId="30781" xr:uid="{00000000-0005-0000-0000-00003D780000}"/>
    <cellStyle name="Normal 406 3 4" xfId="30782" xr:uid="{00000000-0005-0000-0000-00003E780000}"/>
    <cellStyle name="Normal 406 3 4 2" xfId="30783" xr:uid="{00000000-0005-0000-0000-00003F780000}"/>
    <cellStyle name="Normal 406 3 4 2 2" xfId="30784" xr:uid="{00000000-0005-0000-0000-000040780000}"/>
    <cellStyle name="Normal 406 3 4 3" xfId="30785" xr:uid="{00000000-0005-0000-0000-000041780000}"/>
    <cellStyle name="Normal 406 3 5" xfId="30786" xr:uid="{00000000-0005-0000-0000-000042780000}"/>
    <cellStyle name="Normal 406 3 5 2" xfId="30787" xr:uid="{00000000-0005-0000-0000-000043780000}"/>
    <cellStyle name="Normal 406 3 5 2 2" xfId="30788" xr:uid="{00000000-0005-0000-0000-000044780000}"/>
    <cellStyle name="Normal 406 3 5 3" xfId="30789" xr:uid="{00000000-0005-0000-0000-000045780000}"/>
    <cellStyle name="Normal 406 3 6" xfId="30790" xr:uid="{00000000-0005-0000-0000-000046780000}"/>
    <cellStyle name="Normal 406 4" xfId="30791" xr:uid="{00000000-0005-0000-0000-000047780000}"/>
    <cellStyle name="Normal 406 4 2" xfId="30792" xr:uid="{00000000-0005-0000-0000-000048780000}"/>
    <cellStyle name="Normal 406 4 2 2" xfId="30793" xr:uid="{00000000-0005-0000-0000-000049780000}"/>
    <cellStyle name="Normal 406 4 3" xfId="30794" xr:uid="{00000000-0005-0000-0000-00004A780000}"/>
    <cellStyle name="Normal 406 5" xfId="30795" xr:uid="{00000000-0005-0000-0000-00004B780000}"/>
    <cellStyle name="Normal 406 5 2" xfId="30796" xr:uid="{00000000-0005-0000-0000-00004C780000}"/>
    <cellStyle name="Normal 406 5 2 2" xfId="30797" xr:uid="{00000000-0005-0000-0000-00004D780000}"/>
    <cellStyle name="Normal 406 5 3" xfId="30798" xr:uid="{00000000-0005-0000-0000-00004E780000}"/>
    <cellStyle name="Normal 406 6" xfId="30799" xr:uid="{00000000-0005-0000-0000-00004F780000}"/>
    <cellStyle name="Normal 406 6 2" xfId="30800" xr:uid="{00000000-0005-0000-0000-000050780000}"/>
    <cellStyle name="Normal 406 6 2 2" xfId="30801" xr:uid="{00000000-0005-0000-0000-000051780000}"/>
    <cellStyle name="Normal 406 6 3" xfId="30802" xr:uid="{00000000-0005-0000-0000-000052780000}"/>
    <cellStyle name="Normal 406 7" xfId="30803" xr:uid="{00000000-0005-0000-0000-000053780000}"/>
    <cellStyle name="Normal 407" xfId="30804" xr:uid="{00000000-0005-0000-0000-000054780000}"/>
    <cellStyle name="Normal 407 2" xfId="30805" xr:uid="{00000000-0005-0000-0000-000055780000}"/>
    <cellStyle name="Normal 407 2 2" xfId="30806" xr:uid="{00000000-0005-0000-0000-000056780000}"/>
    <cellStyle name="Normal 407 2 2 2" xfId="30807" xr:uid="{00000000-0005-0000-0000-000057780000}"/>
    <cellStyle name="Normal 407 2 3" xfId="30808" xr:uid="{00000000-0005-0000-0000-000058780000}"/>
    <cellStyle name="Normal 407 2 3 2" xfId="30809" xr:uid="{00000000-0005-0000-0000-000059780000}"/>
    <cellStyle name="Normal 407 2 3 2 2" xfId="30810" xr:uid="{00000000-0005-0000-0000-00005A780000}"/>
    <cellStyle name="Normal 407 2 3 3" xfId="30811" xr:uid="{00000000-0005-0000-0000-00005B780000}"/>
    <cellStyle name="Normal 407 2 4" xfId="30812" xr:uid="{00000000-0005-0000-0000-00005C780000}"/>
    <cellStyle name="Normal 407 2 4 2" xfId="30813" xr:uid="{00000000-0005-0000-0000-00005D780000}"/>
    <cellStyle name="Normal 407 2 4 2 2" xfId="30814" xr:uid="{00000000-0005-0000-0000-00005E780000}"/>
    <cellStyle name="Normal 407 2 4 3" xfId="30815" xr:uid="{00000000-0005-0000-0000-00005F780000}"/>
    <cellStyle name="Normal 407 2 5" xfId="30816" xr:uid="{00000000-0005-0000-0000-000060780000}"/>
    <cellStyle name="Normal 407 3" xfId="30817" xr:uid="{00000000-0005-0000-0000-000061780000}"/>
    <cellStyle name="Normal 407 3 2" xfId="30818" xr:uid="{00000000-0005-0000-0000-000062780000}"/>
    <cellStyle name="Normal 407 3 2 2" xfId="30819" xr:uid="{00000000-0005-0000-0000-000063780000}"/>
    <cellStyle name="Normal 407 3 2 2 2" xfId="30820" xr:uid="{00000000-0005-0000-0000-000064780000}"/>
    <cellStyle name="Normal 407 3 2 3" xfId="30821" xr:uid="{00000000-0005-0000-0000-000065780000}"/>
    <cellStyle name="Normal 407 3 2 3 2" xfId="30822" xr:uid="{00000000-0005-0000-0000-000066780000}"/>
    <cellStyle name="Normal 407 3 2 3 2 2" xfId="30823" xr:uid="{00000000-0005-0000-0000-000067780000}"/>
    <cellStyle name="Normal 407 3 2 3 3" xfId="30824" xr:uid="{00000000-0005-0000-0000-000068780000}"/>
    <cellStyle name="Normal 407 3 2 4" xfId="30825" xr:uid="{00000000-0005-0000-0000-000069780000}"/>
    <cellStyle name="Normal 407 3 3" xfId="30826" xr:uid="{00000000-0005-0000-0000-00006A780000}"/>
    <cellStyle name="Normal 407 3 3 2" xfId="30827" xr:uid="{00000000-0005-0000-0000-00006B780000}"/>
    <cellStyle name="Normal 407 3 3 2 2" xfId="30828" xr:uid="{00000000-0005-0000-0000-00006C780000}"/>
    <cellStyle name="Normal 407 3 3 3" xfId="30829" xr:uid="{00000000-0005-0000-0000-00006D780000}"/>
    <cellStyle name="Normal 407 3 4" xfId="30830" xr:uid="{00000000-0005-0000-0000-00006E780000}"/>
    <cellStyle name="Normal 407 3 4 2" xfId="30831" xr:uid="{00000000-0005-0000-0000-00006F780000}"/>
    <cellStyle name="Normal 407 3 4 2 2" xfId="30832" xr:uid="{00000000-0005-0000-0000-000070780000}"/>
    <cellStyle name="Normal 407 3 4 3" xfId="30833" xr:uid="{00000000-0005-0000-0000-000071780000}"/>
    <cellStyle name="Normal 407 3 5" xfId="30834" xr:uid="{00000000-0005-0000-0000-000072780000}"/>
    <cellStyle name="Normal 407 3 5 2" xfId="30835" xr:uid="{00000000-0005-0000-0000-000073780000}"/>
    <cellStyle name="Normal 407 3 5 2 2" xfId="30836" xr:uid="{00000000-0005-0000-0000-000074780000}"/>
    <cellStyle name="Normal 407 3 5 3" xfId="30837" xr:uid="{00000000-0005-0000-0000-000075780000}"/>
    <cellStyle name="Normal 407 3 6" xfId="30838" xr:uid="{00000000-0005-0000-0000-000076780000}"/>
    <cellStyle name="Normal 407 4" xfId="30839" xr:uid="{00000000-0005-0000-0000-000077780000}"/>
    <cellStyle name="Normal 407 4 2" xfId="30840" xr:uid="{00000000-0005-0000-0000-000078780000}"/>
    <cellStyle name="Normal 407 4 2 2" xfId="30841" xr:uid="{00000000-0005-0000-0000-000079780000}"/>
    <cellStyle name="Normal 407 4 3" xfId="30842" xr:uid="{00000000-0005-0000-0000-00007A780000}"/>
    <cellStyle name="Normal 407 5" xfId="30843" xr:uid="{00000000-0005-0000-0000-00007B780000}"/>
    <cellStyle name="Normal 407 5 2" xfId="30844" xr:uid="{00000000-0005-0000-0000-00007C780000}"/>
    <cellStyle name="Normal 407 5 2 2" xfId="30845" xr:uid="{00000000-0005-0000-0000-00007D780000}"/>
    <cellStyle name="Normal 407 5 3" xfId="30846" xr:uid="{00000000-0005-0000-0000-00007E780000}"/>
    <cellStyle name="Normal 407 6" xfId="30847" xr:uid="{00000000-0005-0000-0000-00007F780000}"/>
    <cellStyle name="Normal 407 6 2" xfId="30848" xr:uid="{00000000-0005-0000-0000-000080780000}"/>
    <cellStyle name="Normal 407 6 2 2" xfId="30849" xr:uid="{00000000-0005-0000-0000-000081780000}"/>
    <cellStyle name="Normal 407 6 3" xfId="30850" xr:uid="{00000000-0005-0000-0000-000082780000}"/>
    <cellStyle name="Normal 407 7" xfId="30851" xr:uid="{00000000-0005-0000-0000-000083780000}"/>
    <cellStyle name="Normal 408" xfId="30852" xr:uid="{00000000-0005-0000-0000-000084780000}"/>
    <cellStyle name="Normal 408 2" xfId="30853" xr:uid="{00000000-0005-0000-0000-000085780000}"/>
    <cellStyle name="Normal 408 2 2" xfId="30854" xr:uid="{00000000-0005-0000-0000-000086780000}"/>
    <cellStyle name="Normal 408 2 2 2" xfId="30855" xr:uid="{00000000-0005-0000-0000-000087780000}"/>
    <cellStyle name="Normal 408 2 3" xfId="30856" xr:uid="{00000000-0005-0000-0000-000088780000}"/>
    <cellStyle name="Normal 408 2 3 2" xfId="30857" xr:uid="{00000000-0005-0000-0000-000089780000}"/>
    <cellStyle name="Normal 408 2 3 2 2" xfId="30858" xr:uid="{00000000-0005-0000-0000-00008A780000}"/>
    <cellStyle name="Normal 408 2 3 3" xfId="30859" xr:uid="{00000000-0005-0000-0000-00008B780000}"/>
    <cellStyle name="Normal 408 2 4" xfId="30860" xr:uid="{00000000-0005-0000-0000-00008C780000}"/>
    <cellStyle name="Normal 408 2 4 2" xfId="30861" xr:uid="{00000000-0005-0000-0000-00008D780000}"/>
    <cellStyle name="Normal 408 2 4 2 2" xfId="30862" xr:uid="{00000000-0005-0000-0000-00008E780000}"/>
    <cellStyle name="Normal 408 2 4 3" xfId="30863" xr:uid="{00000000-0005-0000-0000-00008F780000}"/>
    <cellStyle name="Normal 408 2 5" xfId="30864" xr:uid="{00000000-0005-0000-0000-000090780000}"/>
    <cellStyle name="Normal 408 3" xfId="30865" xr:uid="{00000000-0005-0000-0000-000091780000}"/>
    <cellStyle name="Normal 408 3 2" xfId="30866" xr:uid="{00000000-0005-0000-0000-000092780000}"/>
    <cellStyle name="Normal 408 3 2 2" xfId="30867" xr:uid="{00000000-0005-0000-0000-000093780000}"/>
    <cellStyle name="Normal 408 3 2 2 2" xfId="30868" xr:uid="{00000000-0005-0000-0000-000094780000}"/>
    <cellStyle name="Normal 408 3 2 3" xfId="30869" xr:uid="{00000000-0005-0000-0000-000095780000}"/>
    <cellStyle name="Normal 408 3 2 3 2" xfId="30870" xr:uid="{00000000-0005-0000-0000-000096780000}"/>
    <cellStyle name="Normal 408 3 2 3 2 2" xfId="30871" xr:uid="{00000000-0005-0000-0000-000097780000}"/>
    <cellStyle name="Normal 408 3 2 3 3" xfId="30872" xr:uid="{00000000-0005-0000-0000-000098780000}"/>
    <cellStyle name="Normal 408 3 2 4" xfId="30873" xr:uid="{00000000-0005-0000-0000-000099780000}"/>
    <cellStyle name="Normal 408 3 3" xfId="30874" xr:uid="{00000000-0005-0000-0000-00009A780000}"/>
    <cellStyle name="Normal 408 3 3 2" xfId="30875" xr:uid="{00000000-0005-0000-0000-00009B780000}"/>
    <cellStyle name="Normal 408 3 3 2 2" xfId="30876" xr:uid="{00000000-0005-0000-0000-00009C780000}"/>
    <cellStyle name="Normal 408 3 3 3" xfId="30877" xr:uid="{00000000-0005-0000-0000-00009D780000}"/>
    <cellStyle name="Normal 408 3 4" xfId="30878" xr:uid="{00000000-0005-0000-0000-00009E780000}"/>
    <cellStyle name="Normal 408 3 4 2" xfId="30879" xr:uid="{00000000-0005-0000-0000-00009F780000}"/>
    <cellStyle name="Normal 408 3 4 2 2" xfId="30880" xr:uid="{00000000-0005-0000-0000-0000A0780000}"/>
    <cellStyle name="Normal 408 3 4 3" xfId="30881" xr:uid="{00000000-0005-0000-0000-0000A1780000}"/>
    <cellStyle name="Normal 408 3 5" xfId="30882" xr:uid="{00000000-0005-0000-0000-0000A2780000}"/>
    <cellStyle name="Normal 408 3 5 2" xfId="30883" xr:uid="{00000000-0005-0000-0000-0000A3780000}"/>
    <cellStyle name="Normal 408 3 5 2 2" xfId="30884" xr:uid="{00000000-0005-0000-0000-0000A4780000}"/>
    <cellStyle name="Normal 408 3 5 3" xfId="30885" xr:uid="{00000000-0005-0000-0000-0000A5780000}"/>
    <cellStyle name="Normal 408 3 6" xfId="30886" xr:uid="{00000000-0005-0000-0000-0000A6780000}"/>
    <cellStyle name="Normal 408 4" xfId="30887" xr:uid="{00000000-0005-0000-0000-0000A7780000}"/>
    <cellStyle name="Normal 408 4 2" xfId="30888" xr:uid="{00000000-0005-0000-0000-0000A8780000}"/>
    <cellStyle name="Normal 408 4 2 2" xfId="30889" xr:uid="{00000000-0005-0000-0000-0000A9780000}"/>
    <cellStyle name="Normal 408 4 3" xfId="30890" xr:uid="{00000000-0005-0000-0000-0000AA780000}"/>
    <cellStyle name="Normal 408 5" xfId="30891" xr:uid="{00000000-0005-0000-0000-0000AB780000}"/>
    <cellStyle name="Normal 408 5 2" xfId="30892" xr:uid="{00000000-0005-0000-0000-0000AC780000}"/>
    <cellStyle name="Normal 408 5 2 2" xfId="30893" xr:uid="{00000000-0005-0000-0000-0000AD780000}"/>
    <cellStyle name="Normal 408 5 3" xfId="30894" xr:uid="{00000000-0005-0000-0000-0000AE780000}"/>
    <cellStyle name="Normal 408 6" xfId="30895" xr:uid="{00000000-0005-0000-0000-0000AF780000}"/>
    <cellStyle name="Normal 408 6 2" xfId="30896" xr:uid="{00000000-0005-0000-0000-0000B0780000}"/>
    <cellStyle name="Normal 408 6 2 2" xfId="30897" xr:uid="{00000000-0005-0000-0000-0000B1780000}"/>
    <cellStyle name="Normal 408 6 3" xfId="30898" xr:uid="{00000000-0005-0000-0000-0000B2780000}"/>
    <cellStyle name="Normal 408 7" xfId="30899" xr:uid="{00000000-0005-0000-0000-0000B3780000}"/>
    <cellStyle name="Normal 409" xfId="30900" xr:uid="{00000000-0005-0000-0000-0000B4780000}"/>
    <cellStyle name="Normal 409 2" xfId="30901" xr:uid="{00000000-0005-0000-0000-0000B5780000}"/>
    <cellStyle name="Normal 409 2 2" xfId="30902" xr:uid="{00000000-0005-0000-0000-0000B6780000}"/>
    <cellStyle name="Normal 409 2 2 2" xfId="30903" xr:uid="{00000000-0005-0000-0000-0000B7780000}"/>
    <cellStyle name="Normal 409 2 3" xfId="30904" xr:uid="{00000000-0005-0000-0000-0000B8780000}"/>
    <cellStyle name="Normal 409 2 3 2" xfId="30905" xr:uid="{00000000-0005-0000-0000-0000B9780000}"/>
    <cellStyle name="Normal 409 2 3 2 2" xfId="30906" xr:uid="{00000000-0005-0000-0000-0000BA780000}"/>
    <cellStyle name="Normal 409 2 3 3" xfId="30907" xr:uid="{00000000-0005-0000-0000-0000BB780000}"/>
    <cellStyle name="Normal 409 2 4" xfId="30908" xr:uid="{00000000-0005-0000-0000-0000BC780000}"/>
    <cellStyle name="Normal 409 2 4 2" xfId="30909" xr:uid="{00000000-0005-0000-0000-0000BD780000}"/>
    <cellStyle name="Normal 409 2 4 2 2" xfId="30910" xr:uid="{00000000-0005-0000-0000-0000BE780000}"/>
    <cellStyle name="Normal 409 2 4 3" xfId="30911" xr:uid="{00000000-0005-0000-0000-0000BF780000}"/>
    <cellStyle name="Normal 409 2 5" xfId="30912" xr:uid="{00000000-0005-0000-0000-0000C0780000}"/>
    <cellStyle name="Normal 409 3" xfId="30913" xr:uid="{00000000-0005-0000-0000-0000C1780000}"/>
    <cellStyle name="Normal 409 3 2" xfId="30914" xr:uid="{00000000-0005-0000-0000-0000C2780000}"/>
    <cellStyle name="Normal 409 3 2 2" xfId="30915" xr:uid="{00000000-0005-0000-0000-0000C3780000}"/>
    <cellStyle name="Normal 409 3 2 2 2" xfId="30916" xr:uid="{00000000-0005-0000-0000-0000C4780000}"/>
    <cellStyle name="Normal 409 3 2 3" xfId="30917" xr:uid="{00000000-0005-0000-0000-0000C5780000}"/>
    <cellStyle name="Normal 409 3 2 3 2" xfId="30918" xr:uid="{00000000-0005-0000-0000-0000C6780000}"/>
    <cellStyle name="Normal 409 3 2 3 2 2" xfId="30919" xr:uid="{00000000-0005-0000-0000-0000C7780000}"/>
    <cellStyle name="Normal 409 3 2 3 3" xfId="30920" xr:uid="{00000000-0005-0000-0000-0000C8780000}"/>
    <cellStyle name="Normal 409 3 2 4" xfId="30921" xr:uid="{00000000-0005-0000-0000-0000C9780000}"/>
    <cellStyle name="Normal 409 3 3" xfId="30922" xr:uid="{00000000-0005-0000-0000-0000CA780000}"/>
    <cellStyle name="Normal 409 3 3 2" xfId="30923" xr:uid="{00000000-0005-0000-0000-0000CB780000}"/>
    <cellStyle name="Normal 409 3 3 2 2" xfId="30924" xr:uid="{00000000-0005-0000-0000-0000CC780000}"/>
    <cellStyle name="Normal 409 3 3 3" xfId="30925" xr:uid="{00000000-0005-0000-0000-0000CD780000}"/>
    <cellStyle name="Normal 409 3 4" xfId="30926" xr:uid="{00000000-0005-0000-0000-0000CE780000}"/>
    <cellStyle name="Normal 409 3 4 2" xfId="30927" xr:uid="{00000000-0005-0000-0000-0000CF780000}"/>
    <cellStyle name="Normal 409 3 4 2 2" xfId="30928" xr:uid="{00000000-0005-0000-0000-0000D0780000}"/>
    <cellStyle name="Normal 409 3 4 3" xfId="30929" xr:uid="{00000000-0005-0000-0000-0000D1780000}"/>
    <cellStyle name="Normal 409 3 5" xfId="30930" xr:uid="{00000000-0005-0000-0000-0000D2780000}"/>
    <cellStyle name="Normal 409 3 5 2" xfId="30931" xr:uid="{00000000-0005-0000-0000-0000D3780000}"/>
    <cellStyle name="Normal 409 3 5 2 2" xfId="30932" xr:uid="{00000000-0005-0000-0000-0000D4780000}"/>
    <cellStyle name="Normal 409 3 5 3" xfId="30933" xr:uid="{00000000-0005-0000-0000-0000D5780000}"/>
    <cellStyle name="Normal 409 3 6" xfId="30934" xr:uid="{00000000-0005-0000-0000-0000D6780000}"/>
    <cellStyle name="Normal 409 4" xfId="30935" xr:uid="{00000000-0005-0000-0000-0000D7780000}"/>
    <cellStyle name="Normal 409 4 2" xfId="30936" xr:uid="{00000000-0005-0000-0000-0000D8780000}"/>
    <cellStyle name="Normal 409 4 2 2" xfId="30937" xr:uid="{00000000-0005-0000-0000-0000D9780000}"/>
    <cellStyle name="Normal 409 4 3" xfId="30938" xr:uid="{00000000-0005-0000-0000-0000DA780000}"/>
    <cellStyle name="Normal 409 5" xfId="30939" xr:uid="{00000000-0005-0000-0000-0000DB780000}"/>
    <cellStyle name="Normal 409 5 2" xfId="30940" xr:uid="{00000000-0005-0000-0000-0000DC780000}"/>
    <cellStyle name="Normal 409 5 2 2" xfId="30941" xr:uid="{00000000-0005-0000-0000-0000DD780000}"/>
    <cellStyle name="Normal 409 5 3" xfId="30942" xr:uid="{00000000-0005-0000-0000-0000DE780000}"/>
    <cellStyle name="Normal 409 6" xfId="30943" xr:uid="{00000000-0005-0000-0000-0000DF780000}"/>
    <cellStyle name="Normal 409 6 2" xfId="30944" xr:uid="{00000000-0005-0000-0000-0000E0780000}"/>
    <cellStyle name="Normal 409 6 2 2" xfId="30945" xr:uid="{00000000-0005-0000-0000-0000E1780000}"/>
    <cellStyle name="Normal 409 6 3" xfId="30946" xr:uid="{00000000-0005-0000-0000-0000E2780000}"/>
    <cellStyle name="Normal 409 7" xfId="30947" xr:uid="{00000000-0005-0000-0000-0000E3780000}"/>
    <cellStyle name="Normal 41" xfId="30948" xr:uid="{00000000-0005-0000-0000-0000E4780000}"/>
    <cellStyle name="Normal 41 2" xfId="30949" xr:uid="{00000000-0005-0000-0000-0000E5780000}"/>
    <cellStyle name="Normal 41 2 2" xfId="30950" xr:uid="{00000000-0005-0000-0000-0000E6780000}"/>
    <cellStyle name="Normal 41 2 2 2" xfId="30951" xr:uid="{00000000-0005-0000-0000-0000E7780000}"/>
    <cellStyle name="Normal 41 2 2 2 2" xfId="30952" xr:uid="{00000000-0005-0000-0000-0000E8780000}"/>
    <cellStyle name="Normal 41 2 2 3" xfId="30953" xr:uid="{00000000-0005-0000-0000-0000E9780000}"/>
    <cellStyle name="Normal 41 2 2 3 2" xfId="30954" xr:uid="{00000000-0005-0000-0000-0000EA780000}"/>
    <cellStyle name="Normal 41 2 2 3 2 2" xfId="30955" xr:uid="{00000000-0005-0000-0000-0000EB780000}"/>
    <cellStyle name="Normal 41 2 2 3 3" xfId="30956" xr:uid="{00000000-0005-0000-0000-0000EC780000}"/>
    <cellStyle name="Normal 41 2 2 4" xfId="30957" xr:uid="{00000000-0005-0000-0000-0000ED780000}"/>
    <cellStyle name="Normal 41 2 2 4 2" xfId="30958" xr:uid="{00000000-0005-0000-0000-0000EE780000}"/>
    <cellStyle name="Normal 41 2 2 4 2 2" xfId="30959" xr:uid="{00000000-0005-0000-0000-0000EF780000}"/>
    <cellStyle name="Normal 41 2 2 4 3" xfId="30960" xr:uid="{00000000-0005-0000-0000-0000F0780000}"/>
    <cellStyle name="Normal 41 2 2 5" xfId="30961" xr:uid="{00000000-0005-0000-0000-0000F1780000}"/>
    <cellStyle name="Normal 41 2 3" xfId="30962" xr:uid="{00000000-0005-0000-0000-0000F2780000}"/>
    <cellStyle name="Normal 41 2 3 2" xfId="30963" xr:uid="{00000000-0005-0000-0000-0000F3780000}"/>
    <cellStyle name="Normal 41 2 3 2 2" xfId="30964" xr:uid="{00000000-0005-0000-0000-0000F4780000}"/>
    <cellStyle name="Normal 41 2 3 3" xfId="30965" xr:uid="{00000000-0005-0000-0000-0000F5780000}"/>
    <cellStyle name="Normal 41 2 4" xfId="30966" xr:uid="{00000000-0005-0000-0000-0000F6780000}"/>
    <cellStyle name="Normal 41 2 4 2" xfId="30967" xr:uid="{00000000-0005-0000-0000-0000F7780000}"/>
    <cellStyle name="Normal 41 2 4 2 2" xfId="30968" xr:uid="{00000000-0005-0000-0000-0000F8780000}"/>
    <cellStyle name="Normal 41 2 4 3" xfId="30969" xr:uid="{00000000-0005-0000-0000-0000F9780000}"/>
    <cellStyle name="Normal 41 2 5" xfId="30970" xr:uid="{00000000-0005-0000-0000-0000FA780000}"/>
    <cellStyle name="Normal 41 2 5 2" xfId="30971" xr:uid="{00000000-0005-0000-0000-0000FB780000}"/>
    <cellStyle name="Normal 41 2 5 2 2" xfId="30972" xr:uid="{00000000-0005-0000-0000-0000FC780000}"/>
    <cellStyle name="Normal 41 2 5 3" xfId="30973" xr:uid="{00000000-0005-0000-0000-0000FD780000}"/>
    <cellStyle name="Normal 41 2 6" xfId="30974" xr:uid="{00000000-0005-0000-0000-0000FE780000}"/>
    <cellStyle name="Normal 41 3" xfId="30975" xr:uid="{00000000-0005-0000-0000-0000FF780000}"/>
    <cellStyle name="Normal 41 3 2" xfId="30976" xr:uid="{00000000-0005-0000-0000-000000790000}"/>
    <cellStyle name="Normal 41 3 2 2" xfId="30977" xr:uid="{00000000-0005-0000-0000-000001790000}"/>
    <cellStyle name="Normal 41 3 3" xfId="30978" xr:uid="{00000000-0005-0000-0000-000002790000}"/>
    <cellStyle name="Normal 41 3 3 2" xfId="30979" xr:uid="{00000000-0005-0000-0000-000003790000}"/>
    <cellStyle name="Normal 41 3 3 2 2" xfId="30980" xr:uid="{00000000-0005-0000-0000-000004790000}"/>
    <cellStyle name="Normal 41 3 3 3" xfId="30981" xr:uid="{00000000-0005-0000-0000-000005790000}"/>
    <cellStyle name="Normal 41 3 4" xfId="30982" xr:uid="{00000000-0005-0000-0000-000006790000}"/>
    <cellStyle name="Normal 41 3 4 2" xfId="30983" xr:uid="{00000000-0005-0000-0000-000007790000}"/>
    <cellStyle name="Normal 41 3 4 2 2" xfId="30984" xr:uid="{00000000-0005-0000-0000-000008790000}"/>
    <cellStyle name="Normal 41 3 4 3" xfId="30985" xr:uid="{00000000-0005-0000-0000-000009790000}"/>
    <cellStyle name="Normal 41 3 5" xfId="30986" xr:uid="{00000000-0005-0000-0000-00000A790000}"/>
    <cellStyle name="Normal 41 4" xfId="30987" xr:uid="{00000000-0005-0000-0000-00000B790000}"/>
    <cellStyle name="Normal 41 4 2" xfId="30988" xr:uid="{00000000-0005-0000-0000-00000C790000}"/>
    <cellStyle name="Normal 41 4 2 2" xfId="30989" xr:uid="{00000000-0005-0000-0000-00000D790000}"/>
    <cellStyle name="Normal 41 4 3" xfId="30990" xr:uid="{00000000-0005-0000-0000-00000E790000}"/>
    <cellStyle name="Normal 41 5" xfId="30991" xr:uid="{00000000-0005-0000-0000-00000F790000}"/>
    <cellStyle name="Normal 41 5 2" xfId="30992" xr:uid="{00000000-0005-0000-0000-000010790000}"/>
    <cellStyle name="Normal 41 5 2 2" xfId="30993" xr:uid="{00000000-0005-0000-0000-000011790000}"/>
    <cellStyle name="Normal 41 5 3" xfId="30994" xr:uid="{00000000-0005-0000-0000-000012790000}"/>
    <cellStyle name="Normal 41 6" xfId="30995" xr:uid="{00000000-0005-0000-0000-000013790000}"/>
    <cellStyle name="Normal 41 6 2" xfId="30996" xr:uid="{00000000-0005-0000-0000-000014790000}"/>
    <cellStyle name="Normal 41 6 2 2" xfId="30997" xr:uid="{00000000-0005-0000-0000-000015790000}"/>
    <cellStyle name="Normal 41 6 3" xfId="30998" xr:uid="{00000000-0005-0000-0000-000016790000}"/>
    <cellStyle name="Normal 41 7" xfId="30999" xr:uid="{00000000-0005-0000-0000-000017790000}"/>
    <cellStyle name="Normal 410" xfId="31000" xr:uid="{00000000-0005-0000-0000-000018790000}"/>
    <cellStyle name="Normal 410 2" xfId="31001" xr:uid="{00000000-0005-0000-0000-000019790000}"/>
    <cellStyle name="Normal 410 2 2" xfId="31002" xr:uid="{00000000-0005-0000-0000-00001A790000}"/>
    <cellStyle name="Normal 410 2 2 2" xfId="31003" xr:uid="{00000000-0005-0000-0000-00001B790000}"/>
    <cellStyle name="Normal 410 2 3" xfId="31004" xr:uid="{00000000-0005-0000-0000-00001C790000}"/>
    <cellStyle name="Normal 410 2 3 2" xfId="31005" xr:uid="{00000000-0005-0000-0000-00001D790000}"/>
    <cellStyle name="Normal 410 2 3 2 2" xfId="31006" xr:uid="{00000000-0005-0000-0000-00001E790000}"/>
    <cellStyle name="Normal 410 2 3 3" xfId="31007" xr:uid="{00000000-0005-0000-0000-00001F790000}"/>
    <cellStyle name="Normal 410 2 4" xfId="31008" xr:uid="{00000000-0005-0000-0000-000020790000}"/>
    <cellStyle name="Normal 410 2 4 2" xfId="31009" xr:uid="{00000000-0005-0000-0000-000021790000}"/>
    <cellStyle name="Normal 410 2 4 2 2" xfId="31010" xr:uid="{00000000-0005-0000-0000-000022790000}"/>
    <cellStyle name="Normal 410 2 4 3" xfId="31011" xr:uid="{00000000-0005-0000-0000-000023790000}"/>
    <cellStyle name="Normal 410 2 5" xfId="31012" xr:uid="{00000000-0005-0000-0000-000024790000}"/>
    <cellStyle name="Normal 410 3" xfId="31013" xr:uid="{00000000-0005-0000-0000-000025790000}"/>
    <cellStyle name="Normal 410 3 2" xfId="31014" xr:uid="{00000000-0005-0000-0000-000026790000}"/>
    <cellStyle name="Normal 410 3 2 2" xfId="31015" xr:uid="{00000000-0005-0000-0000-000027790000}"/>
    <cellStyle name="Normal 410 3 2 2 2" xfId="31016" xr:uid="{00000000-0005-0000-0000-000028790000}"/>
    <cellStyle name="Normal 410 3 2 3" xfId="31017" xr:uid="{00000000-0005-0000-0000-000029790000}"/>
    <cellStyle name="Normal 410 3 2 3 2" xfId="31018" xr:uid="{00000000-0005-0000-0000-00002A790000}"/>
    <cellStyle name="Normal 410 3 2 3 2 2" xfId="31019" xr:uid="{00000000-0005-0000-0000-00002B790000}"/>
    <cellStyle name="Normal 410 3 2 3 3" xfId="31020" xr:uid="{00000000-0005-0000-0000-00002C790000}"/>
    <cellStyle name="Normal 410 3 2 4" xfId="31021" xr:uid="{00000000-0005-0000-0000-00002D790000}"/>
    <cellStyle name="Normal 410 3 3" xfId="31022" xr:uid="{00000000-0005-0000-0000-00002E790000}"/>
    <cellStyle name="Normal 410 3 3 2" xfId="31023" xr:uid="{00000000-0005-0000-0000-00002F790000}"/>
    <cellStyle name="Normal 410 3 3 2 2" xfId="31024" xr:uid="{00000000-0005-0000-0000-000030790000}"/>
    <cellStyle name="Normal 410 3 3 3" xfId="31025" xr:uid="{00000000-0005-0000-0000-000031790000}"/>
    <cellStyle name="Normal 410 3 4" xfId="31026" xr:uid="{00000000-0005-0000-0000-000032790000}"/>
    <cellStyle name="Normal 410 3 4 2" xfId="31027" xr:uid="{00000000-0005-0000-0000-000033790000}"/>
    <cellStyle name="Normal 410 3 4 2 2" xfId="31028" xr:uid="{00000000-0005-0000-0000-000034790000}"/>
    <cellStyle name="Normal 410 3 4 3" xfId="31029" xr:uid="{00000000-0005-0000-0000-000035790000}"/>
    <cellStyle name="Normal 410 3 5" xfId="31030" xr:uid="{00000000-0005-0000-0000-000036790000}"/>
    <cellStyle name="Normal 410 3 5 2" xfId="31031" xr:uid="{00000000-0005-0000-0000-000037790000}"/>
    <cellStyle name="Normal 410 3 5 2 2" xfId="31032" xr:uid="{00000000-0005-0000-0000-000038790000}"/>
    <cellStyle name="Normal 410 3 5 3" xfId="31033" xr:uid="{00000000-0005-0000-0000-000039790000}"/>
    <cellStyle name="Normal 410 3 6" xfId="31034" xr:uid="{00000000-0005-0000-0000-00003A790000}"/>
    <cellStyle name="Normal 410 4" xfId="31035" xr:uid="{00000000-0005-0000-0000-00003B790000}"/>
    <cellStyle name="Normal 410 4 2" xfId="31036" xr:uid="{00000000-0005-0000-0000-00003C790000}"/>
    <cellStyle name="Normal 410 4 2 2" xfId="31037" xr:uid="{00000000-0005-0000-0000-00003D790000}"/>
    <cellStyle name="Normal 410 4 3" xfId="31038" xr:uid="{00000000-0005-0000-0000-00003E790000}"/>
    <cellStyle name="Normal 410 5" xfId="31039" xr:uid="{00000000-0005-0000-0000-00003F790000}"/>
    <cellStyle name="Normal 410 5 2" xfId="31040" xr:uid="{00000000-0005-0000-0000-000040790000}"/>
    <cellStyle name="Normal 410 5 2 2" xfId="31041" xr:uid="{00000000-0005-0000-0000-000041790000}"/>
    <cellStyle name="Normal 410 5 3" xfId="31042" xr:uid="{00000000-0005-0000-0000-000042790000}"/>
    <cellStyle name="Normal 410 6" xfId="31043" xr:uid="{00000000-0005-0000-0000-000043790000}"/>
    <cellStyle name="Normal 410 6 2" xfId="31044" xr:uid="{00000000-0005-0000-0000-000044790000}"/>
    <cellStyle name="Normal 410 6 2 2" xfId="31045" xr:uid="{00000000-0005-0000-0000-000045790000}"/>
    <cellStyle name="Normal 410 6 3" xfId="31046" xr:uid="{00000000-0005-0000-0000-000046790000}"/>
    <cellStyle name="Normal 410 7" xfId="31047" xr:uid="{00000000-0005-0000-0000-000047790000}"/>
    <cellStyle name="Normal 411" xfId="31048" xr:uid="{00000000-0005-0000-0000-000048790000}"/>
    <cellStyle name="Normal 411 2" xfId="31049" xr:uid="{00000000-0005-0000-0000-000049790000}"/>
    <cellStyle name="Normal 411 2 2" xfId="31050" xr:uid="{00000000-0005-0000-0000-00004A790000}"/>
    <cellStyle name="Normal 411 2 2 2" xfId="31051" xr:uid="{00000000-0005-0000-0000-00004B790000}"/>
    <cellStyle name="Normal 411 2 3" xfId="31052" xr:uid="{00000000-0005-0000-0000-00004C790000}"/>
    <cellStyle name="Normal 411 2 3 2" xfId="31053" xr:uid="{00000000-0005-0000-0000-00004D790000}"/>
    <cellStyle name="Normal 411 2 3 2 2" xfId="31054" xr:uid="{00000000-0005-0000-0000-00004E790000}"/>
    <cellStyle name="Normal 411 2 3 3" xfId="31055" xr:uid="{00000000-0005-0000-0000-00004F790000}"/>
    <cellStyle name="Normal 411 2 4" xfId="31056" xr:uid="{00000000-0005-0000-0000-000050790000}"/>
    <cellStyle name="Normal 411 2 4 2" xfId="31057" xr:uid="{00000000-0005-0000-0000-000051790000}"/>
    <cellStyle name="Normal 411 2 4 2 2" xfId="31058" xr:uid="{00000000-0005-0000-0000-000052790000}"/>
    <cellStyle name="Normal 411 2 4 3" xfId="31059" xr:uid="{00000000-0005-0000-0000-000053790000}"/>
    <cellStyle name="Normal 411 2 5" xfId="31060" xr:uid="{00000000-0005-0000-0000-000054790000}"/>
    <cellStyle name="Normal 411 3" xfId="31061" xr:uid="{00000000-0005-0000-0000-000055790000}"/>
    <cellStyle name="Normal 411 3 2" xfId="31062" xr:uid="{00000000-0005-0000-0000-000056790000}"/>
    <cellStyle name="Normal 411 3 2 2" xfId="31063" xr:uid="{00000000-0005-0000-0000-000057790000}"/>
    <cellStyle name="Normal 411 3 2 2 2" xfId="31064" xr:uid="{00000000-0005-0000-0000-000058790000}"/>
    <cellStyle name="Normal 411 3 2 3" xfId="31065" xr:uid="{00000000-0005-0000-0000-000059790000}"/>
    <cellStyle name="Normal 411 3 2 3 2" xfId="31066" xr:uid="{00000000-0005-0000-0000-00005A790000}"/>
    <cellStyle name="Normal 411 3 2 3 2 2" xfId="31067" xr:uid="{00000000-0005-0000-0000-00005B790000}"/>
    <cellStyle name="Normal 411 3 2 3 3" xfId="31068" xr:uid="{00000000-0005-0000-0000-00005C790000}"/>
    <cellStyle name="Normal 411 3 2 4" xfId="31069" xr:uid="{00000000-0005-0000-0000-00005D790000}"/>
    <cellStyle name="Normal 411 3 3" xfId="31070" xr:uid="{00000000-0005-0000-0000-00005E790000}"/>
    <cellStyle name="Normal 411 3 3 2" xfId="31071" xr:uid="{00000000-0005-0000-0000-00005F790000}"/>
    <cellStyle name="Normal 411 3 3 2 2" xfId="31072" xr:uid="{00000000-0005-0000-0000-000060790000}"/>
    <cellStyle name="Normal 411 3 3 3" xfId="31073" xr:uid="{00000000-0005-0000-0000-000061790000}"/>
    <cellStyle name="Normal 411 3 4" xfId="31074" xr:uid="{00000000-0005-0000-0000-000062790000}"/>
    <cellStyle name="Normal 411 3 4 2" xfId="31075" xr:uid="{00000000-0005-0000-0000-000063790000}"/>
    <cellStyle name="Normal 411 3 4 2 2" xfId="31076" xr:uid="{00000000-0005-0000-0000-000064790000}"/>
    <cellStyle name="Normal 411 3 4 3" xfId="31077" xr:uid="{00000000-0005-0000-0000-000065790000}"/>
    <cellStyle name="Normal 411 3 5" xfId="31078" xr:uid="{00000000-0005-0000-0000-000066790000}"/>
    <cellStyle name="Normal 411 3 5 2" xfId="31079" xr:uid="{00000000-0005-0000-0000-000067790000}"/>
    <cellStyle name="Normal 411 3 5 2 2" xfId="31080" xr:uid="{00000000-0005-0000-0000-000068790000}"/>
    <cellStyle name="Normal 411 3 5 3" xfId="31081" xr:uid="{00000000-0005-0000-0000-000069790000}"/>
    <cellStyle name="Normal 411 3 6" xfId="31082" xr:uid="{00000000-0005-0000-0000-00006A790000}"/>
    <cellStyle name="Normal 411 4" xfId="31083" xr:uid="{00000000-0005-0000-0000-00006B790000}"/>
    <cellStyle name="Normal 411 4 2" xfId="31084" xr:uid="{00000000-0005-0000-0000-00006C790000}"/>
    <cellStyle name="Normal 411 4 2 2" xfId="31085" xr:uid="{00000000-0005-0000-0000-00006D790000}"/>
    <cellStyle name="Normal 411 4 3" xfId="31086" xr:uid="{00000000-0005-0000-0000-00006E790000}"/>
    <cellStyle name="Normal 411 5" xfId="31087" xr:uid="{00000000-0005-0000-0000-00006F790000}"/>
    <cellStyle name="Normal 411 5 2" xfId="31088" xr:uid="{00000000-0005-0000-0000-000070790000}"/>
    <cellStyle name="Normal 411 5 2 2" xfId="31089" xr:uid="{00000000-0005-0000-0000-000071790000}"/>
    <cellStyle name="Normal 411 5 3" xfId="31090" xr:uid="{00000000-0005-0000-0000-000072790000}"/>
    <cellStyle name="Normal 411 6" xfId="31091" xr:uid="{00000000-0005-0000-0000-000073790000}"/>
    <cellStyle name="Normal 411 6 2" xfId="31092" xr:uid="{00000000-0005-0000-0000-000074790000}"/>
    <cellStyle name="Normal 411 6 2 2" xfId="31093" xr:uid="{00000000-0005-0000-0000-000075790000}"/>
    <cellStyle name="Normal 411 6 3" xfId="31094" xr:uid="{00000000-0005-0000-0000-000076790000}"/>
    <cellStyle name="Normal 411 7" xfId="31095" xr:uid="{00000000-0005-0000-0000-000077790000}"/>
    <cellStyle name="Normal 412" xfId="31096" xr:uid="{00000000-0005-0000-0000-000078790000}"/>
    <cellStyle name="Normal 412 2" xfId="31097" xr:uid="{00000000-0005-0000-0000-000079790000}"/>
    <cellStyle name="Normal 412 2 2" xfId="31098" xr:uid="{00000000-0005-0000-0000-00007A790000}"/>
    <cellStyle name="Normal 412 2 2 2" xfId="31099" xr:uid="{00000000-0005-0000-0000-00007B790000}"/>
    <cellStyle name="Normal 412 2 3" xfId="31100" xr:uid="{00000000-0005-0000-0000-00007C790000}"/>
    <cellStyle name="Normal 412 2 3 2" xfId="31101" xr:uid="{00000000-0005-0000-0000-00007D790000}"/>
    <cellStyle name="Normal 412 2 3 2 2" xfId="31102" xr:uid="{00000000-0005-0000-0000-00007E790000}"/>
    <cellStyle name="Normal 412 2 3 3" xfId="31103" xr:uid="{00000000-0005-0000-0000-00007F790000}"/>
    <cellStyle name="Normal 412 2 4" xfId="31104" xr:uid="{00000000-0005-0000-0000-000080790000}"/>
    <cellStyle name="Normal 412 2 4 2" xfId="31105" xr:uid="{00000000-0005-0000-0000-000081790000}"/>
    <cellStyle name="Normal 412 2 4 2 2" xfId="31106" xr:uid="{00000000-0005-0000-0000-000082790000}"/>
    <cellStyle name="Normal 412 2 4 3" xfId="31107" xr:uid="{00000000-0005-0000-0000-000083790000}"/>
    <cellStyle name="Normal 412 2 5" xfId="31108" xr:uid="{00000000-0005-0000-0000-000084790000}"/>
    <cellStyle name="Normal 412 3" xfId="31109" xr:uid="{00000000-0005-0000-0000-000085790000}"/>
    <cellStyle name="Normal 412 3 2" xfId="31110" xr:uid="{00000000-0005-0000-0000-000086790000}"/>
    <cellStyle name="Normal 412 3 2 2" xfId="31111" xr:uid="{00000000-0005-0000-0000-000087790000}"/>
    <cellStyle name="Normal 412 3 2 2 2" xfId="31112" xr:uid="{00000000-0005-0000-0000-000088790000}"/>
    <cellStyle name="Normal 412 3 2 3" xfId="31113" xr:uid="{00000000-0005-0000-0000-000089790000}"/>
    <cellStyle name="Normal 412 3 2 3 2" xfId="31114" xr:uid="{00000000-0005-0000-0000-00008A790000}"/>
    <cellStyle name="Normal 412 3 2 3 2 2" xfId="31115" xr:uid="{00000000-0005-0000-0000-00008B790000}"/>
    <cellStyle name="Normal 412 3 2 3 3" xfId="31116" xr:uid="{00000000-0005-0000-0000-00008C790000}"/>
    <cellStyle name="Normal 412 3 2 4" xfId="31117" xr:uid="{00000000-0005-0000-0000-00008D790000}"/>
    <cellStyle name="Normal 412 3 3" xfId="31118" xr:uid="{00000000-0005-0000-0000-00008E790000}"/>
    <cellStyle name="Normal 412 3 3 2" xfId="31119" xr:uid="{00000000-0005-0000-0000-00008F790000}"/>
    <cellStyle name="Normal 412 3 3 2 2" xfId="31120" xr:uid="{00000000-0005-0000-0000-000090790000}"/>
    <cellStyle name="Normal 412 3 3 3" xfId="31121" xr:uid="{00000000-0005-0000-0000-000091790000}"/>
    <cellStyle name="Normal 412 3 4" xfId="31122" xr:uid="{00000000-0005-0000-0000-000092790000}"/>
    <cellStyle name="Normal 412 3 4 2" xfId="31123" xr:uid="{00000000-0005-0000-0000-000093790000}"/>
    <cellStyle name="Normal 412 3 4 2 2" xfId="31124" xr:uid="{00000000-0005-0000-0000-000094790000}"/>
    <cellStyle name="Normal 412 3 4 3" xfId="31125" xr:uid="{00000000-0005-0000-0000-000095790000}"/>
    <cellStyle name="Normal 412 3 5" xfId="31126" xr:uid="{00000000-0005-0000-0000-000096790000}"/>
    <cellStyle name="Normal 412 3 5 2" xfId="31127" xr:uid="{00000000-0005-0000-0000-000097790000}"/>
    <cellStyle name="Normal 412 3 5 2 2" xfId="31128" xr:uid="{00000000-0005-0000-0000-000098790000}"/>
    <cellStyle name="Normal 412 3 5 3" xfId="31129" xr:uid="{00000000-0005-0000-0000-000099790000}"/>
    <cellStyle name="Normal 412 3 6" xfId="31130" xr:uid="{00000000-0005-0000-0000-00009A790000}"/>
    <cellStyle name="Normal 412 4" xfId="31131" xr:uid="{00000000-0005-0000-0000-00009B790000}"/>
    <cellStyle name="Normal 412 4 2" xfId="31132" xr:uid="{00000000-0005-0000-0000-00009C790000}"/>
    <cellStyle name="Normal 412 4 2 2" xfId="31133" xr:uid="{00000000-0005-0000-0000-00009D790000}"/>
    <cellStyle name="Normal 412 4 3" xfId="31134" xr:uid="{00000000-0005-0000-0000-00009E790000}"/>
    <cellStyle name="Normal 412 5" xfId="31135" xr:uid="{00000000-0005-0000-0000-00009F790000}"/>
    <cellStyle name="Normal 412 5 2" xfId="31136" xr:uid="{00000000-0005-0000-0000-0000A0790000}"/>
    <cellStyle name="Normal 412 5 2 2" xfId="31137" xr:uid="{00000000-0005-0000-0000-0000A1790000}"/>
    <cellStyle name="Normal 412 5 3" xfId="31138" xr:uid="{00000000-0005-0000-0000-0000A2790000}"/>
    <cellStyle name="Normal 412 6" xfId="31139" xr:uid="{00000000-0005-0000-0000-0000A3790000}"/>
    <cellStyle name="Normal 412 6 2" xfId="31140" xr:uid="{00000000-0005-0000-0000-0000A4790000}"/>
    <cellStyle name="Normal 412 6 2 2" xfId="31141" xr:uid="{00000000-0005-0000-0000-0000A5790000}"/>
    <cellStyle name="Normal 412 6 3" xfId="31142" xr:uid="{00000000-0005-0000-0000-0000A6790000}"/>
    <cellStyle name="Normal 412 7" xfId="31143" xr:uid="{00000000-0005-0000-0000-0000A7790000}"/>
    <cellStyle name="Normal 413" xfId="31144" xr:uid="{00000000-0005-0000-0000-0000A8790000}"/>
    <cellStyle name="Normal 413 2" xfId="31145" xr:uid="{00000000-0005-0000-0000-0000A9790000}"/>
    <cellStyle name="Normal 413 2 2" xfId="31146" xr:uid="{00000000-0005-0000-0000-0000AA790000}"/>
    <cellStyle name="Normal 413 2 2 2" xfId="31147" xr:uid="{00000000-0005-0000-0000-0000AB790000}"/>
    <cellStyle name="Normal 413 2 3" xfId="31148" xr:uid="{00000000-0005-0000-0000-0000AC790000}"/>
    <cellStyle name="Normal 413 2 3 2" xfId="31149" xr:uid="{00000000-0005-0000-0000-0000AD790000}"/>
    <cellStyle name="Normal 413 2 3 2 2" xfId="31150" xr:uid="{00000000-0005-0000-0000-0000AE790000}"/>
    <cellStyle name="Normal 413 2 3 3" xfId="31151" xr:uid="{00000000-0005-0000-0000-0000AF790000}"/>
    <cellStyle name="Normal 413 2 4" xfId="31152" xr:uid="{00000000-0005-0000-0000-0000B0790000}"/>
    <cellStyle name="Normal 413 2 4 2" xfId="31153" xr:uid="{00000000-0005-0000-0000-0000B1790000}"/>
    <cellStyle name="Normal 413 2 4 2 2" xfId="31154" xr:uid="{00000000-0005-0000-0000-0000B2790000}"/>
    <cellStyle name="Normal 413 2 4 3" xfId="31155" xr:uid="{00000000-0005-0000-0000-0000B3790000}"/>
    <cellStyle name="Normal 413 2 5" xfId="31156" xr:uid="{00000000-0005-0000-0000-0000B4790000}"/>
    <cellStyle name="Normal 413 3" xfId="31157" xr:uid="{00000000-0005-0000-0000-0000B5790000}"/>
    <cellStyle name="Normal 413 3 2" xfId="31158" xr:uid="{00000000-0005-0000-0000-0000B6790000}"/>
    <cellStyle name="Normal 413 3 2 2" xfId="31159" xr:uid="{00000000-0005-0000-0000-0000B7790000}"/>
    <cellStyle name="Normal 413 3 2 2 2" xfId="31160" xr:uid="{00000000-0005-0000-0000-0000B8790000}"/>
    <cellStyle name="Normal 413 3 2 3" xfId="31161" xr:uid="{00000000-0005-0000-0000-0000B9790000}"/>
    <cellStyle name="Normal 413 3 2 3 2" xfId="31162" xr:uid="{00000000-0005-0000-0000-0000BA790000}"/>
    <cellStyle name="Normal 413 3 2 3 2 2" xfId="31163" xr:uid="{00000000-0005-0000-0000-0000BB790000}"/>
    <cellStyle name="Normal 413 3 2 3 3" xfId="31164" xr:uid="{00000000-0005-0000-0000-0000BC790000}"/>
    <cellStyle name="Normal 413 3 2 4" xfId="31165" xr:uid="{00000000-0005-0000-0000-0000BD790000}"/>
    <cellStyle name="Normal 413 3 3" xfId="31166" xr:uid="{00000000-0005-0000-0000-0000BE790000}"/>
    <cellStyle name="Normal 413 3 3 2" xfId="31167" xr:uid="{00000000-0005-0000-0000-0000BF790000}"/>
    <cellStyle name="Normal 413 3 3 2 2" xfId="31168" xr:uid="{00000000-0005-0000-0000-0000C0790000}"/>
    <cellStyle name="Normal 413 3 3 3" xfId="31169" xr:uid="{00000000-0005-0000-0000-0000C1790000}"/>
    <cellStyle name="Normal 413 3 4" xfId="31170" xr:uid="{00000000-0005-0000-0000-0000C2790000}"/>
    <cellStyle name="Normal 413 3 4 2" xfId="31171" xr:uid="{00000000-0005-0000-0000-0000C3790000}"/>
    <cellStyle name="Normal 413 3 4 2 2" xfId="31172" xr:uid="{00000000-0005-0000-0000-0000C4790000}"/>
    <cellStyle name="Normal 413 3 4 3" xfId="31173" xr:uid="{00000000-0005-0000-0000-0000C5790000}"/>
    <cellStyle name="Normal 413 3 5" xfId="31174" xr:uid="{00000000-0005-0000-0000-0000C6790000}"/>
    <cellStyle name="Normal 413 3 5 2" xfId="31175" xr:uid="{00000000-0005-0000-0000-0000C7790000}"/>
    <cellStyle name="Normal 413 3 5 2 2" xfId="31176" xr:uid="{00000000-0005-0000-0000-0000C8790000}"/>
    <cellStyle name="Normal 413 3 5 3" xfId="31177" xr:uid="{00000000-0005-0000-0000-0000C9790000}"/>
    <cellStyle name="Normal 413 3 6" xfId="31178" xr:uid="{00000000-0005-0000-0000-0000CA790000}"/>
    <cellStyle name="Normal 413 4" xfId="31179" xr:uid="{00000000-0005-0000-0000-0000CB790000}"/>
    <cellStyle name="Normal 413 4 2" xfId="31180" xr:uid="{00000000-0005-0000-0000-0000CC790000}"/>
    <cellStyle name="Normal 413 4 2 2" xfId="31181" xr:uid="{00000000-0005-0000-0000-0000CD790000}"/>
    <cellStyle name="Normal 413 4 3" xfId="31182" xr:uid="{00000000-0005-0000-0000-0000CE790000}"/>
    <cellStyle name="Normal 413 5" xfId="31183" xr:uid="{00000000-0005-0000-0000-0000CF790000}"/>
    <cellStyle name="Normal 413 5 2" xfId="31184" xr:uid="{00000000-0005-0000-0000-0000D0790000}"/>
    <cellStyle name="Normal 413 5 2 2" xfId="31185" xr:uid="{00000000-0005-0000-0000-0000D1790000}"/>
    <cellStyle name="Normal 413 5 3" xfId="31186" xr:uid="{00000000-0005-0000-0000-0000D2790000}"/>
    <cellStyle name="Normal 413 6" xfId="31187" xr:uid="{00000000-0005-0000-0000-0000D3790000}"/>
    <cellStyle name="Normal 413 6 2" xfId="31188" xr:uid="{00000000-0005-0000-0000-0000D4790000}"/>
    <cellStyle name="Normal 413 6 2 2" xfId="31189" xr:uid="{00000000-0005-0000-0000-0000D5790000}"/>
    <cellStyle name="Normal 413 6 3" xfId="31190" xr:uid="{00000000-0005-0000-0000-0000D6790000}"/>
    <cellStyle name="Normal 413 7" xfId="31191" xr:uid="{00000000-0005-0000-0000-0000D7790000}"/>
    <cellStyle name="Normal 414" xfId="31192" xr:uid="{00000000-0005-0000-0000-0000D8790000}"/>
    <cellStyle name="Normal 414 2" xfId="31193" xr:uid="{00000000-0005-0000-0000-0000D9790000}"/>
    <cellStyle name="Normal 414 2 2" xfId="31194" xr:uid="{00000000-0005-0000-0000-0000DA790000}"/>
    <cellStyle name="Normal 414 2 2 2" xfId="31195" xr:uid="{00000000-0005-0000-0000-0000DB790000}"/>
    <cellStyle name="Normal 414 2 3" xfId="31196" xr:uid="{00000000-0005-0000-0000-0000DC790000}"/>
    <cellStyle name="Normal 414 2 3 2" xfId="31197" xr:uid="{00000000-0005-0000-0000-0000DD790000}"/>
    <cellStyle name="Normal 414 2 3 2 2" xfId="31198" xr:uid="{00000000-0005-0000-0000-0000DE790000}"/>
    <cellStyle name="Normal 414 2 3 3" xfId="31199" xr:uid="{00000000-0005-0000-0000-0000DF790000}"/>
    <cellStyle name="Normal 414 2 4" xfId="31200" xr:uid="{00000000-0005-0000-0000-0000E0790000}"/>
    <cellStyle name="Normal 414 2 4 2" xfId="31201" xr:uid="{00000000-0005-0000-0000-0000E1790000}"/>
    <cellStyle name="Normal 414 2 4 2 2" xfId="31202" xr:uid="{00000000-0005-0000-0000-0000E2790000}"/>
    <cellStyle name="Normal 414 2 4 3" xfId="31203" xr:uid="{00000000-0005-0000-0000-0000E3790000}"/>
    <cellStyle name="Normal 414 2 5" xfId="31204" xr:uid="{00000000-0005-0000-0000-0000E4790000}"/>
    <cellStyle name="Normal 414 3" xfId="31205" xr:uid="{00000000-0005-0000-0000-0000E5790000}"/>
    <cellStyle name="Normal 414 3 2" xfId="31206" xr:uid="{00000000-0005-0000-0000-0000E6790000}"/>
    <cellStyle name="Normal 414 3 2 2" xfId="31207" xr:uid="{00000000-0005-0000-0000-0000E7790000}"/>
    <cellStyle name="Normal 414 3 2 2 2" xfId="31208" xr:uid="{00000000-0005-0000-0000-0000E8790000}"/>
    <cellStyle name="Normal 414 3 2 3" xfId="31209" xr:uid="{00000000-0005-0000-0000-0000E9790000}"/>
    <cellStyle name="Normal 414 3 2 3 2" xfId="31210" xr:uid="{00000000-0005-0000-0000-0000EA790000}"/>
    <cellStyle name="Normal 414 3 2 3 2 2" xfId="31211" xr:uid="{00000000-0005-0000-0000-0000EB790000}"/>
    <cellStyle name="Normal 414 3 2 3 3" xfId="31212" xr:uid="{00000000-0005-0000-0000-0000EC790000}"/>
    <cellStyle name="Normal 414 3 2 4" xfId="31213" xr:uid="{00000000-0005-0000-0000-0000ED790000}"/>
    <cellStyle name="Normal 414 3 3" xfId="31214" xr:uid="{00000000-0005-0000-0000-0000EE790000}"/>
    <cellStyle name="Normal 414 3 3 2" xfId="31215" xr:uid="{00000000-0005-0000-0000-0000EF790000}"/>
    <cellStyle name="Normal 414 3 3 2 2" xfId="31216" xr:uid="{00000000-0005-0000-0000-0000F0790000}"/>
    <cellStyle name="Normal 414 3 3 3" xfId="31217" xr:uid="{00000000-0005-0000-0000-0000F1790000}"/>
    <cellStyle name="Normal 414 3 4" xfId="31218" xr:uid="{00000000-0005-0000-0000-0000F2790000}"/>
    <cellStyle name="Normal 414 3 4 2" xfId="31219" xr:uid="{00000000-0005-0000-0000-0000F3790000}"/>
    <cellStyle name="Normal 414 3 4 2 2" xfId="31220" xr:uid="{00000000-0005-0000-0000-0000F4790000}"/>
    <cellStyle name="Normal 414 3 4 3" xfId="31221" xr:uid="{00000000-0005-0000-0000-0000F5790000}"/>
    <cellStyle name="Normal 414 3 5" xfId="31222" xr:uid="{00000000-0005-0000-0000-0000F6790000}"/>
    <cellStyle name="Normal 414 3 5 2" xfId="31223" xr:uid="{00000000-0005-0000-0000-0000F7790000}"/>
    <cellStyle name="Normal 414 3 5 2 2" xfId="31224" xr:uid="{00000000-0005-0000-0000-0000F8790000}"/>
    <cellStyle name="Normal 414 3 5 3" xfId="31225" xr:uid="{00000000-0005-0000-0000-0000F9790000}"/>
    <cellStyle name="Normal 414 3 6" xfId="31226" xr:uid="{00000000-0005-0000-0000-0000FA790000}"/>
    <cellStyle name="Normal 414 4" xfId="31227" xr:uid="{00000000-0005-0000-0000-0000FB790000}"/>
    <cellStyle name="Normal 414 4 2" xfId="31228" xr:uid="{00000000-0005-0000-0000-0000FC790000}"/>
    <cellStyle name="Normal 414 4 2 2" xfId="31229" xr:uid="{00000000-0005-0000-0000-0000FD790000}"/>
    <cellStyle name="Normal 414 4 3" xfId="31230" xr:uid="{00000000-0005-0000-0000-0000FE790000}"/>
    <cellStyle name="Normal 414 5" xfId="31231" xr:uid="{00000000-0005-0000-0000-0000FF790000}"/>
    <cellStyle name="Normal 414 5 2" xfId="31232" xr:uid="{00000000-0005-0000-0000-0000007A0000}"/>
    <cellStyle name="Normal 414 5 2 2" xfId="31233" xr:uid="{00000000-0005-0000-0000-0000017A0000}"/>
    <cellStyle name="Normal 414 5 3" xfId="31234" xr:uid="{00000000-0005-0000-0000-0000027A0000}"/>
    <cellStyle name="Normal 414 6" xfId="31235" xr:uid="{00000000-0005-0000-0000-0000037A0000}"/>
    <cellStyle name="Normal 414 6 2" xfId="31236" xr:uid="{00000000-0005-0000-0000-0000047A0000}"/>
    <cellStyle name="Normal 414 6 2 2" xfId="31237" xr:uid="{00000000-0005-0000-0000-0000057A0000}"/>
    <cellStyle name="Normal 414 6 3" xfId="31238" xr:uid="{00000000-0005-0000-0000-0000067A0000}"/>
    <cellStyle name="Normal 414 7" xfId="31239" xr:uid="{00000000-0005-0000-0000-0000077A0000}"/>
    <cellStyle name="Normal 415" xfId="31240" xr:uid="{00000000-0005-0000-0000-0000087A0000}"/>
    <cellStyle name="Normal 415 2" xfId="31241" xr:uid="{00000000-0005-0000-0000-0000097A0000}"/>
    <cellStyle name="Normal 415 2 2" xfId="31242" xr:uid="{00000000-0005-0000-0000-00000A7A0000}"/>
    <cellStyle name="Normal 415 2 2 2" xfId="31243" xr:uid="{00000000-0005-0000-0000-00000B7A0000}"/>
    <cellStyle name="Normal 415 2 3" xfId="31244" xr:uid="{00000000-0005-0000-0000-00000C7A0000}"/>
    <cellStyle name="Normal 415 2 3 2" xfId="31245" xr:uid="{00000000-0005-0000-0000-00000D7A0000}"/>
    <cellStyle name="Normal 415 2 3 2 2" xfId="31246" xr:uid="{00000000-0005-0000-0000-00000E7A0000}"/>
    <cellStyle name="Normal 415 2 3 3" xfId="31247" xr:uid="{00000000-0005-0000-0000-00000F7A0000}"/>
    <cellStyle name="Normal 415 2 4" xfId="31248" xr:uid="{00000000-0005-0000-0000-0000107A0000}"/>
    <cellStyle name="Normal 415 2 4 2" xfId="31249" xr:uid="{00000000-0005-0000-0000-0000117A0000}"/>
    <cellStyle name="Normal 415 2 4 2 2" xfId="31250" xr:uid="{00000000-0005-0000-0000-0000127A0000}"/>
    <cellStyle name="Normal 415 2 4 3" xfId="31251" xr:uid="{00000000-0005-0000-0000-0000137A0000}"/>
    <cellStyle name="Normal 415 2 5" xfId="31252" xr:uid="{00000000-0005-0000-0000-0000147A0000}"/>
    <cellStyle name="Normal 415 3" xfId="31253" xr:uid="{00000000-0005-0000-0000-0000157A0000}"/>
    <cellStyle name="Normal 415 3 2" xfId="31254" xr:uid="{00000000-0005-0000-0000-0000167A0000}"/>
    <cellStyle name="Normal 415 3 2 2" xfId="31255" xr:uid="{00000000-0005-0000-0000-0000177A0000}"/>
    <cellStyle name="Normal 415 3 2 2 2" xfId="31256" xr:uid="{00000000-0005-0000-0000-0000187A0000}"/>
    <cellStyle name="Normal 415 3 2 3" xfId="31257" xr:uid="{00000000-0005-0000-0000-0000197A0000}"/>
    <cellStyle name="Normal 415 3 2 3 2" xfId="31258" xr:uid="{00000000-0005-0000-0000-00001A7A0000}"/>
    <cellStyle name="Normal 415 3 2 3 2 2" xfId="31259" xr:uid="{00000000-0005-0000-0000-00001B7A0000}"/>
    <cellStyle name="Normal 415 3 2 3 3" xfId="31260" xr:uid="{00000000-0005-0000-0000-00001C7A0000}"/>
    <cellStyle name="Normal 415 3 2 4" xfId="31261" xr:uid="{00000000-0005-0000-0000-00001D7A0000}"/>
    <cellStyle name="Normal 415 3 3" xfId="31262" xr:uid="{00000000-0005-0000-0000-00001E7A0000}"/>
    <cellStyle name="Normal 415 3 3 2" xfId="31263" xr:uid="{00000000-0005-0000-0000-00001F7A0000}"/>
    <cellStyle name="Normal 415 3 3 2 2" xfId="31264" xr:uid="{00000000-0005-0000-0000-0000207A0000}"/>
    <cellStyle name="Normal 415 3 3 3" xfId="31265" xr:uid="{00000000-0005-0000-0000-0000217A0000}"/>
    <cellStyle name="Normal 415 3 4" xfId="31266" xr:uid="{00000000-0005-0000-0000-0000227A0000}"/>
    <cellStyle name="Normal 415 3 4 2" xfId="31267" xr:uid="{00000000-0005-0000-0000-0000237A0000}"/>
    <cellStyle name="Normal 415 3 4 2 2" xfId="31268" xr:uid="{00000000-0005-0000-0000-0000247A0000}"/>
    <cellStyle name="Normal 415 3 4 3" xfId="31269" xr:uid="{00000000-0005-0000-0000-0000257A0000}"/>
    <cellStyle name="Normal 415 3 5" xfId="31270" xr:uid="{00000000-0005-0000-0000-0000267A0000}"/>
    <cellStyle name="Normal 415 3 5 2" xfId="31271" xr:uid="{00000000-0005-0000-0000-0000277A0000}"/>
    <cellStyle name="Normal 415 3 5 2 2" xfId="31272" xr:uid="{00000000-0005-0000-0000-0000287A0000}"/>
    <cellStyle name="Normal 415 3 5 3" xfId="31273" xr:uid="{00000000-0005-0000-0000-0000297A0000}"/>
    <cellStyle name="Normal 415 3 6" xfId="31274" xr:uid="{00000000-0005-0000-0000-00002A7A0000}"/>
    <cellStyle name="Normal 415 4" xfId="31275" xr:uid="{00000000-0005-0000-0000-00002B7A0000}"/>
    <cellStyle name="Normal 415 4 2" xfId="31276" xr:uid="{00000000-0005-0000-0000-00002C7A0000}"/>
    <cellStyle name="Normal 415 4 2 2" xfId="31277" xr:uid="{00000000-0005-0000-0000-00002D7A0000}"/>
    <cellStyle name="Normal 415 4 3" xfId="31278" xr:uid="{00000000-0005-0000-0000-00002E7A0000}"/>
    <cellStyle name="Normal 415 5" xfId="31279" xr:uid="{00000000-0005-0000-0000-00002F7A0000}"/>
    <cellStyle name="Normal 415 5 2" xfId="31280" xr:uid="{00000000-0005-0000-0000-0000307A0000}"/>
    <cellStyle name="Normal 415 5 2 2" xfId="31281" xr:uid="{00000000-0005-0000-0000-0000317A0000}"/>
    <cellStyle name="Normal 415 5 3" xfId="31282" xr:uid="{00000000-0005-0000-0000-0000327A0000}"/>
    <cellStyle name="Normal 415 6" xfId="31283" xr:uid="{00000000-0005-0000-0000-0000337A0000}"/>
    <cellStyle name="Normal 415 6 2" xfId="31284" xr:uid="{00000000-0005-0000-0000-0000347A0000}"/>
    <cellStyle name="Normal 415 6 2 2" xfId="31285" xr:uid="{00000000-0005-0000-0000-0000357A0000}"/>
    <cellStyle name="Normal 415 6 3" xfId="31286" xr:uid="{00000000-0005-0000-0000-0000367A0000}"/>
    <cellStyle name="Normal 415 7" xfId="31287" xr:uid="{00000000-0005-0000-0000-0000377A0000}"/>
    <cellStyle name="Normal 416" xfId="31288" xr:uid="{00000000-0005-0000-0000-0000387A0000}"/>
    <cellStyle name="Normal 416 2" xfId="31289" xr:uid="{00000000-0005-0000-0000-0000397A0000}"/>
    <cellStyle name="Normal 416 2 2" xfId="31290" xr:uid="{00000000-0005-0000-0000-00003A7A0000}"/>
    <cellStyle name="Normal 416 2 2 2" xfId="31291" xr:uid="{00000000-0005-0000-0000-00003B7A0000}"/>
    <cellStyle name="Normal 416 2 3" xfId="31292" xr:uid="{00000000-0005-0000-0000-00003C7A0000}"/>
    <cellStyle name="Normal 416 2 3 2" xfId="31293" xr:uid="{00000000-0005-0000-0000-00003D7A0000}"/>
    <cellStyle name="Normal 416 2 3 2 2" xfId="31294" xr:uid="{00000000-0005-0000-0000-00003E7A0000}"/>
    <cellStyle name="Normal 416 2 3 3" xfId="31295" xr:uid="{00000000-0005-0000-0000-00003F7A0000}"/>
    <cellStyle name="Normal 416 2 4" xfId="31296" xr:uid="{00000000-0005-0000-0000-0000407A0000}"/>
    <cellStyle name="Normal 416 2 4 2" xfId="31297" xr:uid="{00000000-0005-0000-0000-0000417A0000}"/>
    <cellStyle name="Normal 416 2 4 2 2" xfId="31298" xr:uid="{00000000-0005-0000-0000-0000427A0000}"/>
    <cellStyle name="Normal 416 2 4 3" xfId="31299" xr:uid="{00000000-0005-0000-0000-0000437A0000}"/>
    <cellStyle name="Normal 416 2 5" xfId="31300" xr:uid="{00000000-0005-0000-0000-0000447A0000}"/>
    <cellStyle name="Normal 416 3" xfId="31301" xr:uid="{00000000-0005-0000-0000-0000457A0000}"/>
    <cellStyle name="Normal 416 3 2" xfId="31302" xr:uid="{00000000-0005-0000-0000-0000467A0000}"/>
    <cellStyle name="Normal 416 3 2 2" xfId="31303" xr:uid="{00000000-0005-0000-0000-0000477A0000}"/>
    <cellStyle name="Normal 416 3 2 2 2" xfId="31304" xr:uid="{00000000-0005-0000-0000-0000487A0000}"/>
    <cellStyle name="Normal 416 3 2 3" xfId="31305" xr:uid="{00000000-0005-0000-0000-0000497A0000}"/>
    <cellStyle name="Normal 416 3 2 3 2" xfId="31306" xr:uid="{00000000-0005-0000-0000-00004A7A0000}"/>
    <cellStyle name="Normal 416 3 2 3 2 2" xfId="31307" xr:uid="{00000000-0005-0000-0000-00004B7A0000}"/>
    <cellStyle name="Normal 416 3 2 3 3" xfId="31308" xr:uid="{00000000-0005-0000-0000-00004C7A0000}"/>
    <cellStyle name="Normal 416 3 2 4" xfId="31309" xr:uid="{00000000-0005-0000-0000-00004D7A0000}"/>
    <cellStyle name="Normal 416 3 3" xfId="31310" xr:uid="{00000000-0005-0000-0000-00004E7A0000}"/>
    <cellStyle name="Normal 416 3 3 2" xfId="31311" xr:uid="{00000000-0005-0000-0000-00004F7A0000}"/>
    <cellStyle name="Normal 416 3 3 2 2" xfId="31312" xr:uid="{00000000-0005-0000-0000-0000507A0000}"/>
    <cellStyle name="Normal 416 3 3 3" xfId="31313" xr:uid="{00000000-0005-0000-0000-0000517A0000}"/>
    <cellStyle name="Normal 416 3 4" xfId="31314" xr:uid="{00000000-0005-0000-0000-0000527A0000}"/>
    <cellStyle name="Normal 416 3 4 2" xfId="31315" xr:uid="{00000000-0005-0000-0000-0000537A0000}"/>
    <cellStyle name="Normal 416 3 4 2 2" xfId="31316" xr:uid="{00000000-0005-0000-0000-0000547A0000}"/>
    <cellStyle name="Normal 416 3 4 3" xfId="31317" xr:uid="{00000000-0005-0000-0000-0000557A0000}"/>
    <cellStyle name="Normal 416 3 5" xfId="31318" xr:uid="{00000000-0005-0000-0000-0000567A0000}"/>
    <cellStyle name="Normal 416 3 5 2" xfId="31319" xr:uid="{00000000-0005-0000-0000-0000577A0000}"/>
    <cellStyle name="Normal 416 3 5 2 2" xfId="31320" xr:uid="{00000000-0005-0000-0000-0000587A0000}"/>
    <cellStyle name="Normal 416 3 5 3" xfId="31321" xr:uid="{00000000-0005-0000-0000-0000597A0000}"/>
    <cellStyle name="Normal 416 3 6" xfId="31322" xr:uid="{00000000-0005-0000-0000-00005A7A0000}"/>
    <cellStyle name="Normal 416 4" xfId="31323" xr:uid="{00000000-0005-0000-0000-00005B7A0000}"/>
    <cellStyle name="Normal 416 4 2" xfId="31324" xr:uid="{00000000-0005-0000-0000-00005C7A0000}"/>
    <cellStyle name="Normal 416 4 2 2" xfId="31325" xr:uid="{00000000-0005-0000-0000-00005D7A0000}"/>
    <cellStyle name="Normal 416 4 3" xfId="31326" xr:uid="{00000000-0005-0000-0000-00005E7A0000}"/>
    <cellStyle name="Normal 416 5" xfId="31327" xr:uid="{00000000-0005-0000-0000-00005F7A0000}"/>
    <cellStyle name="Normal 416 5 2" xfId="31328" xr:uid="{00000000-0005-0000-0000-0000607A0000}"/>
    <cellStyle name="Normal 416 5 2 2" xfId="31329" xr:uid="{00000000-0005-0000-0000-0000617A0000}"/>
    <cellStyle name="Normal 416 5 3" xfId="31330" xr:uid="{00000000-0005-0000-0000-0000627A0000}"/>
    <cellStyle name="Normal 416 6" xfId="31331" xr:uid="{00000000-0005-0000-0000-0000637A0000}"/>
    <cellStyle name="Normal 416 6 2" xfId="31332" xr:uid="{00000000-0005-0000-0000-0000647A0000}"/>
    <cellStyle name="Normal 416 6 2 2" xfId="31333" xr:uid="{00000000-0005-0000-0000-0000657A0000}"/>
    <cellStyle name="Normal 416 6 3" xfId="31334" xr:uid="{00000000-0005-0000-0000-0000667A0000}"/>
    <cellStyle name="Normal 416 7" xfId="31335" xr:uid="{00000000-0005-0000-0000-0000677A0000}"/>
    <cellStyle name="Normal 417" xfId="31336" xr:uid="{00000000-0005-0000-0000-0000687A0000}"/>
    <cellStyle name="Normal 417 2" xfId="31337" xr:uid="{00000000-0005-0000-0000-0000697A0000}"/>
    <cellStyle name="Normal 417 2 2" xfId="31338" xr:uid="{00000000-0005-0000-0000-00006A7A0000}"/>
    <cellStyle name="Normal 417 2 2 2" xfId="31339" xr:uid="{00000000-0005-0000-0000-00006B7A0000}"/>
    <cellStyle name="Normal 417 2 3" xfId="31340" xr:uid="{00000000-0005-0000-0000-00006C7A0000}"/>
    <cellStyle name="Normal 417 2 3 2" xfId="31341" xr:uid="{00000000-0005-0000-0000-00006D7A0000}"/>
    <cellStyle name="Normal 417 2 3 2 2" xfId="31342" xr:uid="{00000000-0005-0000-0000-00006E7A0000}"/>
    <cellStyle name="Normal 417 2 3 3" xfId="31343" xr:uid="{00000000-0005-0000-0000-00006F7A0000}"/>
    <cellStyle name="Normal 417 2 4" xfId="31344" xr:uid="{00000000-0005-0000-0000-0000707A0000}"/>
    <cellStyle name="Normal 417 2 4 2" xfId="31345" xr:uid="{00000000-0005-0000-0000-0000717A0000}"/>
    <cellStyle name="Normal 417 2 4 2 2" xfId="31346" xr:uid="{00000000-0005-0000-0000-0000727A0000}"/>
    <cellStyle name="Normal 417 2 4 3" xfId="31347" xr:uid="{00000000-0005-0000-0000-0000737A0000}"/>
    <cellStyle name="Normal 417 2 5" xfId="31348" xr:uid="{00000000-0005-0000-0000-0000747A0000}"/>
    <cellStyle name="Normal 417 3" xfId="31349" xr:uid="{00000000-0005-0000-0000-0000757A0000}"/>
    <cellStyle name="Normal 417 3 2" xfId="31350" xr:uid="{00000000-0005-0000-0000-0000767A0000}"/>
    <cellStyle name="Normal 417 3 2 2" xfId="31351" xr:uid="{00000000-0005-0000-0000-0000777A0000}"/>
    <cellStyle name="Normal 417 3 2 2 2" xfId="31352" xr:uid="{00000000-0005-0000-0000-0000787A0000}"/>
    <cellStyle name="Normal 417 3 2 3" xfId="31353" xr:uid="{00000000-0005-0000-0000-0000797A0000}"/>
    <cellStyle name="Normal 417 3 2 3 2" xfId="31354" xr:uid="{00000000-0005-0000-0000-00007A7A0000}"/>
    <cellStyle name="Normal 417 3 2 3 2 2" xfId="31355" xr:uid="{00000000-0005-0000-0000-00007B7A0000}"/>
    <cellStyle name="Normal 417 3 2 3 3" xfId="31356" xr:uid="{00000000-0005-0000-0000-00007C7A0000}"/>
    <cellStyle name="Normal 417 3 2 4" xfId="31357" xr:uid="{00000000-0005-0000-0000-00007D7A0000}"/>
    <cellStyle name="Normal 417 3 3" xfId="31358" xr:uid="{00000000-0005-0000-0000-00007E7A0000}"/>
    <cellStyle name="Normal 417 3 3 2" xfId="31359" xr:uid="{00000000-0005-0000-0000-00007F7A0000}"/>
    <cellStyle name="Normal 417 3 3 2 2" xfId="31360" xr:uid="{00000000-0005-0000-0000-0000807A0000}"/>
    <cellStyle name="Normal 417 3 3 3" xfId="31361" xr:uid="{00000000-0005-0000-0000-0000817A0000}"/>
    <cellStyle name="Normal 417 3 4" xfId="31362" xr:uid="{00000000-0005-0000-0000-0000827A0000}"/>
    <cellStyle name="Normal 417 3 4 2" xfId="31363" xr:uid="{00000000-0005-0000-0000-0000837A0000}"/>
    <cellStyle name="Normal 417 3 4 2 2" xfId="31364" xr:uid="{00000000-0005-0000-0000-0000847A0000}"/>
    <cellStyle name="Normal 417 3 4 3" xfId="31365" xr:uid="{00000000-0005-0000-0000-0000857A0000}"/>
    <cellStyle name="Normal 417 3 5" xfId="31366" xr:uid="{00000000-0005-0000-0000-0000867A0000}"/>
    <cellStyle name="Normal 417 3 5 2" xfId="31367" xr:uid="{00000000-0005-0000-0000-0000877A0000}"/>
    <cellStyle name="Normal 417 3 5 2 2" xfId="31368" xr:uid="{00000000-0005-0000-0000-0000887A0000}"/>
    <cellStyle name="Normal 417 3 5 3" xfId="31369" xr:uid="{00000000-0005-0000-0000-0000897A0000}"/>
    <cellStyle name="Normal 417 3 6" xfId="31370" xr:uid="{00000000-0005-0000-0000-00008A7A0000}"/>
    <cellStyle name="Normal 417 4" xfId="31371" xr:uid="{00000000-0005-0000-0000-00008B7A0000}"/>
    <cellStyle name="Normal 417 4 2" xfId="31372" xr:uid="{00000000-0005-0000-0000-00008C7A0000}"/>
    <cellStyle name="Normal 417 4 2 2" xfId="31373" xr:uid="{00000000-0005-0000-0000-00008D7A0000}"/>
    <cellStyle name="Normal 417 4 3" xfId="31374" xr:uid="{00000000-0005-0000-0000-00008E7A0000}"/>
    <cellStyle name="Normal 417 5" xfId="31375" xr:uid="{00000000-0005-0000-0000-00008F7A0000}"/>
    <cellStyle name="Normal 417 5 2" xfId="31376" xr:uid="{00000000-0005-0000-0000-0000907A0000}"/>
    <cellStyle name="Normal 417 5 2 2" xfId="31377" xr:uid="{00000000-0005-0000-0000-0000917A0000}"/>
    <cellStyle name="Normal 417 5 3" xfId="31378" xr:uid="{00000000-0005-0000-0000-0000927A0000}"/>
    <cellStyle name="Normal 417 6" xfId="31379" xr:uid="{00000000-0005-0000-0000-0000937A0000}"/>
    <cellStyle name="Normal 417 6 2" xfId="31380" xr:uid="{00000000-0005-0000-0000-0000947A0000}"/>
    <cellStyle name="Normal 417 6 2 2" xfId="31381" xr:uid="{00000000-0005-0000-0000-0000957A0000}"/>
    <cellStyle name="Normal 417 6 3" xfId="31382" xr:uid="{00000000-0005-0000-0000-0000967A0000}"/>
    <cellStyle name="Normal 417 7" xfId="31383" xr:uid="{00000000-0005-0000-0000-0000977A0000}"/>
    <cellStyle name="Normal 418" xfId="31384" xr:uid="{00000000-0005-0000-0000-0000987A0000}"/>
    <cellStyle name="Normal 418 2" xfId="31385" xr:uid="{00000000-0005-0000-0000-0000997A0000}"/>
    <cellStyle name="Normal 418 2 2" xfId="31386" xr:uid="{00000000-0005-0000-0000-00009A7A0000}"/>
    <cellStyle name="Normal 418 2 2 2" xfId="31387" xr:uid="{00000000-0005-0000-0000-00009B7A0000}"/>
    <cellStyle name="Normal 418 2 3" xfId="31388" xr:uid="{00000000-0005-0000-0000-00009C7A0000}"/>
    <cellStyle name="Normal 418 2 3 2" xfId="31389" xr:uid="{00000000-0005-0000-0000-00009D7A0000}"/>
    <cellStyle name="Normal 418 2 3 2 2" xfId="31390" xr:uid="{00000000-0005-0000-0000-00009E7A0000}"/>
    <cellStyle name="Normal 418 2 3 3" xfId="31391" xr:uid="{00000000-0005-0000-0000-00009F7A0000}"/>
    <cellStyle name="Normal 418 2 4" xfId="31392" xr:uid="{00000000-0005-0000-0000-0000A07A0000}"/>
    <cellStyle name="Normal 418 2 4 2" xfId="31393" xr:uid="{00000000-0005-0000-0000-0000A17A0000}"/>
    <cellStyle name="Normal 418 2 4 2 2" xfId="31394" xr:uid="{00000000-0005-0000-0000-0000A27A0000}"/>
    <cellStyle name="Normal 418 2 4 3" xfId="31395" xr:uid="{00000000-0005-0000-0000-0000A37A0000}"/>
    <cellStyle name="Normal 418 2 5" xfId="31396" xr:uid="{00000000-0005-0000-0000-0000A47A0000}"/>
    <cellStyle name="Normal 418 3" xfId="31397" xr:uid="{00000000-0005-0000-0000-0000A57A0000}"/>
    <cellStyle name="Normal 418 3 2" xfId="31398" xr:uid="{00000000-0005-0000-0000-0000A67A0000}"/>
    <cellStyle name="Normal 418 3 2 2" xfId="31399" xr:uid="{00000000-0005-0000-0000-0000A77A0000}"/>
    <cellStyle name="Normal 418 3 2 2 2" xfId="31400" xr:uid="{00000000-0005-0000-0000-0000A87A0000}"/>
    <cellStyle name="Normal 418 3 2 3" xfId="31401" xr:uid="{00000000-0005-0000-0000-0000A97A0000}"/>
    <cellStyle name="Normal 418 3 2 3 2" xfId="31402" xr:uid="{00000000-0005-0000-0000-0000AA7A0000}"/>
    <cellStyle name="Normal 418 3 2 3 2 2" xfId="31403" xr:uid="{00000000-0005-0000-0000-0000AB7A0000}"/>
    <cellStyle name="Normal 418 3 2 3 3" xfId="31404" xr:uid="{00000000-0005-0000-0000-0000AC7A0000}"/>
    <cellStyle name="Normal 418 3 2 4" xfId="31405" xr:uid="{00000000-0005-0000-0000-0000AD7A0000}"/>
    <cellStyle name="Normal 418 3 3" xfId="31406" xr:uid="{00000000-0005-0000-0000-0000AE7A0000}"/>
    <cellStyle name="Normal 418 3 3 2" xfId="31407" xr:uid="{00000000-0005-0000-0000-0000AF7A0000}"/>
    <cellStyle name="Normal 418 3 3 2 2" xfId="31408" xr:uid="{00000000-0005-0000-0000-0000B07A0000}"/>
    <cellStyle name="Normal 418 3 3 3" xfId="31409" xr:uid="{00000000-0005-0000-0000-0000B17A0000}"/>
    <cellStyle name="Normal 418 3 4" xfId="31410" xr:uid="{00000000-0005-0000-0000-0000B27A0000}"/>
    <cellStyle name="Normal 418 3 4 2" xfId="31411" xr:uid="{00000000-0005-0000-0000-0000B37A0000}"/>
    <cellStyle name="Normal 418 3 4 2 2" xfId="31412" xr:uid="{00000000-0005-0000-0000-0000B47A0000}"/>
    <cellStyle name="Normal 418 3 4 3" xfId="31413" xr:uid="{00000000-0005-0000-0000-0000B57A0000}"/>
    <cellStyle name="Normal 418 3 5" xfId="31414" xr:uid="{00000000-0005-0000-0000-0000B67A0000}"/>
    <cellStyle name="Normal 418 3 5 2" xfId="31415" xr:uid="{00000000-0005-0000-0000-0000B77A0000}"/>
    <cellStyle name="Normal 418 3 5 2 2" xfId="31416" xr:uid="{00000000-0005-0000-0000-0000B87A0000}"/>
    <cellStyle name="Normal 418 3 5 3" xfId="31417" xr:uid="{00000000-0005-0000-0000-0000B97A0000}"/>
    <cellStyle name="Normal 418 3 6" xfId="31418" xr:uid="{00000000-0005-0000-0000-0000BA7A0000}"/>
    <cellStyle name="Normal 418 4" xfId="31419" xr:uid="{00000000-0005-0000-0000-0000BB7A0000}"/>
    <cellStyle name="Normal 418 4 2" xfId="31420" xr:uid="{00000000-0005-0000-0000-0000BC7A0000}"/>
    <cellStyle name="Normal 418 4 2 2" xfId="31421" xr:uid="{00000000-0005-0000-0000-0000BD7A0000}"/>
    <cellStyle name="Normal 418 4 3" xfId="31422" xr:uid="{00000000-0005-0000-0000-0000BE7A0000}"/>
    <cellStyle name="Normal 418 5" xfId="31423" xr:uid="{00000000-0005-0000-0000-0000BF7A0000}"/>
    <cellStyle name="Normal 418 5 2" xfId="31424" xr:uid="{00000000-0005-0000-0000-0000C07A0000}"/>
    <cellStyle name="Normal 418 5 2 2" xfId="31425" xr:uid="{00000000-0005-0000-0000-0000C17A0000}"/>
    <cellStyle name="Normal 418 5 3" xfId="31426" xr:uid="{00000000-0005-0000-0000-0000C27A0000}"/>
    <cellStyle name="Normal 418 6" xfId="31427" xr:uid="{00000000-0005-0000-0000-0000C37A0000}"/>
    <cellStyle name="Normal 418 6 2" xfId="31428" xr:uid="{00000000-0005-0000-0000-0000C47A0000}"/>
    <cellStyle name="Normal 418 6 2 2" xfId="31429" xr:uid="{00000000-0005-0000-0000-0000C57A0000}"/>
    <cellStyle name="Normal 418 6 3" xfId="31430" xr:uid="{00000000-0005-0000-0000-0000C67A0000}"/>
    <cellStyle name="Normal 418 7" xfId="31431" xr:uid="{00000000-0005-0000-0000-0000C77A0000}"/>
    <cellStyle name="Normal 419" xfId="31432" xr:uid="{00000000-0005-0000-0000-0000C87A0000}"/>
    <cellStyle name="Normal 419 2" xfId="31433" xr:uid="{00000000-0005-0000-0000-0000C97A0000}"/>
    <cellStyle name="Normal 419 2 2" xfId="31434" xr:uid="{00000000-0005-0000-0000-0000CA7A0000}"/>
    <cellStyle name="Normal 419 2 2 2" xfId="31435" xr:uid="{00000000-0005-0000-0000-0000CB7A0000}"/>
    <cellStyle name="Normal 419 2 3" xfId="31436" xr:uid="{00000000-0005-0000-0000-0000CC7A0000}"/>
    <cellStyle name="Normal 419 2 3 2" xfId="31437" xr:uid="{00000000-0005-0000-0000-0000CD7A0000}"/>
    <cellStyle name="Normal 419 2 3 2 2" xfId="31438" xr:uid="{00000000-0005-0000-0000-0000CE7A0000}"/>
    <cellStyle name="Normal 419 2 3 3" xfId="31439" xr:uid="{00000000-0005-0000-0000-0000CF7A0000}"/>
    <cellStyle name="Normal 419 2 4" xfId="31440" xr:uid="{00000000-0005-0000-0000-0000D07A0000}"/>
    <cellStyle name="Normal 419 2 4 2" xfId="31441" xr:uid="{00000000-0005-0000-0000-0000D17A0000}"/>
    <cellStyle name="Normal 419 2 4 2 2" xfId="31442" xr:uid="{00000000-0005-0000-0000-0000D27A0000}"/>
    <cellStyle name="Normal 419 2 4 3" xfId="31443" xr:uid="{00000000-0005-0000-0000-0000D37A0000}"/>
    <cellStyle name="Normal 419 2 5" xfId="31444" xr:uid="{00000000-0005-0000-0000-0000D47A0000}"/>
    <cellStyle name="Normal 419 3" xfId="31445" xr:uid="{00000000-0005-0000-0000-0000D57A0000}"/>
    <cellStyle name="Normal 419 3 2" xfId="31446" xr:uid="{00000000-0005-0000-0000-0000D67A0000}"/>
    <cellStyle name="Normal 419 3 2 2" xfId="31447" xr:uid="{00000000-0005-0000-0000-0000D77A0000}"/>
    <cellStyle name="Normal 419 3 2 2 2" xfId="31448" xr:uid="{00000000-0005-0000-0000-0000D87A0000}"/>
    <cellStyle name="Normal 419 3 2 3" xfId="31449" xr:uid="{00000000-0005-0000-0000-0000D97A0000}"/>
    <cellStyle name="Normal 419 3 2 3 2" xfId="31450" xr:uid="{00000000-0005-0000-0000-0000DA7A0000}"/>
    <cellStyle name="Normal 419 3 2 3 2 2" xfId="31451" xr:uid="{00000000-0005-0000-0000-0000DB7A0000}"/>
    <cellStyle name="Normal 419 3 2 3 3" xfId="31452" xr:uid="{00000000-0005-0000-0000-0000DC7A0000}"/>
    <cellStyle name="Normal 419 3 2 4" xfId="31453" xr:uid="{00000000-0005-0000-0000-0000DD7A0000}"/>
    <cellStyle name="Normal 419 3 3" xfId="31454" xr:uid="{00000000-0005-0000-0000-0000DE7A0000}"/>
    <cellStyle name="Normal 419 3 3 2" xfId="31455" xr:uid="{00000000-0005-0000-0000-0000DF7A0000}"/>
    <cellStyle name="Normal 419 3 3 2 2" xfId="31456" xr:uid="{00000000-0005-0000-0000-0000E07A0000}"/>
    <cellStyle name="Normal 419 3 3 3" xfId="31457" xr:uid="{00000000-0005-0000-0000-0000E17A0000}"/>
    <cellStyle name="Normal 419 3 4" xfId="31458" xr:uid="{00000000-0005-0000-0000-0000E27A0000}"/>
    <cellStyle name="Normal 419 3 4 2" xfId="31459" xr:uid="{00000000-0005-0000-0000-0000E37A0000}"/>
    <cellStyle name="Normal 419 3 4 2 2" xfId="31460" xr:uid="{00000000-0005-0000-0000-0000E47A0000}"/>
    <cellStyle name="Normal 419 3 4 3" xfId="31461" xr:uid="{00000000-0005-0000-0000-0000E57A0000}"/>
    <cellStyle name="Normal 419 3 5" xfId="31462" xr:uid="{00000000-0005-0000-0000-0000E67A0000}"/>
    <cellStyle name="Normal 419 3 5 2" xfId="31463" xr:uid="{00000000-0005-0000-0000-0000E77A0000}"/>
    <cellStyle name="Normal 419 3 5 2 2" xfId="31464" xr:uid="{00000000-0005-0000-0000-0000E87A0000}"/>
    <cellStyle name="Normal 419 3 5 3" xfId="31465" xr:uid="{00000000-0005-0000-0000-0000E97A0000}"/>
    <cellStyle name="Normal 419 3 6" xfId="31466" xr:uid="{00000000-0005-0000-0000-0000EA7A0000}"/>
    <cellStyle name="Normal 419 4" xfId="31467" xr:uid="{00000000-0005-0000-0000-0000EB7A0000}"/>
    <cellStyle name="Normal 419 4 2" xfId="31468" xr:uid="{00000000-0005-0000-0000-0000EC7A0000}"/>
    <cellStyle name="Normal 419 4 2 2" xfId="31469" xr:uid="{00000000-0005-0000-0000-0000ED7A0000}"/>
    <cellStyle name="Normal 419 4 3" xfId="31470" xr:uid="{00000000-0005-0000-0000-0000EE7A0000}"/>
    <cellStyle name="Normal 419 5" xfId="31471" xr:uid="{00000000-0005-0000-0000-0000EF7A0000}"/>
    <cellStyle name="Normal 419 5 2" xfId="31472" xr:uid="{00000000-0005-0000-0000-0000F07A0000}"/>
    <cellStyle name="Normal 419 5 2 2" xfId="31473" xr:uid="{00000000-0005-0000-0000-0000F17A0000}"/>
    <cellStyle name="Normal 419 5 3" xfId="31474" xr:uid="{00000000-0005-0000-0000-0000F27A0000}"/>
    <cellStyle name="Normal 419 6" xfId="31475" xr:uid="{00000000-0005-0000-0000-0000F37A0000}"/>
    <cellStyle name="Normal 419 6 2" xfId="31476" xr:uid="{00000000-0005-0000-0000-0000F47A0000}"/>
    <cellStyle name="Normal 419 6 2 2" xfId="31477" xr:uid="{00000000-0005-0000-0000-0000F57A0000}"/>
    <cellStyle name="Normal 419 6 3" xfId="31478" xr:uid="{00000000-0005-0000-0000-0000F67A0000}"/>
    <cellStyle name="Normal 419 7" xfId="31479" xr:uid="{00000000-0005-0000-0000-0000F77A0000}"/>
    <cellStyle name="Normal 42" xfId="31480" xr:uid="{00000000-0005-0000-0000-0000F87A0000}"/>
    <cellStyle name="Normal 42 2" xfId="31481" xr:uid="{00000000-0005-0000-0000-0000F97A0000}"/>
    <cellStyle name="Normal 42 2 2" xfId="31482" xr:uid="{00000000-0005-0000-0000-0000FA7A0000}"/>
    <cellStyle name="Normal 42 2 2 2" xfId="31483" xr:uid="{00000000-0005-0000-0000-0000FB7A0000}"/>
    <cellStyle name="Normal 42 2 2 2 2" xfId="31484" xr:uid="{00000000-0005-0000-0000-0000FC7A0000}"/>
    <cellStyle name="Normal 42 2 2 3" xfId="31485" xr:uid="{00000000-0005-0000-0000-0000FD7A0000}"/>
    <cellStyle name="Normal 42 2 2 3 2" xfId="31486" xr:uid="{00000000-0005-0000-0000-0000FE7A0000}"/>
    <cellStyle name="Normal 42 2 2 3 2 2" xfId="31487" xr:uid="{00000000-0005-0000-0000-0000FF7A0000}"/>
    <cellStyle name="Normal 42 2 2 3 3" xfId="31488" xr:uid="{00000000-0005-0000-0000-0000007B0000}"/>
    <cellStyle name="Normal 42 2 2 4" xfId="31489" xr:uid="{00000000-0005-0000-0000-0000017B0000}"/>
    <cellStyle name="Normal 42 2 2 4 2" xfId="31490" xr:uid="{00000000-0005-0000-0000-0000027B0000}"/>
    <cellStyle name="Normal 42 2 2 4 2 2" xfId="31491" xr:uid="{00000000-0005-0000-0000-0000037B0000}"/>
    <cellStyle name="Normal 42 2 2 4 3" xfId="31492" xr:uid="{00000000-0005-0000-0000-0000047B0000}"/>
    <cellStyle name="Normal 42 2 2 5" xfId="31493" xr:uid="{00000000-0005-0000-0000-0000057B0000}"/>
    <cellStyle name="Normal 42 2 3" xfId="31494" xr:uid="{00000000-0005-0000-0000-0000067B0000}"/>
    <cellStyle name="Normal 42 2 3 2" xfId="31495" xr:uid="{00000000-0005-0000-0000-0000077B0000}"/>
    <cellStyle name="Normal 42 2 3 2 2" xfId="31496" xr:uid="{00000000-0005-0000-0000-0000087B0000}"/>
    <cellStyle name="Normal 42 2 3 3" xfId="31497" xr:uid="{00000000-0005-0000-0000-0000097B0000}"/>
    <cellStyle name="Normal 42 2 4" xfId="31498" xr:uid="{00000000-0005-0000-0000-00000A7B0000}"/>
    <cellStyle name="Normal 42 2 4 2" xfId="31499" xr:uid="{00000000-0005-0000-0000-00000B7B0000}"/>
    <cellStyle name="Normal 42 2 4 2 2" xfId="31500" xr:uid="{00000000-0005-0000-0000-00000C7B0000}"/>
    <cellStyle name="Normal 42 2 4 3" xfId="31501" xr:uid="{00000000-0005-0000-0000-00000D7B0000}"/>
    <cellStyle name="Normal 42 2 5" xfId="31502" xr:uid="{00000000-0005-0000-0000-00000E7B0000}"/>
    <cellStyle name="Normal 42 2 5 2" xfId="31503" xr:uid="{00000000-0005-0000-0000-00000F7B0000}"/>
    <cellStyle name="Normal 42 2 5 2 2" xfId="31504" xr:uid="{00000000-0005-0000-0000-0000107B0000}"/>
    <cellStyle name="Normal 42 2 5 3" xfId="31505" xr:uid="{00000000-0005-0000-0000-0000117B0000}"/>
    <cellStyle name="Normal 42 2 6" xfId="31506" xr:uid="{00000000-0005-0000-0000-0000127B0000}"/>
    <cellStyle name="Normal 42 3" xfId="31507" xr:uid="{00000000-0005-0000-0000-0000137B0000}"/>
    <cellStyle name="Normal 42 3 2" xfId="31508" xr:uid="{00000000-0005-0000-0000-0000147B0000}"/>
    <cellStyle name="Normal 42 3 2 2" xfId="31509" xr:uid="{00000000-0005-0000-0000-0000157B0000}"/>
    <cellStyle name="Normal 42 3 3" xfId="31510" xr:uid="{00000000-0005-0000-0000-0000167B0000}"/>
    <cellStyle name="Normal 42 3 3 2" xfId="31511" xr:uid="{00000000-0005-0000-0000-0000177B0000}"/>
    <cellStyle name="Normal 42 3 3 2 2" xfId="31512" xr:uid="{00000000-0005-0000-0000-0000187B0000}"/>
    <cellStyle name="Normal 42 3 3 3" xfId="31513" xr:uid="{00000000-0005-0000-0000-0000197B0000}"/>
    <cellStyle name="Normal 42 3 4" xfId="31514" xr:uid="{00000000-0005-0000-0000-00001A7B0000}"/>
    <cellStyle name="Normal 42 3 4 2" xfId="31515" xr:uid="{00000000-0005-0000-0000-00001B7B0000}"/>
    <cellStyle name="Normal 42 3 4 2 2" xfId="31516" xr:uid="{00000000-0005-0000-0000-00001C7B0000}"/>
    <cellStyle name="Normal 42 3 4 3" xfId="31517" xr:uid="{00000000-0005-0000-0000-00001D7B0000}"/>
    <cellStyle name="Normal 42 3 5" xfId="31518" xr:uid="{00000000-0005-0000-0000-00001E7B0000}"/>
    <cellStyle name="Normal 42 4" xfId="31519" xr:uid="{00000000-0005-0000-0000-00001F7B0000}"/>
    <cellStyle name="Normal 42 4 2" xfId="31520" xr:uid="{00000000-0005-0000-0000-0000207B0000}"/>
    <cellStyle name="Normal 42 4 2 2" xfId="31521" xr:uid="{00000000-0005-0000-0000-0000217B0000}"/>
    <cellStyle name="Normal 42 4 3" xfId="31522" xr:uid="{00000000-0005-0000-0000-0000227B0000}"/>
    <cellStyle name="Normal 42 5" xfId="31523" xr:uid="{00000000-0005-0000-0000-0000237B0000}"/>
    <cellStyle name="Normal 42 5 2" xfId="31524" xr:uid="{00000000-0005-0000-0000-0000247B0000}"/>
    <cellStyle name="Normal 42 5 2 2" xfId="31525" xr:uid="{00000000-0005-0000-0000-0000257B0000}"/>
    <cellStyle name="Normal 42 5 3" xfId="31526" xr:uid="{00000000-0005-0000-0000-0000267B0000}"/>
    <cellStyle name="Normal 42 6" xfId="31527" xr:uid="{00000000-0005-0000-0000-0000277B0000}"/>
    <cellStyle name="Normal 42 6 2" xfId="31528" xr:uid="{00000000-0005-0000-0000-0000287B0000}"/>
    <cellStyle name="Normal 42 6 2 2" xfId="31529" xr:uid="{00000000-0005-0000-0000-0000297B0000}"/>
    <cellStyle name="Normal 42 6 3" xfId="31530" xr:uid="{00000000-0005-0000-0000-00002A7B0000}"/>
    <cellStyle name="Normal 42 7" xfId="31531" xr:uid="{00000000-0005-0000-0000-00002B7B0000}"/>
    <cellStyle name="Normal 420" xfId="31532" xr:uid="{00000000-0005-0000-0000-00002C7B0000}"/>
    <cellStyle name="Normal 420 2" xfId="31533" xr:uid="{00000000-0005-0000-0000-00002D7B0000}"/>
    <cellStyle name="Normal 420 2 2" xfId="31534" xr:uid="{00000000-0005-0000-0000-00002E7B0000}"/>
    <cellStyle name="Normal 420 2 2 2" xfId="31535" xr:uid="{00000000-0005-0000-0000-00002F7B0000}"/>
    <cellStyle name="Normal 420 2 3" xfId="31536" xr:uid="{00000000-0005-0000-0000-0000307B0000}"/>
    <cellStyle name="Normal 420 2 3 2" xfId="31537" xr:uid="{00000000-0005-0000-0000-0000317B0000}"/>
    <cellStyle name="Normal 420 2 3 2 2" xfId="31538" xr:uid="{00000000-0005-0000-0000-0000327B0000}"/>
    <cellStyle name="Normal 420 2 3 3" xfId="31539" xr:uid="{00000000-0005-0000-0000-0000337B0000}"/>
    <cellStyle name="Normal 420 2 4" xfId="31540" xr:uid="{00000000-0005-0000-0000-0000347B0000}"/>
    <cellStyle name="Normal 420 2 4 2" xfId="31541" xr:uid="{00000000-0005-0000-0000-0000357B0000}"/>
    <cellStyle name="Normal 420 2 4 2 2" xfId="31542" xr:uid="{00000000-0005-0000-0000-0000367B0000}"/>
    <cellStyle name="Normal 420 2 4 3" xfId="31543" xr:uid="{00000000-0005-0000-0000-0000377B0000}"/>
    <cellStyle name="Normal 420 2 5" xfId="31544" xr:uid="{00000000-0005-0000-0000-0000387B0000}"/>
    <cellStyle name="Normal 420 3" xfId="31545" xr:uid="{00000000-0005-0000-0000-0000397B0000}"/>
    <cellStyle name="Normal 420 3 2" xfId="31546" xr:uid="{00000000-0005-0000-0000-00003A7B0000}"/>
    <cellStyle name="Normal 420 3 2 2" xfId="31547" xr:uid="{00000000-0005-0000-0000-00003B7B0000}"/>
    <cellStyle name="Normal 420 3 2 2 2" xfId="31548" xr:uid="{00000000-0005-0000-0000-00003C7B0000}"/>
    <cellStyle name="Normal 420 3 2 3" xfId="31549" xr:uid="{00000000-0005-0000-0000-00003D7B0000}"/>
    <cellStyle name="Normal 420 3 2 3 2" xfId="31550" xr:uid="{00000000-0005-0000-0000-00003E7B0000}"/>
    <cellStyle name="Normal 420 3 2 3 2 2" xfId="31551" xr:uid="{00000000-0005-0000-0000-00003F7B0000}"/>
    <cellStyle name="Normal 420 3 2 3 3" xfId="31552" xr:uid="{00000000-0005-0000-0000-0000407B0000}"/>
    <cellStyle name="Normal 420 3 2 4" xfId="31553" xr:uid="{00000000-0005-0000-0000-0000417B0000}"/>
    <cellStyle name="Normal 420 3 3" xfId="31554" xr:uid="{00000000-0005-0000-0000-0000427B0000}"/>
    <cellStyle name="Normal 420 3 3 2" xfId="31555" xr:uid="{00000000-0005-0000-0000-0000437B0000}"/>
    <cellStyle name="Normal 420 3 3 2 2" xfId="31556" xr:uid="{00000000-0005-0000-0000-0000447B0000}"/>
    <cellStyle name="Normal 420 3 3 3" xfId="31557" xr:uid="{00000000-0005-0000-0000-0000457B0000}"/>
    <cellStyle name="Normal 420 3 4" xfId="31558" xr:uid="{00000000-0005-0000-0000-0000467B0000}"/>
    <cellStyle name="Normal 420 3 4 2" xfId="31559" xr:uid="{00000000-0005-0000-0000-0000477B0000}"/>
    <cellStyle name="Normal 420 3 4 2 2" xfId="31560" xr:uid="{00000000-0005-0000-0000-0000487B0000}"/>
    <cellStyle name="Normal 420 3 4 3" xfId="31561" xr:uid="{00000000-0005-0000-0000-0000497B0000}"/>
    <cellStyle name="Normal 420 3 5" xfId="31562" xr:uid="{00000000-0005-0000-0000-00004A7B0000}"/>
    <cellStyle name="Normal 420 3 5 2" xfId="31563" xr:uid="{00000000-0005-0000-0000-00004B7B0000}"/>
    <cellStyle name="Normal 420 3 5 2 2" xfId="31564" xr:uid="{00000000-0005-0000-0000-00004C7B0000}"/>
    <cellStyle name="Normal 420 3 5 3" xfId="31565" xr:uid="{00000000-0005-0000-0000-00004D7B0000}"/>
    <cellStyle name="Normal 420 3 6" xfId="31566" xr:uid="{00000000-0005-0000-0000-00004E7B0000}"/>
    <cellStyle name="Normal 420 4" xfId="31567" xr:uid="{00000000-0005-0000-0000-00004F7B0000}"/>
    <cellStyle name="Normal 420 4 2" xfId="31568" xr:uid="{00000000-0005-0000-0000-0000507B0000}"/>
    <cellStyle name="Normal 420 4 2 2" xfId="31569" xr:uid="{00000000-0005-0000-0000-0000517B0000}"/>
    <cellStyle name="Normal 420 4 3" xfId="31570" xr:uid="{00000000-0005-0000-0000-0000527B0000}"/>
    <cellStyle name="Normal 420 5" xfId="31571" xr:uid="{00000000-0005-0000-0000-0000537B0000}"/>
    <cellStyle name="Normal 420 5 2" xfId="31572" xr:uid="{00000000-0005-0000-0000-0000547B0000}"/>
    <cellStyle name="Normal 420 5 2 2" xfId="31573" xr:uid="{00000000-0005-0000-0000-0000557B0000}"/>
    <cellStyle name="Normal 420 5 3" xfId="31574" xr:uid="{00000000-0005-0000-0000-0000567B0000}"/>
    <cellStyle name="Normal 420 6" xfId="31575" xr:uid="{00000000-0005-0000-0000-0000577B0000}"/>
    <cellStyle name="Normal 420 6 2" xfId="31576" xr:uid="{00000000-0005-0000-0000-0000587B0000}"/>
    <cellStyle name="Normal 420 6 2 2" xfId="31577" xr:uid="{00000000-0005-0000-0000-0000597B0000}"/>
    <cellStyle name="Normal 420 6 3" xfId="31578" xr:uid="{00000000-0005-0000-0000-00005A7B0000}"/>
    <cellStyle name="Normal 420 7" xfId="31579" xr:uid="{00000000-0005-0000-0000-00005B7B0000}"/>
    <cellStyle name="Normal 421" xfId="31580" xr:uid="{00000000-0005-0000-0000-00005C7B0000}"/>
    <cellStyle name="Normal 421 2" xfId="31581" xr:uid="{00000000-0005-0000-0000-00005D7B0000}"/>
    <cellStyle name="Normal 421 2 2" xfId="31582" xr:uid="{00000000-0005-0000-0000-00005E7B0000}"/>
    <cellStyle name="Normal 421 2 2 2" xfId="31583" xr:uid="{00000000-0005-0000-0000-00005F7B0000}"/>
    <cellStyle name="Normal 421 2 2 2 2" xfId="31584" xr:uid="{00000000-0005-0000-0000-0000607B0000}"/>
    <cellStyle name="Normal 421 2 2 3" xfId="31585" xr:uid="{00000000-0005-0000-0000-0000617B0000}"/>
    <cellStyle name="Normal 421 2 2 3 2" xfId="31586" xr:uid="{00000000-0005-0000-0000-0000627B0000}"/>
    <cellStyle name="Normal 421 2 2 3 2 2" xfId="31587" xr:uid="{00000000-0005-0000-0000-0000637B0000}"/>
    <cellStyle name="Normal 421 2 2 3 3" xfId="31588" xr:uid="{00000000-0005-0000-0000-0000647B0000}"/>
    <cellStyle name="Normal 421 2 2 4" xfId="31589" xr:uid="{00000000-0005-0000-0000-0000657B0000}"/>
    <cellStyle name="Normal 421 2 2 4 2" xfId="31590" xr:uid="{00000000-0005-0000-0000-0000667B0000}"/>
    <cellStyle name="Normal 421 2 2 4 2 2" xfId="31591" xr:uid="{00000000-0005-0000-0000-0000677B0000}"/>
    <cellStyle name="Normal 421 2 2 4 3" xfId="31592" xr:uid="{00000000-0005-0000-0000-0000687B0000}"/>
    <cellStyle name="Normal 421 2 2 5" xfId="31593" xr:uid="{00000000-0005-0000-0000-0000697B0000}"/>
    <cellStyle name="Normal 421 2 3" xfId="31594" xr:uid="{00000000-0005-0000-0000-00006A7B0000}"/>
    <cellStyle name="Normal 421 2 3 2" xfId="31595" xr:uid="{00000000-0005-0000-0000-00006B7B0000}"/>
    <cellStyle name="Normal 421 2 3 2 2" xfId="31596" xr:uid="{00000000-0005-0000-0000-00006C7B0000}"/>
    <cellStyle name="Normal 421 2 3 2 2 2" xfId="31597" xr:uid="{00000000-0005-0000-0000-00006D7B0000}"/>
    <cellStyle name="Normal 421 2 3 2 3" xfId="31598" xr:uid="{00000000-0005-0000-0000-00006E7B0000}"/>
    <cellStyle name="Normal 421 2 3 2 3 2" xfId="31599" xr:uid="{00000000-0005-0000-0000-00006F7B0000}"/>
    <cellStyle name="Normal 421 2 3 2 3 2 2" xfId="31600" xr:uid="{00000000-0005-0000-0000-0000707B0000}"/>
    <cellStyle name="Normal 421 2 3 2 3 3" xfId="31601" xr:uid="{00000000-0005-0000-0000-0000717B0000}"/>
    <cellStyle name="Normal 421 2 3 2 4" xfId="31602" xr:uid="{00000000-0005-0000-0000-0000727B0000}"/>
    <cellStyle name="Normal 421 2 3 3" xfId="31603" xr:uid="{00000000-0005-0000-0000-0000737B0000}"/>
    <cellStyle name="Normal 421 2 3 3 2" xfId="31604" xr:uid="{00000000-0005-0000-0000-0000747B0000}"/>
    <cellStyle name="Normal 421 2 3 3 2 2" xfId="31605" xr:uid="{00000000-0005-0000-0000-0000757B0000}"/>
    <cellStyle name="Normal 421 2 3 3 3" xfId="31606" xr:uid="{00000000-0005-0000-0000-0000767B0000}"/>
    <cellStyle name="Normal 421 2 3 4" xfId="31607" xr:uid="{00000000-0005-0000-0000-0000777B0000}"/>
    <cellStyle name="Normal 421 2 3 4 2" xfId="31608" xr:uid="{00000000-0005-0000-0000-0000787B0000}"/>
    <cellStyle name="Normal 421 2 3 4 2 2" xfId="31609" xr:uid="{00000000-0005-0000-0000-0000797B0000}"/>
    <cellStyle name="Normal 421 2 3 4 3" xfId="31610" xr:uid="{00000000-0005-0000-0000-00007A7B0000}"/>
    <cellStyle name="Normal 421 2 3 5" xfId="31611" xr:uid="{00000000-0005-0000-0000-00007B7B0000}"/>
    <cellStyle name="Normal 421 2 3 5 2" xfId="31612" xr:uid="{00000000-0005-0000-0000-00007C7B0000}"/>
    <cellStyle name="Normal 421 2 3 5 2 2" xfId="31613" xr:uid="{00000000-0005-0000-0000-00007D7B0000}"/>
    <cellStyle name="Normal 421 2 3 5 3" xfId="31614" xr:uid="{00000000-0005-0000-0000-00007E7B0000}"/>
    <cellStyle name="Normal 421 2 3 6" xfId="31615" xr:uid="{00000000-0005-0000-0000-00007F7B0000}"/>
    <cellStyle name="Normal 421 2 4" xfId="31616" xr:uid="{00000000-0005-0000-0000-0000807B0000}"/>
    <cellStyle name="Normal 421 2 4 2" xfId="31617" xr:uid="{00000000-0005-0000-0000-0000817B0000}"/>
    <cellStyle name="Normal 421 2 4 2 2" xfId="31618" xr:uid="{00000000-0005-0000-0000-0000827B0000}"/>
    <cellStyle name="Normal 421 2 4 3" xfId="31619" xr:uid="{00000000-0005-0000-0000-0000837B0000}"/>
    <cellStyle name="Normal 421 2 5" xfId="31620" xr:uid="{00000000-0005-0000-0000-0000847B0000}"/>
    <cellStyle name="Normal 421 2 5 2" xfId="31621" xr:uid="{00000000-0005-0000-0000-0000857B0000}"/>
    <cellStyle name="Normal 421 2 5 2 2" xfId="31622" xr:uid="{00000000-0005-0000-0000-0000867B0000}"/>
    <cellStyle name="Normal 421 2 5 3" xfId="31623" xr:uid="{00000000-0005-0000-0000-0000877B0000}"/>
    <cellStyle name="Normal 421 2 6" xfId="31624" xr:uid="{00000000-0005-0000-0000-0000887B0000}"/>
    <cellStyle name="Normal 421 2 6 2" xfId="31625" xr:uid="{00000000-0005-0000-0000-0000897B0000}"/>
    <cellStyle name="Normal 421 2 6 2 2" xfId="31626" xr:uid="{00000000-0005-0000-0000-00008A7B0000}"/>
    <cellStyle name="Normal 421 2 6 3" xfId="31627" xr:uid="{00000000-0005-0000-0000-00008B7B0000}"/>
    <cellStyle name="Normal 421 2 7" xfId="31628" xr:uid="{00000000-0005-0000-0000-00008C7B0000}"/>
    <cellStyle name="Normal 421 3" xfId="31629" xr:uid="{00000000-0005-0000-0000-00008D7B0000}"/>
    <cellStyle name="Normal 421 3 2" xfId="31630" xr:uid="{00000000-0005-0000-0000-00008E7B0000}"/>
    <cellStyle name="Normal 421 3 2 2" xfId="31631" xr:uid="{00000000-0005-0000-0000-00008F7B0000}"/>
    <cellStyle name="Normal 421 3 3" xfId="31632" xr:uid="{00000000-0005-0000-0000-0000907B0000}"/>
    <cellStyle name="Normal 421 3 3 2" xfId="31633" xr:uid="{00000000-0005-0000-0000-0000917B0000}"/>
    <cellStyle name="Normal 421 3 3 2 2" xfId="31634" xr:uid="{00000000-0005-0000-0000-0000927B0000}"/>
    <cellStyle name="Normal 421 3 3 3" xfId="31635" xr:uid="{00000000-0005-0000-0000-0000937B0000}"/>
    <cellStyle name="Normal 421 3 4" xfId="31636" xr:uid="{00000000-0005-0000-0000-0000947B0000}"/>
    <cellStyle name="Normal 421 3 4 2" xfId="31637" xr:uid="{00000000-0005-0000-0000-0000957B0000}"/>
    <cellStyle name="Normal 421 3 4 2 2" xfId="31638" xr:uid="{00000000-0005-0000-0000-0000967B0000}"/>
    <cellStyle name="Normal 421 3 4 3" xfId="31639" xr:uid="{00000000-0005-0000-0000-0000977B0000}"/>
    <cellStyle name="Normal 421 3 5" xfId="31640" xr:uid="{00000000-0005-0000-0000-0000987B0000}"/>
    <cellStyle name="Normal 421 4" xfId="31641" xr:uid="{00000000-0005-0000-0000-0000997B0000}"/>
    <cellStyle name="Normal 421 4 2" xfId="31642" xr:uid="{00000000-0005-0000-0000-00009A7B0000}"/>
    <cellStyle name="Normal 421 4 2 2" xfId="31643" xr:uid="{00000000-0005-0000-0000-00009B7B0000}"/>
    <cellStyle name="Normal 421 4 2 2 2" xfId="31644" xr:uid="{00000000-0005-0000-0000-00009C7B0000}"/>
    <cellStyle name="Normal 421 4 2 3" xfId="31645" xr:uid="{00000000-0005-0000-0000-00009D7B0000}"/>
    <cellStyle name="Normal 421 4 2 3 2" xfId="31646" xr:uid="{00000000-0005-0000-0000-00009E7B0000}"/>
    <cellStyle name="Normal 421 4 2 3 2 2" xfId="31647" xr:uid="{00000000-0005-0000-0000-00009F7B0000}"/>
    <cellStyle name="Normal 421 4 2 3 3" xfId="31648" xr:uid="{00000000-0005-0000-0000-0000A07B0000}"/>
    <cellStyle name="Normal 421 4 2 4" xfId="31649" xr:uid="{00000000-0005-0000-0000-0000A17B0000}"/>
    <cellStyle name="Normal 421 4 3" xfId="31650" xr:uid="{00000000-0005-0000-0000-0000A27B0000}"/>
    <cellStyle name="Normal 421 4 3 2" xfId="31651" xr:uid="{00000000-0005-0000-0000-0000A37B0000}"/>
    <cellStyle name="Normal 421 4 3 2 2" xfId="31652" xr:uid="{00000000-0005-0000-0000-0000A47B0000}"/>
    <cellStyle name="Normal 421 4 3 3" xfId="31653" xr:uid="{00000000-0005-0000-0000-0000A57B0000}"/>
    <cellStyle name="Normal 421 4 4" xfId="31654" xr:uid="{00000000-0005-0000-0000-0000A67B0000}"/>
    <cellStyle name="Normal 421 4 4 2" xfId="31655" xr:uid="{00000000-0005-0000-0000-0000A77B0000}"/>
    <cellStyle name="Normal 421 4 4 2 2" xfId="31656" xr:uid="{00000000-0005-0000-0000-0000A87B0000}"/>
    <cellStyle name="Normal 421 4 4 3" xfId="31657" xr:uid="{00000000-0005-0000-0000-0000A97B0000}"/>
    <cellStyle name="Normal 421 4 5" xfId="31658" xr:uid="{00000000-0005-0000-0000-0000AA7B0000}"/>
    <cellStyle name="Normal 421 4 5 2" xfId="31659" xr:uid="{00000000-0005-0000-0000-0000AB7B0000}"/>
    <cellStyle name="Normal 421 4 5 2 2" xfId="31660" xr:uid="{00000000-0005-0000-0000-0000AC7B0000}"/>
    <cellStyle name="Normal 421 4 5 3" xfId="31661" xr:uid="{00000000-0005-0000-0000-0000AD7B0000}"/>
    <cellStyle name="Normal 421 4 6" xfId="31662" xr:uid="{00000000-0005-0000-0000-0000AE7B0000}"/>
    <cellStyle name="Normal 421 5" xfId="31663" xr:uid="{00000000-0005-0000-0000-0000AF7B0000}"/>
    <cellStyle name="Normal 421 5 2" xfId="31664" xr:uid="{00000000-0005-0000-0000-0000B07B0000}"/>
    <cellStyle name="Normal 421 5 2 2" xfId="31665" xr:uid="{00000000-0005-0000-0000-0000B17B0000}"/>
    <cellStyle name="Normal 421 5 3" xfId="31666" xr:uid="{00000000-0005-0000-0000-0000B27B0000}"/>
    <cellStyle name="Normal 421 6" xfId="31667" xr:uid="{00000000-0005-0000-0000-0000B37B0000}"/>
    <cellStyle name="Normal 421 6 2" xfId="31668" xr:uid="{00000000-0005-0000-0000-0000B47B0000}"/>
    <cellStyle name="Normal 421 6 2 2" xfId="31669" xr:uid="{00000000-0005-0000-0000-0000B57B0000}"/>
    <cellStyle name="Normal 421 6 3" xfId="31670" xr:uid="{00000000-0005-0000-0000-0000B67B0000}"/>
    <cellStyle name="Normal 421 7" xfId="31671" xr:uid="{00000000-0005-0000-0000-0000B77B0000}"/>
    <cellStyle name="Normal 421 7 2" xfId="31672" xr:uid="{00000000-0005-0000-0000-0000B87B0000}"/>
    <cellStyle name="Normal 421 7 2 2" xfId="31673" xr:uid="{00000000-0005-0000-0000-0000B97B0000}"/>
    <cellStyle name="Normal 421 7 3" xfId="31674" xr:uid="{00000000-0005-0000-0000-0000BA7B0000}"/>
    <cellStyle name="Normal 421 8" xfId="31675" xr:uid="{00000000-0005-0000-0000-0000BB7B0000}"/>
    <cellStyle name="Normal 421 8 2" xfId="31676" xr:uid="{00000000-0005-0000-0000-0000BC7B0000}"/>
    <cellStyle name="Normal 5" xfId="31685" xr:uid="{DF02BA6A-8C53-40FE-BD2C-25BA9EBC094C}"/>
    <cellStyle name="Normal 5 2" xfId="36493" xr:uid="{469B1164-0615-40BD-BD14-643E77A6A8AC}"/>
    <cellStyle name="Normal 6" xfId="49" xr:uid="{00000000-0005-0000-0000-000031000000}"/>
    <cellStyle name="Normal 7" xfId="7" xr:uid="{00000000-0005-0000-0000-000007000000}"/>
    <cellStyle name="Normal 747 3" xfId="48" xr:uid="{00000000-0005-0000-0000-000030000000}"/>
    <cellStyle name="Normal 749" xfId="31677" xr:uid="{00000000-0005-0000-0000-0000BD7B0000}"/>
    <cellStyle name="Normal 750 2" xfId="31682" xr:uid="{00000000-0005-0000-0000-0000C57B0000}"/>
    <cellStyle name="Normal 8" xfId="74" xr:uid="{00000000-0005-0000-0000-00004A000000}"/>
    <cellStyle name="Normal 9" xfId="75" xr:uid="{00000000-0005-0000-0000-00004B000000}"/>
    <cellStyle name="Normal_ITC Model I Updated to May 1 2009 FLE's" xfId="31683" xr:uid="{47A39C80-E578-4B1A-93C1-DE1200529D5A}"/>
    <cellStyle name="Percent" xfId="1" xr:uid="{00000000-0005-0000-0000-000001000000}"/>
    <cellStyle name="Percent 10" xfId="31678" xr:uid="{00000000-0005-0000-0000-0000BE7B0000}"/>
    <cellStyle name="Percent 156" xfId="31679" xr:uid="{00000000-0005-0000-0000-0000BF7B0000}"/>
    <cellStyle name="Percent 2" xfId="78" xr:uid="{00000000-0005-0000-0000-00004E000000}"/>
    <cellStyle name="Percent 3" xfId="31684" xr:uid="{0CE7E799-8FEF-499D-8D1F-4DE80546C019}"/>
    <cellStyle name="Percent 4" xfId="31686" xr:uid="{D2DAEA61-DB73-47A7-BAC7-7D828DAA6408}"/>
    <cellStyle name="Percent 4 2" xfId="36494" xr:uid="{12D79D1E-C42F-49C9-A99F-8445C9D1C328}"/>
    <cellStyle name="Percent 41" xfId="76" xr:uid="{00000000-0005-0000-0000-00004C000000}"/>
    <cellStyle name="Percent 45" xfId="77" xr:uid="{00000000-0005-0000-0000-00004D000000}"/>
    <cellStyle name="SAPBorder" xfId="13" xr:uid="{00000000-0005-0000-0000-00000D000000}"/>
    <cellStyle name="SAPDataCell" xfId="14" xr:uid="{00000000-0005-0000-0000-00000E000000}"/>
    <cellStyle name="SAPDataTotalCell" xfId="15" xr:uid="{00000000-0005-0000-0000-00000F000000}"/>
    <cellStyle name="SAPDimensionCell" xfId="16" xr:uid="{00000000-0005-0000-0000-000010000000}"/>
    <cellStyle name="SAPDimensionCell 2" xfId="31689" xr:uid="{D897CD93-C0E5-40F9-ACBB-8C008DD8BD28}"/>
    <cellStyle name="SAPEditableDataCell" xfId="17" xr:uid="{00000000-0005-0000-0000-000011000000}"/>
    <cellStyle name="SAPEditableDataTotalCell" xfId="18" xr:uid="{00000000-0005-0000-0000-000012000000}"/>
    <cellStyle name="SAPEmphasized" xfId="19" xr:uid="{00000000-0005-0000-0000-000013000000}"/>
    <cellStyle name="SAPEmphasizedEditableDataCell" xfId="20" xr:uid="{00000000-0005-0000-0000-000014000000}"/>
    <cellStyle name="SAPEmphasizedEditableDataTotalCell" xfId="21" xr:uid="{00000000-0005-0000-0000-000015000000}"/>
    <cellStyle name="SAPEmphasizedLockedDataCell" xfId="22" xr:uid="{00000000-0005-0000-0000-000016000000}"/>
    <cellStyle name="SAPEmphasizedLockedDataTotalCell" xfId="23" xr:uid="{00000000-0005-0000-0000-000017000000}"/>
    <cellStyle name="SAPEmphasizedReadonlyDataCell" xfId="24" xr:uid="{00000000-0005-0000-0000-000018000000}"/>
    <cellStyle name="SAPEmphasizedReadonlyDataTotalCell" xfId="25" xr:uid="{00000000-0005-0000-0000-000019000000}"/>
    <cellStyle name="SAPEmphasizedTotal" xfId="26" xr:uid="{00000000-0005-0000-0000-00001A000000}"/>
    <cellStyle name="SAPExceptionLevel1" xfId="27" xr:uid="{00000000-0005-0000-0000-00001B000000}"/>
    <cellStyle name="SAPExceptionLevel2" xfId="28" xr:uid="{00000000-0005-0000-0000-00001C000000}"/>
    <cellStyle name="SAPExceptionLevel3" xfId="29" xr:uid="{00000000-0005-0000-0000-00001D000000}"/>
    <cellStyle name="SAPExceptionLevel4" xfId="30" xr:uid="{00000000-0005-0000-0000-00001E000000}"/>
    <cellStyle name="SAPExceptionLevel5" xfId="31" xr:uid="{00000000-0005-0000-0000-00001F000000}"/>
    <cellStyle name="SAPExceptionLevel6" xfId="32" xr:uid="{00000000-0005-0000-0000-000020000000}"/>
    <cellStyle name="SAPExceptionLevel7" xfId="33" xr:uid="{00000000-0005-0000-0000-000021000000}"/>
    <cellStyle name="SAPExceptionLevel7 2" xfId="31690" xr:uid="{D9B6A9C8-674E-42A1-8D68-F0E20FD9D648}"/>
    <cellStyle name="SAPExceptionLevel8" xfId="34" xr:uid="{00000000-0005-0000-0000-000022000000}"/>
    <cellStyle name="SAPExceptionLevel9" xfId="35" xr:uid="{00000000-0005-0000-0000-000023000000}"/>
    <cellStyle name="SAPHierarchyCell0" xfId="36" xr:uid="{00000000-0005-0000-0000-000024000000}"/>
    <cellStyle name="SAPHierarchyCell1" xfId="37" xr:uid="{00000000-0005-0000-0000-000025000000}"/>
    <cellStyle name="SAPHierarchyCell2" xfId="38" xr:uid="{00000000-0005-0000-0000-000026000000}"/>
    <cellStyle name="SAPHierarchyCell3" xfId="39" xr:uid="{00000000-0005-0000-0000-000027000000}"/>
    <cellStyle name="SAPHierarchyCell4" xfId="40" xr:uid="{00000000-0005-0000-0000-000028000000}"/>
    <cellStyle name="SAPLockedDataCell" xfId="41" xr:uid="{00000000-0005-0000-0000-000029000000}"/>
    <cellStyle name="SAPLockedDataTotalCell" xfId="42" xr:uid="{00000000-0005-0000-0000-00002A000000}"/>
    <cellStyle name="SAPMemberCell" xfId="43" xr:uid="{00000000-0005-0000-0000-00002B000000}"/>
    <cellStyle name="SAPMemberTotalCell" xfId="44" xr:uid="{00000000-0005-0000-0000-00002C000000}"/>
    <cellStyle name="SAPMemberTotalCell 2" xfId="31691" xr:uid="{AE4E8E68-9D56-4EEC-9A11-C8BE8562B4EC}"/>
    <cellStyle name="SAPReadonlyDataCell" xfId="45" xr:uid="{00000000-0005-0000-0000-00002D000000}"/>
    <cellStyle name="SAPReadonlyDataTotalCell" xfId="46" xr:uid="{00000000-0005-0000-0000-00002E000000}"/>
  </cellStyles>
  <dxfs count="11">
    <dxf>
      <fill>
        <patternFill>
          <bgColor indexed="42"/>
        </patternFill>
      </fill>
    </dxf>
    <dxf>
      <fill>
        <patternFill>
          <bgColor indexed="42"/>
        </patternFill>
      </fill>
    </dxf>
    <dxf>
      <fill>
        <patternFill>
          <bgColor indexed="42"/>
        </patternFill>
      </fill>
    </dxf>
    <dxf>
      <fill>
        <patternFill>
          <bgColor indexed="42"/>
        </patternFill>
      </fill>
    </dxf>
    <dxf>
      <font>
        <color auto="1"/>
      </font>
    </dxf>
    <dxf>
      <fill>
        <patternFill>
          <bgColor indexed="42"/>
        </patternFill>
      </fill>
    </dxf>
    <dxf>
      <fill>
        <patternFill>
          <bgColor indexed="42"/>
        </patternFill>
      </fill>
    </dxf>
    <dxf>
      <fill>
        <patternFill>
          <bgColor indexed="42"/>
        </patternFill>
      </fill>
    </dxf>
    <dxf>
      <fill>
        <patternFill>
          <bgColor indexed="42"/>
        </patternFill>
      </fill>
    </dxf>
    <dxf>
      <font>
        <color auto="1"/>
      </font>
    </dxf>
    <dxf>
      <font>
        <color rgb="FF9C0006"/>
      </font>
      <fill>
        <patternFill>
          <bgColor rgb="FFFFC7CE"/>
        </patternFill>
      </fill>
    </dxf>
  </dxfs>
  <tableStyles count="0" defaultTableStyle="TableStyleMedium2" defaultPivotStyle="PivotStyleLight16"/>
  <colors>
    <mruColors>
      <color rgb="FFFFE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33" Type="http://schemas.openxmlformats.org/officeDocument/2006/relationships/styles" Target="styles.xml"/><Relationship Id="rId138"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externalLink" Target="externalLinks/externalLink6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102" Type="http://schemas.openxmlformats.org/officeDocument/2006/relationships/externalLink" Target="externalLinks/externalLink55.xml"/><Relationship Id="rId123" Type="http://schemas.openxmlformats.org/officeDocument/2006/relationships/externalLink" Target="externalLinks/externalLink76.xml"/><Relationship Id="rId128" Type="http://schemas.openxmlformats.org/officeDocument/2006/relationships/externalLink" Target="externalLinks/externalLink81.xml"/><Relationship Id="rId5" Type="http://schemas.openxmlformats.org/officeDocument/2006/relationships/worksheet" Target="worksheets/sheet5.xml"/><Relationship Id="rId90" Type="http://schemas.openxmlformats.org/officeDocument/2006/relationships/externalLink" Target="externalLinks/externalLink43.xml"/><Relationship Id="rId95" Type="http://schemas.openxmlformats.org/officeDocument/2006/relationships/externalLink" Target="externalLinks/externalLink4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1.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113" Type="http://schemas.openxmlformats.org/officeDocument/2006/relationships/externalLink" Target="externalLinks/externalLink66.xml"/><Relationship Id="rId118" Type="http://schemas.openxmlformats.org/officeDocument/2006/relationships/externalLink" Target="externalLinks/externalLink71.xml"/><Relationship Id="rId134" Type="http://schemas.openxmlformats.org/officeDocument/2006/relationships/sharedStrings" Target="sharedStrings.xml"/><Relationship Id="rId13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121" Type="http://schemas.openxmlformats.org/officeDocument/2006/relationships/externalLink" Target="externalLinks/externalLink7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2.xml"/><Relationship Id="rId67" Type="http://schemas.openxmlformats.org/officeDocument/2006/relationships/externalLink" Target="externalLinks/externalLink20.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116" Type="http://schemas.openxmlformats.org/officeDocument/2006/relationships/externalLink" Target="externalLinks/externalLink69.xml"/><Relationship Id="rId124" Type="http://schemas.openxmlformats.org/officeDocument/2006/relationships/externalLink" Target="externalLinks/externalLink77.xml"/><Relationship Id="rId129" Type="http://schemas.openxmlformats.org/officeDocument/2006/relationships/externalLink" Target="externalLinks/externalLink82.xml"/><Relationship Id="rId13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externalLink" Target="externalLinks/externalLink15.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11" Type="http://schemas.openxmlformats.org/officeDocument/2006/relationships/externalLink" Target="externalLinks/externalLink64.xml"/><Relationship Id="rId132" Type="http://schemas.openxmlformats.org/officeDocument/2006/relationships/theme" Target="theme/theme1.xml"/><Relationship Id="rId14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14" Type="http://schemas.openxmlformats.org/officeDocument/2006/relationships/externalLink" Target="externalLinks/externalLink67.xml"/><Relationship Id="rId119" Type="http://schemas.openxmlformats.org/officeDocument/2006/relationships/externalLink" Target="externalLinks/externalLink72.xml"/><Relationship Id="rId127" Type="http://schemas.openxmlformats.org/officeDocument/2006/relationships/externalLink" Target="externalLinks/externalLink8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 Id="rId122" Type="http://schemas.openxmlformats.org/officeDocument/2006/relationships/externalLink" Target="externalLinks/externalLink75.xml"/><Relationship Id="rId130" Type="http://schemas.openxmlformats.org/officeDocument/2006/relationships/externalLink" Target="externalLinks/externalLink83.xml"/><Relationship Id="rId135"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120" Type="http://schemas.openxmlformats.org/officeDocument/2006/relationships/externalLink" Target="externalLinks/externalLink73.xml"/><Relationship Id="rId125" Type="http://schemas.openxmlformats.org/officeDocument/2006/relationships/externalLink" Target="externalLinks/externalLink78.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 Id="rId87" Type="http://schemas.openxmlformats.org/officeDocument/2006/relationships/externalLink" Target="externalLinks/externalLink40.xml"/><Relationship Id="rId110" Type="http://schemas.openxmlformats.org/officeDocument/2006/relationships/externalLink" Target="externalLinks/externalLink63.xml"/><Relationship Id="rId115" Type="http://schemas.openxmlformats.org/officeDocument/2006/relationships/externalLink" Target="externalLinks/externalLink68.xml"/><Relationship Id="rId131" Type="http://schemas.openxmlformats.org/officeDocument/2006/relationships/externalLink" Target="externalLinks/externalLink84.xml"/><Relationship Id="rId136" Type="http://schemas.openxmlformats.org/officeDocument/2006/relationships/calcChain" Target="calcChain.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9.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126" Type="http://schemas.openxmlformats.org/officeDocument/2006/relationships/externalLink" Target="externalLinks/externalLink7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uslpna01\corpdata\RATE%20STUDY_1\Worthington%20-%202013%20Electric\Wgton%20File\Brewster\Brewster%202013%2006_includes%202012%20wapa%20mres%20split%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uslpna01\corpdata\Users\Laptop\AppData\Local\Microsoft\Windows\Temporary%20Internet%20Files\Content.Outlook\PDWZMCHK\PacifiCorp\Post%20settlement%20Formula%20runs\Copy%20of%202013%20Annual%20Update%2020130506%2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ACCTSVCS\Board%20Report\2001\Tep\Financial%20Statements\Income%20Statement\052001%20TEP%20I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uslpna01\corpdata\Users\John%20Wolfram\Documents\CATALYST%20Consulting\Clients\Black%20Hills\Sample%20TFRs\Westar_TFR_Projectio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uslpna01\corpdata\Users\John%20Wolfram\Documents\CATALYST%20Consulting\Clients\Black%20Hills\Sample%20TFRs\PSCo_TFR_Project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uslpna01\corpdata\Users\John%20Wolfram\Documents\CATALYST%20Consulting\Clients\Black%20Hills\Sample%20TFRs\Kanstar%20TFR.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uslpna01\corpdata\Users\John%20Wolfram\Documents\CATALYST%20Consulting\Clients\Black%20Hills\Sample%20TFRs\KCPL%20TFR%20Project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m-ga-projects01\34801\041\Settlement%20Documents\Attachment%206%20Part%202%20-%20Proration%20Calculation%20-%20NJ%20Int%20Settlement%20Offer%20Draft%206-23-2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uslpna01\corpdata\Financing%20Plan\2009\Capital%20Financing%20Model%20Slower%20Pace03-03-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uslpna01\corpdata\Tax\Accruals\2010\2010&#173;_Tax%20Accr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Working\Annual%20Update%20-%202013\2013%20Annual%20Update%20201304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uslpna01\corpdata\Financing%20Plan\2009\Documents%20and%20Settings\pkettles\My%20Documents\By%20State\Minnesota\Documents%20and%20Settings\mnguyen\My%20Documents\ca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uslpna01\corpdata\PLANTACC\UPR\1999\UPR-698-Ol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Startup" Target="CONADM/TEST/FCW/Data97/TRANC.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uslpna01\corpdata\RATES\Rate%20Case%202004\Schedules\2004%20Schedule%20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uslpna01\corpdata\RATES\Rate%20Case%202003%20(mock)\RB_COS_RR\2003%20Forecast%20%20Includ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uslpna01\corpdata\Documents%20and%20Settings\ua00955\Local%20Settings\Temporary%20Internet%20Files\OLK142\SGS3_Model\SGS_10_14_03_Revised-by-DWP.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uslpna01\corpdata\Gdh7164\Formula%20Rate%20-like%20AEP\FY%202008%20Rate%20Case\Formula%20Versions\KCPL%20Formula%20Rate%207-28-08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bwmqinc-my.sharepoint.com/Taxes/Accruals/2007/Tax%20Accruals_20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DATA06.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Working\Annual%20Update%20-%202013\Data\Capital%20projection%2020130417.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tuslpna01\corpdata\RATES\TEP%20OATT\OATT\TEP%202015\Support\Acct%20String%20by%20FERC%20-%20Revenue_FERC%2045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sps.utility.pge.com/2014GRC/2PreNOI_Run_MayRun/Input/lkpCommonUCC.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2014GRC\2PreNOI_Run_MayRun\Input\lkpCommonUCC.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tuslpna01\corpdata\tariffs\2000\formula%20rates\NSP%20xcelcoss%20mis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s>
    <sheetDataSet>
      <sheetData sheetId="0" refreshError="1"/>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S"/>
      <sheetName val="TRANSMISSION"/>
      <sheetName val="Brewster Purchases"/>
      <sheetName val="Statement"/>
      <sheetName val="Reads"/>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ATT 6 - Est &amp; Reconcile WS"/>
      <sheetName val="Gateway PIS monthly"/>
      <sheetName val="Att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Cons IS"/>
      <sheetName val="Consol Adj."/>
      <sheetName val="CODE"/>
      <sheetName val="RE Recon."/>
      <sheetName val="MTD"/>
      <sheetName val="YTD"/>
      <sheetName val="TME"/>
      <sheetName val="3 MOE"/>
      <sheetName val="Module1"/>
      <sheetName val="Cons_IS"/>
      <sheetName val="Consol_Adj_"/>
      <sheetName val="RE_Recon_"/>
      <sheetName val="3_MOE"/>
      <sheetName val="Dimen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ctual Net Rev Req"/>
      <sheetName val="Actual Gross Rev"/>
      <sheetName val="ARO Adj"/>
      <sheetName val="A-1 (Rev. Credit)"/>
      <sheetName val="A-2 (Divisor)"/>
      <sheetName val="A-3 (Retail Adder)"/>
      <sheetName val="A-4 (WEN O&amp;M Exclusions)"/>
      <sheetName val="A-5 (WEN ADIT)"/>
      <sheetName val="A-6 (WES O&amp;M Exclusions)"/>
      <sheetName val="A-7 (WES ADIT)"/>
      <sheetName val="A-8 (Depr Calc-Opt.)"/>
      <sheetName val="A-9 (Act. BPF Projects)"/>
      <sheetName val="A-10 (Wages &amp; Salaries)"/>
      <sheetName val="A-11 (Incentive Plant)"/>
      <sheetName val="A-12 (Act. Econ Projects)"/>
      <sheetName val="TU (True-up)"/>
      <sheetName val="BPF (BPF Summary)"/>
      <sheetName val="EPP (Econ Proj Sum)"/>
      <sheetName val="Projected Net Rev Req"/>
      <sheetName val="Projected Gross Rev Req"/>
      <sheetName val="P-1 (Trans Plant)"/>
      <sheetName val="P-2 (Exp. &amp; Rev. Credits)"/>
      <sheetName val="P-3 (Trans. Network Load)"/>
      <sheetName val="P-4 (BPF Projects)"/>
      <sheetName val="P-5 (Econ. Proje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Table of Contents"/>
      <sheetName val="Est. Rates"/>
      <sheetName val="Actual Rates"/>
      <sheetName val="ATRR Est."/>
      <sheetName val="ATRR Act"/>
      <sheetName val="WP_A-2 (1)"/>
      <sheetName val="WP_A-2 (2)"/>
      <sheetName val="WP_A-2 (3)"/>
      <sheetName val="WP_A-2 (4)"/>
      <sheetName val="WP_A-2 (5)"/>
      <sheetName val="WP_A-2 (6)"/>
      <sheetName val="WP_A-2 (7)"/>
      <sheetName val="WP_B-1"/>
      <sheetName val="WP_B-2"/>
      <sheetName val="WP_B-3"/>
      <sheetName val="WP_B-4"/>
      <sheetName val="WP_B-5"/>
      <sheetName val="WP_B-6"/>
      <sheetName val="WP_B-7"/>
      <sheetName val="WP_B-8"/>
      <sheetName val="WP_B-Inputs Est."/>
      <sheetName val="WP_B-Inputs Act."/>
      <sheetName val="WP_C-1"/>
      <sheetName val="WP_C-2"/>
      <sheetName val="WP_C-3"/>
      <sheetName val="WP_C-4"/>
      <sheetName val="WP_D-1"/>
      <sheetName val="WP_E-1"/>
      <sheetName val="WP_F-1"/>
      <sheetName val="WP_G-1"/>
      <sheetName val="WP_H-1 "/>
      <sheetName val="WP_I-1"/>
      <sheetName val="Schedule 1"/>
      <sheetName val="Schedule 2"/>
      <sheetName val="Schedule 3 and 3A"/>
      <sheetName val="Schedule 5"/>
      <sheetName val="Schedule 6"/>
      <sheetName val="WP_FCR"/>
      <sheetName val="WP_Cost per Unit"/>
      <sheetName val="WP_Load Factor"/>
      <sheetName val="Schedule 16"/>
      <sheetName val="WP_Installed Cost"/>
      <sheetName val="WP_O&amp;M Cost"/>
      <sheetName val="WP_Reactive Cost"/>
      <sheetName val="WP_ADIT Pro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H"/>
      <sheetName val="1-RevReqWorksht"/>
      <sheetName val="2-IncentiveROE"/>
      <sheetName val="3-True-Up"/>
      <sheetName val="4-RateBase"/>
      <sheetName val="5-AttachHWorksheet"/>
      <sheetName val="6-TrueUp Interest"/>
      <sheetName val="7-PBOPs"/>
      <sheetName val="8-IRR"/>
      <sheetName val="9-Const Loan True-up"/>
      <sheetName val="10-Deprec Rate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Notes to Development"/>
      <sheetName val="Summary"/>
      <sheetName val="Actual Net Rev Req"/>
      <sheetName val="Actual Gross Rev Req"/>
      <sheetName val="Actual Sch 1 Rev Req"/>
      <sheetName val="A-1 (Act. Rev Credit) "/>
      <sheetName val="A-2 (Act. Divisor) "/>
      <sheetName val="A-3 ( Act. ADIT)"/>
      <sheetName val="A-4 (Act. Excluded Assets) "/>
      <sheetName val="A-5 (Act Depreciation Rate)"/>
      <sheetName val="A-6 (Act Taxes Other)"/>
      <sheetName val="A-7 (Act. RTO Directed Proj)"/>
      <sheetName val="A-8 (Act. Sponsor) "/>
      <sheetName val="A-9 (Act. Incentive Projects)"/>
      <sheetName val="A-10 (Act. A&amp;G)"/>
      <sheetName val="A-11 (Act 13 Mo &amp; BOY-EOY Aver)"/>
      <sheetName val="TU (True-Up)"/>
      <sheetName val="RTO Project Smry"/>
      <sheetName val="Spon Project Smry"/>
      <sheetName val="Projected Net Rev Req"/>
      <sheetName val="Projected Gross Rev Req"/>
      <sheetName val="Projected Schedule 1 Rev Req"/>
      <sheetName val="P-1 (Trans Plant)"/>
      <sheetName val="P-2 (Exp. &amp; Rev. Credits)"/>
      <sheetName val="P-3 (Trans. Network Load)"/>
      <sheetName val="P-4 (Proj. RTO Directed)"/>
      <sheetName val="P-5 (Sponsored Projec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sheetData sheetId="1"/>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H-4A JCP&amp;L "/>
      <sheetName val="Attachment 1 - Sched 1A"/>
      <sheetName val="Attachment 2 - Incentive ROE"/>
      <sheetName val="Attachment 3 - Gross Plant"/>
      <sheetName val="Attachment 4 - Accum Depr"/>
      <sheetName val="Attachment 5 - ADIT"/>
      <sheetName val="Attachment 5 - ADIT Summary"/>
      <sheetName val="Attachment 5a - ADIT Detail"/>
      <sheetName val="Attachment 5b - ADIT Norm PTRR"/>
      <sheetName val="Attachment 5c - ADIT Norm ATRR"/>
      <sheetName val="Attachment 6 - PBOP"/>
      <sheetName val="Attachment 7 - TOTI"/>
      <sheetName val="Attachment 7 - Taxes Other "/>
      <sheetName val="Attachment 8 - Cap Structure"/>
      <sheetName val="Attach 9 - Stated-value Inputs"/>
      <sheetName val="Attachment 10 - Debt Cost"/>
      <sheetName val="Attachment 11 - TEC"/>
      <sheetName val="Attach 11a - TEC Cost Support"/>
      <sheetName val="Attachment 12 - TEC True-up"/>
      <sheetName val="Attachment 13 - Rev Req True-up"/>
      <sheetName val="Attachment 13 - TRR True-Up"/>
      <sheetName val="Attachment 13a - PJM Billings"/>
      <sheetName val="Attach 13a-TEC Rev Req True up"/>
      <sheetName val="Attachment 14 - Other RB"/>
      <sheetName val="Attachment 14a - Working Cap."/>
      <sheetName val="Attachment 14b - Unfunded Res"/>
      <sheetName val="Attachment 15 - Income Taxes"/>
      <sheetName val="Attachment 15 - Income Tax Adj"/>
      <sheetName val="Att. 15a.1 - TCJA DDIT and EDIT"/>
      <sheetName val="Attachment 15a - Excess Def "/>
      <sheetName val="Attachment 16 - 182 and 254"/>
      <sheetName val="Attachment 16 - Abandoned Plant"/>
      <sheetName val="Attachment 17 - CWIP in RB"/>
      <sheetName val="Attachment 17 - CWIP"/>
      <sheetName val="Attachment 18 - Tax Rates"/>
      <sheetName val="Attachment 19 - Reg Asset"/>
      <sheetName val="Attachment 20 - O&amp;M and A&amp;G"/>
      <sheetName val="Attachment 20 - OpEx"/>
      <sheetName val="Attachment 21 - Rev Cre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Electric Fund Historical"/>
      <sheetName val="Electric Fund"/>
      <sheetName val="Water Fund Historical"/>
      <sheetName val="Water Fund"/>
      <sheetName val="Combined Utility"/>
      <sheetName val="Investments-Electric"/>
      <sheetName val="Investments-Water"/>
      <sheetName val="New Electric CIP Debt"/>
      <sheetName val="New Water CIP Debt"/>
      <sheetName val="Reserve Fund Estimate"/>
      <sheetName val="Existing Debt Service Schedule"/>
      <sheetName val="CIP Link"/>
      <sheetName val="CIPInput"/>
      <sheetName val="Year 1"/>
      <sheetName val="Year 2"/>
      <sheetName val="Year 3"/>
      <sheetName val="Year 4"/>
      <sheetName val="Year 5"/>
      <sheetName val="Year 6"/>
      <sheetName val="Year 7"/>
      <sheetName val="Year 8"/>
      <sheetName val="Year 9"/>
      <sheetName val="Year 10"/>
      <sheetName val="Year 11"/>
      <sheetName val="Year 12"/>
      <sheetName val="Year 13"/>
      <sheetName val="Year 14"/>
      <sheetName val="Year 15"/>
      <sheetName val="Electric Depreciation"/>
      <sheetName val="Water Depreciation"/>
      <sheetName val="Elec Exp"/>
      <sheetName val="Elec Rev"/>
      <sheetName val="Water Exp"/>
      <sheetName val="Water 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T-INS"/>
      <sheetName val="AFUDC_CCRF"/>
      <sheetName val="CUT-IN INT."/>
    </sheetNames>
    <sheetDataSet>
      <sheetData sheetId="0"/>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
      <sheetName val="Partner Info"/>
      <sheetName val="Recon"/>
      <sheetName val="Current"/>
      <sheetName val="Fed_Def"/>
      <sheetName val="State_Def"/>
      <sheetName val="MBT Def"/>
      <sheetName val="Gross Receipts"/>
      <sheetName val="Credits"/>
      <sheetName val="TX-6"/>
      <sheetName val="Tax Rate"/>
      <sheetName val="Tax_grossup"/>
      <sheetName val="Revenue"/>
      <sheetName val="Permanent"/>
      <sheetName val="Timing"/>
      <sheetName val="Effect_rate"/>
      <sheetName val="Blended"/>
      <sheetName val="Effect_rate Annual"/>
      <sheetName val="Shee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ummary"/>
      <sheetName val="Detail"/>
    </sheetNames>
    <sheetDataSet>
      <sheetData sheetId="0" refreshError="1"/>
      <sheetData sheetId="1" refreshError="1"/>
      <sheetData sheetId="2" refreshError="1"/>
      <sheetData sheetId="3" refreshError="1"/>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92"/>
      <sheetName val="GEN'L"/>
      <sheetName val="Navajo"/>
      <sheetName val="San Juan"/>
      <sheetName val="Spvl"/>
      <sheetName val="Irvington"/>
      <sheetName val="111"/>
      <sheetName val="111 Monthly"/>
      <sheetName val="Tran"/>
      <sheetName val="Dist"/>
      <sheetName val="REPORT"/>
      <sheetName val="DEP-1"/>
      <sheetName val="DEP108 - CR"/>
      <sheetName val="DEP303"/>
      <sheetName val="DEPDist"/>
      <sheetName val="Backup-105-97"/>
      <sheetName val="Surcharge Summary"/>
      <sheetName val="Summary"/>
      <sheetName val="Rate Design Details"/>
      <sheetName val="Accounting Data"/>
      <sheetName val="Worksheet"/>
      <sheetName val="Citizens Electric Tariffs"/>
      <sheetName val="PPFAC"/>
      <sheetName val="San_Juan"/>
      <sheetName val="111_Monthly"/>
      <sheetName val="DEP108_-_CR"/>
      <sheetName val="Surcharge_Summary"/>
      <sheetName val="Rate_Design_Details"/>
      <sheetName val="Accounting_Data"/>
      <sheetName val="Citizens_Electric_Tarif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
      <sheetName val="F2"/>
      <sheetName val="F3"/>
      <sheetName val="F4"/>
      <sheetName val="Links"/>
    </sheetNames>
    <sheetDataSet>
      <sheetData sheetId="0"/>
      <sheetData sheetId="1"/>
      <sheetData sheetId="2"/>
      <sheetData sheetId="3"/>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sheetData sheetId="1"/>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Cover"/>
      <sheetName val="Adjust Categories"/>
      <sheetName val="Adjust Sum"/>
      <sheetName val="Rate Base"/>
      <sheetName val="RB Adj Detail"/>
      <sheetName val="COS"/>
      <sheetName val="COS Adj Detail"/>
      <sheetName val="Energy Allocation"/>
      <sheetName val="Demand Allocation"/>
      <sheetName val="Working Capital"/>
      <sheetName val="Plant Detail"/>
      <sheetName val="Forecast "/>
      <sheetName val="Forecast (con't)"/>
      <sheetName val="Forecast Energy Sales"/>
      <sheetName val="Forecast Growth Rate"/>
      <sheetName val="Weather Normalized"/>
      <sheetName val="Report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O"/>
      <sheetName val="Nonlevelized-IOU"/>
      <sheetName val="Opco Data"/>
    </sheetNames>
    <sheetDataSet>
      <sheetData sheetId="0"/>
      <sheetData sheetId="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Con"/>
      <sheetName val="Financing Assump"/>
      <sheetName val="IDC"/>
      <sheetName val="Summary"/>
      <sheetName val="Eligible Summary"/>
      <sheetName val="Eligible"/>
      <sheetName val="Document Data"/>
      <sheetName val="Performance"/>
      <sheetName val="Costs"/>
      <sheetName val="PPA Exhibits"/>
      <sheetName val="Rev"/>
      <sheetName val="Inc"/>
      <sheetName val="Cash"/>
      <sheetName val="Bal"/>
      <sheetName val="Depn"/>
      <sheetName val="Debt amort"/>
      <sheetName val="Lease Covs"/>
      <sheetName val="TriState Returns"/>
      <sheetName val="CSFBDebtU3"/>
      <sheetName val="Debt"/>
      <sheetName val="lease run"/>
      <sheetName val="Without"/>
      <sheetName val="With"/>
      <sheetName val="UNS Return"/>
      <sheetName val="LeaseAdjust"/>
      <sheetName val="Terminal 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UDC"/>
      <sheetName val="criteria"/>
    </sheetNames>
    <sheetDataSet>
      <sheetData sheetId="0"/>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 Rates"/>
      <sheetName val="Sch 1 Rates"/>
      <sheetName val="Load WS"/>
      <sheetName val="KCPL Projected TCOS"/>
      <sheetName val="KCPL Historical TCOS-Blank"/>
      <sheetName val="KCPL WsA Rev Credits"/>
      <sheetName val="KCPL WsC RB Tax"/>
      <sheetName val="KCPL WsD Mis"/>
      <sheetName val="KCPL WsE Exp Adj"/>
      <sheetName val="KCPL WsF Inc Prjts"/>
      <sheetName val="KCPL WsG BPU"/>
      <sheetName val="KCPL WsH Bdgt RB"/>
      <sheetName val="KCPL WsI Bal Sheet"/>
      <sheetName val="KCPL WsJ Tax"/>
      <sheetName val="KCPL WsK CWIP"/>
      <sheetName val="KCPL WsL Transferred Assets"/>
      <sheetName val="KCPL WsM Supplies "/>
      <sheetName val="KCPL WsN Taxes Othe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sheetName val="Balances"/>
      <sheetName val="Partner Info"/>
      <sheetName val="Recon"/>
      <sheetName val="Current"/>
      <sheetName val="Fed_Def"/>
      <sheetName val="State_Def"/>
      <sheetName val="LLC Grossup Entry"/>
      <sheetName val="Tax_grossup"/>
      <sheetName val="Revenue"/>
      <sheetName val="Permanent"/>
      <sheetName val="Timing"/>
      <sheetName val="Effect_rate"/>
      <sheetName val="Blend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able"/>
    </sheetNames>
    <sheetDataSet>
      <sheetData sheetId="0"/>
      <sheetData sheetId="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inal Summary Sheet"/>
      <sheetName val="2012 data (2013 projection)"/>
    </sheetNames>
    <sheetDataSet>
      <sheetData sheetId="0" refreshError="1"/>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and Analysis"/>
      <sheetName val="40270 GL Rec to FERC "/>
      <sheetName val="Pivot 40270 2015"/>
      <sheetName val="2015"/>
      <sheetName val="2016 YTD"/>
      <sheetName val="2014"/>
      <sheetName val="2013"/>
      <sheetName val="Macro1"/>
    </sheetNames>
    <sheetDataSet>
      <sheetData sheetId="0"/>
      <sheetData sheetId="1"/>
      <sheetData sheetId="2"/>
      <sheetData sheetId="3"/>
      <sheetData sheetId="4"/>
      <sheetData sheetId="5"/>
      <sheetData sheetId="6"/>
      <sheetData sheetId="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 Headcount"/>
      <sheetName val="Sheet1"/>
      <sheetName val="Tony's Categories"/>
    </sheetNames>
    <sheetDataSet>
      <sheetData sheetId="0"/>
      <sheetData sheetId="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t'l 1040 Exclusions"/>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study "/>
      <sheetName val="Solution "/>
      <sheetName val="IS01"/>
      <sheetName val="IS09"/>
      <sheetName val="BS32"/>
    </sheetNames>
    <sheetDataSet>
      <sheetData sheetId="0"/>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pCommonUCC"/>
      <sheetName val="lkpUCC"/>
      <sheetName val="1_1"/>
    </sheetNames>
    <sheetDataSet>
      <sheetData sheetId="0"/>
      <sheetData sheetId="1"/>
      <sheetData sheetId="2">
        <row r="48">
          <cell r="Y48">
            <v>0</v>
          </cell>
          <cell r="Z48" t="str">
            <v>UCC</v>
          </cell>
        </row>
        <row r="49">
          <cell r="Y49" t="str">
            <v>%</v>
          </cell>
          <cell r="Z49">
            <v>0</v>
          </cell>
        </row>
        <row r="50">
          <cell r="Z50">
            <v>0</v>
          </cell>
        </row>
        <row r="51">
          <cell r="Z51">
            <v>0</v>
          </cell>
        </row>
        <row r="52">
          <cell r="Z52">
            <v>0</v>
          </cell>
        </row>
        <row r="53">
          <cell r="Z53">
            <v>0</v>
          </cell>
        </row>
        <row r="54">
          <cell r="Y54">
            <v>0.23698295087111601</v>
          </cell>
          <cell r="Z54">
            <v>0</v>
          </cell>
          <cell r="AA54">
            <v>0</v>
          </cell>
          <cell r="AB54" t="str">
            <v>UCC 801</v>
          </cell>
        </row>
        <row r="55">
          <cell r="Y55">
            <v>9.9599641230363901E-3</v>
          </cell>
          <cell r="Z55">
            <v>101</v>
          </cell>
          <cell r="AA55">
            <v>0</v>
          </cell>
          <cell r="AB55">
            <v>1.38251925124657E-2</v>
          </cell>
        </row>
        <row r="56">
          <cell r="Y56">
            <v>1.02674510796912E-4</v>
          </cell>
          <cell r="Z56">
            <v>102</v>
          </cell>
          <cell r="AA56">
            <v>0</v>
          </cell>
          <cell r="AB56">
            <v>1.4252007942552701E-4</v>
          </cell>
        </row>
        <row r="57">
          <cell r="Y57">
            <v>1.89629315040784E-5</v>
          </cell>
          <cell r="Z57">
            <v>108</v>
          </cell>
          <cell r="AA57">
            <v>0</v>
          </cell>
          <cell r="AB57">
            <v>2.6322000301007201E-5</v>
          </cell>
        </row>
        <row r="58">
          <cell r="Y58">
            <v>5.2980187022685303E-2</v>
          </cell>
          <cell r="Z58">
            <v>120</v>
          </cell>
          <cell r="AA58">
            <v>0</v>
          </cell>
          <cell r="AB58">
            <v>7.3540554552897694E-2</v>
          </cell>
        </row>
        <row r="59">
          <cell r="Y59">
            <v>1.6941294285856799E-3</v>
          </cell>
          <cell r="Z59">
            <v>121</v>
          </cell>
          <cell r="AA59">
            <v>0</v>
          </cell>
          <cell r="AB59">
            <v>2.3515813111272799E-3</v>
          </cell>
        </row>
        <row r="60">
          <cell r="Y60">
            <v>0.14748024465541501</v>
          </cell>
          <cell r="Z60">
            <v>130</v>
          </cell>
          <cell r="AA60">
            <v>0</v>
          </cell>
          <cell r="AB60">
            <v>0.204713867335203</v>
          </cell>
        </row>
        <row r="61">
          <cell r="Y61">
            <v>2.4741134505622799E-2</v>
          </cell>
          <cell r="Z61">
            <v>141</v>
          </cell>
          <cell r="AA61">
            <v>0</v>
          </cell>
          <cell r="AB61">
            <v>3.4342588315746402E-2</v>
          </cell>
        </row>
        <row r="62">
          <cell r="Y62">
            <v>5.6536934698964502E-6</v>
          </cell>
          <cell r="Z62">
            <v>142</v>
          </cell>
          <cell r="AA62">
            <v>0</v>
          </cell>
          <cell r="AB62">
            <v>7.8477592551768907E-6</v>
          </cell>
        </row>
        <row r="63">
          <cell r="Y63">
            <v>1.6283764154209699E-3</v>
          </cell>
          <cell r="Z63">
            <v>0</v>
          </cell>
          <cell r="AA63">
            <v>0</v>
          </cell>
          <cell r="AB63">
            <v>0</v>
          </cell>
        </row>
        <row r="64">
          <cell r="Y64">
            <v>1.6283764154209699E-3</v>
          </cell>
          <cell r="Z64">
            <v>134</v>
          </cell>
          <cell r="AA64">
            <v>0</v>
          </cell>
          <cell r="AB64">
            <v>2.2603110962904301E-3</v>
          </cell>
        </row>
        <row r="65">
          <cell r="Y65">
            <v>6.19191471346602E-2</v>
          </cell>
          <cell r="Z65">
            <v>0</v>
          </cell>
          <cell r="AA65" t="str">
            <v>UCC 200</v>
          </cell>
          <cell r="AB65">
            <v>0</v>
          </cell>
        </row>
        <row r="66">
          <cell r="Y66">
            <v>3.0276146362615799E-2</v>
          </cell>
          <cell r="Z66">
            <v>201</v>
          </cell>
          <cell r="AA66">
            <v>0.49351464441813597</v>
          </cell>
          <cell r="AB66">
            <v>4.2025608408632002E-2</v>
          </cell>
        </row>
        <row r="67">
          <cell r="Y67">
            <v>3.1071873812777401E-2</v>
          </cell>
          <cell r="Z67">
            <v>202</v>
          </cell>
          <cell r="AA67">
            <v>0.50648535558186403</v>
          </cell>
          <cell r="AB67">
            <v>4.31301390123612E-2</v>
          </cell>
        </row>
        <row r="68">
          <cell r="Y68">
            <v>4.49200941618554E-5</v>
          </cell>
          <cell r="Z68">
            <v>203</v>
          </cell>
          <cell r="AA68">
            <v>0</v>
          </cell>
          <cell r="AB68">
            <v>6.2352528763568604E-5</v>
          </cell>
        </row>
        <row r="69">
          <cell r="Y69">
            <v>5.2620686510519005E-4</v>
          </cell>
          <cell r="Z69">
            <v>204</v>
          </cell>
          <cell r="AA69">
            <v>0</v>
          </cell>
          <cell r="AB69">
            <v>7.3041540326778699E-4</v>
          </cell>
        </row>
        <row r="70">
          <cell r="Y70">
            <v>0.41989089505020999</v>
          </cell>
          <cell r="Z70">
            <v>0</v>
          </cell>
          <cell r="AA70" t="str">
            <v>UCC 300</v>
          </cell>
          <cell r="AB70">
            <v>0</v>
          </cell>
        </row>
        <row r="71">
          <cell r="Y71">
            <v>0.351169366553163</v>
          </cell>
          <cell r="Z71">
            <v>301</v>
          </cell>
          <cell r="AA71">
            <v>0.549550775957237</v>
          </cell>
          <cell r="AB71">
            <v>0.48744995836370802</v>
          </cell>
        </row>
        <row r="72">
          <cell r="Y72">
            <v>4.5561815219517099E-4</v>
          </cell>
          <cell r="Z72">
            <v>302</v>
          </cell>
          <cell r="AA72">
            <v>4.49224042762632E-4</v>
          </cell>
          <cell r="AB72">
            <v>6.3243286707259996E-4</v>
          </cell>
        </row>
        <row r="73">
          <cell r="Y73">
            <v>6.14270106355582E-2</v>
          </cell>
          <cell r="Z73">
            <v>303</v>
          </cell>
          <cell r="AA73">
            <v>0</v>
          </cell>
          <cell r="AB73">
            <v>8.5265392225426104E-2</v>
          </cell>
        </row>
        <row r="74">
          <cell r="Y74">
            <v>6.8388997092938301E-3</v>
          </cell>
          <cell r="Z74">
            <v>307</v>
          </cell>
          <cell r="AA74">
            <v>0</v>
          </cell>
          <cell r="AB74">
            <v>9.4929162280565308E-3</v>
          </cell>
        </row>
        <row r="75">
          <cell r="Y75">
            <v>0.720421369471407</v>
          </cell>
          <cell r="Z75">
            <v>0</v>
          </cell>
        </row>
        <row r="76">
          <cell r="Z76">
            <v>0</v>
          </cell>
        </row>
        <row r="77">
          <cell r="Z77">
            <v>0</v>
          </cell>
        </row>
        <row r="78">
          <cell r="Y78">
            <v>5.41106961502303E-2</v>
          </cell>
          <cell r="Z78">
            <v>0</v>
          </cell>
          <cell r="AA78" t="str">
            <v>UCC 500</v>
          </cell>
          <cell r="AB78" t="str">
            <v>UCC 510</v>
          </cell>
          <cell r="AC78" t="str">
            <v>UCC 802</v>
          </cell>
        </row>
        <row r="79">
          <cell r="Y79">
            <v>2.74213668635234E-3</v>
          </cell>
          <cell r="Z79">
            <v>501</v>
          </cell>
          <cell r="AA79">
            <v>5.0676425946160501E-2</v>
          </cell>
          <cell r="AB79">
            <v>0</v>
          </cell>
          <cell r="AC79">
            <v>9.8081054377004602E-3</v>
          </cell>
        </row>
        <row r="80">
          <cell r="Y80">
            <v>0</v>
          </cell>
          <cell r="Z80">
            <v>510</v>
          </cell>
          <cell r="AA80">
            <v>0</v>
          </cell>
          <cell r="AB80">
            <v>0</v>
          </cell>
          <cell r="AC80">
            <v>0</v>
          </cell>
        </row>
        <row r="81">
          <cell r="Y81">
            <v>4.9220238023240399E-3</v>
          </cell>
          <cell r="Z81">
            <v>511</v>
          </cell>
          <cell r="AA81">
            <v>9.0962123064518896E-2</v>
          </cell>
          <cell r="AB81">
            <v>0.62728885522715205</v>
          </cell>
          <cell r="AC81">
            <v>1.7605150268524002E-2</v>
          </cell>
        </row>
        <row r="82">
          <cell r="Y82">
            <v>2.9150460350218601E-3</v>
          </cell>
          <cell r="Z82">
            <v>512</v>
          </cell>
          <cell r="AA82">
            <v>5.38719004266488E-2</v>
          </cell>
          <cell r="AB82">
            <v>0.37150894909933302</v>
          </cell>
          <cell r="AC82">
            <v>1.04265695468586E-2</v>
          </cell>
        </row>
        <row r="83">
          <cell r="Y83">
            <v>9.4330318015112206E-6</v>
          </cell>
          <cell r="Z83">
            <v>513</v>
          </cell>
          <cell r="AA83">
            <v>1.7432841328305599E-4</v>
          </cell>
          <cell r="AB83">
            <v>1.20219567351489E-3</v>
          </cell>
          <cell r="AC83">
            <v>3.3740174575132601E-5</v>
          </cell>
        </row>
        <row r="84">
          <cell r="Y84">
            <v>2.19891710468345E-2</v>
          </cell>
          <cell r="Z84">
            <v>520</v>
          </cell>
          <cell r="AA84">
            <v>0.40637383384949999</v>
          </cell>
          <cell r="AB84">
            <v>0</v>
          </cell>
          <cell r="AC84">
            <v>7.8651115091522103E-2</v>
          </cell>
        </row>
        <row r="85">
          <cell r="Y85">
            <v>6.8122666972948395E-4</v>
          </cell>
          <cell r="Z85">
            <v>521</v>
          </cell>
          <cell r="AA85">
            <v>1.25895011189315E-2</v>
          </cell>
          <cell r="AB85">
            <v>0</v>
          </cell>
          <cell r="AC85">
            <v>2.4366192381781999E-3</v>
          </cell>
        </row>
        <row r="86">
          <cell r="Y86">
            <v>3.65175496455387E-3</v>
          </cell>
          <cell r="Z86">
            <v>522</v>
          </cell>
          <cell r="AA86">
            <v>6.7486748912180206E-2</v>
          </cell>
          <cell r="AB86">
            <v>0</v>
          </cell>
          <cell r="AC86">
            <v>1.3061638357873001E-2</v>
          </cell>
        </row>
        <row r="87">
          <cell r="Y87">
            <v>0</v>
          </cell>
          <cell r="Z87">
            <v>523</v>
          </cell>
          <cell r="AA87">
            <v>0</v>
          </cell>
          <cell r="AB87">
            <v>0</v>
          </cell>
          <cell r="AC87">
            <v>0</v>
          </cell>
        </row>
        <row r="88">
          <cell r="Y88">
            <v>1.19496714626757E-3</v>
          </cell>
          <cell r="Z88">
            <v>524</v>
          </cell>
          <cell r="AA88">
            <v>2.2083751111793601E-2</v>
          </cell>
          <cell r="AB88">
            <v>0</v>
          </cell>
          <cell r="AC88">
            <v>4.2741719708987696E-3</v>
          </cell>
        </row>
        <row r="89">
          <cell r="Y89">
            <v>1.2902366177907101E-2</v>
          </cell>
          <cell r="Z89">
            <v>525</v>
          </cell>
          <cell r="AA89">
            <v>0.238443913973785</v>
          </cell>
          <cell r="AB89">
            <v>0</v>
          </cell>
          <cell r="AC89">
            <v>4.6149328915135499E-2</v>
          </cell>
        </row>
        <row r="90">
          <cell r="Y90">
            <v>2.0893346085865999E-3</v>
          </cell>
          <cell r="Z90">
            <v>526</v>
          </cell>
          <cell r="AA90">
            <v>3.8612229323124497E-2</v>
          </cell>
          <cell r="AB90">
            <v>0</v>
          </cell>
          <cell r="AC90">
            <v>7.4731556007565604E-3</v>
          </cell>
        </row>
        <row r="91">
          <cell r="Y91">
            <v>0</v>
          </cell>
          <cell r="Z91">
            <v>527</v>
          </cell>
          <cell r="AA91">
            <v>0</v>
          </cell>
          <cell r="AB91">
            <v>0</v>
          </cell>
          <cell r="AC91">
            <v>0</v>
          </cell>
        </row>
        <row r="92">
          <cell r="Y92">
            <v>1.01323598085141E-3</v>
          </cell>
          <cell r="Z92">
            <v>540</v>
          </cell>
          <cell r="AA92">
            <v>1.8725243860073699E-2</v>
          </cell>
          <cell r="AB92">
            <v>0</v>
          </cell>
          <cell r="AC92">
            <v>3.6241538880697399E-3</v>
          </cell>
        </row>
        <row r="93">
          <cell r="Y93">
            <v>0.22546793437836199</v>
          </cell>
          <cell r="Z93">
            <v>0</v>
          </cell>
          <cell r="AA93" t="str">
            <v>UCC 300</v>
          </cell>
          <cell r="AB93">
            <v>0</v>
          </cell>
          <cell r="AC93">
            <v>0</v>
          </cell>
        </row>
        <row r="94">
          <cell r="Y94">
            <v>0.206656660879358</v>
          </cell>
          <cell r="Z94">
            <v>601</v>
          </cell>
          <cell r="AA94">
            <v>0.45</v>
          </cell>
          <cell r="AB94">
            <v>0</v>
          </cell>
          <cell r="AC94">
            <v>0.73917187622186098</v>
          </cell>
        </row>
        <row r="95">
          <cell r="Y95">
            <v>2.3298697156248901E-3</v>
          </cell>
          <cell r="Z95">
            <v>602</v>
          </cell>
          <cell r="AA95">
            <v>0</v>
          </cell>
          <cell r="AB95">
            <v>0</v>
          </cell>
          <cell r="AC95">
            <v>8.3335042854307591E-3</v>
          </cell>
        </row>
        <row r="96">
          <cell r="Y96">
            <v>1.39519477286703E-2</v>
          </cell>
          <cell r="Z96">
            <v>603</v>
          </cell>
          <cell r="AA96">
            <v>0</v>
          </cell>
          <cell r="AB96">
            <v>0</v>
          </cell>
          <cell r="AC96">
            <v>4.9903484047731698E-2</v>
          </cell>
        </row>
        <row r="97">
          <cell r="Y97">
            <v>2.5294560547088202E-3</v>
          </cell>
          <cell r="Z97">
            <v>604</v>
          </cell>
          <cell r="AA97">
            <v>0</v>
          </cell>
          <cell r="AB97">
            <v>0</v>
          </cell>
          <cell r="AC97">
            <v>9.0473869548843497E-3</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pCommonUCC"/>
      <sheetName val="lkpUCC"/>
      <sheetName val="1_1"/>
    </sheetNames>
    <sheetDataSet>
      <sheetData sheetId="0"/>
      <sheetData sheetId="1"/>
      <sheetData sheetId="2">
        <row r="48">
          <cell r="Y48">
            <v>0</v>
          </cell>
          <cell r="Z48" t="str">
            <v>UCC</v>
          </cell>
        </row>
        <row r="49">
          <cell r="Y49" t="str">
            <v>%</v>
          </cell>
          <cell r="Z49">
            <v>0</v>
          </cell>
        </row>
        <row r="50">
          <cell r="Z50">
            <v>0</v>
          </cell>
        </row>
        <row r="51">
          <cell r="Z51">
            <v>0</v>
          </cell>
        </row>
        <row r="52">
          <cell r="Z52">
            <v>0</v>
          </cell>
        </row>
        <row r="53">
          <cell r="Z53">
            <v>0</v>
          </cell>
        </row>
        <row r="54">
          <cell r="Y54">
            <v>0.23698295087111601</v>
          </cell>
          <cell r="Z54">
            <v>0</v>
          </cell>
          <cell r="AA54">
            <v>0</v>
          </cell>
          <cell r="AB54" t="str">
            <v>UCC 801</v>
          </cell>
        </row>
        <row r="55">
          <cell r="Y55">
            <v>9.9599641230363901E-3</v>
          </cell>
          <cell r="Z55">
            <v>101</v>
          </cell>
          <cell r="AA55">
            <v>0</v>
          </cell>
          <cell r="AB55">
            <v>1.38251925124657E-2</v>
          </cell>
        </row>
        <row r="56">
          <cell r="Y56">
            <v>1.02674510796912E-4</v>
          </cell>
          <cell r="Z56">
            <v>102</v>
          </cell>
          <cell r="AA56">
            <v>0</v>
          </cell>
          <cell r="AB56">
            <v>1.4252007942552701E-4</v>
          </cell>
        </row>
        <row r="57">
          <cell r="Y57">
            <v>1.89629315040784E-5</v>
          </cell>
          <cell r="Z57">
            <v>108</v>
          </cell>
          <cell r="AA57">
            <v>0</v>
          </cell>
          <cell r="AB57">
            <v>2.6322000301007201E-5</v>
          </cell>
        </row>
        <row r="58">
          <cell r="Y58">
            <v>5.2980187022685303E-2</v>
          </cell>
          <cell r="Z58">
            <v>120</v>
          </cell>
          <cell r="AA58">
            <v>0</v>
          </cell>
          <cell r="AB58">
            <v>7.3540554552897694E-2</v>
          </cell>
        </row>
        <row r="59">
          <cell r="Y59">
            <v>1.6941294285856799E-3</v>
          </cell>
          <cell r="Z59">
            <v>121</v>
          </cell>
          <cell r="AA59">
            <v>0</v>
          </cell>
          <cell r="AB59">
            <v>2.3515813111272799E-3</v>
          </cell>
        </row>
        <row r="60">
          <cell r="Y60">
            <v>0.14748024465541501</v>
          </cell>
          <cell r="Z60">
            <v>130</v>
          </cell>
          <cell r="AA60">
            <v>0</v>
          </cell>
          <cell r="AB60">
            <v>0.204713867335203</v>
          </cell>
        </row>
        <row r="61">
          <cell r="Y61">
            <v>2.4741134505622799E-2</v>
          </cell>
          <cell r="Z61">
            <v>141</v>
          </cell>
          <cell r="AA61">
            <v>0</v>
          </cell>
          <cell r="AB61">
            <v>3.4342588315746402E-2</v>
          </cell>
        </row>
        <row r="62">
          <cell r="Y62">
            <v>5.6536934698964502E-6</v>
          </cell>
          <cell r="Z62">
            <v>142</v>
          </cell>
          <cell r="AA62">
            <v>0</v>
          </cell>
          <cell r="AB62">
            <v>7.8477592551768907E-6</v>
          </cell>
        </row>
        <row r="63">
          <cell r="Y63">
            <v>1.6283764154209699E-3</v>
          </cell>
          <cell r="Z63">
            <v>0</v>
          </cell>
          <cell r="AA63">
            <v>0</v>
          </cell>
          <cell r="AB63">
            <v>0</v>
          </cell>
        </row>
        <row r="64">
          <cell r="Y64">
            <v>1.6283764154209699E-3</v>
          </cell>
          <cell r="Z64">
            <v>134</v>
          </cell>
          <cell r="AA64">
            <v>0</v>
          </cell>
          <cell r="AB64">
            <v>2.2603110962904301E-3</v>
          </cell>
        </row>
        <row r="65">
          <cell r="Y65">
            <v>6.19191471346602E-2</v>
          </cell>
          <cell r="Z65">
            <v>0</v>
          </cell>
          <cell r="AA65" t="str">
            <v>UCC 200</v>
          </cell>
          <cell r="AB65">
            <v>0</v>
          </cell>
        </row>
        <row r="66">
          <cell r="Y66">
            <v>3.0276146362615799E-2</v>
          </cell>
          <cell r="Z66">
            <v>201</v>
          </cell>
          <cell r="AA66">
            <v>0.49351464441813597</v>
          </cell>
          <cell r="AB66">
            <v>4.2025608408632002E-2</v>
          </cell>
        </row>
        <row r="67">
          <cell r="Y67">
            <v>3.1071873812777401E-2</v>
          </cell>
          <cell r="Z67">
            <v>202</v>
          </cell>
          <cell r="AA67">
            <v>0.50648535558186403</v>
          </cell>
          <cell r="AB67">
            <v>4.31301390123612E-2</v>
          </cell>
        </row>
        <row r="68">
          <cell r="Y68">
            <v>4.49200941618554E-5</v>
          </cell>
          <cell r="Z68">
            <v>203</v>
          </cell>
          <cell r="AA68">
            <v>0</v>
          </cell>
          <cell r="AB68">
            <v>6.2352528763568604E-5</v>
          </cell>
        </row>
        <row r="69">
          <cell r="Y69">
            <v>5.2620686510519005E-4</v>
          </cell>
          <cell r="Z69">
            <v>204</v>
          </cell>
          <cell r="AA69">
            <v>0</v>
          </cell>
          <cell r="AB69">
            <v>7.3041540326778699E-4</v>
          </cell>
        </row>
        <row r="70">
          <cell r="Y70">
            <v>0.41989089505020999</v>
          </cell>
          <cell r="Z70">
            <v>0</v>
          </cell>
          <cell r="AA70" t="str">
            <v>UCC 300</v>
          </cell>
          <cell r="AB70">
            <v>0</v>
          </cell>
        </row>
        <row r="71">
          <cell r="Y71">
            <v>0.351169366553163</v>
          </cell>
          <cell r="Z71">
            <v>301</v>
          </cell>
          <cell r="AA71">
            <v>0.549550775957237</v>
          </cell>
          <cell r="AB71">
            <v>0.48744995836370802</v>
          </cell>
        </row>
        <row r="72">
          <cell r="Y72">
            <v>4.5561815219517099E-4</v>
          </cell>
          <cell r="Z72">
            <v>302</v>
          </cell>
          <cell r="AA72">
            <v>4.49224042762632E-4</v>
          </cell>
          <cell r="AB72">
            <v>6.3243286707259996E-4</v>
          </cell>
        </row>
        <row r="73">
          <cell r="Y73">
            <v>6.14270106355582E-2</v>
          </cell>
          <cell r="Z73">
            <v>303</v>
          </cell>
          <cell r="AA73">
            <v>0</v>
          </cell>
          <cell r="AB73">
            <v>8.5265392225426104E-2</v>
          </cell>
        </row>
        <row r="74">
          <cell r="Y74">
            <v>6.8388997092938301E-3</v>
          </cell>
          <cell r="Z74">
            <v>307</v>
          </cell>
          <cell r="AA74">
            <v>0</v>
          </cell>
          <cell r="AB74">
            <v>9.4929162280565308E-3</v>
          </cell>
        </row>
        <row r="75">
          <cell r="Y75">
            <v>0.720421369471407</v>
          </cell>
          <cell r="Z75">
            <v>0</v>
          </cell>
        </row>
        <row r="76">
          <cell r="Z76">
            <v>0</v>
          </cell>
        </row>
        <row r="77">
          <cell r="Z77">
            <v>0</v>
          </cell>
        </row>
        <row r="78">
          <cell r="Y78">
            <v>5.41106961502303E-2</v>
          </cell>
          <cell r="Z78">
            <v>0</v>
          </cell>
          <cell r="AA78" t="str">
            <v>UCC 500</v>
          </cell>
          <cell r="AB78" t="str">
            <v>UCC 510</v>
          </cell>
          <cell r="AC78" t="str">
            <v>UCC 802</v>
          </cell>
        </row>
        <row r="79">
          <cell r="Y79">
            <v>2.74213668635234E-3</v>
          </cell>
          <cell r="Z79">
            <v>501</v>
          </cell>
          <cell r="AA79">
            <v>5.0676425946160501E-2</v>
          </cell>
          <cell r="AB79">
            <v>0</v>
          </cell>
          <cell r="AC79">
            <v>9.8081054377004602E-3</v>
          </cell>
        </row>
        <row r="80">
          <cell r="Y80">
            <v>0</v>
          </cell>
          <cell r="Z80">
            <v>510</v>
          </cell>
          <cell r="AA80">
            <v>0</v>
          </cell>
          <cell r="AB80">
            <v>0</v>
          </cell>
          <cell r="AC80">
            <v>0</v>
          </cell>
        </row>
        <row r="81">
          <cell r="Y81">
            <v>4.9220238023240399E-3</v>
          </cell>
          <cell r="Z81">
            <v>511</v>
          </cell>
          <cell r="AA81">
            <v>9.0962123064518896E-2</v>
          </cell>
          <cell r="AB81">
            <v>0.62728885522715205</v>
          </cell>
          <cell r="AC81">
            <v>1.7605150268524002E-2</v>
          </cell>
        </row>
        <row r="82">
          <cell r="Y82">
            <v>2.9150460350218601E-3</v>
          </cell>
          <cell r="Z82">
            <v>512</v>
          </cell>
          <cell r="AA82">
            <v>5.38719004266488E-2</v>
          </cell>
          <cell r="AB82">
            <v>0.37150894909933302</v>
          </cell>
          <cell r="AC82">
            <v>1.04265695468586E-2</v>
          </cell>
        </row>
        <row r="83">
          <cell r="Y83">
            <v>9.4330318015112206E-6</v>
          </cell>
          <cell r="Z83">
            <v>513</v>
          </cell>
          <cell r="AA83">
            <v>1.7432841328305599E-4</v>
          </cell>
          <cell r="AB83">
            <v>1.20219567351489E-3</v>
          </cell>
          <cell r="AC83">
            <v>3.3740174575132601E-5</v>
          </cell>
        </row>
        <row r="84">
          <cell r="Y84">
            <v>2.19891710468345E-2</v>
          </cell>
          <cell r="Z84">
            <v>520</v>
          </cell>
          <cell r="AA84">
            <v>0.40637383384949999</v>
          </cell>
          <cell r="AB84">
            <v>0</v>
          </cell>
          <cell r="AC84">
            <v>7.8651115091522103E-2</v>
          </cell>
        </row>
        <row r="85">
          <cell r="Y85">
            <v>6.8122666972948395E-4</v>
          </cell>
          <cell r="Z85">
            <v>521</v>
          </cell>
          <cell r="AA85">
            <v>1.25895011189315E-2</v>
          </cell>
          <cell r="AB85">
            <v>0</v>
          </cell>
          <cell r="AC85">
            <v>2.4366192381781999E-3</v>
          </cell>
        </row>
        <row r="86">
          <cell r="Y86">
            <v>3.65175496455387E-3</v>
          </cell>
          <cell r="Z86">
            <v>522</v>
          </cell>
          <cell r="AA86">
            <v>6.7486748912180206E-2</v>
          </cell>
          <cell r="AB86">
            <v>0</v>
          </cell>
          <cell r="AC86">
            <v>1.3061638357873001E-2</v>
          </cell>
        </row>
        <row r="87">
          <cell r="Y87">
            <v>0</v>
          </cell>
          <cell r="Z87">
            <v>523</v>
          </cell>
          <cell r="AA87">
            <v>0</v>
          </cell>
          <cell r="AB87">
            <v>0</v>
          </cell>
          <cell r="AC87">
            <v>0</v>
          </cell>
        </row>
        <row r="88">
          <cell r="Y88">
            <v>1.19496714626757E-3</v>
          </cell>
          <cell r="Z88">
            <v>524</v>
          </cell>
          <cell r="AA88">
            <v>2.2083751111793601E-2</v>
          </cell>
          <cell r="AB88">
            <v>0</v>
          </cell>
          <cell r="AC88">
            <v>4.2741719708987696E-3</v>
          </cell>
        </row>
        <row r="89">
          <cell r="Y89">
            <v>1.2902366177907101E-2</v>
          </cell>
          <cell r="Z89">
            <v>525</v>
          </cell>
          <cell r="AA89">
            <v>0.238443913973785</v>
          </cell>
          <cell r="AB89">
            <v>0</v>
          </cell>
          <cell r="AC89">
            <v>4.6149328915135499E-2</v>
          </cell>
        </row>
        <row r="90">
          <cell r="Y90">
            <v>2.0893346085865999E-3</v>
          </cell>
          <cell r="Z90">
            <v>526</v>
          </cell>
          <cell r="AA90">
            <v>3.8612229323124497E-2</v>
          </cell>
          <cell r="AB90">
            <v>0</v>
          </cell>
          <cell r="AC90">
            <v>7.4731556007565604E-3</v>
          </cell>
        </row>
        <row r="91">
          <cell r="Y91">
            <v>0</v>
          </cell>
          <cell r="Z91">
            <v>527</v>
          </cell>
          <cell r="AA91">
            <v>0</v>
          </cell>
          <cell r="AB91">
            <v>0</v>
          </cell>
          <cell r="AC91">
            <v>0</v>
          </cell>
        </row>
        <row r="92">
          <cell r="Y92">
            <v>1.01323598085141E-3</v>
          </cell>
          <cell r="Z92">
            <v>540</v>
          </cell>
          <cell r="AA92">
            <v>1.8725243860073699E-2</v>
          </cell>
          <cell r="AB92">
            <v>0</v>
          </cell>
          <cell r="AC92">
            <v>3.6241538880697399E-3</v>
          </cell>
        </row>
        <row r="93">
          <cell r="Y93">
            <v>0.22546793437836199</v>
          </cell>
          <cell r="Z93">
            <v>0</v>
          </cell>
          <cell r="AA93" t="str">
            <v>UCC 300</v>
          </cell>
          <cell r="AB93">
            <v>0</v>
          </cell>
          <cell r="AC93">
            <v>0</v>
          </cell>
        </row>
        <row r="94">
          <cell r="Y94">
            <v>0.206656660879358</v>
          </cell>
          <cell r="Z94">
            <v>601</v>
          </cell>
          <cell r="AA94">
            <v>0.45</v>
          </cell>
          <cell r="AB94">
            <v>0</v>
          </cell>
          <cell r="AC94">
            <v>0.73917187622186098</v>
          </cell>
        </row>
        <row r="95">
          <cell r="Y95">
            <v>2.3298697156248901E-3</v>
          </cell>
          <cell r="Z95">
            <v>602</v>
          </cell>
          <cell r="AA95">
            <v>0</v>
          </cell>
          <cell r="AB95">
            <v>0</v>
          </cell>
          <cell r="AC95">
            <v>8.3335042854307591E-3</v>
          </cell>
        </row>
        <row r="96">
          <cell r="Y96">
            <v>1.39519477286703E-2</v>
          </cell>
          <cell r="Z96">
            <v>603</v>
          </cell>
          <cell r="AA96">
            <v>0</v>
          </cell>
          <cell r="AB96">
            <v>0</v>
          </cell>
          <cell r="AC96">
            <v>4.9903484047731698E-2</v>
          </cell>
        </row>
        <row r="97">
          <cell r="Y97">
            <v>2.5294560547088202E-3</v>
          </cell>
          <cell r="Z97">
            <v>604</v>
          </cell>
          <cell r="AA97">
            <v>0</v>
          </cell>
          <cell r="AB97">
            <v>0</v>
          </cell>
          <cell r="AC97">
            <v>9.0473869548843497E-3</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5:G17"/>
  <sheetViews>
    <sheetView tabSelected="1" view="pageBreakPreview" topLeftCell="A8" zoomScale="130" zoomScaleNormal="100" zoomScaleSheetLayoutView="130" workbookViewId="0">
      <selection activeCell="W98" sqref="W98"/>
    </sheetView>
  </sheetViews>
  <sheetFormatPr defaultRowHeight="14.5"/>
  <sheetData>
    <row r="5" spans="1:7" ht="20">
      <c r="A5" s="730"/>
      <c r="B5" s="730"/>
      <c r="C5" s="730"/>
      <c r="D5" s="730"/>
      <c r="E5" s="730"/>
      <c r="F5" s="730"/>
    </row>
    <row r="6" spans="1:7" ht="20">
      <c r="A6" s="730"/>
      <c r="B6" s="730"/>
      <c r="C6" s="730"/>
      <c r="D6" s="730"/>
      <c r="E6" s="730"/>
      <c r="F6" s="730"/>
    </row>
    <row r="7" spans="1:7" ht="20">
      <c r="A7" s="730"/>
      <c r="B7" s="730"/>
      <c r="C7" s="730"/>
      <c r="D7" s="730"/>
      <c r="E7" s="730"/>
      <c r="F7" s="730"/>
    </row>
    <row r="8" spans="1:7" ht="20">
      <c r="A8" s="49"/>
      <c r="B8" s="49"/>
      <c r="C8" s="49"/>
      <c r="D8" s="49"/>
      <c r="E8" s="49"/>
      <c r="F8" s="49"/>
    </row>
    <row r="9" spans="1:7">
      <c r="A9" s="48"/>
      <c r="B9" s="48"/>
      <c r="C9" s="48"/>
      <c r="D9" s="48"/>
      <c r="E9" s="48"/>
      <c r="F9" s="48"/>
    </row>
    <row r="10" spans="1:7" ht="17.5">
      <c r="A10" s="731" t="s">
        <v>0</v>
      </c>
      <c r="B10" s="731"/>
      <c r="C10" s="731"/>
      <c r="D10" s="731"/>
      <c r="E10" s="731"/>
      <c r="F10" s="731"/>
      <c r="G10" s="731"/>
    </row>
    <row r="11" spans="1:7" ht="17.5">
      <c r="A11" s="731" t="s">
        <v>1</v>
      </c>
      <c r="B11" s="731"/>
      <c r="C11" s="731"/>
      <c r="D11" s="731"/>
      <c r="E11" s="731"/>
      <c r="F11" s="731"/>
      <c r="G11" s="731"/>
    </row>
    <row r="12" spans="1:7" ht="17.5">
      <c r="A12" s="50"/>
      <c r="B12" s="50"/>
      <c r="C12" s="50"/>
      <c r="D12" s="50"/>
      <c r="E12" s="50"/>
      <c r="F12" s="50"/>
    </row>
    <row r="13" spans="1:7" ht="17.5">
      <c r="A13" s="731" t="s">
        <v>2</v>
      </c>
      <c r="B13" s="731"/>
      <c r="C13" s="731"/>
      <c r="D13" s="731"/>
      <c r="E13" s="731"/>
      <c r="F13" s="731"/>
      <c r="G13" s="731"/>
    </row>
    <row r="14" spans="1:7" ht="17.5">
      <c r="A14" s="731" t="s">
        <v>3</v>
      </c>
      <c r="B14" s="731"/>
      <c r="C14" s="731"/>
      <c r="D14" s="731"/>
      <c r="E14" s="731"/>
      <c r="F14" s="731"/>
      <c r="G14" s="731"/>
    </row>
    <row r="15" spans="1:7" ht="20">
      <c r="A15" s="730"/>
      <c r="B15" s="730"/>
      <c r="C15" s="730"/>
      <c r="D15" s="730"/>
      <c r="E15" s="730"/>
      <c r="F15" s="730"/>
    </row>
    <row r="16" spans="1:7">
      <c r="A16" s="48"/>
      <c r="B16" s="48"/>
      <c r="C16" s="48"/>
      <c r="D16" s="48"/>
      <c r="E16" s="48"/>
      <c r="F16" s="48"/>
    </row>
    <row r="17" spans="1:6">
      <c r="A17" s="48"/>
      <c r="B17" s="48"/>
      <c r="C17" s="48"/>
      <c r="D17" s="48"/>
      <c r="E17" s="48"/>
      <c r="F17" s="48"/>
    </row>
  </sheetData>
  <mergeCells count="8">
    <mergeCell ref="A5:F5"/>
    <mergeCell ref="A6:F6"/>
    <mergeCell ref="A7:F7"/>
    <mergeCell ref="A15:F15"/>
    <mergeCell ref="A13:G13"/>
    <mergeCell ref="A14:G14"/>
    <mergeCell ref="A10:G10"/>
    <mergeCell ref="A11:G11"/>
  </mergeCells>
  <printOptions horizontalCentered="1"/>
  <pageMargins left="1" right="1" top="1" bottom="1" header="0.5" footer="0.5"/>
  <pageSetup orientation="landscape"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74327-C010-4C42-AA49-7BF4687EF42B}">
  <sheetPr codeName="Sheet7">
    <pageSetUpPr fitToPage="1"/>
  </sheetPr>
  <dimension ref="A1:M54"/>
  <sheetViews>
    <sheetView view="pageBreakPreview" zoomScale="25" zoomScaleNormal="100" zoomScaleSheetLayoutView="25" zoomScalePageLayoutView="85" workbookViewId="0">
      <selection activeCell="W98" sqref="W98"/>
    </sheetView>
  </sheetViews>
  <sheetFormatPr defaultRowHeight="14.5"/>
  <cols>
    <col min="1" max="1" width="4.7265625" style="4" bestFit="1" customWidth="1"/>
    <col min="2" max="2" width="51" customWidth="1"/>
    <col min="3" max="3" width="24.453125" customWidth="1"/>
    <col min="4" max="4" width="19.54296875" bestFit="1" customWidth="1"/>
    <col min="5" max="5" width="25" bestFit="1" customWidth="1"/>
    <col min="6" max="6" width="22.81640625" bestFit="1" customWidth="1"/>
    <col min="7" max="7" width="17" bestFit="1" customWidth="1"/>
    <col min="8" max="8" width="19.81640625" bestFit="1" customWidth="1"/>
    <col min="9" max="9" width="15.54296875" bestFit="1" customWidth="1"/>
    <col min="10" max="10" width="39.54296875" bestFit="1" customWidth="1"/>
    <col min="11" max="11" width="4.7265625" style="4" bestFit="1" customWidth="1"/>
    <col min="14" max="14" width="11.81640625" bestFit="1" customWidth="1"/>
  </cols>
  <sheetData>
    <row r="1" spans="1:11">
      <c r="B1" s="2" t="s">
        <v>15</v>
      </c>
      <c r="J1" s="6" t="str">
        <f>CONCATENATE("Rate Year: ",'1-DRR Corrected'!$K$1)</f>
        <v>Rate Year: 2023</v>
      </c>
    </row>
    <row r="2" spans="1:11">
      <c r="B2" s="35" t="s">
        <v>120</v>
      </c>
    </row>
    <row r="4" spans="1:11">
      <c r="B4" s="41" t="s">
        <v>553</v>
      </c>
      <c r="C4" s="41"/>
      <c r="D4" s="41"/>
      <c r="E4" s="41"/>
      <c r="F4" s="41"/>
      <c r="G4" s="41"/>
      <c r="H4" s="41"/>
      <c r="I4" s="41"/>
      <c r="J4" s="41"/>
    </row>
    <row r="5" spans="1:11">
      <c r="E5" s="21"/>
    </row>
    <row r="6" spans="1:11">
      <c r="A6" s="3" t="s">
        <v>90</v>
      </c>
      <c r="C6" s="3" t="s">
        <v>554</v>
      </c>
      <c r="D6" s="3" t="s">
        <v>126</v>
      </c>
    </row>
    <row r="7" spans="1:11">
      <c r="A7" s="4">
        <v>100</v>
      </c>
      <c r="C7" s="477">
        <f>'1-DRR Corrected'!I120</f>
        <v>4227450858.6051393</v>
      </c>
      <c r="D7" s="21" t="s">
        <v>555</v>
      </c>
    </row>
    <row r="8" spans="1:11">
      <c r="K8" s="3" t="s">
        <v>90</v>
      </c>
    </row>
    <row r="9" spans="1:11" s="86" customFormat="1">
      <c r="A9" s="91"/>
      <c r="B9" s="8"/>
      <c r="C9" s="138" t="s">
        <v>439</v>
      </c>
      <c r="D9" s="80" t="s">
        <v>126</v>
      </c>
      <c r="K9" s="530"/>
    </row>
    <row r="10" spans="1:11" s="86" customFormat="1">
      <c r="A10" s="91" t="s">
        <v>556</v>
      </c>
      <c r="B10" s="8"/>
      <c r="C10" s="561">
        <v>-2000000</v>
      </c>
      <c r="D10" s="18" t="s">
        <v>496</v>
      </c>
      <c r="K10" s="530"/>
    </row>
    <row r="11" spans="1:11">
      <c r="K11" s="3"/>
    </row>
    <row r="12" spans="1:11" ht="29">
      <c r="A12" s="4">
        <f>A7+1</f>
        <v>101</v>
      </c>
      <c r="B12" s="295"/>
      <c r="C12" s="398" t="s">
        <v>425</v>
      </c>
      <c r="D12" s="398" t="s">
        <v>427</v>
      </c>
      <c r="E12" s="531" t="s">
        <v>428</v>
      </c>
      <c r="F12" s="398" t="s">
        <v>429</v>
      </c>
      <c r="G12" s="398" t="s">
        <v>430</v>
      </c>
      <c r="H12" s="399" t="s">
        <v>117</v>
      </c>
      <c r="I12" s="129" t="s">
        <v>126</v>
      </c>
      <c r="K12" s="4">
        <f>A12</f>
        <v>101</v>
      </c>
    </row>
    <row r="13" spans="1:11">
      <c r="A13" s="4">
        <f>A12+1</f>
        <v>102</v>
      </c>
      <c r="B13" s="6" t="s">
        <v>431</v>
      </c>
      <c r="C13" s="376">
        <f>'3-ATA Corrected'!C8</f>
        <v>5.055886941693343E-3</v>
      </c>
      <c r="D13" s="376">
        <f>'3-ATA Corrected'!E8</f>
        <v>1.9127775603992007E-4</v>
      </c>
      <c r="E13" s="376">
        <f>'3-ATA Corrected'!F8</f>
        <v>4.3411899041765806E-5</v>
      </c>
      <c r="F13" s="376">
        <f>'3-ATA Corrected'!G8</f>
        <v>6.9288073766992902E-3</v>
      </c>
      <c r="G13" s="376">
        <f>'3-ATA Corrected'!H8</f>
        <v>4.2179683566781186E-6</v>
      </c>
      <c r="H13" s="363">
        <f>'3-ATA Corrected'!I8</f>
        <v>0</v>
      </c>
      <c r="I13" t="s">
        <v>557</v>
      </c>
      <c r="K13" s="4">
        <f>A13</f>
        <v>102</v>
      </c>
    </row>
    <row r="14" spans="1:11">
      <c r="A14" s="4">
        <f t="shared" ref="A14:A19" si="0">A13+1</f>
        <v>103</v>
      </c>
      <c r="B14" s="6" t="s">
        <v>558</v>
      </c>
      <c r="C14" s="24">
        <f>C13*$C$7</f>
        <v>21373513.592672035</v>
      </c>
      <c r="D14" s="24">
        <f t="shared" ref="D14:G14" si="1">D13*$C$7</f>
        <v>808617.31400302448</v>
      </c>
      <c r="E14" s="24">
        <f t="shared" si="1"/>
        <v>183521.66987779248</v>
      </c>
      <c r="F14" s="24">
        <f t="shared" si="1"/>
        <v>29291192.693737037</v>
      </c>
      <c r="G14" s="24">
        <f t="shared" si="1"/>
        <v>17831.253951008221</v>
      </c>
      <c r="H14" s="24">
        <f>H13*$C$7</f>
        <v>0</v>
      </c>
      <c r="I14" t="s">
        <v>559</v>
      </c>
      <c r="K14" s="4">
        <f>A14</f>
        <v>103</v>
      </c>
    </row>
    <row r="15" spans="1:11" s="8" customFormat="1">
      <c r="A15" s="91" t="s">
        <v>560</v>
      </c>
      <c r="B15" s="90" t="s">
        <v>561</v>
      </c>
      <c r="C15" s="242">
        <f>C14/SUM($C$14:$G$14)*$C$10</f>
        <v>-827233.57088246476</v>
      </c>
      <c r="D15" s="242">
        <f>D14/SUM($C$14:$G$14)*$C$10</f>
        <v>-31296.463505628231</v>
      </c>
      <c r="E15" s="242">
        <f>E14/SUM($C$14:$G$14)*$C$10</f>
        <v>-7102.9634715449592</v>
      </c>
      <c r="F15" s="242">
        <f>F14/SUM($C$14:$G$14)*$C$10</f>
        <v>-1133676.867043236</v>
      </c>
      <c r="G15" s="242">
        <f>G14/SUM($C$14:$G$14)*$C$10</f>
        <v>-690.13509712609323</v>
      </c>
      <c r="H15" s="242">
        <v>0</v>
      </c>
      <c r="I15" s="8" t="s">
        <v>497</v>
      </c>
      <c r="K15" s="91" t="s">
        <v>560</v>
      </c>
    </row>
    <row r="16" spans="1:11">
      <c r="A16" s="4">
        <f>A14+1</f>
        <v>104</v>
      </c>
      <c r="B16" s="6" t="s">
        <v>562</v>
      </c>
      <c r="C16" s="24">
        <f>'3-ATA Corrected'!C59</f>
        <v>629534.19999999995</v>
      </c>
      <c r="D16" s="24">
        <f>'3-ATA Corrected'!E59</f>
        <v>226392.26</v>
      </c>
      <c r="E16" s="24">
        <f>'3-ATA Corrected'!F59</f>
        <v>38088.03</v>
      </c>
      <c r="F16" s="24">
        <f>'3-ATA Corrected'!G59</f>
        <v>5348552.41</v>
      </c>
      <c r="G16" s="24">
        <f>'3-ATA Corrected'!H59</f>
        <v>3065.89</v>
      </c>
      <c r="H16" s="24">
        <f>'3-ATA Corrected'!I59</f>
        <v>0</v>
      </c>
      <c r="I16" t="s">
        <v>563</v>
      </c>
      <c r="K16" s="4">
        <f>A16</f>
        <v>104</v>
      </c>
    </row>
    <row r="17" spans="1:13">
      <c r="A17" s="4">
        <f t="shared" si="0"/>
        <v>105</v>
      </c>
      <c r="B17" s="6" t="s">
        <v>564</v>
      </c>
      <c r="C17" s="24">
        <f>C14+C15+C16</f>
        <v>21175814.221789569</v>
      </c>
      <c r="D17" s="24">
        <f t="shared" ref="D17:H17" si="2">D14+D15+D16</f>
        <v>1003713.1104973962</v>
      </c>
      <c r="E17" s="24">
        <f t="shared" si="2"/>
        <v>214506.73640624751</v>
      </c>
      <c r="F17" s="24">
        <f t="shared" si="2"/>
        <v>33506068.236693803</v>
      </c>
      <c r="G17" s="24">
        <f t="shared" si="2"/>
        <v>20207.008853882126</v>
      </c>
      <c r="H17" s="24">
        <f t="shared" si="2"/>
        <v>0</v>
      </c>
      <c r="I17" s="8" t="s">
        <v>565</v>
      </c>
      <c r="K17" s="4">
        <f>A17</f>
        <v>105</v>
      </c>
    </row>
    <row r="18" spans="1:13" s="8" customFormat="1">
      <c r="A18" s="91">
        <f t="shared" si="0"/>
        <v>106</v>
      </c>
      <c r="B18" s="534" t="s">
        <v>566</v>
      </c>
      <c r="C18" s="535">
        <f>'9-WholesaleRevenues Corrected'!D26+('9-WholesaleRevenues Corrected'!C78*'15-LossFactors'!$C$23/'15-LossFactors'!$C$21)</f>
        <v>1538475.6456424596</v>
      </c>
      <c r="D18" s="535">
        <f>'9-WholesaleRevenues Corrected'!F26</f>
        <v>39641</v>
      </c>
      <c r="E18" s="535">
        <f>'9-WholesaleRevenues Corrected'!G26</f>
        <v>9287</v>
      </c>
      <c r="F18" s="535">
        <f>'9-WholesaleRevenues Corrected'!H26+('9-WholesaleRevenues Corrected'!E78*'15-LossFactors'!$C$23/'15-LossFactors'!$C$21)</f>
        <v>2073623.1507189483</v>
      </c>
      <c r="G18" s="535">
        <f>'9-WholesaleRevenues Corrected'!I26</f>
        <v>786</v>
      </c>
      <c r="H18" s="535">
        <f>'8-DemandForAllocation Corrected'!M24</f>
        <v>0</v>
      </c>
      <c r="I18" s="536" t="s">
        <v>101</v>
      </c>
      <c r="K18" s="91">
        <f>A18</f>
        <v>106</v>
      </c>
    </row>
    <row r="19" spans="1:13">
      <c r="A19" s="4">
        <f t="shared" si="0"/>
        <v>107</v>
      </c>
      <c r="B19" s="6" t="s">
        <v>567</v>
      </c>
      <c r="C19" s="468">
        <f>C17/C18</f>
        <v>13.764153031455143</v>
      </c>
      <c r="D19" s="468">
        <f t="shared" ref="D19:G19" si="3">D17/D18</f>
        <v>25.320075439504457</v>
      </c>
      <c r="E19" s="468">
        <f t="shared" si="3"/>
        <v>23.097527339964198</v>
      </c>
      <c r="F19" s="468">
        <f t="shared" si="3"/>
        <v>16.158224422348329</v>
      </c>
      <c r="G19" s="468">
        <f t="shared" si="3"/>
        <v>25.70866266397217</v>
      </c>
      <c r="H19">
        <f>IF(H18=0,0,H17/H18)</f>
        <v>0</v>
      </c>
      <c r="I19" t="s">
        <v>568</v>
      </c>
      <c r="K19" s="4">
        <f>A19</f>
        <v>107</v>
      </c>
      <c r="M19" s="29"/>
    </row>
    <row r="20" spans="1:13">
      <c r="C20" s="24"/>
      <c r="D20" s="24"/>
      <c r="E20" s="24"/>
      <c r="F20" s="24"/>
      <c r="G20" s="24"/>
    </row>
    <row r="21" spans="1:13">
      <c r="C21" s="3" t="s">
        <v>569</v>
      </c>
      <c r="F21" s="29"/>
    </row>
    <row r="22" spans="1:13">
      <c r="A22" s="4">
        <f>A19+1</f>
        <v>108</v>
      </c>
      <c r="C22" s="477">
        <f>'1-DRR Corrected'!J120</f>
        <v>2584191830.497108</v>
      </c>
      <c r="K22" s="4">
        <f>A22</f>
        <v>108</v>
      </c>
    </row>
    <row r="23" spans="1:13">
      <c r="I23" s="4"/>
      <c r="K23"/>
    </row>
    <row r="24" spans="1:13" ht="29">
      <c r="B24" s="295"/>
      <c r="C24" s="398" t="s">
        <v>425</v>
      </c>
      <c r="D24" s="398" t="s">
        <v>429</v>
      </c>
      <c r="E24" s="129" t="s">
        <v>126</v>
      </c>
    </row>
    <row r="25" spans="1:13">
      <c r="A25" s="4">
        <f>A22+1</f>
        <v>109</v>
      </c>
      <c r="B25" s="6" t="s">
        <v>433</v>
      </c>
      <c r="C25" s="376">
        <f>'3-ATA Corrected'!C11</f>
        <v>1.6350207726561062E-3</v>
      </c>
      <c r="D25" s="376">
        <f>'3-ATA Corrected'!E11</f>
        <v>1.4887894904435084E-3</v>
      </c>
      <c r="E25" t="s">
        <v>570</v>
      </c>
      <c r="K25" s="4">
        <f t="shared" ref="K25:K31" si="4">A25</f>
        <v>109</v>
      </c>
    </row>
    <row r="26" spans="1:13">
      <c r="A26" s="4">
        <f>A25+1</f>
        <v>110</v>
      </c>
      <c r="B26" s="6" t="s">
        <v>571</v>
      </c>
      <c r="C26" s="24">
        <f>C25*$C$22</f>
        <v>4225207.3233909793</v>
      </c>
      <c r="D26" s="24">
        <f t="shared" ref="D26" si="5">D25*$C$22</f>
        <v>3847317.6385340667</v>
      </c>
      <c r="E26" t="s">
        <v>572</v>
      </c>
      <c r="F26" s="24"/>
      <c r="G26" s="29"/>
      <c r="K26" s="4">
        <f t="shared" si="4"/>
        <v>110</v>
      </c>
    </row>
    <row r="27" spans="1:13">
      <c r="A27" s="4">
        <f t="shared" ref="A27:A31" si="6">A26+1</f>
        <v>111</v>
      </c>
      <c r="B27" s="6" t="s">
        <v>573</v>
      </c>
      <c r="C27" s="24">
        <f>'3-ATA Corrected'!C63</f>
        <v>2467990.7599999998</v>
      </c>
      <c r="D27" s="24">
        <f>'3-ATA Corrected'!E63</f>
        <v>3424138.77</v>
      </c>
      <c r="E27" t="s">
        <v>574</v>
      </c>
      <c r="G27" s="29"/>
      <c r="K27" s="4">
        <f t="shared" si="4"/>
        <v>111</v>
      </c>
    </row>
    <row r="28" spans="1:13">
      <c r="A28" s="4">
        <f t="shared" si="6"/>
        <v>112</v>
      </c>
      <c r="B28" s="6" t="s">
        <v>575</v>
      </c>
      <c r="C28" s="24">
        <f>C17-(C19*'9-WholesaleRevenues Corrected'!D26)</f>
        <v>10109653.043513818</v>
      </c>
      <c r="D28" s="24">
        <f>F17-(F19*'9-WholesaleRevenues Corrected'!H26)</f>
        <v>10101567.725687869</v>
      </c>
      <c r="E28" t="s">
        <v>576</v>
      </c>
      <c r="F28" s="29"/>
      <c r="K28" s="4">
        <f t="shared" si="4"/>
        <v>112</v>
      </c>
    </row>
    <row r="29" spans="1:13">
      <c r="A29" s="4">
        <f t="shared" si="6"/>
        <v>113</v>
      </c>
      <c r="B29" s="6" t="s">
        <v>577</v>
      </c>
      <c r="C29" s="24">
        <f>C27+C26+C28</f>
        <v>16802851.126904797</v>
      </c>
      <c r="D29" s="24">
        <f t="shared" ref="D29" si="7">D27+D26+D28</f>
        <v>17373024.134221934</v>
      </c>
      <c r="E29" t="s">
        <v>578</v>
      </c>
      <c r="F29" s="19"/>
      <c r="K29" s="4">
        <f t="shared" si="4"/>
        <v>113</v>
      </c>
    </row>
    <row r="30" spans="1:13" s="8" customFormat="1">
      <c r="A30" s="91">
        <f t="shared" si="6"/>
        <v>114</v>
      </c>
      <c r="B30" s="534" t="s">
        <v>579</v>
      </c>
      <c r="C30" s="535">
        <f>'9-WholesaleRevenues Corrected'!C78</f>
        <v>692982.46038429474</v>
      </c>
      <c r="D30" s="535">
        <f>'9-WholesaleRevenues Corrected'!E78</f>
        <v>589835.12044000009</v>
      </c>
      <c r="E30" s="536" t="s">
        <v>471</v>
      </c>
      <c r="K30" s="91">
        <f t="shared" si="4"/>
        <v>114</v>
      </c>
    </row>
    <row r="31" spans="1:13">
      <c r="A31" s="4">
        <f t="shared" si="6"/>
        <v>115</v>
      </c>
      <c r="B31" s="6" t="s">
        <v>580</v>
      </c>
      <c r="C31" s="468">
        <f>C29/C30</f>
        <v>24.247152110584075</v>
      </c>
      <c r="D31" s="468">
        <f t="shared" ref="D31" si="8">D29/D30</f>
        <v>29.454034750019897</v>
      </c>
      <c r="E31" t="s">
        <v>581</v>
      </c>
      <c r="K31" s="4">
        <f t="shared" si="4"/>
        <v>115</v>
      </c>
    </row>
    <row r="32" spans="1:13">
      <c r="B32" s="6"/>
      <c r="C32" s="24"/>
      <c r="D32" s="24"/>
      <c r="E32" s="2"/>
    </row>
    <row r="33" spans="1:11">
      <c r="C33" s="468"/>
      <c r="D33" s="468"/>
      <c r="E33" s="468"/>
      <c r="F33" s="480"/>
      <c r="I33" s="480"/>
      <c r="J33" s="29"/>
    </row>
    <row r="34" spans="1:11">
      <c r="B34" s="41" t="s">
        <v>582</v>
      </c>
      <c r="C34" s="41"/>
      <c r="D34" s="41"/>
      <c r="E34" s="41"/>
      <c r="F34" s="41"/>
      <c r="G34" s="41"/>
      <c r="H34" s="41"/>
      <c r="I34" s="41"/>
      <c r="J34" s="41"/>
    </row>
    <row r="35" spans="1:11">
      <c r="A35" s="3" t="s">
        <v>90</v>
      </c>
      <c r="C35" s="3" t="s">
        <v>583</v>
      </c>
      <c r="D35" s="3" t="s">
        <v>126</v>
      </c>
      <c r="K35" s="3" t="s">
        <v>90</v>
      </c>
    </row>
    <row r="36" spans="1:11">
      <c r="A36" s="4">
        <v>200</v>
      </c>
      <c r="B36" t="s">
        <v>584</v>
      </c>
      <c r="C36" s="29">
        <f>SUM(C14:G14)</f>
        <v>51674676.524240896</v>
      </c>
      <c r="D36" s="33" t="s">
        <v>585</v>
      </c>
      <c r="K36" s="4">
        <f t="shared" ref="K36:K38" si="9">A36</f>
        <v>200</v>
      </c>
    </row>
    <row r="37" spans="1:11">
      <c r="A37" s="4">
        <f>A36+1</f>
        <v>201</v>
      </c>
      <c r="B37" s="237" t="s">
        <v>586</v>
      </c>
      <c r="C37" s="321">
        <f>SUM(C18:G18)</f>
        <v>3661812.7963614082</v>
      </c>
      <c r="D37" s="478" t="s">
        <v>587</v>
      </c>
      <c r="K37" s="4">
        <f t="shared" si="9"/>
        <v>201</v>
      </c>
    </row>
    <row r="38" spans="1:11">
      <c r="A38" s="4">
        <f>A37+1</f>
        <v>202</v>
      </c>
      <c r="B38" s="2" t="s">
        <v>588</v>
      </c>
      <c r="C38" s="468">
        <f>C36/C37</f>
        <v>14.111774522058552</v>
      </c>
      <c r="D38" t="s">
        <v>589</v>
      </c>
      <c r="K38" s="4">
        <f t="shared" si="9"/>
        <v>202</v>
      </c>
    </row>
    <row r="40" spans="1:11">
      <c r="B40" s="41" t="s">
        <v>590</v>
      </c>
      <c r="C40" s="41"/>
      <c r="D40" s="41"/>
      <c r="E40" s="41"/>
      <c r="F40" s="41"/>
      <c r="G40" s="41"/>
      <c r="H40" s="41"/>
      <c r="I40" s="41"/>
      <c r="J40" s="41"/>
    </row>
    <row r="41" spans="1:11">
      <c r="B41" s="5" t="s">
        <v>591</v>
      </c>
      <c r="C41" s="5"/>
      <c r="D41" s="5"/>
      <c r="E41" s="5"/>
      <c r="F41" s="5"/>
      <c r="G41" s="5"/>
      <c r="H41" s="5"/>
      <c r="I41" s="5"/>
      <c r="J41" s="5"/>
    </row>
    <row r="42" spans="1:11">
      <c r="B42" s="2"/>
    </row>
    <row r="43" spans="1:11">
      <c r="A43" s="3" t="s">
        <v>90</v>
      </c>
      <c r="B43" s="7" t="s">
        <v>489</v>
      </c>
      <c r="C43" s="7" t="s">
        <v>592</v>
      </c>
      <c r="D43" s="7" t="s">
        <v>593</v>
      </c>
      <c r="K43" s="3" t="s">
        <v>90</v>
      </c>
    </row>
    <row r="44" spans="1:11">
      <c r="A44" s="4">
        <v>300</v>
      </c>
      <c r="B44" s="358"/>
      <c r="C44" s="358"/>
      <c r="D44" s="365"/>
      <c r="K44" s="4">
        <f>A44</f>
        <v>300</v>
      </c>
    </row>
    <row r="45" spans="1:11">
      <c r="A45" s="4">
        <f>A44+1</f>
        <v>301</v>
      </c>
      <c r="B45" s="358"/>
      <c r="C45" s="358"/>
      <c r="D45" s="365"/>
      <c r="K45" s="4">
        <f t="shared" ref="K45:K47" si="10">A45</f>
        <v>301</v>
      </c>
    </row>
    <row r="46" spans="1:11">
      <c r="A46" s="4">
        <f t="shared" ref="A46:A47" si="11">A45+1</f>
        <v>302</v>
      </c>
      <c r="B46" s="358"/>
      <c r="C46" s="358"/>
      <c r="D46" s="365"/>
      <c r="K46" s="4">
        <f t="shared" si="10"/>
        <v>302</v>
      </c>
    </row>
    <row r="47" spans="1:11">
      <c r="A47" s="4">
        <f t="shared" si="11"/>
        <v>303</v>
      </c>
      <c r="B47" s="358"/>
      <c r="C47" s="358"/>
      <c r="D47" s="365"/>
      <c r="K47" s="4">
        <f t="shared" si="10"/>
        <v>303</v>
      </c>
    </row>
    <row r="48" spans="1:11">
      <c r="A48" s="470" t="s">
        <v>117</v>
      </c>
      <c r="D48" s="366"/>
      <c r="K48" s="4" t="str">
        <f>A48</f>
        <v>…</v>
      </c>
    </row>
    <row r="50" spans="1:11" ht="15" customHeight="1">
      <c r="B50" s="736" t="s">
        <v>594</v>
      </c>
      <c r="C50" s="736"/>
      <c r="D50" s="736"/>
      <c r="E50" s="736"/>
      <c r="F50" s="736"/>
      <c r="G50" s="736"/>
      <c r="H50" s="736"/>
      <c r="I50" s="736"/>
      <c r="J50" s="736"/>
      <c r="K50" s="484"/>
    </row>
    <row r="51" spans="1:11">
      <c r="B51" s="736"/>
      <c r="C51" s="736"/>
      <c r="D51" s="736"/>
      <c r="E51" s="736"/>
      <c r="F51" s="736"/>
      <c r="G51" s="736"/>
      <c r="H51" s="736"/>
      <c r="I51" s="736"/>
      <c r="J51" s="736"/>
      <c r="K51" s="484"/>
    </row>
    <row r="52" spans="1:11" s="86" customFormat="1">
      <c r="A52" s="527"/>
      <c r="B52" s="740" t="s">
        <v>595</v>
      </c>
      <c r="C52" s="740"/>
      <c r="D52" s="740"/>
      <c r="E52" s="740"/>
      <c r="F52" s="740"/>
      <c r="G52" s="740"/>
      <c r="H52" s="740"/>
      <c r="I52" s="740"/>
      <c r="J52" s="740"/>
      <c r="K52" s="527"/>
    </row>
    <row r="53" spans="1:11" s="86" customFormat="1">
      <c r="A53" s="527"/>
      <c r="B53" s="739" t="s">
        <v>596</v>
      </c>
      <c r="C53" s="739"/>
      <c r="D53" s="739"/>
      <c r="E53" s="739"/>
      <c r="F53" s="739"/>
      <c r="G53" s="739"/>
      <c r="H53" s="739"/>
      <c r="I53" s="739"/>
      <c r="J53" s="739"/>
      <c r="K53" s="527"/>
    </row>
    <row r="54" spans="1:11" s="86" customFormat="1">
      <c r="A54" s="527"/>
      <c r="B54" s="739"/>
      <c r="C54" s="739"/>
      <c r="D54" s="739"/>
      <c r="E54" s="739"/>
      <c r="F54" s="739"/>
      <c r="G54" s="739"/>
      <c r="H54" s="739"/>
      <c r="I54" s="739"/>
      <c r="J54" s="739"/>
      <c r="K54" s="527"/>
    </row>
  </sheetData>
  <mergeCells count="3">
    <mergeCell ref="B50:J51"/>
    <mergeCell ref="B52:J52"/>
    <mergeCell ref="B53:J54"/>
  </mergeCells>
  <phoneticPr fontId="104" type="noConversion"/>
  <printOptions horizontalCentered="1"/>
  <pageMargins left="1" right="1" top="1" bottom="1" header="0.5" footer="0.5"/>
  <pageSetup scale="47" orientation="landscape" r:id="rId1"/>
  <headerFooter>
    <oddHeader>&amp;RDocket No. ER20-2878-000, et al.- Annual Update RY2024
&amp;F</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L32"/>
  <sheetViews>
    <sheetView view="pageBreakPreview" zoomScale="55" zoomScaleNormal="100" zoomScaleSheetLayoutView="55" zoomScalePageLayoutView="70" workbookViewId="0">
      <selection activeCell="W98" sqref="W98"/>
    </sheetView>
  </sheetViews>
  <sheetFormatPr defaultColWidth="9.1796875" defaultRowHeight="14.5"/>
  <cols>
    <col min="1" max="1" width="4.81640625" style="60" bestFit="1" customWidth="1"/>
    <col min="2" max="2" width="50.1796875" style="62" customWidth="1"/>
    <col min="3" max="3" width="17.81640625" style="64" customWidth="1"/>
    <col min="4" max="4" width="17.81640625" style="60" bestFit="1" customWidth="1"/>
    <col min="5" max="5" width="21.7265625" style="60" customWidth="1"/>
    <col min="6" max="6" width="24" style="60" bestFit="1" customWidth="1"/>
    <col min="7" max="7" width="44.453125" style="60" customWidth="1"/>
    <col min="8" max="8" width="6.7265625" style="60" bestFit="1" customWidth="1"/>
    <col min="9" max="9" width="29.1796875" style="60" bestFit="1" customWidth="1"/>
    <col min="10" max="10" width="17.81640625" style="60" bestFit="1" customWidth="1"/>
    <col min="11" max="11" width="13.453125" style="60" customWidth="1"/>
    <col min="12" max="12" width="10" style="60" bestFit="1" customWidth="1"/>
    <col min="13" max="14" width="15.54296875" style="60" customWidth="1"/>
    <col min="15" max="15" width="13.453125" style="60" customWidth="1"/>
    <col min="16" max="16384" width="9.1796875" style="60"/>
  </cols>
  <sheetData>
    <row r="1" spans="1:10">
      <c r="B1" s="61" t="s">
        <v>21</v>
      </c>
      <c r="C1" s="62"/>
      <c r="D1" s="62"/>
      <c r="E1" s="62"/>
      <c r="F1" s="62"/>
      <c r="G1" s="6" t="str">
        <f>CONCATENATE("Prior Year: ",'1-DRR Corrected'!$K$2)</f>
        <v>Prior Year: 2021</v>
      </c>
      <c r="H1" s="62"/>
      <c r="J1" s="63"/>
    </row>
    <row r="2" spans="1:10">
      <c r="B2" s="35" t="s">
        <v>120</v>
      </c>
      <c r="C2" s="62"/>
      <c r="D2" s="62"/>
      <c r="E2" s="62"/>
      <c r="F2" s="62"/>
      <c r="H2" s="62"/>
      <c r="J2" s="63"/>
    </row>
    <row r="3" spans="1:10">
      <c r="A3" s="3"/>
      <c r="E3" s="3"/>
      <c r="F3" s="62"/>
      <c r="G3" s="62"/>
      <c r="H3" s="62"/>
      <c r="J3" s="63"/>
    </row>
    <row r="4" spans="1:10">
      <c r="B4" s="41" t="s">
        <v>597</v>
      </c>
      <c r="C4" s="41"/>
      <c r="D4" s="41"/>
      <c r="E4" s="41"/>
      <c r="F4" s="41"/>
      <c r="G4" s="41"/>
      <c r="H4" s="5"/>
      <c r="I4" s="62"/>
      <c r="J4" s="65"/>
    </row>
    <row r="5" spans="1:10">
      <c r="B5" s="564" t="s">
        <v>598</v>
      </c>
      <c r="C5" s="5"/>
      <c r="D5" s="5"/>
      <c r="E5" s="5"/>
      <c r="F5" s="5"/>
      <c r="G5" s="5"/>
      <c r="H5" s="5"/>
      <c r="I5" s="62"/>
      <c r="J5" s="65"/>
    </row>
    <row r="6" spans="1:10">
      <c r="B6" s="5"/>
      <c r="C6" s="5"/>
      <c r="D6" s="5"/>
      <c r="E6" s="5"/>
      <c r="F6" s="5"/>
      <c r="G6" s="5"/>
      <c r="H6" s="5"/>
      <c r="I6" s="62"/>
      <c r="J6" s="65"/>
    </row>
    <row r="7" spans="1:10">
      <c r="A7" s="3" t="s">
        <v>90</v>
      </c>
      <c r="B7" s="3" t="s">
        <v>7</v>
      </c>
      <c r="F7" s="3" t="s">
        <v>599</v>
      </c>
      <c r="G7" s="3" t="s">
        <v>126</v>
      </c>
      <c r="H7" s="3" t="s">
        <v>90</v>
      </c>
      <c r="I7" s="62"/>
      <c r="J7" s="63"/>
    </row>
    <row r="8" spans="1:10">
      <c r="A8" s="66"/>
      <c r="B8" s="67" t="s">
        <v>600</v>
      </c>
      <c r="C8" s="68"/>
      <c r="D8" s="62"/>
      <c r="E8" s="66"/>
      <c r="F8" s="62"/>
      <c r="G8" s="69"/>
      <c r="H8" s="66"/>
      <c r="I8" s="62"/>
      <c r="J8" s="63"/>
    </row>
    <row r="9" spans="1:10">
      <c r="A9" s="66">
        <v>100</v>
      </c>
      <c r="B9" s="63" t="s">
        <v>601</v>
      </c>
      <c r="C9" s="68"/>
      <c r="D9" s="62"/>
      <c r="E9" s="66"/>
      <c r="F9" s="266">
        <v>36443675751.440002</v>
      </c>
      <c r="G9" s="62" t="s">
        <v>602</v>
      </c>
      <c r="H9" s="66">
        <f t="shared" ref="H9:H16" si="0">A9</f>
        <v>100</v>
      </c>
      <c r="I9" s="62"/>
      <c r="J9" s="63"/>
    </row>
    <row r="10" spans="1:10">
      <c r="A10" s="66">
        <f>A9+1</f>
        <v>101</v>
      </c>
      <c r="B10" s="63" t="s">
        <v>603</v>
      </c>
      <c r="C10" s="70"/>
      <c r="D10" s="71"/>
      <c r="E10" s="66"/>
      <c r="F10" s="266">
        <v>0</v>
      </c>
      <c r="G10" s="62" t="s">
        <v>604</v>
      </c>
      <c r="H10" s="66">
        <f t="shared" si="0"/>
        <v>101</v>
      </c>
      <c r="I10" s="62"/>
      <c r="J10" s="63"/>
    </row>
    <row r="11" spans="1:10">
      <c r="A11" s="66">
        <f t="shared" ref="A11:A16" si="1">A10+1</f>
        <v>102</v>
      </c>
      <c r="B11" s="63" t="s">
        <v>605</v>
      </c>
      <c r="C11" s="70"/>
      <c r="D11" s="71"/>
      <c r="E11" s="66"/>
      <c r="F11" s="266">
        <v>0</v>
      </c>
      <c r="G11" s="62" t="s">
        <v>606</v>
      </c>
      <c r="H11" s="66">
        <f t="shared" si="0"/>
        <v>102</v>
      </c>
      <c r="I11" s="62"/>
      <c r="J11" s="63"/>
    </row>
    <row r="12" spans="1:10">
      <c r="A12" s="66">
        <f t="shared" si="1"/>
        <v>103</v>
      </c>
      <c r="B12" s="63" t="s">
        <v>607</v>
      </c>
      <c r="C12" s="70"/>
      <c r="D12" s="71"/>
      <c r="E12" s="66"/>
      <c r="F12" s="266">
        <v>5486057.9100000001</v>
      </c>
      <c r="G12" s="62" t="s">
        <v>608</v>
      </c>
      <c r="H12" s="66">
        <f t="shared" si="0"/>
        <v>103</v>
      </c>
      <c r="I12" s="62"/>
      <c r="J12" s="63"/>
    </row>
    <row r="13" spans="1:10">
      <c r="A13" s="66">
        <f t="shared" si="1"/>
        <v>104</v>
      </c>
      <c r="B13" s="63" t="s">
        <v>609</v>
      </c>
      <c r="C13" s="70"/>
      <c r="D13" s="71"/>
      <c r="E13" s="66"/>
      <c r="F13" s="266">
        <v>26193407.199999999</v>
      </c>
      <c r="G13" s="62" t="s">
        <v>610</v>
      </c>
      <c r="H13" s="66">
        <f t="shared" si="0"/>
        <v>104</v>
      </c>
      <c r="I13" s="62"/>
      <c r="J13" s="63"/>
    </row>
    <row r="14" spans="1:10">
      <c r="A14" s="66">
        <f t="shared" si="1"/>
        <v>105</v>
      </c>
      <c r="B14" s="63" t="s">
        <v>611</v>
      </c>
      <c r="C14" s="70"/>
      <c r="D14" s="71"/>
      <c r="E14" s="66"/>
      <c r="F14" s="266">
        <v>150494395.88999999</v>
      </c>
      <c r="G14" s="62" t="s">
        <v>612</v>
      </c>
      <c r="H14" s="66">
        <f t="shared" si="0"/>
        <v>105</v>
      </c>
      <c r="I14" s="62"/>
      <c r="J14" s="63"/>
    </row>
    <row r="15" spans="1:10">
      <c r="A15" s="66">
        <f t="shared" si="1"/>
        <v>106</v>
      </c>
      <c r="B15" s="63" t="s">
        <v>613</v>
      </c>
      <c r="C15" s="70"/>
      <c r="D15" s="71"/>
      <c r="E15" s="66"/>
      <c r="F15" s="267">
        <v>49489664.189999998</v>
      </c>
      <c r="G15" s="62" t="s">
        <v>614</v>
      </c>
      <c r="H15" s="66">
        <f t="shared" si="0"/>
        <v>106</v>
      </c>
      <c r="I15" s="62"/>
      <c r="J15" s="63"/>
    </row>
    <row r="16" spans="1:10">
      <c r="A16" s="66">
        <f t="shared" si="1"/>
        <v>107</v>
      </c>
      <c r="B16" s="296" t="s">
        <v>615</v>
      </c>
      <c r="C16" s="70"/>
      <c r="D16" s="71"/>
      <c r="E16" s="66"/>
      <c r="F16" s="270">
        <f>((F9+F11+F12)-(F10+F13+F14+F15))</f>
        <v>36222984342.070007</v>
      </c>
      <c r="G16" s="62" t="str">
        <f>CONCATENATE("Lines ((",A9," + ",A11," + ",A12,") - (",A10," + ",A13," + ",A14," + ",A15," ))")</f>
        <v>Lines ((100 + 102 + 103) - (101 + 104 + 105 + 106 ))</v>
      </c>
      <c r="H16" s="66">
        <f t="shared" si="0"/>
        <v>107</v>
      </c>
      <c r="I16" s="73"/>
      <c r="J16" s="72"/>
    </row>
    <row r="17" spans="1:12">
      <c r="A17" s="66"/>
      <c r="B17" s="63"/>
      <c r="C17" s="70"/>
      <c r="D17" s="71"/>
      <c r="E17" s="66"/>
      <c r="F17" s="74"/>
      <c r="G17" s="62"/>
      <c r="H17" s="62"/>
      <c r="J17" s="63"/>
    </row>
    <row r="18" spans="1:12">
      <c r="A18" s="66"/>
      <c r="B18" s="67" t="s">
        <v>616</v>
      </c>
      <c r="C18" s="70"/>
      <c r="D18" s="71"/>
      <c r="E18" s="66"/>
      <c r="F18" s="74"/>
      <c r="G18" s="62"/>
      <c r="H18" s="62"/>
      <c r="J18" s="63"/>
    </row>
    <row r="19" spans="1:12">
      <c r="A19" s="66">
        <f>A16+1</f>
        <v>108</v>
      </c>
      <c r="B19" s="63" t="s">
        <v>617</v>
      </c>
      <c r="C19" s="70"/>
      <c r="D19" s="71"/>
      <c r="E19" s="66"/>
      <c r="F19" s="268">
        <v>1200006997</v>
      </c>
      <c r="G19" s="62" t="s">
        <v>618</v>
      </c>
      <c r="H19" s="66">
        <f t="shared" ref="H19:H26" si="2">A19</f>
        <v>108</v>
      </c>
      <c r="J19" s="63"/>
    </row>
    <row r="20" spans="1:12">
      <c r="A20" s="66">
        <f>A19+1</f>
        <v>109</v>
      </c>
      <c r="B20" s="63" t="s">
        <v>619</v>
      </c>
      <c r="C20" s="70"/>
      <c r="D20" s="71"/>
      <c r="E20" s="66"/>
      <c r="F20" s="266">
        <v>65454865.799999997</v>
      </c>
      <c r="G20" s="62" t="s">
        <v>620</v>
      </c>
      <c r="H20" s="66">
        <f t="shared" si="2"/>
        <v>109</v>
      </c>
      <c r="J20" s="63"/>
    </row>
    <row r="21" spans="1:12">
      <c r="A21" s="66">
        <f t="shared" ref="A21:A24" si="3">A20+1</f>
        <v>110</v>
      </c>
      <c r="B21" s="63" t="s">
        <v>621</v>
      </c>
      <c r="C21" s="70"/>
      <c r="D21" s="71"/>
      <c r="E21" s="66"/>
      <c r="F21" s="266">
        <v>13507902</v>
      </c>
      <c r="G21" s="62" t="s">
        <v>622</v>
      </c>
      <c r="H21" s="66">
        <f t="shared" si="2"/>
        <v>110</v>
      </c>
      <c r="J21" s="63"/>
    </row>
    <row r="22" spans="1:12">
      <c r="A22" s="66">
        <f t="shared" si="3"/>
        <v>111</v>
      </c>
      <c r="B22" s="63" t="s">
        <v>623</v>
      </c>
      <c r="C22" s="70"/>
      <c r="D22" s="71"/>
      <c r="E22" s="66"/>
      <c r="F22" s="266">
        <v>817992</v>
      </c>
      <c r="G22" s="62" t="s">
        <v>624</v>
      </c>
      <c r="H22" s="66">
        <f t="shared" si="2"/>
        <v>111</v>
      </c>
      <c r="J22" s="63"/>
    </row>
    <row r="23" spans="1:12">
      <c r="A23" s="66">
        <f t="shared" si="3"/>
        <v>112</v>
      </c>
      <c r="B23" s="63" t="s">
        <v>625</v>
      </c>
      <c r="C23" s="70"/>
      <c r="D23" s="71"/>
      <c r="E23" s="66"/>
      <c r="F23" s="267">
        <v>139701</v>
      </c>
      <c r="G23" s="62" t="s">
        <v>626</v>
      </c>
      <c r="H23" s="66">
        <f t="shared" si="2"/>
        <v>112</v>
      </c>
      <c r="J23" s="63"/>
    </row>
    <row r="24" spans="1:12">
      <c r="A24" s="66">
        <f t="shared" si="3"/>
        <v>113</v>
      </c>
      <c r="B24" s="296" t="s">
        <v>627</v>
      </c>
      <c r="C24" s="70"/>
      <c r="D24" s="71"/>
      <c r="E24" s="66"/>
      <c r="F24" s="546">
        <f>((F19+F20+F21)-(F22+F23))</f>
        <v>1278012071.8</v>
      </c>
      <c r="G24" s="62" t="str">
        <f>CONCATENATE("Lines ((",A19," + ",A20," + ",A21,") - (",A22," + ",A23,"))")</f>
        <v>Lines ((108 + 109 + 110) - (111 + 112))</v>
      </c>
      <c r="H24" s="66">
        <f t="shared" si="2"/>
        <v>113</v>
      </c>
      <c r="J24" s="63"/>
    </row>
    <row r="25" spans="1:12">
      <c r="A25" s="66"/>
      <c r="B25" s="63"/>
      <c r="C25" s="70"/>
      <c r="D25" s="71"/>
      <c r="E25" s="66"/>
      <c r="F25" s="62"/>
      <c r="G25" s="62"/>
      <c r="H25" s="62"/>
      <c r="J25" s="63"/>
    </row>
    <row r="26" spans="1:12">
      <c r="A26" s="66">
        <f>A24+1</f>
        <v>114</v>
      </c>
      <c r="B26" s="297" t="s">
        <v>628</v>
      </c>
      <c r="C26" s="70"/>
      <c r="D26" s="71"/>
      <c r="E26" s="66"/>
      <c r="F26" s="486">
        <f>ROUND(F24/F16,4)</f>
        <v>3.5299999999999998E-2</v>
      </c>
      <c r="G26" s="62" t="str">
        <f>CONCATENATE("Line ",A24," / ","Line ",A16)</f>
        <v>Line 113 / Line 107</v>
      </c>
      <c r="H26" s="66">
        <f t="shared" si="2"/>
        <v>114</v>
      </c>
      <c r="J26" s="63"/>
    </row>
    <row r="27" spans="1:12">
      <c r="A27" s="66"/>
      <c r="B27" s="75"/>
      <c r="C27" s="70"/>
      <c r="D27" s="71"/>
      <c r="E27" s="66"/>
      <c r="F27" s="62"/>
      <c r="G27" s="62"/>
      <c r="H27" s="62"/>
      <c r="J27" s="63"/>
    </row>
    <row r="28" spans="1:12">
      <c r="A28" s="66"/>
      <c r="B28" s="75"/>
      <c r="C28" s="70"/>
      <c r="D28" s="71"/>
      <c r="E28" s="66"/>
      <c r="F28" s="62"/>
      <c r="G28" s="62"/>
      <c r="H28" s="62"/>
      <c r="J28" s="63"/>
    </row>
    <row r="29" spans="1:12">
      <c r="A29" s="66"/>
      <c r="B29" s="76"/>
      <c r="C29" s="70"/>
      <c r="D29" s="71"/>
      <c r="E29" s="66"/>
      <c r="F29" s="62"/>
      <c r="G29" s="62"/>
      <c r="H29" s="62"/>
      <c r="J29" s="63"/>
    </row>
    <row r="30" spans="1:12" ht="12.75" customHeight="1">
      <c r="A30" s="66"/>
      <c r="B30" s="8"/>
      <c r="C30" s="60"/>
      <c r="D30" s="71"/>
      <c r="E30" s="66"/>
      <c r="F30" s="62"/>
      <c r="G30" s="62"/>
      <c r="H30" s="62"/>
      <c r="J30" s="63"/>
    </row>
    <row r="31" spans="1:12">
      <c r="C31" s="77"/>
    </row>
    <row r="32" spans="1:12">
      <c r="C32" s="77"/>
      <c r="L32" s="63"/>
    </row>
  </sheetData>
  <sheetProtection formatCells="0" formatColumns="0" formatRows="0" insertColumns="0" insertRows="0" insertHyperlinks="0" deleteColumns="0" deleteRows="0" selectLockedCells="1" sort="0" autoFilter="0" pivotTables="0"/>
  <conditionalFormatting sqref="F7:G7">
    <cfRule type="duplicateValues" dxfId="10" priority="1"/>
  </conditionalFormatting>
  <printOptions horizontalCentered="1"/>
  <pageMargins left="1" right="1" top="1" bottom="1" header="0.5" footer="0.5"/>
  <pageSetup scale="61" orientation="landscape" r:id="rId1"/>
  <headerFooter>
    <oddHeader>&amp;RDocket No. ER20-2878-000, et al.- Annual Update RY2024
&amp;F</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N47"/>
  <sheetViews>
    <sheetView view="pageBreakPreview" zoomScale="40" zoomScaleNormal="115" zoomScaleSheetLayoutView="40" zoomScalePageLayoutView="70" workbookViewId="0">
      <selection activeCell="W98" sqref="W98"/>
    </sheetView>
  </sheetViews>
  <sheetFormatPr defaultColWidth="9.1796875" defaultRowHeight="14.5"/>
  <cols>
    <col min="1" max="1" width="4.54296875" bestFit="1" customWidth="1"/>
    <col min="2" max="2" width="16" customWidth="1"/>
    <col min="3" max="3" width="16.1796875" customWidth="1"/>
    <col min="4" max="4" width="15.81640625" customWidth="1"/>
    <col min="5" max="5" width="15.1796875" customWidth="1"/>
    <col min="6" max="6" width="14.54296875" bestFit="1" customWidth="1"/>
    <col min="7" max="7" width="13.7265625" bestFit="1" customWidth="1"/>
    <col min="8" max="8" width="13.26953125" bestFit="1" customWidth="1"/>
    <col min="9" max="9" width="15.26953125" bestFit="1" customWidth="1"/>
    <col min="10" max="10" width="15" customWidth="1"/>
    <col min="11" max="11" width="4.54296875" bestFit="1" customWidth="1"/>
    <col min="13" max="13" width="12" bestFit="1" customWidth="1"/>
    <col min="14" max="14" width="10.54296875" bestFit="1" customWidth="1"/>
  </cols>
  <sheetData>
    <row r="1" spans="1:11">
      <c r="B1" s="2" t="s">
        <v>23</v>
      </c>
      <c r="J1" s="6" t="str">
        <f>CONCATENATE("Prior Year: ",'1-DRR Corrected'!$K$2)</f>
        <v>Prior Year: 2021</v>
      </c>
    </row>
    <row r="2" spans="1:11">
      <c r="B2" s="78" t="s">
        <v>120</v>
      </c>
      <c r="C2" s="38"/>
      <c r="J2" s="6"/>
    </row>
    <row r="3" spans="1:11">
      <c r="A3" s="3"/>
      <c r="K3" s="3"/>
    </row>
    <row r="4" spans="1:11">
      <c r="B4" s="79" t="s">
        <v>629</v>
      </c>
      <c r="C4" s="43"/>
      <c r="D4" s="43"/>
      <c r="E4" s="43"/>
      <c r="F4" s="43"/>
      <c r="G4" s="43"/>
      <c r="H4" s="43"/>
      <c r="I4" s="43"/>
      <c r="J4" s="43"/>
    </row>
    <row r="5" spans="1:11">
      <c r="A5" s="3" t="s">
        <v>90</v>
      </c>
      <c r="D5" s="80" t="s">
        <v>7</v>
      </c>
      <c r="E5" s="80" t="s">
        <v>630</v>
      </c>
      <c r="F5" s="80" t="s">
        <v>631</v>
      </c>
      <c r="K5" s="3" t="str">
        <f>A5</f>
        <v>Line</v>
      </c>
    </row>
    <row r="6" spans="1:11">
      <c r="A6" s="4">
        <v>100</v>
      </c>
      <c r="B6" s="81"/>
      <c r="C6" s="81"/>
      <c r="D6" s="81" t="s">
        <v>632</v>
      </c>
      <c r="E6" s="24">
        <f>J30</f>
        <v>13916317.264999999</v>
      </c>
      <c r="F6" t="str">
        <f>"Line "&amp;A30&amp;", "&amp;J17&amp;""</f>
        <v>Line 208, Col 9</v>
      </c>
      <c r="K6" s="4">
        <f>A6</f>
        <v>100</v>
      </c>
    </row>
    <row r="7" spans="1:11">
      <c r="A7" s="4">
        <f>A6+1</f>
        <v>101</v>
      </c>
      <c r="B7" s="81"/>
      <c r="C7" s="81"/>
      <c r="D7" s="81" t="s">
        <v>633</v>
      </c>
      <c r="E7" s="24">
        <f>G42</f>
        <v>0</v>
      </c>
      <c r="F7" t="str">
        <f>"Line "&amp;A42&amp;", "&amp;G33&amp;""</f>
        <v>Line 305, Col 6</v>
      </c>
      <c r="K7" s="4">
        <f>A7</f>
        <v>101</v>
      </c>
    </row>
    <row r="8" spans="1:11">
      <c r="A8" s="4">
        <f>A7+1</f>
        <v>102</v>
      </c>
      <c r="B8" s="81"/>
      <c r="C8" s="81"/>
      <c r="D8" s="6" t="s">
        <v>634</v>
      </c>
      <c r="E8" s="221">
        <f>E6+E7</f>
        <v>13916317.264999999</v>
      </c>
      <c r="F8" t="str">
        <f>"Line "&amp;A6&amp;" + Line "&amp;A7&amp;""</f>
        <v>Line 100 + Line 101</v>
      </c>
      <c r="K8" s="4">
        <f>A8</f>
        <v>102</v>
      </c>
    </row>
    <row r="9" spans="1:11">
      <c r="A9" s="4"/>
      <c r="B9" s="81"/>
      <c r="C9" s="81"/>
      <c r="D9" s="81"/>
      <c r="E9" s="24"/>
      <c r="K9" s="4"/>
    </row>
    <row r="10" spans="1:11">
      <c r="A10" s="4">
        <f>A8+1</f>
        <v>103</v>
      </c>
      <c r="B10" s="81"/>
      <c r="C10" s="81"/>
      <c r="D10" s="81" t="s">
        <v>635</v>
      </c>
      <c r="E10" s="24">
        <f>F30</f>
        <v>257994550</v>
      </c>
      <c r="F10" t="str">
        <f>"Line "&amp;A30&amp;", "&amp;F17&amp;""</f>
        <v>Line 208, Col 5</v>
      </c>
      <c r="K10" s="4">
        <f>A10</f>
        <v>103</v>
      </c>
    </row>
    <row r="11" spans="1:11">
      <c r="A11" s="4">
        <f>A10+1</f>
        <v>104</v>
      </c>
      <c r="B11" s="81"/>
      <c r="C11" s="81"/>
      <c r="D11" s="81" t="s">
        <v>636</v>
      </c>
      <c r="E11" s="24">
        <f>G30</f>
        <v>-5940273.2340178555</v>
      </c>
      <c r="F11" t="str">
        <f>"Line "&amp;A30&amp;", "&amp;G17&amp;""</f>
        <v>Line 208, Col 6</v>
      </c>
      <c r="K11" s="4">
        <f>A11</f>
        <v>104</v>
      </c>
    </row>
    <row r="12" spans="1:11">
      <c r="A12" s="4">
        <f>A11+1</f>
        <v>105</v>
      </c>
      <c r="B12" s="81"/>
      <c r="C12" s="81"/>
      <c r="D12" s="6" t="s">
        <v>637</v>
      </c>
      <c r="E12" s="221">
        <f>E10+E11</f>
        <v>252054276.76598215</v>
      </c>
      <c r="F12" t="str">
        <f>"Line "&amp;A10&amp;" + Line "&amp;A11&amp;""</f>
        <v>Line 103 + Line 104</v>
      </c>
      <c r="K12" s="4">
        <f>A12</f>
        <v>105</v>
      </c>
    </row>
    <row r="13" spans="1:11">
      <c r="A13" s="4"/>
      <c r="B13" s="81"/>
      <c r="C13" s="81"/>
      <c r="D13" s="81"/>
      <c r="K13" s="4"/>
    </row>
    <row r="14" spans="1:11">
      <c r="A14" s="4">
        <f>A12+1</f>
        <v>106</v>
      </c>
      <c r="B14" s="81"/>
      <c r="C14" s="81"/>
      <c r="D14" s="6" t="s">
        <v>638</v>
      </c>
      <c r="E14" s="226">
        <f>E8/E12</f>
        <v>5.5211589517762859E-2</v>
      </c>
      <c r="F14" t="str">
        <f>"Line "&amp;A8&amp;" / Line "&amp;A12&amp;""</f>
        <v>Line 102 / Line 105</v>
      </c>
      <c r="K14" s="4">
        <f>A14</f>
        <v>106</v>
      </c>
    </row>
    <row r="15" spans="1:11">
      <c r="A15" s="4"/>
      <c r="K15" s="4"/>
    </row>
    <row r="16" spans="1:11">
      <c r="B16" s="45" t="s">
        <v>639</v>
      </c>
      <c r="C16" s="43"/>
      <c r="D16" s="43"/>
      <c r="E16" s="43"/>
      <c r="F16" s="43"/>
      <c r="G16" s="43"/>
      <c r="H16" s="43"/>
      <c r="I16" s="43"/>
      <c r="J16" s="43"/>
    </row>
    <row r="17" spans="1:14">
      <c r="A17" s="4"/>
      <c r="B17" s="83" t="s">
        <v>122</v>
      </c>
      <c r="C17" s="83" t="s">
        <v>123</v>
      </c>
      <c r="D17" s="83" t="s">
        <v>124</v>
      </c>
      <c r="E17" s="83" t="s">
        <v>125</v>
      </c>
      <c r="F17" s="83" t="s">
        <v>490</v>
      </c>
      <c r="G17" s="83" t="s">
        <v>491</v>
      </c>
      <c r="H17" s="83" t="s">
        <v>492</v>
      </c>
      <c r="I17" s="83" t="s">
        <v>493</v>
      </c>
      <c r="J17" s="83" t="s">
        <v>494</v>
      </c>
      <c r="K17" s="4"/>
    </row>
    <row r="18" spans="1:14">
      <c r="A18" s="4"/>
      <c r="B18" s="84" t="s">
        <v>640</v>
      </c>
      <c r="C18" s="84" t="s">
        <v>640</v>
      </c>
      <c r="D18" s="84" t="s">
        <v>641</v>
      </c>
      <c r="E18" s="84" t="s">
        <v>640</v>
      </c>
      <c r="F18" s="84" t="s">
        <v>642</v>
      </c>
      <c r="G18" s="84" t="s">
        <v>640</v>
      </c>
      <c r="H18" s="84" t="s">
        <v>643</v>
      </c>
      <c r="I18" s="85" t="s">
        <v>644</v>
      </c>
      <c r="J18" s="85" t="s">
        <v>645</v>
      </c>
      <c r="K18" s="4"/>
    </row>
    <row r="19" spans="1:14">
      <c r="A19" s="4"/>
      <c r="B19" s="84" t="s">
        <v>101</v>
      </c>
      <c r="C19" s="84" t="s">
        <v>101</v>
      </c>
      <c r="D19" s="84"/>
      <c r="E19" s="84" t="s">
        <v>101</v>
      </c>
      <c r="F19" s="84"/>
      <c r="G19" s="84" t="s">
        <v>101</v>
      </c>
      <c r="H19" s="84"/>
      <c r="I19" s="85"/>
      <c r="J19" s="84" t="s">
        <v>496</v>
      </c>
      <c r="K19" s="4"/>
    </row>
    <row r="20" spans="1:14">
      <c r="A20" s="4"/>
      <c r="G20" s="86"/>
      <c r="J20" s="4"/>
      <c r="K20" s="4"/>
    </row>
    <row r="21" spans="1:14" ht="43.5">
      <c r="A21" s="3" t="s">
        <v>90</v>
      </c>
      <c r="B21" s="655" t="s">
        <v>646</v>
      </c>
      <c r="C21" s="655" t="s">
        <v>647</v>
      </c>
      <c r="D21" s="655" t="s">
        <v>648</v>
      </c>
      <c r="E21" s="655" t="s">
        <v>649</v>
      </c>
      <c r="F21" s="655" t="s">
        <v>650</v>
      </c>
      <c r="G21" s="655" t="s">
        <v>651</v>
      </c>
      <c r="H21" s="655" t="s">
        <v>652</v>
      </c>
      <c r="I21" s="655" t="s">
        <v>653</v>
      </c>
      <c r="J21" s="655" t="s">
        <v>654</v>
      </c>
      <c r="K21" s="3" t="str">
        <f>A21</f>
        <v>Line</v>
      </c>
    </row>
    <row r="22" spans="1:14">
      <c r="A22" s="4">
        <v>200</v>
      </c>
      <c r="B22" s="18" t="s">
        <v>655</v>
      </c>
      <c r="C22" s="547">
        <v>1914</v>
      </c>
      <c r="D22" s="549">
        <v>0.06</v>
      </c>
      <c r="E22" s="88">
        <v>1.5</v>
      </c>
      <c r="F22" s="269">
        <v>105291525</v>
      </c>
      <c r="G22" s="220">
        <v>-7366504.2509265905</v>
      </c>
      <c r="H22" s="89">
        <v>4211661</v>
      </c>
      <c r="I22" s="24">
        <f>F22+G22</f>
        <v>97925020.749073416</v>
      </c>
      <c r="J22" s="24">
        <f>(H22*E22)</f>
        <v>6317491.5</v>
      </c>
      <c r="K22" s="4">
        <f t="shared" ref="K22:K30" si="0">A22</f>
        <v>200</v>
      </c>
      <c r="M22" s="29"/>
      <c r="N22" s="29"/>
    </row>
    <row r="23" spans="1:14">
      <c r="A23" s="4">
        <f>A22+1</f>
        <v>201</v>
      </c>
      <c r="B23" s="18" t="s">
        <v>656</v>
      </c>
      <c r="C23" s="548">
        <v>1929</v>
      </c>
      <c r="D23" s="549">
        <v>5.5E-2</v>
      </c>
      <c r="E23" s="88">
        <v>1.375</v>
      </c>
      <c r="F23" s="269">
        <v>29329075</v>
      </c>
      <c r="G23" s="220">
        <v>-173730</v>
      </c>
      <c r="H23" s="89">
        <v>1173163</v>
      </c>
      <c r="I23" s="24">
        <f t="shared" ref="I23:I29" si="1">F23+G23</f>
        <v>29155345</v>
      </c>
      <c r="J23" s="24">
        <f t="shared" ref="J23:J29" si="2">(H23*E23)</f>
        <v>1613099.125</v>
      </c>
      <c r="K23" s="4">
        <f t="shared" si="0"/>
        <v>201</v>
      </c>
      <c r="M23" s="29"/>
      <c r="N23" s="29"/>
    </row>
    <row r="24" spans="1:14">
      <c r="A24" s="4">
        <f t="shared" ref="A24:A30" si="3">A23+1</f>
        <v>202</v>
      </c>
      <c r="B24" s="18" t="s">
        <v>657</v>
      </c>
      <c r="C24" s="548">
        <v>15166</v>
      </c>
      <c r="D24" s="549">
        <v>0.05</v>
      </c>
      <c r="E24" s="88">
        <v>1.25</v>
      </c>
      <c r="F24" s="269">
        <v>10000000</v>
      </c>
      <c r="G24" s="220">
        <v>726283</v>
      </c>
      <c r="H24" s="89">
        <v>400000</v>
      </c>
      <c r="I24" s="24">
        <f t="shared" si="1"/>
        <v>10726283</v>
      </c>
      <c r="J24" s="24">
        <f t="shared" si="2"/>
        <v>500000</v>
      </c>
      <c r="K24" s="4">
        <f t="shared" si="0"/>
        <v>202</v>
      </c>
      <c r="M24" s="29"/>
      <c r="N24" s="29"/>
    </row>
    <row r="25" spans="1:14">
      <c r="A25" s="4">
        <f t="shared" si="3"/>
        <v>203</v>
      </c>
      <c r="B25" s="18" t="s">
        <v>658</v>
      </c>
      <c r="C25" s="548">
        <v>17712</v>
      </c>
      <c r="D25" s="549">
        <v>0.05</v>
      </c>
      <c r="E25" s="88">
        <v>1.25</v>
      </c>
      <c r="F25" s="269">
        <v>44454300</v>
      </c>
      <c r="G25" s="220">
        <v>-716366</v>
      </c>
      <c r="H25" s="89">
        <v>1778172</v>
      </c>
      <c r="I25" s="24">
        <f t="shared" si="1"/>
        <v>43737934</v>
      </c>
      <c r="J25" s="24">
        <f t="shared" si="2"/>
        <v>2222715</v>
      </c>
      <c r="K25" s="4">
        <f t="shared" si="0"/>
        <v>203</v>
      </c>
      <c r="M25" s="29"/>
      <c r="N25" s="29"/>
    </row>
    <row r="26" spans="1:14">
      <c r="A26" s="4">
        <f t="shared" si="3"/>
        <v>204</v>
      </c>
      <c r="B26" s="18" t="s">
        <v>659</v>
      </c>
      <c r="C26" s="548">
        <v>18022</v>
      </c>
      <c r="D26" s="549">
        <v>0.05</v>
      </c>
      <c r="E26" s="88">
        <v>1.25</v>
      </c>
      <c r="F26" s="269">
        <v>23358050</v>
      </c>
      <c r="G26" s="220">
        <v>542539</v>
      </c>
      <c r="H26" s="89">
        <v>934322</v>
      </c>
      <c r="I26" s="24">
        <f t="shared" si="1"/>
        <v>23900589</v>
      </c>
      <c r="J26" s="24">
        <f t="shared" si="2"/>
        <v>1167902.5</v>
      </c>
      <c r="K26" s="4">
        <f t="shared" si="0"/>
        <v>204</v>
      </c>
      <c r="M26" s="29"/>
      <c r="N26" s="29"/>
    </row>
    <row r="27" spans="1:14">
      <c r="A27" s="4">
        <f t="shared" si="3"/>
        <v>205</v>
      </c>
      <c r="B27" s="18" t="s">
        <v>660</v>
      </c>
      <c r="C27" s="548">
        <v>18288</v>
      </c>
      <c r="D27" s="549">
        <v>4.8000000000000001E-2</v>
      </c>
      <c r="E27" s="88">
        <v>1.2</v>
      </c>
      <c r="F27" s="269">
        <v>19825775</v>
      </c>
      <c r="G27" s="220">
        <v>1006320.34261801</v>
      </c>
      <c r="H27" s="89">
        <v>793031</v>
      </c>
      <c r="I27" s="24">
        <f t="shared" si="1"/>
        <v>20832095.342618011</v>
      </c>
      <c r="J27" s="24">
        <f t="shared" si="2"/>
        <v>951637.2</v>
      </c>
      <c r="K27" s="4">
        <f t="shared" si="0"/>
        <v>205</v>
      </c>
      <c r="M27" s="29"/>
      <c r="N27" s="29"/>
    </row>
    <row r="28" spans="1:14">
      <c r="A28" s="4">
        <f t="shared" si="3"/>
        <v>206</v>
      </c>
      <c r="B28" s="18" t="s">
        <v>661</v>
      </c>
      <c r="C28" s="548">
        <v>19897</v>
      </c>
      <c r="D28" s="549">
        <v>4.4999999999999998E-2</v>
      </c>
      <c r="E28" s="88">
        <v>1.125</v>
      </c>
      <c r="F28" s="269">
        <v>15278550</v>
      </c>
      <c r="G28" s="220">
        <v>70693.849467725595</v>
      </c>
      <c r="H28" s="89">
        <v>611142</v>
      </c>
      <c r="I28" s="24">
        <f t="shared" si="1"/>
        <v>15349243.849467726</v>
      </c>
      <c r="J28" s="24">
        <f t="shared" si="2"/>
        <v>687534.75</v>
      </c>
      <c r="K28" s="4">
        <f t="shared" si="0"/>
        <v>206</v>
      </c>
      <c r="M28" s="29"/>
      <c r="N28" s="29"/>
    </row>
    <row r="29" spans="1:14">
      <c r="A29" s="4">
        <f t="shared" si="3"/>
        <v>207</v>
      </c>
      <c r="B29" s="18" t="s">
        <v>662</v>
      </c>
      <c r="C29" s="548">
        <v>20387</v>
      </c>
      <c r="D29" s="549">
        <v>4.36E-2</v>
      </c>
      <c r="E29" s="88">
        <v>1.0900000000000001</v>
      </c>
      <c r="F29" s="269">
        <v>10457275</v>
      </c>
      <c r="G29" s="220">
        <v>-29509.175177000001</v>
      </c>
      <c r="H29" s="89">
        <v>418291</v>
      </c>
      <c r="I29" s="24">
        <f t="shared" si="1"/>
        <v>10427765.824823</v>
      </c>
      <c r="J29" s="24">
        <f t="shared" si="2"/>
        <v>455937.19000000006</v>
      </c>
      <c r="K29" s="4">
        <f t="shared" si="0"/>
        <v>207</v>
      </c>
      <c r="M29" s="29"/>
      <c r="N29" s="29"/>
    </row>
    <row r="30" spans="1:14">
      <c r="A30" s="4">
        <f t="shared" si="3"/>
        <v>208</v>
      </c>
      <c r="E30" s="90" t="s">
        <v>663</v>
      </c>
      <c r="F30" s="270">
        <f>SUM(F22:F29)</f>
        <v>257994550</v>
      </c>
      <c r="G30" s="270">
        <f>SUM(G22:G29)</f>
        <v>-5940273.2340178555</v>
      </c>
      <c r="H30" s="235">
        <f>SUM(H22:H29)</f>
        <v>10319782</v>
      </c>
      <c r="I30" s="270">
        <f>SUM(I22:I29)</f>
        <v>252054276.76598215</v>
      </c>
      <c r="J30" s="270">
        <f>SUM(J22:J29)</f>
        <v>13916317.264999999</v>
      </c>
      <c r="K30" s="4">
        <f t="shared" si="0"/>
        <v>208</v>
      </c>
      <c r="N30" s="19"/>
    </row>
    <row r="32" spans="1:14">
      <c r="B32" s="45" t="s">
        <v>664</v>
      </c>
      <c r="C32" s="43"/>
      <c r="D32" s="43"/>
      <c r="E32" s="43"/>
      <c r="F32" s="43"/>
      <c r="G32" s="43"/>
      <c r="H32" s="43"/>
      <c r="I32" s="43"/>
      <c r="J32" s="43"/>
    </row>
    <row r="33" spans="1:11">
      <c r="B33" s="83" t="s">
        <v>122</v>
      </c>
      <c r="C33" s="83" t="s">
        <v>123</v>
      </c>
      <c r="D33" s="83" t="s">
        <v>124</v>
      </c>
      <c r="E33" s="83" t="s">
        <v>125</v>
      </c>
      <c r="F33" s="83" t="s">
        <v>490</v>
      </c>
      <c r="G33" s="83" t="s">
        <v>491</v>
      </c>
    </row>
    <row r="34" spans="1:11">
      <c r="B34" s="91"/>
      <c r="C34" s="91"/>
      <c r="D34" s="91"/>
      <c r="E34" s="91"/>
      <c r="F34" s="91"/>
      <c r="G34" s="91"/>
      <c r="H34" s="92"/>
    </row>
    <row r="36" spans="1:11" ht="43.5">
      <c r="A36" s="3" t="s">
        <v>90</v>
      </c>
      <c r="B36" s="656" t="s">
        <v>665</v>
      </c>
      <c r="C36" s="655" t="s">
        <v>666</v>
      </c>
      <c r="D36" s="657" t="s">
        <v>667</v>
      </c>
      <c r="E36" s="657" t="s">
        <v>668</v>
      </c>
      <c r="F36" s="657" t="s">
        <v>669</v>
      </c>
      <c r="G36" s="657" t="s">
        <v>670</v>
      </c>
      <c r="H36" s="658" t="s">
        <v>671</v>
      </c>
      <c r="I36" s="34"/>
      <c r="K36" s="3" t="str">
        <f t="shared" ref="K36:K42" si="4">A36</f>
        <v>Line</v>
      </c>
    </row>
    <row r="37" spans="1:11">
      <c r="A37" s="4">
        <v>300</v>
      </c>
      <c r="B37" s="93"/>
      <c r="C37" s="94"/>
      <c r="D37" s="95"/>
      <c r="E37" s="95"/>
      <c r="F37" s="87"/>
      <c r="G37" s="95"/>
      <c r="H37" s="96"/>
      <c r="K37" s="4">
        <f t="shared" si="4"/>
        <v>300</v>
      </c>
    </row>
    <row r="38" spans="1:11">
      <c r="A38" s="4">
        <f>A37+1</f>
        <v>301</v>
      </c>
      <c r="B38" s="93"/>
      <c r="C38" s="94"/>
      <c r="D38" s="95"/>
      <c r="E38" s="95"/>
      <c r="F38" s="87"/>
      <c r="G38" s="95"/>
      <c r="H38" s="95"/>
      <c r="K38" s="4">
        <f t="shared" si="4"/>
        <v>301</v>
      </c>
    </row>
    <row r="39" spans="1:11">
      <c r="A39" s="4">
        <f t="shared" ref="A39:A42" si="5">A38+1</f>
        <v>302</v>
      </c>
      <c r="B39" s="93"/>
      <c r="C39" s="94"/>
      <c r="D39" s="95"/>
      <c r="E39" s="95"/>
      <c r="F39" s="87"/>
      <c r="G39" s="95"/>
      <c r="H39" s="95"/>
      <c r="K39" s="4">
        <f t="shared" si="4"/>
        <v>302</v>
      </c>
    </row>
    <row r="40" spans="1:11">
      <c r="A40" s="4">
        <f t="shared" si="5"/>
        <v>303</v>
      </c>
      <c r="B40" s="97"/>
      <c r="C40" s="94"/>
      <c r="D40" s="95"/>
      <c r="E40" s="95"/>
      <c r="F40" s="87"/>
      <c r="G40" s="95"/>
      <c r="H40" s="95"/>
      <c r="K40" s="4">
        <f t="shared" si="4"/>
        <v>303</v>
      </c>
    </row>
    <row r="41" spans="1:11">
      <c r="A41" s="4">
        <f t="shared" si="5"/>
        <v>304</v>
      </c>
      <c r="B41" s="98" t="s">
        <v>672</v>
      </c>
      <c r="C41" s="99"/>
      <c r="D41" s="99"/>
      <c r="E41" s="99"/>
      <c r="F41" s="99"/>
      <c r="G41" s="99"/>
      <c r="H41" s="99"/>
      <c r="I41" s="100"/>
      <c r="K41" s="4">
        <f t="shared" si="4"/>
        <v>304</v>
      </c>
    </row>
    <row r="42" spans="1:11">
      <c r="A42" s="4">
        <f t="shared" si="5"/>
        <v>305</v>
      </c>
      <c r="D42" s="90" t="s">
        <v>673</v>
      </c>
      <c r="E42" s="82">
        <f>SUM(E37:E41)*1000</f>
        <v>0</v>
      </c>
      <c r="F42" s="82"/>
      <c r="G42" s="82">
        <f>SUM(G37:G41)*1000</f>
        <v>0</v>
      </c>
      <c r="K42" s="4">
        <f t="shared" si="4"/>
        <v>305</v>
      </c>
    </row>
    <row r="44" spans="1:11">
      <c r="B44" s="7" t="s">
        <v>674</v>
      </c>
    </row>
    <row r="45" spans="1:11">
      <c r="B45" t="s">
        <v>675</v>
      </c>
    </row>
    <row r="46" spans="1:11">
      <c r="B46" t="s">
        <v>676</v>
      </c>
    </row>
    <row r="47" spans="1:11">
      <c r="B47" s="551" t="s">
        <v>677</v>
      </c>
    </row>
  </sheetData>
  <printOptions horizontalCentered="1"/>
  <pageMargins left="1" right="1" top="1" bottom="1" header="0.5" footer="0.5"/>
  <pageSetup scale="63" orientation="landscape" r:id="rId1"/>
  <headerFooter>
    <oddHeader>&amp;RDocket No. ER20-2878-000, et al.- Annual Update RY2024
&amp;F</oddHeader>
  </headerFooter>
  <rowBreaks count="1" manualBreakCount="1">
    <brk id="31" max="11" man="1"/>
  </rowBreaks>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53C9-E3D9-43FD-B59E-1F24872CBF24}">
  <sheetPr codeName="Sheet12">
    <tabColor rgb="FF92D050"/>
    <pageSetUpPr fitToPage="1"/>
  </sheetPr>
  <dimension ref="A1:L95"/>
  <sheetViews>
    <sheetView view="pageBreakPreview" topLeftCell="A50" zoomScale="40" zoomScaleNormal="90" zoomScaleSheetLayoutView="40" zoomScalePageLayoutView="70" workbookViewId="0">
      <selection activeCell="W98" sqref="W98"/>
    </sheetView>
  </sheetViews>
  <sheetFormatPr defaultColWidth="9.1796875" defaultRowHeight="14.5"/>
  <cols>
    <col min="1" max="1" width="5.453125" customWidth="1"/>
    <col min="2" max="2" width="16.81640625" style="8" customWidth="1"/>
    <col min="3" max="3" width="50.7265625" style="8" bestFit="1" customWidth="1"/>
    <col min="4" max="4" width="21.453125" style="8" customWidth="1"/>
    <col min="5" max="5" width="22.453125" style="8" customWidth="1"/>
    <col min="6" max="7" width="23.81640625" style="8" customWidth="1"/>
    <col min="8" max="8" width="39.1796875" style="8" bestFit="1" customWidth="1"/>
    <col min="9" max="9" width="5.453125" customWidth="1"/>
    <col min="12" max="12" width="12.54296875" bestFit="1" customWidth="1"/>
  </cols>
  <sheetData>
    <row r="1" spans="1:12">
      <c r="B1" s="105" t="s">
        <v>678</v>
      </c>
      <c r="E1" s="101"/>
      <c r="G1" s="86"/>
      <c r="H1" s="6" t="str">
        <f>CONCATENATE("Prior Year: ",'1-DRR Corrected'!$K$2)</f>
        <v>Prior Year: 2021</v>
      </c>
    </row>
    <row r="2" spans="1:12">
      <c r="B2" s="78" t="s">
        <v>120</v>
      </c>
      <c r="C2" s="78"/>
      <c r="G2" s="86"/>
      <c r="H2" s="86"/>
    </row>
    <row r="4" spans="1:12">
      <c r="B4" s="79" t="s">
        <v>679</v>
      </c>
      <c r="C4" s="103"/>
      <c r="D4" s="103"/>
      <c r="E4" s="102"/>
      <c r="F4" s="102"/>
      <c r="G4" s="102"/>
      <c r="H4" s="102"/>
    </row>
    <row r="5" spans="1:12">
      <c r="B5" t="s">
        <v>680</v>
      </c>
      <c r="C5"/>
      <c r="D5"/>
      <c r="E5"/>
      <c r="F5"/>
      <c r="G5"/>
      <c r="H5"/>
    </row>
    <row r="6" spans="1:12">
      <c r="B6"/>
      <c r="C6"/>
      <c r="D6"/>
      <c r="E6"/>
      <c r="F6"/>
      <c r="G6"/>
      <c r="H6"/>
    </row>
    <row r="7" spans="1:12">
      <c r="D7" s="83" t="s">
        <v>122</v>
      </c>
      <c r="E7" s="83" t="s">
        <v>123</v>
      </c>
      <c r="F7" s="83" t="s">
        <v>124</v>
      </c>
      <c r="G7" s="83" t="s">
        <v>125</v>
      </c>
      <c r="H7" s="83" t="s">
        <v>490</v>
      </c>
    </row>
    <row r="8" spans="1:12">
      <c r="A8" s="104"/>
      <c r="B8" s="104"/>
      <c r="C8" s="104"/>
      <c r="D8" s="104"/>
      <c r="E8" s="104"/>
      <c r="F8" s="104" t="s">
        <v>101</v>
      </c>
      <c r="G8" s="104" t="s">
        <v>681</v>
      </c>
      <c r="H8" s="104"/>
      <c r="I8" s="104"/>
    </row>
    <row r="9" spans="1:12">
      <c r="A9" s="104"/>
      <c r="B9" s="104"/>
      <c r="C9" s="104"/>
      <c r="D9" s="104"/>
      <c r="E9" s="104"/>
      <c r="F9" s="104" t="s">
        <v>496</v>
      </c>
      <c r="G9" s="104"/>
      <c r="H9" s="104"/>
      <c r="I9" s="104"/>
    </row>
    <row r="10" spans="1:12">
      <c r="B10" s="105"/>
      <c r="C10" s="105"/>
      <c r="D10" s="91" t="s">
        <v>682</v>
      </c>
      <c r="E10" s="91"/>
      <c r="F10" s="91"/>
      <c r="G10" s="84" t="s">
        <v>683</v>
      </c>
      <c r="H10" s="4"/>
    </row>
    <row r="11" spans="1:12">
      <c r="A11" s="80" t="s">
        <v>90</v>
      </c>
      <c r="B11" s="80" t="s">
        <v>684</v>
      </c>
      <c r="C11" s="80" t="s">
        <v>685</v>
      </c>
      <c r="D11" s="80" t="s">
        <v>136</v>
      </c>
      <c r="E11" s="80" t="s">
        <v>686</v>
      </c>
      <c r="F11" s="80" t="s">
        <v>687</v>
      </c>
      <c r="G11" s="80" t="s">
        <v>136</v>
      </c>
      <c r="H11" s="3" t="s">
        <v>688</v>
      </c>
      <c r="I11" s="80" t="str">
        <f t="shared" ref="I11:I27" si="0">A11</f>
        <v>Line</v>
      </c>
    </row>
    <row r="12" spans="1:12">
      <c r="A12" s="91">
        <v>100</v>
      </c>
      <c r="B12" s="18">
        <v>360</v>
      </c>
      <c r="C12" s="106" t="s">
        <v>689</v>
      </c>
      <c r="D12" s="271">
        <v>182207754</v>
      </c>
      <c r="E12" s="377" t="s">
        <v>690</v>
      </c>
      <c r="F12" s="271">
        <v>-2930898.67</v>
      </c>
      <c r="G12" s="121">
        <f>D12+F12</f>
        <v>179276855.33000001</v>
      </c>
      <c r="H12" s="467" t="s">
        <v>691</v>
      </c>
      <c r="I12" s="91">
        <f t="shared" si="0"/>
        <v>100</v>
      </c>
    </row>
    <row r="13" spans="1:12">
      <c r="A13" s="91">
        <f t="shared" ref="A13:A27" si="1">A12+1</f>
        <v>101</v>
      </c>
      <c r="B13" s="18">
        <v>361</v>
      </c>
      <c r="C13" s="106" t="s">
        <v>692</v>
      </c>
      <c r="D13" s="271">
        <v>337164005</v>
      </c>
      <c r="E13" s="377" t="s">
        <v>693</v>
      </c>
      <c r="F13" s="702">
        <v>-34211679.600000001</v>
      </c>
      <c r="G13" s="121">
        <f t="shared" ref="G13:G26" si="2">D13+F13</f>
        <v>302952325.39999998</v>
      </c>
      <c r="H13" s="467" t="s">
        <v>694</v>
      </c>
      <c r="I13" s="91">
        <f t="shared" si="0"/>
        <v>101</v>
      </c>
      <c r="L13" s="24"/>
    </row>
    <row r="14" spans="1:12">
      <c r="A14" s="91">
        <f t="shared" si="1"/>
        <v>102</v>
      </c>
      <c r="B14" s="18">
        <v>362</v>
      </c>
      <c r="C14" s="106" t="s">
        <v>695</v>
      </c>
      <c r="D14" s="271">
        <v>4059160488</v>
      </c>
      <c r="E14" s="377" t="s">
        <v>696</v>
      </c>
      <c r="F14" s="702">
        <v>-66775347.39000769</v>
      </c>
      <c r="G14" s="121">
        <f t="shared" si="2"/>
        <v>3992385140.6099925</v>
      </c>
      <c r="H14" s="467" t="s">
        <v>697</v>
      </c>
      <c r="I14" s="91">
        <f t="shared" si="0"/>
        <v>102</v>
      </c>
    </row>
    <row r="15" spans="1:12">
      <c r="A15" s="91">
        <f t="shared" si="1"/>
        <v>103</v>
      </c>
      <c r="B15" s="18">
        <v>363</v>
      </c>
      <c r="C15" t="s">
        <v>698</v>
      </c>
      <c r="D15" s="271">
        <v>30390068</v>
      </c>
      <c r="E15" s="377" t="s">
        <v>699</v>
      </c>
      <c r="F15" s="271">
        <v>0</v>
      </c>
      <c r="G15" s="121">
        <f t="shared" si="2"/>
        <v>30390068</v>
      </c>
      <c r="H15" s="467" t="s">
        <v>700</v>
      </c>
      <c r="I15" s="91">
        <f t="shared" si="0"/>
        <v>103</v>
      </c>
    </row>
    <row r="16" spans="1:12">
      <c r="A16" s="91">
        <f t="shared" si="1"/>
        <v>104</v>
      </c>
      <c r="B16" s="18">
        <v>364</v>
      </c>
      <c r="C16" t="s">
        <v>701</v>
      </c>
      <c r="D16" s="271">
        <v>7202854820</v>
      </c>
      <c r="E16" s="377" t="s">
        <v>702</v>
      </c>
      <c r="F16" s="702">
        <v>-304403530.8200019</v>
      </c>
      <c r="G16" s="121">
        <f t="shared" si="2"/>
        <v>6898451289.1799984</v>
      </c>
      <c r="H16" s="467" t="s">
        <v>703</v>
      </c>
      <c r="I16" s="91">
        <f t="shared" si="0"/>
        <v>104</v>
      </c>
      <c r="L16" s="24"/>
    </row>
    <row r="17" spans="1:12">
      <c r="A17" s="91">
        <f t="shared" si="1"/>
        <v>105</v>
      </c>
      <c r="B17" s="18">
        <v>365</v>
      </c>
      <c r="C17" t="s">
        <v>704</v>
      </c>
      <c r="D17" s="271">
        <v>5736575561</v>
      </c>
      <c r="E17" s="377" t="s">
        <v>705</v>
      </c>
      <c r="F17" s="702">
        <v>-309884815.4399991</v>
      </c>
      <c r="G17" s="121">
        <f t="shared" si="2"/>
        <v>5426690745.5600014</v>
      </c>
      <c r="H17" s="467" t="s">
        <v>706</v>
      </c>
      <c r="I17" s="91">
        <f t="shared" si="0"/>
        <v>105</v>
      </c>
      <c r="L17" s="24"/>
    </row>
    <row r="18" spans="1:12">
      <c r="A18" s="91">
        <f t="shared" si="1"/>
        <v>106</v>
      </c>
      <c r="B18" s="18">
        <v>366</v>
      </c>
      <c r="C18" t="s">
        <v>707</v>
      </c>
      <c r="D18" s="271">
        <v>3583942682</v>
      </c>
      <c r="E18" s="377" t="s">
        <v>708</v>
      </c>
      <c r="F18" s="702">
        <v>-43215611.84999916</v>
      </c>
      <c r="G18" s="121">
        <f t="shared" si="2"/>
        <v>3540727070.150001</v>
      </c>
      <c r="H18" s="467" t="s">
        <v>709</v>
      </c>
      <c r="I18" s="91">
        <f t="shared" si="0"/>
        <v>106</v>
      </c>
    </row>
    <row r="19" spans="1:12">
      <c r="A19" s="91">
        <f t="shared" si="1"/>
        <v>107</v>
      </c>
      <c r="B19" s="18">
        <v>367</v>
      </c>
      <c r="C19" t="s">
        <v>710</v>
      </c>
      <c r="D19" s="271">
        <v>5848855156</v>
      </c>
      <c r="E19" s="377" t="s">
        <v>711</v>
      </c>
      <c r="F19" s="702">
        <v>-72897154.910001412</v>
      </c>
      <c r="G19" s="121">
        <f t="shared" si="2"/>
        <v>5775958001.0899982</v>
      </c>
      <c r="H19" s="467" t="s">
        <v>712</v>
      </c>
      <c r="I19" s="91">
        <f t="shared" si="0"/>
        <v>107</v>
      </c>
    </row>
    <row r="20" spans="1:12">
      <c r="A20" s="91">
        <f t="shared" si="1"/>
        <v>108</v>
      </c>
      <c r="B20" s="18">
        <v>368</v>
      </c>
      <c r="C20" t="s">
        <v>713</v>
      </c>
      <c r="D20" s="271">
        <v>5059838520</v>
      </c>
      <c r="E20" s="377" t="s">
        <v>714</v>
      </c>
      <c r="F20" s="702">
        <v>-54507143.810001105</v>
      </c>
      <c r="G20" s="121">
        <f t="shared" si="2"/>
        <v>5005331376.1899986</v>
      </c>
      <c r="H20" s="467" t="s">
        <v>715</v>
      </c>
      <c r="I20" s="91">
        <f t="shared" si="0"/>
        <v>108</v>
      </c>
    </row>
    <row r="21" spans="1:12">
      <c r="A21" s="91">
        <f t="shared" si="1"/>
        <v>109</v>
      </c>
      <c r="B21" s="18">
        <v>369</v>
      </c>
      <c r="C21" t="s">
        <v>716</v>
      </c>
      <c r="D21" s="271">
        <v>3931558933</v>
      </c>
      <c r="E21" s="377" t="s">
        <v>717</v>
      </c>
      <c r="F21" s="702">
        <v>-21597315.869997673</v>
      </c>
      <c r="G21" s="121">
        <f t="shared" si="2"/>
        <v>3909961617.1300025</v>
      </c>
      <c r="H21" s="467" t="s">
        <v>718</v>
      </c>
      <c r="I21" s="91">
        <f t="shared" si="0"/>
        <v>109</v>
      </c>
    </row>
    <row r="22" spans="1:12">
      <c r="A22" s="91">
        <f t="shared" si="1"/>
        <v>110</v>
      </c>
      <c r="B22" s="18">
        <v>370</v>
      </c>
      <c r="C22" t="s">
        <v>719</v>
      </c>
      <c r="D22" s="271">
        <v>1372456458</v>
      </c>
      <c r="E22" s="377" t="s">
        <v>720</v>
      </c>
      <c r="F22" s="702">
        <v>-11388302.390000124</v>
      </c>
      <c r="G22" s="121">
        <f t="shared" si="2"/>
        <v>1361068155.6099999</v>
      </c>
      <c r="H22" s="467" t="s">
        <v>721</v>
      </c>
      <c r="I22" s="91">
        <f t="shared" si="0"/>
        <v>110</v>
      </c>
    </row>
    <row r="23" spans="1:12">
      <c r="A23" s="91">
        <f t="shared" si="1"/>
        <v>111</v>
      </c>
      <c r="B23" s="18">
        <v>371</v>
      </c>
      <c r="C23" t="s">
        <v>722</v>
      </c>
      <c r="D23" s="271">
        <v>31262235</v>
      </c>
      <c r="E23" s="377" t="s">
        <v>723</v>
      </c>
      <c r="F23" s="271">
        <v>0</v>
      </c>
      <c r="G23" s="121">
        <f t="shared" si="2"/>
        <v>31262235</v>
      </c>
      <c r="H23" s="467" t="s">
        <v>724</v>
      </c>
      <c r="I23" s="91">
        <f t="shared" si="0"/>
        <v>111</v>
      </c>
    </row>
    <row r="24" spans="1:12">
      <c r="A24" s="91">
        <f t="shared" si="1"/>
        <v>112</v>
      </c>
      <c r="B24" s="18">
        <v>372</v>
      </c>
      <c r="C24" t="s">
        <v>725</v>
      </c>
      <c r="D24" s="271">
        <v>895448</v>
      </c>
      <c r="E24" s="377" t="s">
        <v>726</v>
      </c>
      <c r="F24" s="271">
        <v>0</v>
      </c>
      <c r="G24" s="121">
        <f t="shared" si="2"/>
        <v>895448</v>
      </c>
      <c r="H24" s="467" t="s">
        <v>727</v>
      </c>
      <c r="I24" s="91">
        <f t="shared" si="0"/>
        <v>112</v>
      </c>
    </row>
    <row r="25" spans="1:12">
      <c r="A25" s="91">
        <f t="shared" si="1"/>
        <v>113</v>
      </c>
      <c r="B25" s="18">
        <v>373</v>
      </c>
      <c r="C25" t="s">
        <v>728</v>
      </c>
      <c r="D25" s="271">
        <v>316635464</v>
      </c>
      <c r="E25" s="377" t="s">
        <v>729</v>
      </c>
      <c r="F25" s="271">
        <v>-382759.32000008586</v>
      </c>
      <c r="G25" s="121">
        <f t="shared" si="2"/>
        <v>316252704.67999989</v>
      </c>
      <c r="H25" s="467" t="s">
        <v>730</v>
      </c>
      <c r="I25" s="91">
        <f t="shared" si="0"/>
        <v>113</v>
      </c>
    </row>
    <row r="26" spans="1:12">
      <c r="A26" s="91">
        <f t="shared" si="1"/>
        <v>114</v>
      </c>
      <c r="B26" s="18">
        <v>374</v>
      </c>
      <c r="C26" t="s">
        <v>731</v>
      </c>
      <c r="D26" s="271">
        <v>20344815</v>
      </c>
      <c r="E26" s="377" t="s">
        <v>732</v>
      </c>
      <c r="F26" s="121">
        <f>-D26</f>
        <v>-20344815</v>
      </c>
      <c r="G26" s="121">
        <f t="shared" si="2"/>
        <v>0</v>
      </c>
      <c r="H26" s="377"/>
      <c r="I26" s="91">
        <f t="shared" si="0"/>
        <v>114</v>
      </c>
    </row>
    <row r="27" spans="1:12">
      <c r="A27" s="91">
        <f t="shared" si="1"/>
        <v>115</v>
      </c>
      <c r="B27" s="659"/>
      <c r="C27" s="660" t="s">
        <v>733</v>
      </c>
      <c r="D27" s="661">
        <f>SUM(D12:D26)</f>
        <v>37714142407</v>
      </c>
      <c r="E27" s="662"/>
      <c r="F27" s="661">
        <f>SUM(F12:F26)</f>
        <v>-942539375.07000816</v>
      </c>
      <c r="G27" s="661">
        <f>SUM(G12:G26)</f>
        <v>36771603031.929993</v>
      </c>
      <c r="H27" s="661"/>
      <c r="I27" s="91">
        <f t="shared" si="0"/>
        <v>115</v>
      </c>
    </row>
    <row r="28" spans="1:12">
      <c r="A28" s="100"/>
      <c r="B28" s="100"/>
      <c r="C28" s="100"/>
      <c r="D28" s="104"/>
      <c r="E28" s="100"/>
      <c r="F28" s="100"/>
      <c r="G28" s="104"/>
      <c r="H28" s="104"/>
      <c r="I28" s="100"/>
    </row>
    <row r="30" spans="1:12">
      <c r="B30" s="79" t="s">
        <v>734</v>
      </c>
      <c r="C30" s="103"/>
      <c r="D30" s="103"/>
      <c r="E30" s="102"/>
      <c r="F30" s="102"/>
      <c r="G30" s="102"/>
      <c r="H30" s="102"/>
    </row>
    <row r="31" spans="1:12">
      <c r="B31"/>
      <c r="C31"/>
      <c r="D31"/>
      <c r="E31"/>
      <c r="F31"/>
      <c r="G31"/>
      <c r="H31"/>
    </row>
    <row r="32" spans="1:12">
      <c r="D32" s="83" t="s">
        <v>122</v>
      </c>
      <c r="E32" s="83" t="s">
        <v>123</v>
      </c>
      <c r="F32" s="83" t="s">
        <v>124</v>
      </c>
      <c r="G32" s="83" t="s">
        <v>125</v>
      </c>
      <c r="H32" s="83" t="s">
        <v>490</v>
      </c>
    </row>
    <row r="33" spans="1:9">
      <c r="B33"/>
      <c r="C33"/>
      <c r="D33" s="21" t="s">
        <v>735</v>
      </c>
      <c r="E33" s="21" t="s">
        <v>497</v>
      </c>
      <c r="F33" s="21" t="s">
        <v>497</v>
      </c>
      <c r="G33" s="21" t="s">
        <v>497</v>
      </c>
      <c r="H33" s="21" t="s">
        <v>497</v>
      </c>
    </row>
    <row r="34" spans="1:9">
      <c r="B34"/>
      <c r="C34"/>
      <c r="D34"/>
      <c r="E34"/>
      <c r="F34"/>
      <c r="G34"/>
      <c r="H34"/>
    </row>
    <row r="35" spans="1:9">
      <c r="B35"/>
      <c r="C35"/>
      <c r="D35" s="84" t="s">
        <v>736</v>
      </c>
      <c r="E35" s="84" t="s">
        <v>505</v>
      </c>
      <c r="F35" s="84" t="s">
        <v>536</v>
      </c>
      <c r="G35" s="84" t="s">
        <v>737</v>
      </c>
      <c r="H35" s="84" t="s">
        <v>737</v>
      </c>
      <c r="I35" s="8"/>
    </row>
    <row r="36" spans="1:9">
      <c r="A36" s="80" t="s">
        <v>90</v>
      </c>
      <c r="B36" s="80" t="s">
        <v>684</v>
      </c>
      <c r="C36" s="80" t="s">
        <v>685</v>
      </c>
      <c r="D36" s="80" t="s">
        <v>738</v>
      </c>
      <c r="E36" s="80" t="s">
        <v>737</v>
      </c>
      <c r="F36" s="80" t="s">
        <v>737</v>
      </c>
      <c r="G36" s="80" t="s">
        <v>719</v>
      </c>
      <c r="H36" s="80" t="s">
        <v>739</v>
      </c>
      <c r="I36" s="80" t="str">
        <f t="shared" ref="I36:I51" si="3">A36</f>
        <v>Line</v>
      </c>
    </row>
    <row r="37" spans="1:9">
      <c r="A37" s="91">
        <v>200</v>
      </c>
      <c r="B37" s="18">
        <v>360</v>
      </c>
      <c r="C37" s="106" t="s">
        <v>740</v>
      </c>
      <c r="D37" s="537">
        <f>G12</f>
        <v>179276855.33000001</v>
      </c>
      <c r="E37" s="538" cm="1">
        <f t="array" ref="E37">SUM(E62:E74/(SUM(E62:F74)))</f>
        <v>0.51031643036873542</v>
      </c>
      <c r="F37" s="538">
        <f>1-E37</f>
        <v>0.48968356963126458</v>
      </c>
      <c r="G37" s="538"/>
      <c r="H37" s="538"/>
      <c r="I37" s="91">
        <f t="shared" si="3"/>
        <v>200</v>
      </c>
    </row>
    <row r="38" spans="1:9">
      <c r="A38" s="91">
        <f t="shared" ref="A38:A51" si="4">A37+1</f>
        <v>201</v>
      </c>
      <c r="B38" s="18">
        <v>361</v>
      </c>
      <c r="C38" s="106" t="s">
        <v>692</v>
      </c>
      <c r="D38" s="121">
        <f t="shared" ref="D38:D50" si="5">G13</f>
        <v>302952325.39999998</v>
      </c>
      <c r="E38" s="401">
        <v>1</v>
      </c>
      <c r="F38" s="401"/>
      <c r="G38" s="401"/>
      <c r="H38" s="401"/>
      <c r="I38" s="91">
        <f t="shared" si="3"/>
        <v>201</v>
      </c>
    </row>
    <row r="39" spans="1:9">
      <c r="A39" s="91">
        <f t="shared" si="4"/>
        <v>202</v>
      </c>
      <c r="B39" s="18">
        <v>362</v>
      </c>
      <c r="C39" s="106" t="s">
        <v>695</v>
      </c>
      <c r="D39" s="121">
        <f t="shared" si="5"/>
        <v>3992385140.6099925</v>
      </c>
      <c r="E39" s="401">
        <v>1</v>
      </c>
      <c r="F39" s="401"/>
      <c r="G39" s="401"/>
      <c r="H39" s="401"/>
      <c r="I39" s="91">
        <f t="shared" si="3"/>
        <v>202</v>
      </c>
    </row>
    <row r="40" spans="1:9">
      <c r="A40" s="91">
        <f t="shared" si="4"/>
        <v>203</v>
      </c>
      <c r="B40" s="18">
        <v>363</v>
      </c>
      <c r="C40" s="8" t="s">
        <v>698</v>
      </c>
      <c r="D40" s="121">
        <f t="shared" si="5"/>
        <v>30390068</v>
      </c>
      <c r="E40" s="401">
        <v>1</v>
      </c>
      <c r="F40" s="401"/>
      <c r="G40" s="401"/>
      <c r="H40" s="401"/>
      <c r="I40" s="91">
        <f t="shared" si="3"/>
        <v>203</v>
      </c>
    </row>
    <row r="41" spans="1:9">
      <c r="A41" s="91">
        <f t="shared" si="4"/>
        <v>204</v>
      </c>
      <c r="B41" s="18">
        <v>364</v>
      </c>
      <c r="C41" s="8" t="s">
        <v>741</v>
      </c>
      <c r="D41" s="121">
        <f t="shared" si="5"/>
        <v>6898451289.1799984</v>
      </c>
      <c r="E41" s="401">
        <v>0.79816814194419083</v>
      </c>
      <c r="F41" s="401">
        <v>0.20183185805580917</v>
      </c>
      <c r="G41" s="401"/>
      <c r="H41" s="401"/>
      <c r="I41" s="91">
        <f t="shared" si="3"/>
        <v>204</v>
      </c>
    </row>
    <row r="42" spans="1:9">
      <c r="A42" s="91">
        <f t="shared" si="4"/>
        <v>205</v>
      </c>
      <c r="B42" s="18">
        <v>365</v>
      </c>
      <c r="C42" s="8" t="s">
        <v>742</v>
      </c>
      <c r="D42" s="121">
        <f t="shared" si="5"/>
        <v>5426690745.5600014</v>
      </c>
      <c r="E42" s="401">
        <v>0.79816814194419083</v>
      </c>
      <c r="F42" s="401">
        <v>0.20183185805580917</v>
      </c>
      <c r="G42" s="401"/>
      <c r="H42" s="401"/>
      <c r="I42" s="91">
        <f t="shared" si="3"/>
        <v>205</v>
      </c>
    </row>
    <row r="43" spans="1:9">
      <c r="A43" s="91">
        <f t="shared" si="4"/>
        <v>206</v>
      </c>
      <c r="B43" s="18">
        <v>366</v>
      </c>
      <c r="C43" s="8" t="s">
        <v>743</v>
      </c>
      <c r="D43" s="121">
        <f t="shared" si="5"/>
        <v>3540727070.150001</v>
      </c>
      <c r="E43" s="401">
        <v>0.39048513569283755</v>
      </c>
      <c r="F43" s="401">
        <v>0.60951486430716251</v>
      </c>
      <c r="G43" s="401"/>
      <c r="H43" s="401"/>
      <c r="I43" s="91">
        <f t="shared" si="3"/>
        <v>206</v>
      </c>
    </row>
    <row r="44" spans="1:9">
      <c r="A44" s="91">
        <f t="shared" si="4"/>
        <v>207</v>
      </c>
      <c r="B44" s="18">
        <v>367</v>
      </c>
      <c r="C44" s="8" t="s">
        <v>744</v>
      </c>
      <c r="D44" s="121">
        <f t="shared" si="5"/>
        <v>5775958001.0899982</v>
      </c>
      <c r="E44" s="401">
        <v>0.39048513569283755</v>
      </c>
      <c r="F44" s="401">
        <v>0.60951486430716251</v>
      </c>
      <c r="G44" s="401"/>
      <c r="H44" s="401"/>
      <c r="I44" s="91">
        <f t="shared" si="3"/>
        <v>207</v>
      </c>
    </row>
    <row r="45" spans="1:9">
      <c r="A45" s="91">
        <f t="shared" si="4"/>
        <v>208</v>
      </c>
      <c r="B45" s="18">
        <v>368</v>
      </c>
      <c r="C45" t="s">
        <v>713</v>
      </c>
      <c r="D45" s="121">
        <f t="shared" si="5"/>
        <v>5005331376.1899986</v>
      </c>
      <c r="E45" s="401"/>
      <c r="F45" s="401">
        <v>1</v>
      </c>
      <c r="G45" s="401"/>
      <c r="H45" s="401"/>
      <c r="I45" s="91">
        <f t="shared" si="3"/>
        <v>208</v>
      </c>
    </row>
    <row r="46" spans="1:9">
      <c r="A46" s="91">
        <f t="shared" si="4"/>
        <v>209</v>
      </c>
      <c r="B46" s="18">
        <v>369</v>
      </c>
      <c r="C46" t="s">
        <v>716</v>
      </c>
      <c r="D46" s="121">
        <f t="shared" si="5"/>
        <v>3909961617.1300025</v>
      </c>
      <c r="E46" s="401"/>
      <c r="F46" s="401">
        <v>1</v>
      </c>
      <c r="G46" s="401"/>
      <c r="H46" s="401"/>
      <c r="I46" s="91">
        <f t="shared" si="3"/>
        <v>209</v>
      </c>
    </row>
    <row r="47" spans="1:9">
      <c r="A47" s="91">
        <f t="shared" si="4"/>
        <v>210</v>
      </c>
      <c r="B47" s="18">
        <v>370</v>
      </c>
      <c r="C47" t="s">
        <v>719</v>
      </c>
      <c r="D47" s="121">
        <f t="shared" si="5"/>
        <v>1361068155.6099999</v>
      </c>
      <c r="E47" s="401"/>
      <c r="F47" s="401"/>
      <c r="G47" s="401">
        <v>1</v>
      </c>
      <c r="H47" s="401"/>
      <c r="I47" s="91">
        <f t="shared" si="3"/>
        <v>210</v>
      </c>
    </row>
    <row r="48" spans="1:9">
      <c r="A48" s="91">
        <f t="shared" si="4"/>
        <v>211</v>
      </c>
      <c r="B48" s="18">
        <v>371</v>
      </c>
      <c r="C48" t="s">
        <v>722</v>
      </c>
      <c r="D48" s="121">
        <f t="shared" si="5"/>
        <v>31262235</v>
      </c>
      <c r="E48" s="401"/>
      <c r="F48" s="401"/>
      <c r="G48" s="401">
        <v>1</v>
      </c>
      <c r="H48" s="401"/>
      <c r="I48" s="91">
        <f t="shared" si="3"/>
        <v>211</v>
      </c>
    </row>
    <row r="49" spans="1:9">
      <c r="A49" s="91">
        <f t="shared" si="4"/>
        <v>212</v>
      </c>
      <c r="B49" s="18">
        <v>372</v>
      </c>
      <c r="C49" t="s">
        <v>725</v>
      </c>
      <c r="D49" s="121">
        <f t="shared" si="5"/>
        <v>895448</v>
      </c>
      <c r="E49" s="401"/>
      <c r="F49" s="401"/>
      <c r="G49" s="401">
        <v>1</v>
      </c>
      <c r="H49" s="401"/>
      <c r="I49" s="91">
        <f t="shared" si="3"/>
        <v>212</v>
      </c>
    </row>
    <row r="50" spans="1:9">
      <c r="A50" s="91">
        <f t="shared" si="4"/>
        <v>213</v>
      </c>
      <c r="B50" s="18">
        <v>373</v>
      </c>
      <c r="C50" t="s">
        <v>728</v>
      </c>
      <c r="D50" s="121">
        <f t="shared" si="5"/>
        <v>316252704.67999989</v>
      </c>
      <c r="E50" s="401"/>
      <c r="F50" s="401"/>
      <c r="G50" s="401"/>
      <c r="H50" s="401">
        <v>1</v>
      </c>
      <c r="I50" s="91">
        <f t="shared" si="3"/>
        <v>213</v>
      </c>
    </row>
    <row r="51" spans="1:9">
      <c r="A51" s="91">
        <f t="shared" si="4"/>
        <v>214</v>
      </c>
      <c r="B51" s="659"/>
      <c r="C51" s="660" t="s">
        <v>733</v>
      </c>
      <c r="D51" s="661">
        <f>SUM(D37:D50)</f>
        <v>36771603031.929993</v>
      </c>
      <c r="E51" s="663"/>
      <c r="F51" s="663"/>
      <c r="G51" s="663"/>
      <c r="H51" s="663"/>
      <c r="I51" s="91">
        <f t="shared" si="3"/>
        <v>214</v>
      </c>
    </row>
    <row r="52" spans="1:9">
      <c r="B52"/>
      <c r="C52"/>
      <c r="D52" s="400"/>
      <c r="E52" s="402"/>
      <c r="F52" s="403"/>
      <c r="G52" s="403"/>
      <c r="H52" s="403"/>
      <c r="I52" s="8"/>
    </row>
    <row r="53" spans="1:9">
      <c r="B53"/>
      <c r="C53"/>
      <c r="D53" s="400"/>
      <c r="E53" s="402"/>
      <c r="F53" s="403"/>
      <c r="G53" s="403"/>
      <c r="H53" s="403"/>
      <c r="I53" s="8"/>
    </row>
    <row r="54" spans="1:9">
      <c r="B54" s="79" t="s">
        <v>745</v>
      </c>
      <c r="C54" s="103"/>
      <c r="D54" s="103"/>
      <c r="E54" s="102"/>
      <c r="F54" s="102"/>
      <c r="G54" s="102"/>
      <c r="H54" s="102"/>
    </row>
    <row r="55" spans="1:9">
      <c r="B55"/>
      <c r="C55"/>
      <c r="D55"/>
      <c r="E55"/>
      <c r="F55"/>
      <c r="G55"/>
      <c r="H55"/>
    </row>
    <row r="56" spans="1:9">
      <c r="D56" s="83" t="s">
        <v>122</v>
      </c>
      <c r="E56" s="83" t="s">
        <v>123</v>
      </c>
      <c r="F56" s="83" t="s">
        <v>124</v>
      </c>
      <c r="G56" s="83" t="s">
        <v>125</v>
      </c>
      <c r="H56" s="83" t="s">
        <v>490</v>
      </c>
    </row>
    <row r="57" spans="1:9">
      <c r="B57"/>
      <c r="C57"/>
      <c r="D57" s="21" t="s">
        <v>735</v>
      </c>
      <c r="E57" s="21" t="s">
        <v>746</v>
      </c>
      <c r="F57" s="21" t="s">
        <v>747</v>
      </c>
      <c r="G57" s="21" t="s">
        <v>748</v>
      </c>
      <c r="H57" s="21" t="s">
        <v>749</v>
      </c>
    </row>
    <row r="58" spans="1:9">
      <c r="B58"/>
      <c r="C58"/>
      <c r="D58"/>
      <c r="E58"/>
      <c r="F58"/>
      <c r="G58"/>
      <c r="H58"/>
    </row>
    <row r="59" spans="1:9">
      <c r="B59"/>
      <c r="C59"/>
      <c r="D59" s="84" t="s">
        <v>736</v>
      </c>
      <c r="E59" s="84" t="s">
        <v>505</v>
      </c>
      <c r="F59" s="84" t="s">
        <v>536</v>
      </c>
      <c r="G59" s="84" t="s">
        <v>737</v>
      </c>
      <c r="H59" s="84" t="s">
        <v>737</v>
      </c>
      <c r="I59" s="8"/>
    </row>
    <row r="60" spans="1:9">
      <c r="A60" s="80" t="s">
        <v>90</v>
      </c>
      <c r="B60" s="80" t="s">
        <v>684</v>
      </c>
      <c r="C60" s="80" t="s">
        <v>685</v>
      </c>
      <c r="D60" s="80" t="s">
        <v>738</v>
      </c>
      <c r="E60" s="80" t="s">
        <v>737</v>
      </c>
      <c r="F60" s="80" t="s">
        <v>737</v>
      </c>
      <c r="G60" s="80" t="s">
        <v>719</v>
      </c>
      <c r="H60" s="80" t="s">
        <v>739</v>
      </c>
      <c r="I60" s="80" t="str">
        <f t="shared" ref="I60:I75" si="6">A60</f>
        <v>Line</v>
      </c>
    </row>
    <row r="61" spans="1:9" s="8" customFormat="1">
      <c r="A61" s="91">
        <v>300</v>
      </c>
      <c r="B61" s="18">
        <v>360</v>
      </c>
      <c r="C61" s="106" t="s">
        <v>689</v>
      </c>
      <c r="D61" s="121">
        <f>G12</f>
        <v>179276855.33000001</v>
      </c>
      <c r="E61" s="121">
        <f>$D61*E37</f>
        <v>91487924.859737799</v>
      </c>
      <c r="F61" s="121">
        <f t="shared" ref="F61:H61" si="7">$D61*F37</f>
        <v>87788930.470262215</v>
      </c>
      <c r="G61" s="121">
        <f t="shared" si="7"/>
        <v>0</v>
      </c>
      <c r="H61" s="121">
        <f t="shared" si="7"/>
        <v>0</v>
      </c>
      <c r="I61" s="91">
        <f t="shared" si="6"/>
        <v>300</v>
      </c>
    </row>
    <row r="62" spans="1:9">
      <c r="A62" s="91">
        <f t="shared" ref="A62:A75" si="8">A61+1</f>
        <v>301</v>
      </c>
      <c r="B62" s="18">
        <v>361</v>
      </c>
      <c r="C62" s="106" t="s">
        <v>692</v>
      </c>
      <c r="D62" s="121">
        <f t="shared" ref="D62:D74" si="9">G13</f>
        <v>302952325.39999998</v>
      </c>
      <c r="E62" s="121">
        <f t="shared" ref="E62:H74" si="10">$D62*E38</f>
        <v>302952325.39999998</v>
      </c>
      <c r="F62" s="121">
        <f t="shared" si="10"/>
        <v>0</v>
      </c>
      <c r="G62" s="121">
        <f t="shared" si="10"/>
        <v>0</v>
      </c>
      <c r="H62" s="121">
        <f t="shared" si="10"/>
        <v>0</v>
      </c>
      <c r="I62" s="91">
        <f t="shared" si="6"/>
        <v>301</v>
      </c>
    </row>
    <row r="63" spans="1:9">
      <c r="A63" s="91">
        <f t="shared" si="8"/>
        <v>302</v>
      </c>
      <c r="B63" s="18">
        <v>362</v>
      </c>
      <c r="C63" s="106" t="s">
        <v>695</v>
      </c>
      <c r="D63" s="121">
        <f t="shared" si="9"/>
        <v>3992385140.6099925</v>
      </c>
      <c r="E63" s="121">
        <f t="shared" si="10"/>
        <v>3992385140.6099925</v>
      </c>
      <c r="F63" s="121">
        <f t="shared" si="10"/>
        <v>0</v>
      </c>
      <c r="G63" s="121">
        <f t="shared" si="10"/>
        <v>0</v>
      </c>
      <c r="H63" s="121">
        <f t="shared" si="10"/>
        <v>0</v>
      </c>
      <c r="I63" s="91">
        <f t="shared" si="6"/>
        <v>302</v>
      </c>
    </row>
    <row r="64" spans="1:9">
      <c r="A64" s="91">
        <f t="shared" si="8"/>
        <v>303</v>
      </c>
      <c r="B64" s="18">
        <v>363</v>
      </c>
      <c r="C64" t="s">
        <v>698</v>
      </c>
      <c r="D64" s="121">
        <f t="shared" si="9"/>
        <v>30390068</v>
      </c>
      <c r="E64" s="121">
        <f t="shared" si="10"/>
        <v>30390068</v>
      </c>
      <c r="F64" s="121">
        <f t="shared" si="10"/>
        <v>0</v>
      </c>
      <c r="G64" s="121">
        <f t="shared" si="10"/>
        <v>0</v>
      </c>
      <c r="H64" s="121">
        <f t="shared" si="10"/>
        <v>0</v>
      </c>
      <c r="I64" s="91">
        <f t="shared" si="6"/>
        <v>303</v>
      </c>
    </row>
    <row r="65" spans="1:9">
      <c r="A65" s="91">
        <f t="shared" si="8"/>
        <v>304</v>
      </c>
      <c r="B65" s="18">
        <v>364</v>
      </c>
      <c r="C65" t="s">
        <v>701</v>
      </c>
      <c r="D65" s="121">
        <f t="shared" si="9"/>
        <v>6898451289.1799984</v>
      </c>
      <c r="E65" s="121">
        <f t="shared" si="10"/>
        <v>5506124047.7773075</v>
      </c>
      <c r="F65" s="121">
        <f t="shared" si="10"/>
        <v>1392327241.4026911</v>
      </c>
      <c r="G65" s="121">
        <f t="shared" si="10"/>
        <v>0</v>
      </c>
      <c r="H65" s="121">
        <f t="shared" si="10"/>
        <v>0</v>
      </c>
      <c r="I65" s="91">
        <f t="shared" si="6"/>
        <v>304</v>
      </c>
    </row>
    <row r="66" spans="1:9">
      <c r="A66" s="91">
        <f t="shared" si="8"/>
        <v>305</v>
      </c>
      <c r="B66" s="18">
        <v>365</v>
      </c>
      <c r="C66" t="s">
        <v>704</v>
      </c>
      <c r="D66" s="121">
        <f t="shared" si="9"/>
        <v>5426690745.5600014</v>
      </c>
      <c r="E66" s="121">
        <f t="shared" si="10"/>
        <v>4331411669.289362</v>
      </c>
      <c r="F66" s="121">
        <f t="shared" si="10"/>
        <v>1095279076.2706394</v>
      </c>
      <c r="G66" s="121">
        <f t="shared" si="10"/>
        <v>0</v>
      </c>
      <c r="H66" s="121">
        <f t="shared" si="10"/>
        <v>0</v>
      </c>
      <c r="I66" s="91">
        <f t="shared" si="6"/>
        <v>305</v>
      </c>
    </row>
    <row r="67" spans="1:9">
      <c r="A67" s="91">
        <f t="shared" si="8"/>
        <v>306</v>
      </c>
      <c r="B67" s="18">
        <v>366</v>
      </c>
      <c r="C67" t="s">
        <v>707</v>
      </c>
      <c r="D67" s="121">
        <f t="shared" si="9"/>
        <v>3540727070.150001</v>
      </c>
      <c r="E67" s="121">
        <f t="shared" si="10"/>
        <v>1382601290.4388263</v>
      </c>
      <c r="F67" s="121">
        <f t="shared" si="10"/>
        <v>2158125779.711175</v>
      </c>
      <c r="G67" s="121">
        <f t="shared" si="10"/>
        <v>0</v>
      </c>
      <c r="H67" s="121">
        <f t="shared" si="10"/>
        <v>0</v>
      </c>
      <c r="I67" s="91">
        <f t="shared" si="6"/>
        <v>306</v>
      </c>
    </row>
    <row r="68" spans="1:9">
      <c r="A68" s="91">
        <f t="shared" si="8"/>
        <v>307</v>
      </c>
      <c r="B68" s="18">
        <v>367</v>
      </c>
      <c r="C68" t="s">
        <v>710</v>
      </c>
      <c r="D68" s="121">
        <f t="shared" si="9"/>
        <v>5775958001.0899982</v>
      </c>
      <c r="E68" s="121">
        <f t="shared" si="10"/>
        <v>2255425743.8117585</v>
      </c>
      <c r="F68" s="121">
        <f t="shared" si="10"/>
        <v>3520532257.2782397</v>
      </c>
      <c r="G68" s="121">
        <f t="shared" si="10"/>
        <v>0</v>
      </c>
      <c r="H68" s="121">
        <f t="shared" si="10"/>
        <v>0</v>
      </c>
      <c r="I68" s="91">
        <f t="shared" si="6"/>
        <v>307</v>
      </c>
    </row>
    <row r="69" spans="1:9">
      <c r="A69" s="91">
        <f t="shared" si="8"/>
        <v>308</v>
      </c>
      <c r="B69" s="18">
        <v>368</v>
      </c>
      <c r="C69" t="s">
        <v>713</v>
      </c>
      <c r="D69" s="121">
        <f t="shared" si="9"/>
        <v>5005331376.1899986</v>
      </c>
      <c r="E69" s="121">
        <f t="shared" si="10"/>
        <v>0</v>
      </c>
      <c r="F69" s="121">
        <f t="shared" si="10"/>
        <v>5005331376.1899986</v>
      </c>
      <c r="G69" s="121">
        <f t="shared" si="10"/>
        <v>0</v>
      </c>
      <c r="H69" s="121">
        <f t="shared" si="10"/>
        <v>0</v>
      </c>
      <c r="I69" s="91">
        <f t="shared" si="6"/>
        <v>308</v>
      </c>
    </row>
    <row r="70" spans="1:9">
      <c r="A70" s="91">
        <f t="shared" si="8"/>
        <v>309</v>
      </c>
      <c r="B70" s="18">
        <v>369</v>
      </c>
      <c r="C70" t="s">
        <v>716</v>
      </c>
      <c r="D70" s="121">
        <f t="shared" si="9"/>
        <v>3909961617.1300025</v>
      </c>
      <c r="E70" s="121">
        <f t="shared" si="10"/>
        <v>0</v>
      </c>
      <c r="F70" s="121">
        <f t="shared" si="10"/>
        <v>3909961617.1300025</v>
      </c>
      <c r="G70" s="121">
        <f t="shared" si="10"/>
        <v>0</v>
      </c>
      <c r="H70" s="121">
        <f t="shared" si="10"/>
        <v>0</v>
      </c>
      <c r="I70" s="91">
        <f t="shared" si="6"/>
        <v>309</v>
      </c>
    </row>
    <row r="71" spans="1:9">
      <c r="A71" s="91">
        <f t="shared" si="8"/>
        <v>310</v>
      </c>
      <c r="B71" s="18">
        <v>370</v>
      </c>
      <c r="C71" t="s">
        <v>719</v>
      </c>
      <c r="D71" s="121">
        <f t="shared" si="9"/>
        <v>1361068155.6099999</v>
      </c>
      <c r="E71" s="121">
        <f t="shared" si="10"/>
        <v>0</v>
      </c>
      <c r="F71" s="121">
        <f t="shared" si="10"/>
        <v>0</v>
      </c>
      <c r="G71" s="121">
        <f t="shared" si="10"/>
        <v>1361068155.6099999</v>
      </c>
      <c r="H71" s="121">
        <f t="shared" si="10"/>
        <v>0</v>
      </c>
      <c r="I71" s="91">
        <f t="shared" si="6"/>
        <v>310</v>
      </c>
    </row>
    <row r="72" spans="1:9">
      <c r="A72" s="91">
        <f t="shared" si="8"/>
        <v>311</v>
      </c>
      <c r="B72" s="18">
        <v>371</v>
      </c>
      <c r="C72" t="s">
        <v>722</v>
      </c>
      <c r="D72" s="121">
        <f t="shared" si="9"/>
        <v>31262235</v>
      </c>
      <c r="E72" s="121">
        <f t="shared" si="10"/>
        <v>0</v>
      </c>
      <c r="F72" s="121">
        <f t="shared" si="10"/>
        <v>0</v>
      </c>
      <c r="G72" s="121">
        <f t="shared" si="10"/>
        <v>31262235</v>
      </c>
      <c r="H72" s="121">
        <f t="shared" si="10"/>
        <v>0</v>
      </c>
      <c r="I72" s="91">
        <f t="shared" si="6"/>
        <v>311</v>
      </c>
    </row>
    <row r="73" spans="1:9">
      <c r="A73" s="91">
        <f t="shared" si="8"/>
        <v>312</v>
      </c>
      <c r="B73" s="18">
        <v>372</v>
      </c>
      <c r="C73" t="s">
        <v>725</v>
      </c>
      <c r="D73" s="121">
        <f t="shared" si="9"/>
        <v>895448</v>
      </c>
      <c r="E73" s="121">
        <f t="shared" si="10"/>
        <v>0</v>
      </c>
      <c r="F73" s="121">
        <f t="shared" si="10"/>
        <v>0</v>
      </c>
      <c r="G73" s="121">
        <f t="shared" si="10"/>
        <v>895448</v>
      </c>
      <c r="H73" s="121">
        <f t="shared" si="10"/>
        <v>0</v>
      </c>
      <c r="I73" s="91">
        <f t="shared" si="6"/>
        <v>312</v>
      </c>
    </row>
    <row r="74" spans="1:9">
      <c r="A74" s="91">
        <f t="shared" si="8"/>
        <v>313</v>
      </c>
      <c r="B74" s="18">
        <v>373</v>
      </c>
      <c r="C74" t="s">
        <v>728</v>
      </c>
      <c r="D74" s="121">
        <f t="shared" si="9"/>
        <v>316252704.67999989</v>
      </c>
      <c r="E74" s="121">
        <f t="shared" si="10"/>
        <v>0</v>
      </c>
      <c r="F74" s="121">
        <f t="shared" si="10"/>
        <v>0</v>
      </c>
      <c r="G74" s="121">
        <f t="shared" si="10"/>
        <v>0</v>
      </c>
      <c r="H74" s="121">
        <f t="shared" si="10"/>
        <v>316252704.67999989</v>
      </c>
      <c r="I74" s="91">
        <f t="shared" si="6"/>
        <v>313</v>
      </c>
    </row>
    <row r="75" spans="1:9">
      <c r="A75" s="91">
        <f t="shared" si="8"/>
        <v>314</v>
      </c>
      <c r="B75" s="659"/>
      <c r="C75" s="660" t="s">
        <v>733</v>
      </c>
      <c r="D75" s="661">
        <f>SUM(D61:D74)</f>
        <v>36771603031.929993</v>
      </c>
      <c r="E75" s="661">
        <f t="shared" ref="E75:H75" si="11">SUM(E61:E74)</f>
        <v>17892778210.186985</v>
      </c>
      <c r="F75" s="661">
        <f t="shared" si="11"/>
        <v>17169346278.453009</v>
      </c>
      <c r="G75" s="661">
        <f t="shared" si="11"/>
        <v>1393225838.6099999</v>
      </c>
      <c r="H75" s="661">
        <f t="shared" si="11"/>
        <v>316252704.67999989</v>
      </c>
      <c r="I75" s="91">
        <f t="shared" si="6"/>
        <v>314</v>
      </c>
    </row>
    <row r="76" spans="1:9">
      <c r="B76"/>
      <c r="G76" s="18" t="s">
        <v>498</v>
      </c>
      <c r="H76" s="18" t="s">
        <v>499</v>
      </c>
      <c r="I76" s="8"/>
    </row>
    <row r="77" spans="1:9">
      <c r="B77"/>
      <c r="I77" s="8"/>
    </row>
    <row r="78" spans="1:9">
      <c r="B78" s="79" t="s">
        <v>750</v>
      </c>
      <c r="C78" s="103"/>
      <c r="D78" s="103"/>
      <c r="E78" s="102"/>
      <c r="F78" s="102"/>
      <c r="G78" s="102"/>
      <c r="H78" s="102"/>
    </row>
    <row r="79" spans="1:9">
      <c r="B79"/>
      <c r="C79"/>
      <c r="D79"/>
      <c r="E79"/>
      <c r="F79"/>
      <c r="G79"/>
      <c r="H79"/>
    </row>
    <row r="80" spans="1:9">
      <c r="E80" s="83" t="s">
        <v>122</v>
      </c>
      <c r="F80" s="83" t="s">
        <v>123</v>
      </c>
      <c r="G80" s="83" t="s">
        <v>124</v>
      </c>
      <c r="H80" s="83" t="s">
        <v>125</v>
      </c>
    </row>
    <row r="81" spans="1:9" ht="29">
      <c r="B81"/>
      <c r="C81"/>
      <c r="E81" s="133" t="s">
        <v>751</v>
      </c>
      <c r="F81" s="133" t="s">
        <v>752</v>
      </c>
      <c r="G81" s="133" t="s">
        <v>753</v>
      </c>
      <c r="H81" s="133" t="s">
        <v>754</v>
      </c>
    </row>
    <row r="82" spans="1:9">
      <c r="B82"/>
      <c r="C82"/>
      <c r="E82"/>
      <c r="F82"/>
      <c r="G82"/>
      <c r="H82"/>
    </row>
    <row r="83" spans="1:9">
      <c r="B83"/>
      <c r="C83"/>
      <c r="E83" s="84" t="s">
        <v>505</v>
      </c>
      <c r="F83" s="84" t="s">
        <v>536</v>
      </c>
      <c r="G83" s="84" t="s">
        <v>737</v>
      </c>
      <c r="H83" s="84" t="s">
        <v>737</v>
      </c>
      <c r="I83" s="8"/>
    </row>
    <row r="84" spans="1:9">
      <c r="A84" s="80" t="s">
        <v>90</v>
      </c>
      <c r="B84" s="80" t="s">
        <v>512</v>
      </c>
      <c r="C84" s="80" t="s">
        <v>7</v>
      </c>
      <c r="E84" s="80" t="s">
        <v>737</v>
      </c>
      <c r="F84" s="80" t="s">
        <v>737</v>
      </c>
      <c r="G84" s="80" t="s">
        <v>719</v>
      </c>
      <c r="H84" s="80" t="s">
        <v>739</v>
      </c>
      <c r="I84" s="80" t="str">
        <f t="shared" ref="I84:I85" si="12">A84</f>
        <v>Line</v>
      </c>
    </row>
    <row r="85" spans="1:9">
      <c r="A85" s="91">
        <v>400</v>
      </c>
      <c r="B85" s="140">
        <f>'1-DRR Corrected'!$K$2</f>
        <v>2021</v>
      </c>
      <c r="C85" s="18" t="s">
        <v>755</v>
      </c>
      <c r="E85" s="231">
        <f>E75/$D$75</f>
        <v>0.48659228140394362</v>
      </c>
      <c r="F85" s="231">
        <f>F75/$D$75</f>
        <v>0.4669186236875314</v>
      </c>
      <c r="G85" s="231">
        <f>G75/$D$75</f>
        <v>3.7888634808773934E-2</v>
      </c>
      <c r="H85" s="231">
        <f>H75/$D$75</f>
        <v>8.6004600997510849E-3</v>
      </c>
      <c r="I85" s="91">
        <f t="shared" si="12"/>
        <v>400</v>
      </c>
    </row>
    <row r="86" spans="1:9">
      <c r="A86" s="91"/>
      <c r="B86" s="18"/>
      <c r="C86" s="106"/>
      <c r="D86" s="121"/>
      <c r="E86" s="404"/>
      <c r="F86" s="466"/>
      <c r="G86" s="121"/>
      <c r="H86" s="121"/>
      <c r="I86" s="91"/>
    </row>
    <row r="87" spans="1:9">
      <c r="B87" s="7" t="s">
        <v>674</v>
      </c>
    </row>
    <row r="88" spans="1:9">
      <c r="B88" s="739" t="s">
        <v>756</v>
      </c>
      <c r="C88" s="739"/>
      <c r="D88" s="739"/>
      <c r="E88" s="739"/>
      <c r="F88" s="739"/>
      <c r="G88" s="739"/>
      <c r="H88" s="739"/>
    </row>
    <row r="89" spans="1:9">
      <c r="B89" s="739" t="s">
        <v>757</v>
      </c>
      <c r="C89" s="739"/>
      <c r="D89" s="739"/>
      <c r="E89" s="739"/>
      <c r="F89" s="739"/>
      <c r="G89" s="739"/>
      <c r="H89" s="739"/>
    </row>
    <row r="90" spans="1:9">
      <c r="B90" s="739" t="s">
        <v>758</v>
      </c>
      <c r="C90" s="739"/>
      <c r="D90" s="739"/>
      <c r="E90" s="739"/>
      <c r="F90" s="739"/>
      <c r="G90" s="739"/>
      <c r="H90" s="739"/>
    </row>
    <row r="91" spans="1:9">
      <c r="B91" s="739" t="s">
        <v>759</v>
      </c>
      <c r="C91" s="739"/>
      <c r="D91" s="739"/>
      <c r="E91" s="739"/>
      <c r="F91" s="739"/>
      <c r="G91" s="739"/>
      <c r="H91" s="739"/>
    </row>
    <row r="92" spans="1:9">
      <c r="B92" s="739" t="s">
        <v>760</v>
      </c>
      <c r="C92" s="739"/>
      <c r="D92" s="739"/>
      <c r="E92" s="739"/>
      <c r="F92" s="739"/>
      <c r="G92" s="739"/>
      <c r="H92" s="739"/>
    </row>
    <row r="93" spans="1:9">
      <c r="B93" s="739" t="s">
        <v>761</v>
      </c>
      <c r="C93" s="739"/>
      <c r="D93" s="739"/>
      <c r="E93" s="739"/>
      <c r="F93" s="739"/>
      <c r="G93" s="739"/>
      <c r="H93" s="739"/>
    </row>
    <row r="94" spans="1:9">
      <c r="B94" s="739" t="s">
        <v>762</v>
      </c>
      <c r="C94" s="739"/>
      <c r="D94" s="739"/>
      <c r="E94" s="739"/>
      <c r="F94" s="739"/>
      <c r="G94" s="739"/>
      <c r="H94" s="739"/>
    </row>
    <row r="95" spans="1:9">
      <c r="B95" s="8" t="s">
        <v>763</v>
      </c>
    </row>
  </sheetData>
  <mergeCells count="7">
    <mergeCell ref="B94:H94"/>
    <mergeCell ref="B93:H93"/>
    <mergeCell ref="B88:H88"/>
    <mergeCell ref="B89:H89"/>
    <mergeCell ref="B90:H90"/>
    <mergeCell ref="B91:H91"/>
    <mergeCell ref="B92:H92"/>
  </mergeCells>
  <printOptions horizontalCentered="1"/>
  <pageMargins left="1" right="1" top="1" bottom="1" header="0.5" footer="0.5"/>
  <pageSetup scale="34" orientation="landscape" r:id="rId1"/>
  <headerFooter>
    <oddHeader>&amp;RDocket No. ER20-2878-000, et al.- Annual Update RY2024
&amp;F</oddHeader>
  </headerFooter>
  <rowBreaks count="1" manualBreakCount="1">
    <brk id="53" max="8" man="1"/>
  </rowBreaks>
  <customProperties>
    <customPr name="_pios_id" r:id="rId2"/>
  </customProperties>
  <ignoredErrors>
    <ignoredError sqref="F85:H85"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4F5FC-35C7-462D-8DA8-F01F489D29CC}">
  <sheetPr>
    <tabColor rgb="FFFF0000"/>
    <pageSetUpPr fitToPage="1"/>
  </sheetPr>
  <dimension ref="A1:I95"/>
  <sheetViews>
    <sheetView view="pageBreakPreview" topLeftCell="A19" zoomScale="25" zoomScaleNormal="90" zoomScaleSheetLayoutView="25" zoomScalePageLayoutView="70" workbookViewId="0">
      <selection activeCell="W98" sqref="W98"/>
    </sheetView>
  </sheetViews>
  <sheetFormatPr defaultColWidth="9.1796875" defaultRowHeight="14.5"/>
  <cols>
    <col min="1" max="1" width="5.453125" customWidth="1"/>
    <col min="2" max="2" width="16.81640625" style="8" customWidth="1"/>
    <col min="3" max="3" width="50.7265625" style="8" bestFit="1" customWidth="1"/>
    <col min="4" max="4" width="21.453125" style="8" customWidth="1"/>
    <col min="5" max="5" width="22.453125" style="8" customWidth="1"/>
    <col min="6" max="7" width="23.81640625" style="8" customWidth="1"/>
    <col min="8" max="8" width="39.1796875" style="8" bestFit="1" customWidth="1"/>
    <col min="9" max="9" width="5.453125" customWidth="1"/>
  </cols>
  <sheetData>
    <row r="1" spans="1:9">
      <c r="B1" s="105" t="s">
        <v>678</v>
      </c>
      <c r="E1" s="101"/>
      <c r="G1" s="86"/>
      <c r="H1" s="6" t="s">
        <v>384</v>
      </c>
    </row>
    <row r="2" spans="1:9">
      <c r="B2" s="78" t="s">
        <v>120</v>
      </c>
      <c r="C2" s="78"/>
      <c r="G2" s="86"/>
      <c r="H2" s="86"/>
    </row>
    <row r="4" spans="1:9">
      <c r="B4" s="79" t="s">
        <v>679</v>
      </c>
      <c r="C4" s="103"/>
      <c r="D4" s="103"/>
      <c r="E4" s="102"/>
      <c r="F4" s="102"/>
      <c r="G4" s="102"/>
      <c r="H4" s="102"/>
    </row>
    <row r="5" spans="1:9">
      <c r="B5" t="s">
        <v>680</v>
      </c>
      <c r="C5"/>
      <c r="D5"/>
      <c r="E5"/>
      <c r="F5"/>
      <c r="G5"/>
      <c r="H5"/>
    </row>
    <row r="6" spans="1:9">
      <c r="B6"/>
      <c r="C6"/>
      <c r="D6"/>
      <c r="E6"/>
      <c r="F6"/>
      <c r="G6"/>
      <c r="H6"/>
    </row>
    <row r="7" spans="1:9">
      <c r="D7" s="83" t="s">
        <v>122</v>
      </c>
      <c r="E7" s="83" t="s">
        <v>123</v>
      </c>
      <c r="F7" s="83" t="s">
        <v>124</v>
      </c>
      <c r="G7" s="83" t="s">
        <v>125</v>
      </c>
      <c r="H7" s="83" t="s">
        <v>490</v>
      </c>
    </row>
    <row r="8" spans="1:9">
      <c r="A8" s="104"/>
      <c r="B8" s="104"/>
      <c r="C8" s="104"/>
      <c r="D8" s="104"/>
      <c r="E8" s="104"/>
      <c r="F8" s="104" t="s">
        <v>101</v>
      </c>
      <c r="G8" s="104" t="s">
        <v>681</v>
      </c>
      <c r="H8" s="104"/>
      <c r="I8" s="104"/>
    </row>
    <row r="9" spans="1:9">
      <c r="A9" s="104"/>
      <c r="B9" s="104"/>
      <c r="C9" s="104"/>
      <c r="D9" s="104"/>
      <c r="E9" s="104"/>
      <c r="F9" s="104" t="s">
        <v>496</v>
      </c>
      <c r="G9" s="104"/>
      <c r="H9" s="104"/>
      <c r="I9" s="104"/>
    </row>
    <row r="10" spans="1:9">
      <c r="B10" s="105"/>
      <c r="C10" s="105"/>
      <c r="D10" s="91" t="s">
        <v>682</v>
      </c>
      <c r="E10" s="91"/>
      <c r="F10" s="91"/>
      <c r="G10" s="84" t="s">
        <v>683</v>
      </c>
      <c r="H10" s="4"/>
    </row>
    <row r="11" spans="1:9">
      <c r="A11" s="80" t="s">
        <v>90</v>
      </c>
      <c r="B11" s="80" t="s">
        <v>684</v>
      </c>
      <c r="C11" s="80" t="s">
        <v>685</v>
      </c>
      <c r="D11" s="80" t="s">
        <v>136</v>
      </c>
      <c r="E11" s="80" t="s">
        <v>686</v>
      </c>
      <c r="F11" s="80" t="s">
        <v>687</v>
      </c>
      <c r="G11" s="80" t="s">
        <v>136</v>
      </c>
      <c r="H11" s="3" t="s">
        <v>688</v>
      </c>
      <c r="I11" s="80" t="s">
        <v>90</v>
      </c>
    </row>
    <row r="12" spans="1:9">
      <c r="A12" s="91">
        <v>100</v>
      </c>
      <c r="B12" s="18">
        <v>360</v>
      </c>
      <c r="C12" s="106" t="s">
        <v>689</v>
      </c>
      <c r="D12" s="271">
        <v>182207754</v>
      </c>
      <c r="E12" s="377" t="s">
        <v>690</v>
      </c>
      <c r="F12" s="271">
        <v>-34031.040000000001</v>
      </c>
      <c r="G12" s="121">
        <v>182173722.96000001</v>
      </c>
      <c r="H12" s="467" t="s">
        <v>691</v>
      </c>
      <c r="I12" s="91">
        <v>100</v>
      </c>
    </row>
    <row r="13" spans="1:9">
      <c r="A13" s="91">
        <v>101</v>
      </c>
      <c r="B13" s="18">
        <v>361</v>
      </c>
      <c r="C13" s="106" t="s">
        <v>692</v>
      </c>
      <c r="D13" s="271">
        <v>337164005</v>
      </c>
      <c r="E13" s="377" t="s">
        <v>693</v>
      </c>
      <c r="F13" s="271"/>
      <c r="G13" s="121">
        <v>337164005</v>
      </c>
      <c r="H13" s="467" t="s">
        <v>694</v>
      </c>
      <c r="I13" s="91">
        <v>101</v>
      </c>
    </row>
    <row r="14" spans="1:9">
      <c r="A14" s="91">
        <v>102</v>
      </c>
      <c r="B14" s="18">
        <v>362</v>
      </c>
      <c r="C14" s="106" t="s">
        <v>695</v>
      </c>
      <c r="D14" s="271">
        <v>4059160488</v>
      </c>
      <c r="E14" s="377" t="s">
        <v>696</v>
      </c>
      <c r="F14" s="271">
        <v>641930.57999229431</v>
      </c>
      <c r="G14" s="121">
        <v>4059802418.5799923</v>
      </c>
      <c r="H14" s="467" t="s">
        <v>697</v>
      </c>
      <c r="I14" s="91">
        <v>102</v>
      </c>
    </row>
    <row r="15" spans="1:9">
      <c r="A15" s="91">
        <v>103</v>
      </c>
      <c r="B15" s="18">
        <v>363</v>
      </c>
      <c r="C15" t="s">
        <v>698</v>
      </c>
      <c r="D15" s="271">
        <v>30390068</v>
      </c>
      <c r="E15" s="377" t="s">
        <v>699</v>
      </c>
      <c r="F15" s="271"/>
      <c r="G15" s="121">
        <v>30390068</v>
      </c>
      <c r="H15" s="467" t="s">
        <v>700</v>
      </c>
      <c r="I15" s="91">
        <v>103</v>
      </c>
    </row>
    <row r="16" spans="1:9">
      <c r="A16" s="91">
        <v>104</v>
      </c>
      <c r="B16" s="18">
        <v>364</v>
      </c>
      <c r="C16" t="s">
        <v>701</v>
      </c>
      <c r="D16" s="271">
        <v>7202854820</v>
      </c>
      <c r="E16" s="377" t="s">
        <v>702</v>
      </c>
      <c r="F16" s="271">
        <v>-267606695.25000191</v>
      </c>
      <c r="G16" s="121">
        <v>6935248124.7499981</v>
      </c>
      <c r="H16" s="467" t="s">
        <v>703</v>
      </c>
      <c r="I16" s="91">
        <v>104</v>
      </c>
    </row>
    <row r="17" spans="1:9">
      <c r="A17" s="91">
        <v>105</v>
      </c>
      <c r="B17" s="18">
        <v>365</v>
      </c>
      <c r="C17" t="s">
        <v>704</v>
      </c>
      <c r="D17" s="271">
        <v>5736575561</v>
      </c>
      <c r="E17" s="377" t="s">
        <v>705</v>
      </c>
      <c r="F17" s="271">
        <v>-278736103.45999908</v>
      </c>
      <c r="G17" s="121">
        <v>5457839457.5400009</v>
      </c>
      <c r="H17" s="467" t="s">
        <v>706</v>
      </c>
      <c r="I17" s="91">
        <v>105</v>
      </c>
    </row>
    <row r="18" spans="1:9">
      <c r="A18" s="91">
        <v>106</v>
      </c>
      <c r="B18" s="18">
        <v>366</v>
      </c>
      <c r="C18" t="s">
        <v>707</v>
      </c>
      <c r="D18" s="271">
        <v>3583942682</v>
      </c>
      <c r="E18" s="377" t="s">
        <v>708</v>
      </c>
      <c r="F18" s="271">
        <v>-40988004.129999161</v>
      </c>
      <c r="G18" s="121">
        <v>3542954677.8700008</v>
      </c>
      <c r="H18" s="467" t="s">
        <v>709</v>
      </c>
      <c r="I18" s="91">
        <v>106</v>
      </c>
    </row>
    <row r="19" spans="1:9">
      <c r="A19" s="91">
        <v>107</v>
      </c>
      <c r="B19" s="18">
        <v>367</v>
      </c>
      <c r="C19" t="s">
        <v>710</v>
      </c>
      <c r="D19" s="271">
        <v>5848855156</v>
      </c>
      <c r="E19" s="377" t="s">
        <v>711</v>
      </c>
      <c r="F19" s="271">
        <v>-70812637.020001411</v>
      </c>
      <c r="G19" s="121">
        <v>5778042518.9799986</v>
      </c>
      <c r="H19" s="467" t="s">
        <v>712</v>
      </c>
      <c r="I19" s="91">
        <v>107</v>
      </c>
    </row>
    <row r="20" spans="1:9">
      <c r="A20" s="91">
        <v>108</v>
      </c>
      <c r="B20" s="18">
        <v>368</v>
      </c>
      <c r="C20" t="s">
        <v>713</v>
      </c>
      <c r="D20" s="271">
        <v>5059838520</v>
      </c>
      <c r="E20" s="377" t="s">
        <v>714</v>
      </c>
      <c r="F20" s="271">
        <v>-51522548.340001106</v>
      </c>
      <c r="G20" s="121">
        <v>5008315971.6599989</v>
      </c>
      <c r="H20" s="467" t="s">
        <v>715</v>
      </c>
      <c r="I20" s="91">
        <v>108</v>
      </c>
    </row>
    <row r="21" spans="1:9">
      <c r="A21" s="91">
        <v>109</v>
      </c>
      <c r="B21" s="18">
        <v>369</v>
      </c>
      <c r="C21" t="s">
        <v>716</v>
      </c>
      <c r="D21" s="271">
        <v>3931558933</v>
      </c>
      <c r="E21" s="377" t="s">
        <v>717</v>
      </c>
      <c r="F21" s="271">
        <v>-16625112.189997673</v>
      </c>
      <c r="G21" s="121">
        <v>3914933820.8100023</v>
      </c>
      <c r="H21" s="467" t="s">
        <v>718</v>
      </c>
      <c r="I21" s="91">
        <v>109</v>
      </c>
    </row>
    <row r="22" spans="1:9">
      <c r="A22" s="91">
        <v>110</v>
      </c>
      <c r="B22" s="18">
        <v>370</v>
      </c>
      <c r="C22" t="s">
        <v>719</v>
      </c>
      <c r="D22" s="271">
        <v>1372456458</v>
      </c>
      <c r="E22" s="377" t="s">
        <v>720</v>
      </c>
      <c r="F22" s="271">
        <v>-3658208.370000124</v>
      </c>
      <c r="G22" s="121">
        <v>1368798249.6299999</v>
      </c>
      <c r="H22" s="467" t="s">
        <v>721</v>
      </c>
      <c r="I22" s="91">
        <v>110</v>
      </c>
    </row>
    <row r="23" spans="1:9">
      <c r="A23" s="91">
        <v>111</v>
      </c>
      <c r="B23" s="18">
        <v>371</v>
      </c>
      <c r="C23" t="s">
        <v>722</v>
      </c>
      <c r="D23" s="271">
        <v>31262235</v>
      </c>
      <c r="E23" s="377" t="s">
        <v>723</v>
      </c>
      <c r="F23" s="271"/>
      <c r="G23" s="121">
        <v>31262235</v>
      </c>
      <c r="H23" s="467" t="s">
        <v>724</v>
      </c>
      <c r="I23" s="91">
        <v>111</v>
      </c>
    </row>
    <row r="24" spans="1:9">
      <c r="A24" s="91">
        <v>112</v>
      </c>
      <c r="B24" s="18">
        <v>372</v>
      </c>
      <c r="C24" t="s">
        <v>725</v>
      </c>
      <c r="D24" s="271">
        <v>895448</v>
      </c>
      <c r="E24" s="377" t="s">
        <v>726</v>
      </c>
      <c r="F24" s="271"/>
      <c r="G24" s="121">
        <v>895448</v>
      </c>
      <c r="H24" s="467" t="s">
        <v>727</v>
      </c>
      <c r="I24" s="91">
        <v>112</v>
      </c>
    </row>
    <row r="25" spans="1:9">
      <c r="A25" s="91">
        <v>113</v>
      </c>
      <c r="B25" s="18">
        <v>373</v>
      </c>
      <c r="C25" t="s">
        <v>728</v>
      </c>
      <c r="D25" s="271">
        <v>316635464</v>
      </c>
      <c r="E25" s="377" t="s">
        <v>729</v>
      </c>
      <c r="F25" s="271">
        <v>-323050.16000008583</v>
      </c>
      <c r="G25" s="121">
        <v>316312413.83999991</v>
      </c>
      <c r="H25" s="467" t="s">
        <v>730</v>
      </c>
      <c r="I25" s="91">
        <v>113</v>
      </c>
    </row>
    <row r="26" spans="1:9">
      <c r="A26" s="91">
        <v>114</v>
      </c>
      <c r="B26" s="18">
        <v>374</v>
      </c>
      <c r="C26" t="s">
        <v>731</v>
      </c>
      <c r="D26" s="271">
        <v>20344815</v>
      </c>
      <c r="E26" s="377" t="s">
        <v>732</v>
      </c>
      <c r="F26" s="121">
        <v>-20344815</v>
      </c>
      <c r="G26" s="121">
        <v>0</v>
      </c>
      <c r="H26" s="377"/>
      <c r="I26" s="91">
        <v>114</v>
      </c>
    </row>
    <row r="27" spans="1:9">
      <c r="A27" s="91">
        <v>115</v>
      </c>
      <c r="B27" s="659"/>
      <c r="C27" s="660" t="s">
        <v>733</v>
      </c>
      <c r="D27" s="661">
        <v>37714142407</v>
      </c>
      <c r="E27" s="662"/>
      <c r="F27" s="661">
        <v>-750009274.38000822</v>
      </c>
      <c r="G27" s="661">
        <v>36964133132.619987</v>
      </c>
      <c r="H27" s="661"/>
      <c r="I27" s="91">
        <v>115</v>
      </c>
    </row>
    <row r="28" spans="1:9">
      <c r="A28" s="100"/>
      <c r="B28" s="100"/>
      <c r="C28" s="100"/>
      <c r="D28" s="104"/>
      <c r="E28" s="100"/>
      <c r="F28" s="100"/>
      <c r="G28" s="104"/>
      <c r="H28" s="104"/>
      <c r="I28" s="100"/>
    </row>
    <row r="30" spans="1:9">
      <c r="B30" s="79" t="s">
        <v>734</v>
      </c>
      <c r="C30" s="103"/>
      <c r="D30" s="103"/>
      <c r="E30" s="102"/>
      <c r="F30" s="102"/>
      <c r="G30" s="102"/>
      <c r="H30" s="102"/>
    </row>
    <row r="31" spans="1:9">
      <c r="B31"/>
      <c r="C31"/>
      <c r="D31"/>
      <c r="E31"/>
      <c r="F31"/>
      <c r="G31"/>
      <c r="H31"/>
    </row>
    <row r="32" spans="1:9">
      <c r="D32" s="83" t="s">
        <v>122</v>
      </c>
      <c r="E32" s="83" t="s">
        <v>123</v>
      </c>
      <c r="F32" s="83" t="s">
        <v>124</v>
      </c>
      <c r="G32" s="83" t="s">
        <v>125</v>
      </c>
      <c r="H32" s="83" t="s">
        <v>490</v>
      </c>
    </row>
    <row r="33" spans="1:9">
      <c r="B33"/>
      <c r="C33"/>
      <c r="D33" s="21" t="s">
        <v>735</v>
      </c>
      <c r="E33" s="21" t="s">
        <v>497</v>
      </c>
      <c r="F33" s="21" t="s">
        <v>497</v>
      </c>
      <c r="G33" s="21" t="s">
        <v>497</v>
      </c>
      <c r="H33" s="21" t="s">
        <v>497</v>
      </c>
    </row>
    <row r="34" spans="1:9">
      <c r="B34"/>
      <c r="C34"/>
      <c r="D34"/>
      <c r="E34"/>
      <c r="F34"/>
      <c r="G34"/>
      <c r="H34"/>
    </row>
    <row r="35" spans="1:9">
      <c r="B35"/>
      <c r="C35"/>
      <c r="D35" s="84" t="s">
        <v>736</v>
      </c>
      <c r="E35" s="84" t="s">
        <v>505</v>
      </c>
      <c r="F35" s="84" t="s">
        <v>536</v>
      </c>
      <c r="G35" s="84" t="s">
        <v>737</v>
      </c>
      <c r="H35" s="84" t="s">
        <v>737</v>
      </c>
      <c r="I35" s="8"/>
    </row>
    <row r="36" spans="1:9">
      <c r="A36" s="80" t="s">
        <v>90</v>
      </c>
      <c r="B36" s="80" t="s">
        <v>684</v>
      </c>
      <c r="C36" s="80" t="s">
        <v>685</v>
      </c>
      <c r="D36" s="80" t="s">
        <v>738</v>
      </c>
      <c r="E36" s="80" t="s">
        <v>737</v>
      </c>
      <c r="F36" s="80" t="s">
        <v>737</v>
      </c>
      <c r="G36" s="80" t="s">
        <v>719</v>
      </c>
      <c r="H36" s="80" t="s">
        <v>739</v>
      </c>
      <c r="I36" s="80" t="s">
        <v>90</v>
      </c>
    </row>
    <row r="37" spans="1:9">
      <c r="A37" s="91">
        <v>200</v>
      </c>
      <c r="B37" s="18">
        <v>360</v>
      </c>
      <c r="C37" s="106" t="s">
        <v>740</v>
      </c>
      <c r="D37" s="537">
        <v>182173722.96000001</v>
      </c>
      <c r="E37" s="538">
        <v>0.51216293344575547</v>
      </c>
      <c r="F37" s="538">
        <v>0.48783706655424453</v>
      </c>
      <c r="G37" s="538"/>
      <c r="H37" s="538"/>
      <c r="I37" s="91">
        <v>200</v>
      </c>
    </row>
    <row r="38" spans="1:9">
      <c r="A38" s="91">
        <v>201</v>
      </c>
      <c r="B38" s="18">
        <v>361</v>
      </c>
      <c r="C38" s="106" t="s">
        <v>692</v>
      </c>
      <c r="D38" s="121">
        <v>337164005</v>
      </c>
      <c r="E38" s="401">
        <v>1</v>
      </c>
      <c r="F38" s="401"/>
      <c r="G38" s="401"/>
      <c r="H38" s="401"/>
      <c r="I38" s="91">
        <v>201</v>
      </c>
    </row>
    <row r="39" spans="1:9">
      <c r="A39" s="91">
        <v>202</v>
      </c>
      <c r="B39" s="18">
        <v>362</v>
      </c>
      <c r="C39" s="106" t="s">
        <v>695</v>
      </c>
      <c r="D39" s="121">
        <v>4059802418.5799923</v>
      </c>
      <c r="E39" s="401">
        <v>1</v>
      </c>
      <c r="F39" s="401"/>
      <c r="G39" s="401"/>
      <c r="H39" s="401"/>
      <c r="I39" s="91">
        <v>202</v>
      </c>
    </row>
    <row r="40" spans="1:9">
      <c r="A40" s="91">
        <v>203</v>
      </c>
      <c r="B40" s="18">
        <v>363</v>
      </c>
      <c r="C40" s="8" t="s">
        <v>698</v>
      </c>
      <c r="D40" s="121">
        <v>30390068</v>
      </c>
      <c r="E40" s="401">
        <v>1</v>
      </c>
      <c r="F40" s="401"/>
      <c r="G40" s="401"/>
      <c r="H40" s="401"/>
      <c r="I40" s="91">
        <v>203</v>
      </c>
    </row>
    <row r="41" spans="1:9">
      <c r="A41" s="91">
        <v>204</v>
      </c>
      <c r="B41" s="18">
        <v>364</v>
      </c>
      <c r="C41" s="8" t="s">
        <v>741</v>
      </c>
      <c r="D41" s="121">
        <v>6935248124.7499981</v>
      </c>
      <c r="E41" s="401">
        <v>0.79816814194419083</v>
      </c>
      <c r="F41" s="401">
        <v>0.20183185805580917</v>
      </c>
      <c r="G41" s="401"/>
      <c r="H41" s="401"/>
      <c r="I41" s="91">
        <v>204</v>
      </c>
    </row>
    <row r="42" spans="1:9">
      <c r="A42" s="91">
        <v>205</v>
      </c>
      <c r="B42" s="18">
        <v>365</v>
      </c>
      <c r="C42" s="8" t="s">
        <v>742</v>
      </c>
      <c r="D42" s="121">
        <v>5457839457.5400009</v>
      </c>
      <c r="E42" s="401">
        <v>0.79816814194419083</v>
      </c>
      <c r="F42" s="401">
        <v>0.20183185805580917</v>
      </c>
      <c r="G42" s="401"/>
      <c r="H42" s="401"/>
      <c r="I42" s="91">
        <v>205</v>
      </c>
    </row>
    <row r="43" spans="1:9">
      <c r="A43" s="91">
        <v>206</v>
      </c>
      <c r="B43" s="18">
        <v>366</v>
      </c>
      <c r="C43" s="8" t="s">
        <v>743</v>
      </c>
      <c r="D43" s="121">
        <v>3542954677.8700008</v>
      </c>
      <c r="E43" s="401">
        <v>0.39048513569283755</v>
      </c>
      <c r="F43" s="401">
        <v>0.60951486430716251</v>
      </c>
      <c r="G43" s="401"/>
      <c r="H43" s="401"/>
      <c r="I43" s="91">
        <v>206</v>
      </c>
    </row>
    <row r="44" spans="1:9">
      <c r="A44" s="91">
        <v>207</v>
      </c>
      <c r="B44" s="18">
        <v>367</v>
      </c>
      <c r="C44" s="8" t="s">
        <v>744</v>
      </c>
      <c r="D44" s="121">
        <v>5778042518.9799986</v>
      </c>
      <c r="E44" s="401">
        <v>0.39048513569283755</v>
      </c>
      <c r="F44" s="401">
        <v>0.60951486430716251</v>
      </c>
      <c r="G44" s="401"/>
      <c r="H44" s="401"/>
      <c r="I44" s="91">
        <v>207</v>
      </c>
    </row>
    <row r="45" spans="1:9">
      <c r="A45" s="91">
        <v>208</v>
      </c>
      <c r="B45" s="18">
        <v>368</v>
      </c>
      <c r="C45" t="s">
        <v>713</v>
      </c>
      <c r="D45" s="121">
        <v>5008315971.6599989</v>
      </c>
      <c r="E45" s="401"/>
      <c r="F45" s="401">
        <v>1</v>
      </c>
      <c r="G45" s="401"/>
      <c r="H45" s="401"/>
      <c r="I45" s="91">
        <v>208</v>
      </c>
    </row>
    <row r="46" spans="1:9">
      <c r="A46" s="91">
        <v>209</v>
      </c>
      <c r="B46" s="18">
        <v>369</v>
      </c>
      <c r="C46" t="s">
        <v>716</v>
      </c>
      <c r="D46" s="121">
        <v>3914933820.8100023</v>
      </c>
      <c r="E46" s="401"/>
      <c r="F46" s="401">
        <v>1</v>
      </c>
      <c r="G46" s="401"/>
      <c r="H46" s="401"/>
      <c r="I46" s="91">
        <v>209</v>
      </c>
    </row>
    <row r="47" spans="1:9">
      <c r="A47" s="91">
        <v>210</v>
      </c>
      <c r="B47" s="18">
        <v>370</v>
      </c>
      <c r="C47" t="s">
        <v>719</v>
      </c>
      <c r="D47" s="121">
        <v>1368798249.6299999</v>
      </c>
      <c r="E47" s="401"/>
      <c r="F47" s="401"/>
      <c r="G47" s="401">
        <v>1</v>
      </c>
      <c r="H47" s="401"/>
      <c r="I47" s="91">
        <v>210</v>
      </c>
    </row>
    <row r="48" spans="1:9">
      <c r="A48" s="91">
        <v>211</v>
      </c>
      <c r="B48" s="18">
        <v>371</v>
      </c>
      <c r="C48" t="s">
        <v>722</v>
      </c>
      <c r="D48" s="121">
        <v>31262235</v>
      </c>
      <c r="E48" s="401"/>
      <c r="F48" s="401"/>
      <c r="G48" s="401">
        <v>1</v>
      </c>
      <c r="H48" s="401"/>
      <c r="I48" s="91">
        <v>211</v>
      </c>
    </row>
    <row r="49" spans="1:9">
      <c r="A49" s="91">
        <v>212</v>
      </c>
      <c r="B49" s="18">
        <v>372</v>
      </c>
      <c r="C49" t="s">
        <v>725</v>
      </c>
      <c r="D49" s="121">
        <v>895448</v>
      </c>
      <c r="E49" s="401"/>
      <c r="F49" s="401"/>
      <c r="G49" s="401">
        <v>1</v>
      </c>
      <c r="H49" s="401"/>
      <c r="I49" s="91">
        <v>212</v>
      </c>
    </row>
    <row r="50" spans="1:9">
      <c r="A50" s="91">
        <v>213</v>
      </c>
      <c r="B50" s="18">
        <v>373</v>
      </c>
      <c r="C50" t="s">
        <v>728</v>
      </c>
      <c r="D50" s="121">
        <v>316312413.83999991</v>
      </c>
      <c r="E50" s="401"/>
      <c r="F50" s="401"/>
      <c r="G50" s="401"/>
      <c r="H50" s="401">
        <v>1</v>
      </c>
      <c r="I50" s="91">
        <v>213</v>
      </c>
    </row>
    <row r="51" spans="1:9">
      <c r="A51" s="91">
        <v>214</v>
      </c>
      <c r="B51" s="659"/>
      <c r="C51" s="660" t="s">
        <v>733</v>
      </c>
      <c r="D51" s="661">
        <v>36964133132.619987</v>
      </c>
      <c r="E51" s="663"/>
      <c r="F51" s="663"/>
      <c r="G51" s="663"/>
      <c r="H51" s="663"/>
      <c r="I51" s="91">
        <v>214</v>
      </c>
    </row>
    <row r="52" spans="1:9">
      <c r="B52"/>
      <c r="C52"/>
      <c r="D52" s="400"/>
      <c r="E52" s="402"/>
      <c r="F52" s="403"/>
      <c r="G52" s="403"/>
      <c r="H52" s="403"/>
      <c r="I52" s="8"/>
    </row>
    <row r="53" spans="1:9">
      <c r="B53"/>
      <c r="C53"/>
      <c r="D53" s="400"/>
      <c r="E53" s="402"/>
      <c r="F53" s="403"/>
      <c r="G53" s="403"/>
      <c r="H53" s="403"/>
      <c r="I53" s="8"/>
    </row>
    <row r="54" spans="1:9">
      <c r="B54" s="79" t="s">
        <v>745</v>
      </c>
      <c r="C54" s="103"/>
      <c r="D54" s="103"/>
      <c r="E54" s="102"/>
      <c r="F54" s="102"/>
      <c r="G54" s="102"/>
      <c r="H54" s="102"/>
    </row>
    <row r="55" spans="1:9">
      <c r="B55"/>
      <c r="C55"/>
      <c r="D55"/>
      <c r="E55"/>
      <c r="F55"/>
      <c r="G55"/>
      <c r="H55"/>
    </row>
    <row r="56" spans="1:9">
      <c r="D56" s="83" t="s">
        <v>122</v>
      </c>
      <c r="E56" s="83" t="s">
        <v>123</v>
      </c>
      <c r="F56" s="83" t="s">
        <v>124</v>
      </c>
      <c r="G56" s="83" t="s">
        <v>125</v>
      </c>
      <c r="H56" s="83" t="s">
        <v>490</v>
      </c>
    </row>
    <row r="57" spans="1:9">
      <c r="B57"/>
      <c r="C57"/>
      <c r="D57" s="21" t="s">
        <v>735</v>
      </c>
      <c r="E57" s="21" t="s">
        <v>746</v>
      </c>
      <c r="F57" s="21" t="s">
        <v>747</v>
      </c>
      <c r="G57" s="21" t="s">
        <v>748</v>
      </c>
      <c r="H57" s="21" t="s">
        <v>749</v>
      </c>
    </row>
    <row r="58" spans="1:9">
      <c r="B58"/>
      <c r="C58"/>
      <c r="D58"/>
      <c r="E58"/>
      <c r="F58"/>
      <c r="G58"/>
      <c r="H58"/>
    </row>
    <row r="59" spans="1:9">
      <c r="B59"/>
      <c r="C59"/>
      <c r="D59" s="84" t="s">
        <v>736</v>
      </c>
      <c r="E59" s="84" t="s">
        <v>505</v>
      </c>
      <c r="F59" s="84" t="s">
        <v>536</v>
      </c>
      <c r="G59" s="84" t="s">
        <v>737</v>
      </c>
      <c r="H59" s="84" t="s">
        <v>737</v>
      </c>
      <c r="I59" s="8"/>
    </row>
    <row r="60" spans="1:9">
      <c r="A60" s="80" t="s">
        <v>90</v>
      </c>
      <c r="B60" s="80" t="s">
        <v>684</v>
      </c>
      <c r="C60" s="80" t="s">
        <v>685</v>
      </c>
      <c r="D60" s="80" t="s">
        <v>738</v>
      </c>
      <c r="E60" s="80" t="s">
        <v>737</v>
      </c>
      <c r="F60" s="80" t="s">
        <v>737</v>
      </c>
      <c r="G60" s="80" t="s">
        <v>719</v>
      </c>
      <c r="H60" s="80" t="s">
        <v>739</v>
      </c>
      <c r="I60" s="80" t="s">
        <v>90</v>
      </c>
    </row>
    <row r="61" spans="1:9" s="8" customFormat="1">
      <c r="A61" s="91">
        <v>300</v>
      </c>
      <c r="B61" s="18">
        <v>360</v>
      </c>
      <c r="C61" s="106" t="s">
        <v>689</v>
      </c>
      <c r="D61" s="121">
        <v>182173722.96000001</v>
      </c>
      <c r="E61" s="121">
        <v>93302628.347927988</v>
      </c>
      <c r="F61" s="121">
        <v>88871094.612072021</v>
      </c>
      <c r="G61" s="121">
        <v>0</v>
      </c>
      <c r="H61" s="121">
        <v>0</v>
      </c>
      <c r="I61" s="91">
        <v>300</v>
      </c>
    </row>
    <row r="62" spans="1:9">
      <c r="A62" s="91">
        <v>301</v>
      </c>
      <c r="B62" s="18">
        <v>361</v>
      </c>
      <c r="C62" s="106" t="s">
        <v>692</v>
      </c>
      <c r="D62" s="121">
        <v>337164005</v>
      </c>
      <c r="E62" s="121">
        <v>337164005</v>
      </c>
      <c r="F62" s="121">
        <v>0</v>
      </c>
      <c r="G62" s="121">
        <v>0</v>
      </c>
      <c r="H62" s="121">
        <v>0</v>
      </c>
      <c r="I62" s="91">
        <v>301</v>
      </c>
    </row>
    <row r="63" spans="1:9">
      <c r="A63" s="91">
        <v>302</v>
      </c>
      <c r="B63" s="18">
        <v>362</v>
      </c>
      <c r="C63" s="106" t="s">
        <v>695</v>
      </c>
      <c r="D63" s="121">
        <v>4059802418.5799923</v>
      </c>
      <c r="E63" s="121">
        <v>4059802418.5799923</v>
      </c>
      <c r="F63" s="121">
        <v>0</v>
      </c>
      <c r="G63" s="121">
        <v>0</v>
      </c>
      <c r="H63" s="121">
        <v>0</v>
      </c>
      <c r="I63" s="91">
        <v>302</v>
      </c>
    </row>
    <row r="64" spans="1:9">
      <c r="A64" s="91">
        <v>303</v>
      </c>
      <c r="B64" s="18">
        <v>363</v>
      </c>
      <c r="C64" t="s">
        <v>698</v>
      </c>
      <c r="D64" s="121">
        <v>30390068</v>
      </c>
      <c r="E64" s="121">
        <v>30390068</v>
      </c>
      <c r="F64" s="121">
        <v>0</v>
      </c>
      <c r="G64" s="121">
        <v>0</v>
      </c>
      <c r="H64" s="121">
        <v>0</v>
      </c>
      <c r="I64" s="91">
        <v>303</v>
      </c>
    </row>
    <row r="65" spans="1:9">
      <c r="A65" s="91">
        <v>304</v>
      </c>
      <c r="B65" s="18">
        <v>364</v>
      </c>
      <c r="C65" t="s">
        <v>701</v>
      </c>
      <c r="D65" s="121">
        <v>6935248124.7499981</v>
      </c>
      <c r="E65" s="121">
        <v>5535494109.6536398</v>
      </c>
      <c r="F65" s="121">
        <v>1399754015.0963583</v>
      </c>
      <c r="G65" s="121">
        <v>0</v>
      </c>
      <c r="H65" s="121">
        <v>0</v>
      </c>
      <c r="I65" s="91">
        <v>304</v>
      </c>
    </row>
    <row r="66" spans="1:9">
      <c r="A66" s="91">
        <v>305</v>
      </c>
      <c r="B66" s="18">
        <v>365</v>
      </c>
      <c r="C66" t="s">
        <v>704</v>
      </c>
      <c r="D66" s="121">
        <v>5457839457.5400009</v>
      </c>
      <c r="E66" s="121">
        <v>4356273578.854393</v>
      </c>
      <c r="F66" s="121">
        <v>1101565878.6856079</v>
      </c>
      <c r="G66" s="121">
        <v>0</v>
      </c>
      <c r="H66" s="121">
        <v>0</v>
      </c>
      <c r="I66" s="91">
        <v>305</v>
      </c>
    </row>
    <row r="67" spans="1:9">
      <c r="A67" s="91">
        <v>306</v>
      </c>
      <c r="B67" s="18">
        <v>366</v>
      </c>
      <c r="C67" t="s">
        <v>707</v>
      </c>
      <c r="D67" s="121">
        <v>3542954677.8700008</v>
      </c>
      <c r="E67" s="121">
        <v>1383471138.1416409</v>
      </c>
      <c r="F67" s="121">
        <v>2159483539.7283602</v>
      </c>
      <c r="G67" s="121">
        <v>0</v>
      </c>
      <c r="H67" s="121">
        <v>0</v>
      </c>
      <c r="I67" s="91">
        <v>306</v>
      </c>
    </row>
    <row r="68" spans="1:9">
      <c r="A68" s="91">
        <v>307</v>
      </c>
      <c r="B68" s="18">
        <v>367</v>
      </c>
      <c r="C68" t="s">
        <v>710</v>
      </c>
      <c r="D68" s="121">
        <v>5778042518.9799986</v>
      </c>
      <c r="E68" s="121">
        <v>2256239717.0628896</v>
      </c>
      <c r="F68" s="121">
        <v>3521802801.9171095</v>
      </c>
      <c r="G68" s="121">
        <v>0</v>
      </c>
      <c r="H68" s="121">
        <v>0</v>
      </c>
      <c r="I68" s="91">
        <v>307</v>
      </c>
    </row>
    <row r="69" spans="1:9">
      <c r="A69" s="91">
        <v>308</v>
      </c>
      <c r="B69" s="18">
        <v>368</v>
      </c>
      <c r="C69" t="s">
        <v>713</v>
      </c>
      <c r="D69" s="121">
        <v>5008315971.6599989</v>
      </c>
      <c r="E69" s="121">
        <v>0</v>
      </c>
      <c r="F69" s="121">
        <v>5008315971.6599989</v>
      </c>
      <c r="G69" s="121">
        <v>0</v>
      </c>
      <c r="H69" s="121">
        <v>0</v>
      </c>
      <c r="I69" s="91">
        <v>308</v>
      </c>
    </row>
    <row r="70" spans="1:9">
      <c r="A70" s="91">
        <v>309</v>
      </c>
      <c r="B70" s="18">
        <v>369</v>
      </c>
      <c r="C70" t="s">
        <v>716</v>
      </c>
      <c r="D70" s="121">
        <v>3914933820.8100023</v>
      </c>
      <c r="E70" s="121">
        <v>0</v>
      </c>
      <c r="F70" s="121">
        <v>3914933820.8100023</v>
      </c>
      <c r="G70" s="121">
        <v>0</v>
      </c>
      <c r="H70" s="121">
        <v>0</v>
      </c>
      <c r="I70" s="91">
        <v>309</v>
      </c>
    </row>
    <row r="71" spans="1:9">
      <c r="A71" s="91">
        <v>310</v>
      </c>
      <c r="B71" s="18">
        <v>370</v>
      </c>
      <c r="C71" t="s">
        <v>719</v>
      </c>
      <c r="D71" s="121">
        <v>1368798249.6299999</v>
      </c>
      <c r="E71" s="121">
        <v>0</v>
      </c>
      <c r="F71" s="121">
        <v>0</v>
      </c>
      <c r="G71" s="121">
        <v>1368798249.6299999</v>
      </c>
      <c r="H71" s="121">
        <v>0</v>
      </c>
      <c r="I71" s="91">
        <v>310</v>
      </c>
    </row>
    <row r="72" spans="1:9">
      <c r="A72" s="91">
        <v>311</v>
      </c>
      <c r="B72" s="18">
        <v>371</v>
      </c>
      <c r="C72" t="s">
        <v>722</v>
      </c>
      <c r="D72" s="121">
        <v>31262235</v>
      </c>
      <c r="E72" s="121">
        <v>0</v>
      </c>
      <c r="F72" s="121">
        <v>0</v>
      </c>
      <c r="G72" s="121">
        <v>31262235</v>
      </c>
      <c r="H72" s="121">
        <v>0</v>
      </c>
      <c r="I72" s="91">
        <v>311</v>
      </c>
    </row>
    <row r="73" spans="1:9">
      <c r="A73" s="91">
        <v>312</v>
      </c>
      <c r="B73" s="18">
        <v>372</v>
      </c>
      <c r="C73" t="s">
        <v>725</v>
      </c>
      <c r="D73" s="121">
        <v>895448</v>
      </c>
      <c r="E73" s="121">
        <v>0</v>
      </c>
      <c r="F73" s="121">
        <v>0</v>
      </c>
      <c r="G73" s="121">
        <v>895448</v>
      </c>
      <c r="H73" s="121">
        <v>0</v>
      </c>
      <c r="I73" s="91">
        <v>312</v>
      </c>
    </row>
    <row r="74" spans="1:9">
      <c r="A74" s="91">
        <v>313</v>
      </c>
      <c r="B74" s="18">
        <v>373</v>
      </c>
      <c r="C74" t="s">
        <v>728</v>
      </c>
      <c r="D74" s="121">
        <v>316312413.83999991</v>
      </c>
      <c r="E74" s="121">
        <v>0</v>
      </c>
      <c r="F74" s="121">
        <v>0</v>
      </c>
      <c r="G74" s="121">
        <v>0</v>
      </c>
      <c r="H74" s="121">
        <v>316312413.83999991</v>
      </c>
      <c r="I74" s="91">
        <v>313</v>
      </c>
    </row>
    <row r="75" spans="1:9">
      <c r="A75" s="91">
        <v>314</v>
      </c>
      <c r="B75" s="659"/>
      <c r="C75" s="660" t="s">
        <v>733</v>
      </c>
      <c r="D75" s="661">
        <v>36964133132.619987</v>
      </c>
      <c r="E75" s="661">
        <v>18052137663.640484</v>
      </c>
      <c r="F75" s="661">
        <v>17194727122.50951</v>
      </c>
      <c r="G75" s="661">
        <v>1400955932.6299999</v>
      </c>
      <c r="H75" s="661">
        <v>316312413.83999991</v>
      </c>
      <c r="I75" s="91">
        <v>314</v>
      </c>
    </row>
    <row r="76" spans="1:9">
      <c r="B76"/>
      <c r="G76" s="18" t="s">
        <v>498</v>
      </c>
      <c r="H76" s="18" t="s">
        <v>499</v>
      </c>
      <c r="I76" s="8"/>
    </row>
    <row r="77" spans="1:9">
      <c r="B77"/>
      <c r="I77" s="8"/>
    </row>
    <row r="78" spans="1:9">
      <c r="B78" s="79" t="s">
        <v>750</v>
      </c>
      <c r="C78" s="103"/>
      <c r="D78" s="103"/>
      <c r="E78" s="102"/>
      <c r="F78" s="102"/>
      <c r="G78" s="102"/>
      <c r="H78" s="102"/>
    </row>
    <row r="79" spans="1:9">
      <c r="B79"/>
      <c r="C79"/>
      <c r="D79"/>
      <c r="E79"/>
      <c r="F79"/>
      <c r="G79"/>
      <c r="H79"/>
    </row>
    <row r="80" spans="1:9">
      <c r="E80" s="83" t="s">
        <v>122</v>
      </c>
      <c r="F80" s="83" t="s">
        <v>123</v>
      </c>
      <c r="G80" s="83" t="s">
        <v>124</v>
      </c>
      <c r="H80" s="83" t="s">
        <v>125</v>
      </c>
    </row>
    <row r="81" spans="1:9" ht="29">
      <c r="B81"/>
      <c r="C81"/>
      <c r="E81" s="133" t="s">
        <v>751</v>
      </c>
      <c r="F81" s="133" t="s">
        <v>752</v>
      </c>
      <c r="G81" s="133" t="s">
        <v>753</v>
      </c>
      <c r="H81" s="133" t="s">
        <v>754</v>
      </c>
    </row>
    <row r="82" spans="1:9">
      <c r="B82"/>
      <c r="C82"/>
      <c r="E82"/>
      <c r="F82"/>
      <c r="G82"/>
      <c r="H82"/>
    </row>
    <row r="83" spans="1:9">
      <c r="B83"/>
      <c r="C83"/>
      <c r="E83" s="84" t="s">
        <v>505</v>
      </c>
      <c r="F83" s="84" t="s">
        <v>536</v>
      </c>
      <c r="G83" s="84" t="s">
        <v>737</v>
      </c>
      <c r="H83" s="84" t="s">
        <v>737</v>
      </c>
      <c r="I83" s="8"/>
    </row>
    <row r="84" spans="1:9">
      <c r="A84" s="80" t="s">
        <v>90</v>
      </c>
      <c r="B84" s="80" t="s">
        <v>512</v>
      </c>
      <c r="C84" s="80" t="s">
        <v>7</v>
      </c>
      <c r="E84" s="80" t="s">
        <v>737</v>
      </c>
      <c r="F84" s="80" t="s">
        <v>737</v>
      </c>
      <c r="G84" s="80" t="s">
        <v>719</v>
      </c>
      <c r="H84" s="80" t="s">
        <v>739</v>
      </c>
      <c r="I84" s="80" t="s">
        <v>90</v>
      </c>
    </row>
    <row r="85" spans="1:9">
      <c r="A85" s="91">
        <v>400</v>
      </c>
      <c r="B85" s="140">
        <v>2021</v>
      </c>
      <c r="C85" s="18" t="s">
        <v>755</v>
      </c>
      <c r="E85" s="231">
        <v>0.4883690251540051</v>
      </c>
      <c r="F85" s="231">
        <v>0.46517328191677687</v>
      </c>
      <c r="G85" s="231">
        <v>3.79004135604546E-2</v>
      </c>
      <c r="H85" s="231">
        <v>8.557279368763597E-3</v>
      </c>
      <c r="I85" s="91">
        <v>400</v>
      </c>
    </row>
    <row r="86" spans="1:9">
      <c r="A86" s="91"/>
      <c r="B86" s="18"/>
      <c r="C86" s="106"/>
      <c r="D86" s="121"/>
      <c r="E86" s="404"/>
      <c r="F86" s="466"/>
      <c r="G86" s="121"/>
      <c r="H86" s="121"/>
      <c r="I86" s="91"/>
    </row>
    <row r="87" spans="1:9">
      <c r="B87" s="7" t="s">
        <v>674</v>
      </c>
    </row>
    <row r="88" spans="1:9">
      <c r="B88" s="739" t="s">
        <v>756</v>
      </c>
      <c r="C88" s="739"/>
      <c r="D88" s="739"/>
      <c r="E88" s="739"/>
      <c r="F88" s="739"/>
      <c r="G88" s="739"/>
      <c r="H88" s="739"/>
    </row>
    <row r="89" spans="1:9">
      <c r="B89" s="739" t="s">
        <v>757</v>
      </c>
      <c r="C89" s="739"/>
      <c r="D89" s="739"/>
      <c r="E89" s="739"/>
      <c r="F89" s="739"/>
      <c r="G89" s="739"/>
      <c r="H89" s="739"/>
    </row>
    <row r="90" spans="1:9">
      <c r="B90" s="739" t="s">
        <v>758</v>
      </c>
      <c r="C90" s="739"/>
      <c r="D90" s="739"/>
      <c r="E90" s="739"/>
      <c r="F90" s="739"/>
      <c r="G90" s="739"/>
      <c r="H90" s="739"/>
    </row>
    <row r="91" spans="1:9">
      <c r="B91" s="739" t="s">
        <v>759</v>
      </c>
      <c r="C91" s="739"/>
      <c r="D91" s="739"/>
      <c r="E91" s="739"/>
      <c r="F91" s="739"/>
      <c r="G91" s="739"/>
      <c r="H91" s="739"/>
    </row>
    <row r="92" spans="1:9">
      <c r="B92" s="739" t="s">
        <v>760</v>
      </c>
      <c r="C92" s="739"/>
      <c r="D92" s="739"/>
      <c r="E92" s="739"/>
      <c r="F92" s="739"/>
      <c r="G92" s="739"/>
      <c r="H92" s="739"/>
    </row>
    <row r="93" spans="1:9">
      <c r="B93" s="739" t="s">
        <v>761</v>
      </c>
      <c r="C93" s="739"/>
      <c r="D93" s="739"/>
      <c r="E93" s="739"/>
      <c r="F93" s="739"/>
      <c r="G93" s="739"/>
      <c r="H93" s="739"/>
    </row>
    <row r="94" spans="1:9">
      <c r="B94" s="739" t="s">
        <v>762</v>
      </c>
      <c r="C94" s="739"/>
      <c r="D94" s="739"/>
      <c r="E94" s="739"/>
      <c r="F94" s="739"/>
      <c r="G94" s="739"/>
      <c r="H94" s="739"/>
    </row>
    <row r="95" spans="1:9">
      <c r="B95" s="8" t="s">
        <v>763</v>
      </c>
    </row>
  </sheetData>
  <mergeCells count="7">
    <mergeCell ref="B94:H94"/>
    <mergeCell ref="B88:H88"/>
    <mergeCell ref="B89:H89"/>
    <mergeCell ref="B90:H90"/>
    <mergeCell ref="B91:H91"/>
    <mergeCell ref="B92:H92"/>
    <mergeCell ref="B93:H93"/>
  </mergeCells>
  <printOptions horizontalCentered="1"/>
  <pageMargins left="1" right="1" top="1" bottom="1" header="0.5" footer="0.5"/>
  <pageSetup scale="34" orientation="landscape" r:id="rId1"/>
  <headerFooter>
    <oddHeader>&amp;RDocket No. ER20-2878-000, et al.- Annual Update RY2024
&amp;F</oddHeader>
  </headerFooter>
  <rowBreaks count="1" manualBreakCount="1">
    <brk id="53"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56001-0A06-4C66-9E2D-81D4A183DD11}">
  <sheetPr codeName="Sheet13">
    <tabColor rgb="FF92D050"/>
    <pageSetUpPr fitToPage="1"/>
  </sheetPr>
  <dimension ref="A1:AF138"/>
  <sheetViews>
    <sheetView view="pageBreakPreview" topLeftCell="A59" zoomScale="25" zoomScaleNormal="70" zoomScaleSheetLayoutView="25" zoomScalePageLayoutView="70" workbookViewId="0">
      <selection activeCell="W98" sqref="W98"/>
    </sheetView>
  </sheetViews>
  <sheetFormatPr defaultColWidth="8.81640625" defaultRowHeight="14.5"/>
  <cols>
    <col min="1" max="1" width="4.7265625" style="21" bestFit="1" customWidth="1"/>
    <col min="2" max="2" width="14" customWidth="1"/>
    <col min="3" max="3" width="14.453125" customWidth="1"/>
    <col min="4" max="4" width="20.453125" customWidth="1"/>
    <col min="5" max="5" width="22.81640625" customWidth="1"/>
    <col min="6" max="29" width="20.453125" customWidth="1"/>
    <col min="30" max="30" width="4.7265625" style="21" bestFit="1" customWidth="1"/>
    <col min="32" max="32" width="16.7265625" bestFit="1" customWidth="1"/>
  </cols>
  <sheetData>
    <row r="1" spans="1:30">
      <c r="B1" s="2" t="s">
        <v>764</v>
      </c>
      <c r="C1" s="2"/>
      <c r="H1" s="101"/>
      <c r="N1" s="8"/>
      <c r="AC1" s="6" t="str">
        <f>CONCATENATE("Prior Year: ",'1-DRR Corrected'!$K$2)</f>
        <v>Prior Year: 2021</v>
      </c>
    </row>
    <row r="2" spans="1:30">
      <c r="B2" s="78" t="s">
        <v>120</v>
      </c>
      <c r="C2" s="38"/>
      <c r="N2" s="8"/>
      <c r="AC2" s="4"/>
    </row>
    <row r="3" spans="1:30">
      <c r="A3" s="80"/>
      <c r="B3" s="105"/>
      <c r="AD3" s="80"/>
    </row>
    <row r="4" spans="1:30">
      <c r="B4" s="45" t="s">
        <v>765</v>
      </c>
      <c r="C4" s="45"/>
      <c r="D4" s="43"/>
      <c r="E4" s="43"/>
      <c r="F4" s="43"/>
      <c r="G4" s="43"/>
      <c r="H4" s="43"/>
      <c r="I4" s="43"/>
      <c r="J4" s="43"/>
      <c r="K4" s="43"/>
      <c r="L4" s="43"/>
      <c r="M4" s="43"/>
      <c r="N4" s="43"/>
      <c r="O4" s="43"/>
      <c r="P4" s="43"/>
      <c r="Q4" s="43"/>
      <c r="R4" s="43"/>
      <c r="S4" s="43"/>
      <c r="T4" s="43"/>
      <c r="U4" s="43"/>
      <c r="V4" s="43"/>
      <c r="W4" s="43"/>
      <c r="X4" s="43"/>
      <c r="Y4" s="43"/>
      <c r="Z4" s="43"/>
      <c r="AA4" s="43"/>
      <c r="AB4" s="43"/>
      <c r="AC4" s="43"/>
    </row>
    <row r="5" spans="1:30">
      <c r="A5" s="4"/>
      <c r="B5" s="378" t="s">
        <v>766</v>
      </c>
      <c r="C5" s="8"/>
      <c r="M5" s="8"/>
      <c r="N5" s="21"/>
      <c r="O5" s="379"/>
    </row>
    <row r="6" spans="1:30">
      <c r="A6" s="4"/>
      <c r="B6" s="378" t="s">
        <v>767</v>
      </c>
      <c r="C6" s="8"/>
      <c r="M6" s="8"/>
      <c r="N6" s="21"/>
      <c r="O6" s="379"/>
    </row>
    <row r="7" spans="1:30">
      <c r="A7" s="4"/>
      <c r="B7" s="378"/>
      <c r="C7" s="8"/>
      <c r="M7" s="8"/>
      <c r="N7" s="21"/>
      <c r="O7" s="379"/>
    </row>
    <row r="8" spans="1:30">
      <c r="A8" s="4"/>
      <c r="D8" s="83" t="s">
        <v>122</v>
      </c>
      <c r="E8" s="83" t="s">
        <v>123</v>
      </c>
      <c r="F8" s="83" t="s">
        <v>124</v>
      </c>
      <c r="G8" s="83" t="s">
        <v>125</v>
      </c>
      <c r="H8" s="83" t="s">
        <v>490</v>
      </c>
      <c r="I8" s="83" t="s">
        <v>491</v>
      </c>
      <c r="J8" s="83" t="s">
        <v>492</v>
      </c>
      <c r="K8" s="83" t="s">
        <v>493</v>
      </c>
      <c r="L8" s="83" t="s">
        <v>494</v>
      </c>
      <c r="M8" s="83" t="s">
        <v>768</v>
      </c>
      <c r="N8" s="83" t="s">
        <v>769</v>
      </c>
      <c r="O8" s="83" t="s">
        <v>770</v>
      </c>
      <c r="P8" s="83" t="s">
        <v>771</v>
      </c>
      <c r="Q8" s="83" t="s">
        <v>772</v>
      </c>
      <c r="R8" s="83" t="s">
        <v>773</v>
      </c>
      <c r="S8" s="83" t="s">
        <v>774</v>
      </c>
      <c r="T8" s="83" t="s">
        <v>775</v>
      </c>
      <c r="U8" s="83" t="s">
        <v>776</v>
      </c>
      <c r="V8" s="83" t="s">
        <v>777</v>
      </c>
      <c r="W8" s="83" t="s">
        <v>778</v>
      </c>
      <c r="X8" s="83" t="s">
        <v>779</v>
      </c>
      <c r="Y8" s="83" t="s">
        <v>780</v>
      </c>
      <c r="Z8" s="83" t="s">
        <v>781</v>
      </c>
      <c r="AA8" s="83" t="s">
        <v>782</v>
      </c>
      <c r="AB8" s="83" t="s">
        <v>783</v>
      </c>
      <c r="AC8" s="83" t="s">
        <v>784</v>
      </c>
    </row>
    <row r="9" spans="1:30">
      <c r="B9" s="4"/>
      <c r="C9" s="4"/>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133" t="s">
        <v>785</v>
      </c>
    </row>
    <row r="10" spans="1:30">
      <c r="B10" s="4"/>
      <c r="C10" s="4"/>
      <c r="L10" s="107"/>
      <c r="R10" s="21"/>
      <c r="S10" s="21"/>
      <c r="T10" s="21"/>
      <c r="AC10" s="21"/>
    </row>
    <row r="11" spans="1:30">
      <c r="C11" s="90" t="s">
        <v>786</v>
      </c>
      <c r="D11" s="84">
        <v>360</v>
      </c>
      <c r="E11" s="84">
        <v>360</v>
      </c>
      <c r="F11" s="84">
        <v>361</v>
      </c>
      <c r="G11" s="84">
        <v>361</v>
      </c>
      <c r="H11" s="84">
        <v>362</v>
      </c>
      <c r="I11" s="84">
        <v>363</v>
      </c>
      <c r="J11" s="84">
        <v>363</v>
      </c>
      <c r="K11" s="84">
        <v>364</v>
      </c>
      <c r="L11" s="84">
        <v>365</v>
      </c>
      <c r="M11" s="84">
        <v>366</v>
      </c>
      <c r="N11" s="84">
        <v>367</v>
      </c>
      <c r="O11" s="84">
        <v>368</v>
      </c>
      <c r="P11" s="84">
        <v>368</v>
      </c>
      <c r="Q11" s="84">
        <v>369</v>
      </c>
      <c r="R11" s="84">
        <v>369</v>
      </c>
      <c r="S11" s="84">
        <v>370</v>
      </c>
      <c r="T11" s="84">
        <v>370</v>
      </c>
      <c r="U11" s="84">
        <v>371</v>
      </c>
      <c r="V11" s="84">
        <v>371</v>
      </c>
      <c r="W11" s="84">
        <v>371</v>
      </c>
      <c r="X11" s="84">
        <v>372</v>
      </c>
      <c r="Y11" s="84">
        <v>373</v>
      </c>
      <c r="Z11" s="84">
        <v>373</v>
      </c>
      <c r="AA11" s="84">
        <v>373</v>
      </c>
      <c r="AB11" s="84">
        <v>373</v>
      </c>
    </row>
    <row r="12" spans="1:30">
      <c r="A12" s="80" t="s">
        <v>90</v>
      </c>
      <c r="B12" s="80" t="s">
        <v>511</v>
      </c>
      <c r="C12" s="80" t="s">
        <v>512</v>
      </c>
      <c r="D12" s="83" t="s">
        <v>787</v>
      </c>
      <c r="E12" s="83" t="s">
        <v>788</v>
      </c>
      <c r="F12" s="83" t="s">
        <v>789</v>
      </c>
      <c r="G12" s="83" t="s">
        <v>790</v>
      </c>
      <c r="H12" s="83" t="s">
        <v>791</v>
      </c>
      <c r="I12" s="83" t="s">
        <v>792</v>
      </c>
      <c r="J12" s="83" t="s">
        <v>793</v>
      </c>
      <c r="K12" s="83" t="s">
        <v>794</v>
      </c>
      <c r="L12" s="83" t="s">
        <v>795</v>
      </c>
      <c r="M12" s="83" t="s">
        <v>796</v>
      </c>
      <c r="N12" s="83" t="s">
        <v>797</v>
      </c>
      <c r="O12" s="83" t="s">
        <v>798</v>
      </c>
      <c r="P12" s="83" t="s">
        <v>799</v>
      </c>
      <c r="Q12" s="83" t="s">
        <v>800</v>
      </c>
      <c r="R12" s="83" t="s">
        <v>801</v>
      </c>
      <c r="S12" s="83" t="s">
        <v>802</v>
      </c>
      <c r="T12" s="83" t="s">
        <v>803</v>
      </c>
      <c r="U12" s="83" t="s">
        <v>804</v>
      </c>
      <c r="V12" s="83" t="s">
        <v>805</v>
      </c>
      <c r="W12" s="83" t="s">
        <v>806</v>
      </c>
      <c r="X12" s="83" t="s">
        <v>807</v>
      </c>
      <c r="Y12" s="83" t="s">
        <v>808</v>
      </c>
      <c r="Z12" s="83" t="s">
        <v>809</v>
      </c>
      <c r="AA12" s="83" t="s">
        <v>810</v>
      </c>
      <c r="AB12" s="83" t="s">
        <v>811</v>
      </c>
      <c r="AC12" s="80" t="s">
        <v>534</v>
      </c>
      <c r="AD12" s="80" t="str">
        <f t="shared" ref="AD12:AD26" si="0">A12</f>
        <v>Line</v>
      </c>
    </row>
    <row r="13" spans="1:30">
      <c r="A13" s="91">
        <v>100</v>
      </c>
      <c r="B13" s="378" t="s">
        <v>520</v>
      </c>
      <c r="C13" s="140">
        <f>'1-DRR Corrected'!$K$2-1</f>
        <v>2020</v>
      </c>
      <c r="D13" s="271">
        <v>59140073.100000009</v>
      </c>
      <c r="E13" s="271">
        <v>119352370.00000004</v>
      </c>
      <c r="F13" s="271">
        <v>267381247.60000023</v>
      </c>
      <c r="G13" s="649">
        <v>27564814.490000002</v>
      </c>
      <c r="H13" s="271">
        <v>3830300754.8100028</v>
      </c>
      <c r="I13" s="271">
        <v>1993014.9000000004</v>
      </c>
      <c r="J13" s="271">
        <v>32567442.010000005</v>
      </c>
      <c r="K13" s="649">
        <v>6455522912.3800068</v>
      </c>
      <c r="L13" s="649">
        <v>5378821377.1700039</v>
      </c>
      <c r="M13" s="271">
        <v>3301954690.7200007</v>
      </c>
      <c r="N13" s="271">
        <v>5338408802.7499914</v>
      </c>
      <c r="O13" s="271">
        <v>3284988870.4699988</v>
      </c>
      <c r="P13" s="271">
        <v>1226643037.5000005</v>
      </c>
      <c r="Q13" s="271">
        <v>1018910382.6299996</v>
      </c>
      <c r="R13" s="271">
        <v>2738037764.0500011</v>
      </c>
      <c r="S13" s="271">
        <v>93518991.019999996</v>
      </c>
      <c r="T13" s="271">
        <v>1207615475.4699998</v>
      </c>
      <c r="U13" s="271">
        <v>27313911.41</v>
      </c>
      <c r="V13" s="271">
        <v>5218.9600000000009</v>
      </c>
      <c r="W13" s="271">
        <v>2124123.9299999997</v>
      </c>
      <c r="X13" s="271">
        <v>895447.84000000008</v>
      </c>
      <c r="Y13" s="271">
        <v>14541521.850000001</v>
      </c>
      <c r="Z13" s="271">
        <v>55989937.859999985</v>
      </c>
      <c r="AA13" s="271">
        <v>126348013.51000001</v>
      </c>
      <c r="AB13" s="271">
        <v>71947422.940000042</v>
      </c>
      <c r="AC13" s="24">
        <f t="shared" ref="AC13:AC25" si="1">SUM(D13:AB13)</f>
        <v>34681887619.370003</v>
      </c>
      <c r="AD13" s="91">
        <f t="shared" si="0"/>
        <v>100</v>
      </c>
    </row>
    <row r="14" spans="1:30">
      <c r="A14" s="91">
        <f>A13+1</f>
        <v>101</v>
      </c>
      <c r="B14" s="378" t="s">
        <v>522</v>
      </c>
      <c r="C14" s="140">
        <f>'1-DRR Corrected'!$K$2</f>
        <v>2021</v>
      </c>
      <c r="D14" s="271">
        <v>60546821.98833333</v>
      </c>
      <c r="E14" s="271">
        <v>119346883.73000005</v>
      </c>
      <c r="F14" s="271">
        <v>267642037.77083358</v>
      </c>
      <c r="G14" s="649">
        <v>27562449.069999985</v>
      </c>
      <c r="H14" s="271">
        <v>3830606314.1224976</v>
      </c>
      <c r="I14" s="271">
        <v>2003774.39</v>
      </c>
      <c r="J14" s="271">
        <v>32567442.200000003</v>
      </c>
      <c r="K14" s="649">
        <v>6494031946.9624968</v>
      </c>
      <c r="L14" s="649">
        <v>5376387972.7966709</v>
      </c>
      <c r="M14" s="271">
        <v>3320428719.1450009</v>
      </c>
      <c r="N14" s="271">
        <v>5362488516.0733318</v>
      </c>
      <c r="O14" s="271">
        <v>3300378192.389997</v>
      </c>
      <c r="P14" s="271">
        <v>1241039600.7600002</v>
      </c>
      <c r="Q14" s="271">
        <v>1019554261.0524997</v>
      </c>
      <c r="R14" s="271">
        <v>2751980818.0075021</v>
      </c>
      <c r="S14" s="271">
        <v>94702417.780000001</v>
      </c>
      <c r="T14" s="271">
        <v>1210530842.2299995</v>
      </c>
      <c r="U14" s="271">
        <v>27313911.539999999</v>
      </c>
      <c r="V14" s="271">
        <v>5218.96</v>
      </c>
      <c r="W14" s="271">
        <v>2147842.09</v>
      </c>
      <c r="X14" s="271">
        <v>895447.8</v>
      </c>
      <c r="Y14" s="271">
        <v>14563351.829999998</v>
      </c>
      <c r="Z14" s="271">
        <v>56137138.219999984</v>
      </c>
      <c r="AA14" s="271">
        <v>126709863.91000006</v>
      </c>
      <c r="AB14" s="271">
        <v>72509835.970000044</v>
      </c>
      <c r="AC14" s="24">
        <f t="shared" si="1"/>
        <v>34812081620.789169</v>
      </c>
      <c r="AD14" s="91">
        <f t="shared" si="0"/>
        <v>101</v>
      </c>
    </row>
    <row r="15" spans="1:30">
      <c r="A15" s="91">
        <f t="shared" ref="A15:A26" si="2">A14+1</f>
        <v>102</v>
      </c>
      <c r="B15" s="378" t="s">
        <v>523</v>
      </c>
      <c r="C15" s="140">
        <f>'1-DRR Corrected'!$K$2</f>
        <v>2021</v>
      </c>
      <c r="D15" s="271">
        <v>60505538.216666661</v>
      </c>
      <c r="E15" s="271">
        <v>119358884.73000003</v>
      </c>
      <c r="F15" s="271">
        <v>269821630.07166684</v>
      </c>
      <c r="G15" s="649">
        <v>27560427.230000004</v>
      </c>
      <c r="H15" s="271">
        <v>3853823797.4049954</v>
      </c>
      <c r="I15" s="271">
        <v>2246561.5700000003</v>
      </c>
      <c r="J15" s="271">
        <v>30056380.199999999</v>
      </c>
      <c r="K15" s="649">
        <v>6537544782.185008</v>
      </c>
      <c r="L15" s="649">
        <v>5392855668.3133335</v>
      </c>
      <c r="M15" s="271">
        <v>3335079133.5700016</v>
      </c>
      <c r="N15" s="271">
        <v>5381928172.9266672</v>
      </c>
      <c r="O15" s="271">
        <v>3316932089.519999</v>
      </c>
      <c r="P15" s="271">
        <v>1259466671.0600004</v>
      </c>
      <c r="Q15" s="271">
        <v>1021663388.2749999</v>
      </c>
      <c r="R15" s="271">
        <v>2761294753.1550016</v>
      </c>
      <c r="S15" s="271">
        <v>96088526.170000046</v>
      </c>
      <c r="T15" s="271">
        <v>1212112891.9299994</v>
      </c>
      <c r="U15" s="271">
        <v>27313911.539999999</v>
      </c>
      <c r="V15" s="271">
        <v>5218.96</v>
      </c>
      <c r="W15" s="271">
        <v>2173755.2200000002</v>
      </c>
      <c r="X15" s="271">
        <v>895447.79999999993</v>
      </c>
      <c r="Y15" s="271">
        <v>14580503.969999991</v>
      </c>
      <c r="Z15" s="271">
        <v>56200967.889999986</v>
      </c>
      <c r="AA15" s="271">
        <v>126956460.8</v>
      </c>
      <c r="AB15" s="271">
        <v>72685583.670000017</v>
      </c>
      <c r="AC15" s="24">
        <f t="shared" si="1"/>
        <v>34979151146.378349</v>
      </c>
      <c r="AD15" s="91">
        <f t="shared" si="0"/>
        <v>102</v>
      </c>
    </row>
    <row r="16" spans="1:30">
      <c r="A16" s="91">
        <f t="shared" si="2"/>
        <v>103</v>
      </c>
      <c r="B16" s="378" t="s">
        <v>524</v>
      </c>
      <c r="C16" s="140">
        <f>'1-DRR Corrected'!$K$2</f>
        <v>2021</v>
      </c>
      <c r="D16" s="271">
        <v>56826197.935000032</v>
      </c>
      <c r="E16" s="271">
        <v>119384331.03000005</v>
      </c>
      <c r="F16" s="271">
        <v>273083355.35250044</v>
      </c>
      <c r="G16" s="649">
        <v>27286366.020000011</v>
      </c>
      <c r="H16" s="271">
        <v>3882433976.8774986</v>
      </c>
      <c r="I16" s="271">
        <v>2269898.9</v>
      </c>
      <c r="J16" s="271">
        <v>30056380.199999999</v>
      </c>
      <c r="K16" s="649">
        <v>6593364690.2875023</v>
      </c>
      <c r="L16" s="649">
        <v>5427612187.2399988</v>
      </c>
      <c r="M16" s="271">
        <v>3375025758.1950016</v>
      </c>
      <c r="N16" s="271">
        <v>5461010811.9600019</v>
      </c>
      <c r="O16" s="271">
        <v>3386113905.409997</v>
      </c>
      <c r="P16" s="271">
        <v>1277177144.2300005</v>
      </c>
      <c r="Q16" s="271">
        <v>1027838764.5774996</v>
      </c>
      <c r="R16" s="271">
        <v>2771787355.5725036</v>
      </c>
      <c r="S16" s="271">
        <v>97568092.990000069</v>
      </c>
      <c r="T16" s="271">
        <v>1215225201.6400003</v>
      </c>
      <c r="U16" s="271">
        <v>27313911.539999999</v>
      </c>
      <c r="V16" s="271">
        <v>5218.96</v>
      </c>
      <c r="W16" s="271">
        <v>2217949.2499999995</v>
      </c>
      <c r="X16" s="271">
        <v>895447.79999999993</v>
      </c>
      <c r="Y16" s="271">
        <v>14640782.379999997</v>
      </c>
      <c r="Z16" s="271">
        <v>56414663.409999996</v>
      </c>
      <c r="AA16" s="271">
        <v>127107993.89000002</v>
      </c>
      <c r="AB16" s="271">
        <v>72900875.570000038</v>
      </c>
      <c r="AC16" s="24">
        <f t="shared" si="1"/>
        <v>35325561261.217506</v>
      </c>
      <c r="AD16" s="91">
        <f t="shared" si="0"/>
        <v>103</v>
      </c>
    </row>
    <row r="17" spans="1:32">
      <c r="A17" s="91">
        <f t="shared" si="2"/>
        <v>104</v>
      </c>
      <c r="B17" s="378" t="s">
        <v>525</v>
      </c>
      <c r="C17" s="140">
        <f>'1-DRR Corrected'!$K$2</f>
        <v>2021</v>
      </c>
      <c r="D17" s="271">
        <v>57122587.413333334</v>
      </c>
      <c r="E17" s="271">
        <v>119384330.31</v>
      </c>
      <c r="F17" s="271">
        <v>273405975.67333341</v>
      </c>
      <c r="G17" s="649">
        <v>27288483.100000016</v>
      </c>
      <c r="H17" s="271">
        <v>3893453017.800005</v>
      </c>
      <c r="I17" s="271">
        <v>2304052.6399999997</v>
      </c>
      <c r="J17" s="271">
        <v>30056380.57</v>
      </c>
      <c r="K17" s="649">
        <v>6658673715.7200031</v>
      </c>
      <c r="L17" s="649">
        <v>5454956005.1666718</v>
      </c>
      <c r="M17" s="271">
        <v>3391473827.4699988</v>
      </c>
      <c r="N17" s="271">
        <v>5492859440.1133327</v>
      </c>
      <c r="O17" s="271">
        <v>3415166773.1399961</v>
      </c>
      <c r="P17" s="271">
        <v>1296932614.0399995</v>
      </c>
      <c r="Q17" s="271">
        <v>1032284313.9599997</v>
      </c>
      <c r="R17" s="271">
        <v>2786933038.4300013</v>
      </c>
      <c r="S17" s="271">
        <v>99231987.990000039</v>
      </c>
      <c r="T17" s="271">
        <v>1224794385.4499996</v>
      </c>
      <c r="U17" s="271">
        <v>27313911.41</v>
      </c>
      <c r="V17" s="271">
        <v>10228.049999999999</v>
      </c>
      <c r="W17" s="271">
        <v>3854361.27</v>
      </c>
      <c r="X17" s="271">
        <v>895447.84000000008</v>
      </c>
      <c r="Y17" s="271">
        <v>14674493.720000001</v>
      </c>
      <c r="Z17" s="271">
        <v>56628571.099999994</v>
      </c>
      <c r="AA17" s="271">
        <v>127305116.64000005</v>
      </c>
      <c r="AB17" s="271">
        <v>73097934.100000024</v>
      </c>
      <c r="AC17" s="24">
        <f t="shared" si="1"/>
        <v>35560100993.116669</v>
      </c>
      <c r="AD17" s="91">
        <f t="shared" si="0"/>
        <v>104</v>
      </c>
    </row>
    <row r="18" spans="1:32">
      <c r="A18" s="91">
        <f t="shared" si="2"/>
        <v>105</v>
      </c>
      <c r="B18" s="378" t="s">
        <v>526</v>
      </c>
      <c r="C18" s="140">
        <f>'1-DRR Corrected'!$K$2</f>
        <v>2021</v>
      </c>
      <c r="D18" s="271">
        <v>58475280.421666674</v>
      </c>
      <c r="E18" s="271">
        <v>119382428.67000005</v>
      </c>
      <c r="F18" s="271">
        <v>273552801.75416684</v>
      </c>
      <c r="G18" s="649">
        <v>27297281.869999975</v>
      </c>
      <c r="H18" s="271">
        <v>3915482762.3124995</v>
      </c>
      <c r="I18" s="271">
        <v>2312371.09</v>
      </c>
      <c r="J18" s="271">
        <v>30241259.109999999</v>
      </c>
      <c r="K18" s="649">
        <v>6699695080.5525017</v>
      </c>
      <c r="L18" s="649">
        <v>5484769808.0533304</v>
      </c>
      <c r="M18" s="271">
        <v>3411967280.565002</v>
      </c>
      <c r="N18" s="271">
        <v>5524868121.3666677</v>
      </c>
      <c r="O18" s="271">
        <v>3446257934.0699978</v>
      </c>
      <c r="P18" s="271">
        <v>1312358538.2799993</v>
      </c>
      <c r="Q18" s="271">
        <v>1036899567.8425001</v>
      </c>
      <c r="R18" s="271">
        <v>2800028146.8574996</v>
      </c>
      <c r="S18" s="271">
        <v>100628087.32000001</v>
      </c>
      <c r="T18" s="271">
        <v>1228172053.8899989</v>
      </c>
      <c r="U18" s="271">
        <v>27313911.539999999</v>
      </c>
      <c r="V18" s="271">
        <v>10228.049999999999</v>
      </c>
      <c r="W18" s="271">
        <v>3866931.8099999996</v>
      </c>
      <c r="X18" s="271">
        <v>895447.8</v>
      </c>
      <c r="Y18" s="271">
        <v>14826408.680000002</v>
      </c>
      <c r="Z18" s="271">
        <v>56874450.970000006</v>
      </c>
      <c r="AA18" s="271">
        <v>127442129.21000002</v>
      </c>
      <c r="AB18" s="271">
        <v>73206010.639999986</v>
      </c>
      <c r="AC18" s="24">
        <f t="shared" si="1"/>
        <v>35776824322.72583</v>
      </c>
      <c r="AD18" s="91">
        <f t="shared" si="0"/>
        <v>105</v>
      </c>
    </row>
    <row r="19" spans="1:32">
      <c r="A19" s="91">
        <f t="shared" si="2"/>
        <v>106</v>
      </c>
      <c r="B19" s="378" t="s">
        <v>812</v>
      </c>
      <c r="C19" s="140">
        <f>'1-DRR Corrected'!$K$2</f>
        <v>2021</v>
      </c>
      <c r="D19" s="271">
        <v>58791519.960000008</v>
      </c>
      <c r="E19" s="271">
        <v>119382428.79000004</v>
      </c>
      <c r="F19" s="271">
        <v>274094568.18500018</v>
      </c>
      <c r="G19" s="649">
        <v>27298637.880000003</v>
      </c>
      <c r="H19" s="271">
        <v>3925810806.3450012</v>
      </c>
      <c r="I19" s="271">
        <v>2325607.38</v>
      </c>
      <c r="J19" s="271">
        <v>30259165.650000002</v>
      </c>
      <c r="K19" s="649">
        <v>6721595309.0950022</v>
      </c>
      <c r="L19" s="649">
        <v>5520325688.4500074</v>
      </c>
      <c r="M19" s="271">
        <v>3450692445.6599998</v>
      </c>
      <c r="N19" s="271">
        <v>5597054654.7199993</v>
      </c>
      <c r="O19" s="271">
        <v>3478714558.7699952</v>
      </c>
      <c r="P19" s="271">
        <v>1335543847.2899995</v>
      </c>
      <c r="Q19" s="271">
        <v>1040945101.4950001</v>
      </c>
      <c r="R19" s="271">
        <v>2817143221.2849998</v>
      </c>
      <c r="S19" s="271">
        <v>102459724.22000006</v>
      </c>
      <c r="T19" s="271">
        <v>1231832195.0499995</v>
      </c>
      <c r="U19" s="271">
        <v>27313911.539999999</v>
      </c>
      <c r="V19" s="271">
        <v>10228.049999999999</v>
      </c>
      <c r="W19" s="271">
        <v>3864473.8999999994</v>
      </c>
      <c r="X19" s="271">
        <v>895447.79999999993</v>
      </c>
      <c r="Y19" s="271">
        <v>14888072.820000002</v>
      </c>
      <c r="Z19" s="271">
        <v>57505014.219999984</v>
      </c>
      <c r="AA19" s="271">
        <v>127658118.65000005</v>
      </c>
      <c r="AB19" s="271">
        <v>73666898.480000019</v>
      </c>
      <c r="AC19" s="24">
        <f t="shared" si="1"/>
        <v>36040071645.685028</v>
      </c>
      <c r="AD19" s="91">
        <f t="shared" si="0"/>
        <v>106</v>
      </c>
    </row>
    <row r="20" spans="1:32">
      <c r="A20" s="91">
        <f t="shared" si="2"/>
        <v>107</v>
      </c>
      <c r="B20" s="378" t="s">
        <v>528</v>
      </c>
      <c r="C20" s="140">
        <f>'1-DRR Corrected'!$K$2</f>
        <v>2021</v>
      </c>
      <c r="D20" s="271">
        <v>59196171.99833338</v>
      </c>
      <c r="E20" s="271">
        <v>119382428.79000004</v>
      </c>
      <c r="F20" s="271">
        <v>274102837.83583355</v>
      </c>
      <c r="G20" s="649">
        <v>27209364.430000007</v>
      </c>
      <c r="H20" s="271">
        <v>3938142764.3774972</v>
      </c>
      <c r="I20" s="271">
        <v>2344176.9200000004</v>
      </c>
      <c r="J20" s="271">
        <v>30303177.449999996</v>
      </c>
      <c r="K20" s="649">
        <v>6757914243.9475012</v>
      </c>
      <c r="L20" s="649">
        <v>5546575138.836669</v>
      </c>
      <c r="M20" s="271">
        <v>3459973170.2850008</v>
      </c>
      <c r="N20" s="271">
        <v>5626447924.7333307</v>
      </c>
      <c r="O20" s="271">
        <v>3499442652.0899978</v>
      </c>
      <c r="P20" s="271">
        <v>1350841186.8900008</v>
      </c>
      <c r="Q20" s="271">
        <v>1027150260.3975003</v>
      </c>
      <c r="R20" s="271">
        <v>2822811481.1624999</v>
      </c>
      <c r="S20" s="271">
        <v>103454930.32000005</v>
      </c>
      <c r="T20" s="271">
        <v>1234670701.95</v>
      </c>
      <c r="U20" s="271">
        <v>27313911.539999999</v>
      </c>
      <c r="V20" s="271">
        <v>10228.049999999999</v>
      </c>
      <c r="W20" s="271">
        <v>3980850.6399999997</v>
      </c>
      <c r="X20" s="271">
        <v>895447.79999999993</v>
      </c>
      <c r="Y20" s="271">
        <v>15025198.169999996</v>
      </c>
      <c r="Z20" s="271">
        <v>57652872.43</v>
      </c>
      <c r="AA20" s="271">
        <v>154342321.34000003</v>
      </c>
      <c r="AB20" s="271">
        <v>73930142.960000008</v>
      </c>
      <c r="AC20" s="24">
        <f t="shared" si="1"/>
        <v>36213113585.344154</v>
      </c>
      <c r="AD20" s="91">
        <f t="shared" si="0"/>
        <v>107</v>
      </c>
    </row>
    <row r="21" spans="1:32">
      <c r="A21" s="91">
        <f t="shared" si="2"/>
        <v>108</v>
      </c>
      <c r="B21" s="378" t="s">
        <v>529</v>
      </c>
      <c r="C21" s="140">
        <f>'1-DRR Corrected'!$K$2</f>
        <v>2021</v>
      </c>
      <c r="D21" s="271">
        <v>59591931.336666666</v>
      </c>
      <c r="E21" s="271">
        <v>119357524.40000002</v>
      </c>
      <c r="F21" s="271">
        <v>274478742.28666687</v>
      </c>
      <c r="G21" s="649">
        <v>25365224.049999997</v>
      </c>
      <c r="H21" s="271">
        <v>3944157867.8399973</v>
      </c>
      <c r="I21" s="271">
        <v>2398007.0499999998</v>
      </c>
      <c r="J21" s="271">
        <v>30280193.02</v>
      </c>
      <c r="K21" s="649">
        <v>6815621521.8100042</v>
      </c>
      <c r="L21" s="649">
        <v>5572546451.4333334</v>
      </c>
      <c r="M21" s="271">
        <v>3482271667.4299998</v>
      </c>
      <c r="N21" s="271">
        <v>5671723974.1366673</v>
      </c>
      <c r="O21" s="271">
        <v>3525531736.6800013</v>
      </c>
      <c r="P21" s="271">
        <v>1367037868.8599992</v>
      </c>
      <c r="Q21" s="271">
        <v>1032600927.7900004</v>
      </c>
      <c r="R21" s="271">
        <v>2836373408.4099998</v>
      </c>
      <c r="S21" s="271">
        <v>104086986.25000009</v>
      </c>
      <c r="T21" s="271">
        <v>1237840584.009999</v>
      </c>
      <c r="U21" s="271">
        <v>27313911.539999999</v>
      </c>
      <c r="V21" s="271">
        <v>10228.049999999999</v>
      </c>
      <c r="W21" s="271">
        <v>3980182.4399999995</v>
      </c>
      <c r="X21" s="271">
        <v>895447.79999999993</v>
      </c>
      <c r="Y21" s="271">
        <v>15022759.780000003</v>
      </c>
      <c r="Z21" s="271">
        <v>57805153.530000016</v>
      </c>
      <c r="AA21" s="271">
        <v>154466120.31</v>
      </c>
      <c r="AB21" s="271">
        <v>73927214.409999982</v>
      </c>
      <c r="AC21" s="24">
        <f t="shared" si="1"/>
        <v>36434685634.653351</v>
      </c>
      <c r="AD21" s="91">
        <f t="shared" si="0"/>
        <v>108</v>
      </c>
    </row>
    <row r="22" spans="1:32">
      <c r="A22" s="91">
        <f t="shared" si="2"/>
        <v>109</v>
      </c>
      <c r="B22" s="378" t="s">
        <v>530</v>
      </c>
      <c r="C22" s="140">
        <f>'1-DRR Corrected'!$K$2</f>
        <v>2021</v>
      </c>
      <c r="D22" s="271">
        <v>59889740.015000023</v>
      </c>
      <c r="E22" s="271">
        <v>119357547.55000003</v>
      </c>
      <c r="F22" s="271">
        <v>274737057.44750029</v>
      </c>
      <c r="G22" s="649">
        <v>25310835.25</v>
      </c>
      <c r="H22" s="271">
        <v>3950225170.4425006</v>
      </c>
      <c r="I22" s="271">
        <v>763525.55999999994</v>
      </c>
      <c r="J22" s="271">
        <v>30259421.949999996</v>
      </c>
      <c r="K22" s="649">
        <v>6891489085.5325012</v>
      </c>
      <c r="L22" s="649">
        <v>5607701538.0899982</v>
      </c>
      <c r="M22" s="271">
        <v>3514133164.394999</v>
      </c>
      <c r="N22" s="271">
        <v>5730870506.4399977</v>
      </c>
      <c r="O22" s="271">
        <v>3548006263.71</v>
      </c>
      <c r="P22" s="271">
        <v>1383512290.9599993</v>
      </c>
      <c r="Q22" s="271">
        <v>1026902892.1825005</v>
      </c>
      <c r="R22" s="271">
        <v>2848673581.4575019</v>
      </c>
      <c r="S22" s="271">
        <v>105474573.70000005</v>
      </c>
      <c r="T22" s="271">
        <v>1241350914.1199994</v>
      </c>
      <c r="U22" s="271">
        <v>27313911.539999999</v>
      </c>
      <c r="V22" s="271">
        <v>10228.049999999999</v>
      </c>
      <c r="W22" s="271">
        <v>3983065.5699999994</v>
      </c>
      <c r="X22" s="271">
        <v>895447.79999999993</v>
      </c>
      <c r="Y22" s="271">
        <v>15094541.35</v>
      </c>
      <c r="Z22" s="271">
        <v>57879983.859999999</v>
      </c>
      <c r="AA22" s="271">
        <v>168140952.32000005</v>
      </c>
      <c r="AB22" s="271">
        <v>74075152.159999982</v>
      </c>
      <c r="AC22" s="24">
        <f t="shared" si="1"/>
        <v>36706051391.452507</v>
      </c>
      <c r="AD22" s="91">
        <f t="shared" si="0"/>
        <v>109</v>
      </c>
    </row>
    <row r="23" spans="1:32">
      <c r="A23" s="91">
        <f t="shared" si="2"/>
        <v>110</v>
      </c>
      <c r="B23" s="378" t="s">
        <v>531</v>
      </c>
      <c r="C23" s="140">
        <f>'1-DRR Corrected'!$K$2</f>
        <v>2021</v>
      </c>
      <c r="D23" s="271">
        <v>60182877.153333329</v>
      </c>
      <c r="E23" s="271">
        <v>119357550.96000002</v>
      </c>
      <c r="F23" s="271">
        <v>276050093.32833344</v>
      </c>
      <c r="G23" s="649">
        <v>25214734.909999989</v>
      </c>
      <c r="H23" s="271">
        <v>3961449147.505002</v>
      </c>
      <c r="I23" s="271">
        <v>841548.88000000012</v>
      </c>
      <c r="J23" s="271">
        <v>30259421.949999999</v>
      </c>
      <c r="K23" s="649">
        <v>6947490933.5550156</v>
      </c>
      <c r="L23" s="649">
        <v>5627155788.5566654</v>
      </c>
      <c r="M23" s="271">
        <v>3537432755.9899969</v>
      </c>
      <c r="N23" s="271">
        <v>5764731796.9533367</v>
      </c>
      <c r="O23" s="271">
        <v>3571224935.4100013</v>
      </c>
      <c r="P23" s="271">
        <v>1400387754.6299996</v>
      </c>
      <c r="Q23" s="271">
        <v>1029224558.2749999</v>
      </c>
      <c r="R23" s="271">
        <v>2859612087.8450012</v>
      </c>
      <c r="S23" s="271">
        <v>106531940.99000002</v>
      </c>
      <c r="T23" s="271">
        <v>1243398305.6000001</v>
      </c>
      <c r="U23" s="271">
        <v>27313911.539999999</v>
      </c>
      <c r="V23" s="271">
        <v>10228.049999999999</v>
      </c>
      <c r="W23" s="271">
        <v>3986520.49</v>
      </c>
      <c r="X23" s="271">
        <v>895447.79999999993</v>
      </c>
      <c r="Y23" s="271">
        <v>15127841.519999996</v>
      </c>
      <c r="Z23" s="271">
        <v>58088814.080000013</v>
      </c>
      <c r="AA23" s="271">
        <v>168274673.26999986</v>
      </c>
      <c r="AB23" s="271">
        <v>74205368.549999997</v>
      </c>
      <c r="AC23" s="24">
        <f t="shared" si="1"/>
        <v>36908449037.791687</v>
      </c>
      <c r="AD23" s="91">
        <f t="shared" si="0"/>
        <v>110</v>
      </c>
    </row>
    <row r="24" spans="1:32">
      <c r="A24" s="91">
        <f t="shared" si="2"/>
        <v>111</v>
      </c>
      <c r="B24" s="378" t="s">
        <v>532</v>
      </c>
      <c r="C24" s="140">
        <f>'1-DRR Corrected'!$K$2</f>
        <v>2021</v>
      </c>
      <c r="D24" s="271">
        <v>60429539.541666657</v>
      </c>
      <c r="E24" s="271">
        <v>119357660.49000001</v>
      </c>
      <c r="F24" s="271">
        <v>276320659.17916679</v>
      </c>
      <c r="G24" s="649">
        <v>24753361.409999996</v>
      </c>
      <c r="H24" s="271">
        <v>3968076710.7075043</v>
      </c>
      <c r="I24" s="271">
        <v>848799.92999999993</v>
      </c>
      <c r="J24" s="271">
        <v>30056380.57</v>
      </c>
      <c r="K24" s="649">
        <v>6729084837.4175014</v>
      </c>
      <c r="L24" s="649">
        <v>5375278777.3233356</v>
      </c>
      <c r="M24" s="271">
        <v>3514329237.8849974</v>
      </c>
      <c r="N24" s="271">
        <v>5740615131.7366638</v>
      </c>
      <c r="O24" s="271">
        <v>3546529307.8499994</v>
      </c>
      <c r="P24" s="271">
        <v>1410861326.6600001</v>
      </c>
      <c r="Q24" s="271">
        <v>1025124086.0774999</v>
      </c>
      <c r="R24" s="271">
        <v>2865592302.8425007</v>
      </c>
      <c r="S24" s="271">
        <v>107280728.03000008</v>
      </c>
      <c r="T24" s="271">
        <v>1246599901.8</v>
      </c>
      <c r="U24" s="271">
        <v>27313911.41</v>
      </c>
      <c r="V24" s="271">
        <v>10228.049999999999</v>
      </c>
      <c r="W24" s="271">
        <v>3983575.8000000003</v>
      </c>
      <c r="X24" s="271">
        <v>895447.84000000008</v>
      </c>
      <c r="Y24" s="271">
        <v>15038552.420000002</v>
      </c>
      <c r="Z24" s="271">
        <v>57915380.010000028</v>
      </c>
      <c r="AA24" s="271">
        <v>168345892.76999995</v>
      </c>
      <c r="AB24" s="271">
        <v>74258790.13000001</v>
      </c>
      <c r="AC24" s="24">
        <f t="shared" si="1"/>
        <v>36388900527.880836</v>
      </c>
      <c r="AD24" s="91">
        <f t="shared" si="0"/>
        <v>111</v>
      </c>
      <c r="AE24" s="354"/>
    </row>
    <row r="25" spans="1:32">
      <c r="A25" s="91">
        <f t="shared" si="2"/>
        <v>112</v>
      </c>
      <c r="B25" s="378" t="s">
        <v>520</v>
      </c>
      <c r="C25" s="140">
        <f>'1-DRR Corrected'!$K$2</f>
        <v>2021</v>
      </c>
      <c r="D25" s="271">
        <v>59464647.179999985</v>
      </c>
      <c r="E25" s="271">
        <v>119812208.97999997</v>
      </c>
      <c r="F25" s="271">
        <v>278198099.20000023</v>
      </c>
      <c r="G25" s="649">
        <v>24754226.169999987</v>
      </c>
      <c r="H25" s="271">
        <v>3992385140.6099925</v>
      </c>
      <c r="I25" s="271">
        <v>333686.91000000003</v>
      </c>
      <c r="J25" s="271">
        <v>30056380.57</v>
      </c>
      <c r="K25" s="649">
        <v>6898451289.1799974</v>
      </c>
      <c r="L25" s="649">
        <v>5426690745.5600014</v>
      </c>
      <c r="M25" s="271">
        <v>3540727070.150001</v>
      </c>
      <c r="N25" s="271">
        <v>5775958001.0899973</v>
      </c>
      <c r="O25" s="271">
        <v>3573807357.6999989</v>
      </c>
      <c r="P25" s="271">
        <v>1431524018.4900002</v>
      </c>
      <c r="Q25" s="271">
        <v>1030954038.3700004</v>
      </c>
      <c r="R25" s="271">
        <v>2879007578.7600017</v>
      </c>
      <c r="S25" s="271">
        <v>108537189.00000006</v>
      </c>
      <c r="T25" s="271">
        <v>1252530966.6099999</v>
      </c>
      <c r="U25" s="271">
        <v>27313911.41</v>
      </c>
      <c r="V25" s="271">
        <v>10228.049999999999</v>
      </c>
      <c r="W25" s="271">
        <v>3938094.8000000007</v>
      </c>
      <c r="X25" s="271">
        <v>895447.84</v>
      </c>
      <c r="Y25" s="271">
        <v>15075275.959999999</v>
      </c>
      <c r="Z25" s="271">
        <v>57967487.010000028</v>
      </c>
      <c r="AA25" s="271">
        <v>168646372.07999992</v>
      </c>
      <c r="AB25" s="271">
        <v>74563569.629999965</v>
      </c>
      <c r="AC25" s="24">
        <f t="shared" si="1"/>
        <v>36771603031.309998</v>
      </c>
      <c r="AD25" s="91">
        <f t="shared" si="0"/>
        <v>112</v>
      </c>
      <c r="AE25" s="354"/>
      <c r="AF25" s="24"/>
    </row>
    <row r="26" spans="1:32">
      <c r="A26" s="91">
        <f t="shared" si="2"/>
        <v>113</v>
      </c>
      <c r="B26" s="664" t="s">
        <v>813</v>
      </c>
      <c r="C26" s="488"/>
      <c r="D26" s="661">
        <f>SUM(D13:D25)/13</f>
        <v>59243302.019999996</v>
      </c>
      <c r="E26" s="661">
        <f t="shared" ref="E26:AB26" si="3">SUM(E13:E25)/13</f>
        <v>119401275.26384619</v>
      </c>
      <c r="F26" s="661">
        <f t="shared" si="3"/>
        <v>273297623.51423097</v>
      </c>
      <c r="G26" s="661">
        <f t="shared" si="3"/>
        <v>26497400.452307682</v>
      </c>
      <c r="H26" s="661">
        <f t="shared" si="3"/>
        <v>3914334479.3196154</v>
      </c>
      <c r="I26" s="661">
        <f t="shared" si="3"/>
        <v>1768078.932307692</v>
      </c>
      <c r="J26" s="661">
        <f t="shared" si="3"/>
        <v>30539955.803846154</v>
      </c>
      <c r="K26" s="661">
        <f t="shared" si="3"/>
        <v>6707729257.5865421</v>
      </c>
      <c r="L26" s="661">
        <f t="shared" si="3"/>
        <v>5476282857.4607706</v>
      </c>
      <c r="M26" s="661">
        <f t="shared" si="3"/>
        <v>3433499147.8046155</v>
      </c>
      <c r="N26" s="661">
        <f t="shared" si="3"/>
        <v>5574535834.999999</v>
      </c>
      <c r="O26" s="661">
        <f t="shared" si="3"/>
        <v>3453314967.4776907</v>
      </c>
      <c r="P26" s="661">
        <f t="shared" si="3"/>
        <v>1330255838.4346151</v>
      </c>
      <c r="Q26" s="661">
        <f t="shared" si="3"/>
        <v>1028465580.2249999</v>
      </c>
      <c r="R26" s="661">
        <f t="shared" si="3"/>
        <v>2810713502.9103851</v>
      </c>
      <c r="S26" s="661">
        <f t="shared" si="3"/>
        <v>101504936.59846157</v>
      </c>
      <c r="T26" s="661">
        <f t="shared" si="3"/>
        <v>1229744186.1346149</v>
      </c>
      <c r="U26" s="661">
        <f t="shared" si="3"/>
        <v>27313911.500000004</v>
      </c>
      <c r="V26" s="661">
        <f t="shared" si="3"/>
        <v>8686.7915384615408</v>
      </c>
      <c r="W26" s="661">
        <f t="shared" si="3"/>
        <v>3392440.554615384</v>
      </c>
      <c r="X26" s="661">
        <f t="shared" si="3"/>
        <v>895447.81230769237</v>
      </c>
      <c r="Y26" s="661">
        <f t="shared" si="3"/>
        <v>14853792.650000002</v>
      </c>
      <c r="Z26" s="661">
        <f t="shared" si="3"/>
        <v>57158494.968461543</v>
      </c>
      <c r="AA26" s="661">
        <f t="shared" si="3"/>
        <v>143980309.90000004</v>
      </c>
      <c r="AB26" s="661">
        <f t="shared" si="3"/>
        <v>73459599.93923077</v>
      </c>
      <c r="AC26" s="661">
        <f t="shared" ref="AC26" si="4">SUM(AC13:AC25)/13</f>
        <v>35892190909.055008</v>
      </c>
      <c r="AD26" s="91">
        <f t="shared" si="0"/>
        <v>113</v>
      </c>
      <c r="AE26" s="354"/>
    </row>
    <row r="27" spans="1:32">
      <c r="A27" s="18"/>
      <c r="B27" s="8"/>
      <c r="C27" s="8"/>
      <c r="D27" s="8"/>
      <c r="E27" s="8"/>
      <c r="F27" s="8"/>
      <c r="G27" s="8"/>
      <c r="H27" s="8"/>
      <c r="I27" s="8"/>
      <c r="J27" s="8"/>
      <c r="K27" s="8"/>
      <c r="L27" s="8"/>
      <c r="M27" s="8"/>
      <c r="N27" s="8"/>
      <c r="O27" s="8"/>
      <c r="P27" s="8"/>
      <c r="Q27" s="8"/>
      <c r="AD27" s="91"/>
    </row>
    <row r="28" spans="1:32">
      <c r="A28" s="18"/>
      <c r="B28" s="8"/>
      <c r="C28" s="8"/>
      <c r="D28" s="8"/>
      <c r="E28" s="8"/>
      <c r="F28" s="8"/>
      <c r="G28" s="242"/>
      <c r="H28" s="8"/>
      <c r="I28" s="8"/>
      <c r="J28" s="8"/>
      <c r="K28" s="242"/>
      <c r="L28" s="242"/>
      <c r="M28" s="8"/>
      <c r="N28" s="8"/>
      <c r="O28" s="8"/>
      <c r="P28" s="8"/>
      <c r="Q28" s="8"/>
      <c r="V28" s="19"/>
      <c r="W28" s="19"/>
      <c r="AD28" s="91"/>
    </row>
    <row r="29" spans="1:32">
      <c r="B29" s="45" t="s">
        <v>814</v>
      </c>
      <c r="C29" s="45"/>
      <c r="D29" s="103"/>
      <c r="E29" s="103"/>
      <c r="F29" s="43"/>
      <c r="G29" s="43"/>
      <c r="H29" s="43"/>
      <c r="I29" s="103"/>
      <c r="J29" s="103"/>
      <c r="K29" s="103"/>
      <c r="L29" s="103"/>
      <c r="M29" s="103"/>
      <c r="N29" s="103"/>
      <c r="O29" s="103"/>
      <c r="P29" s="103"/>
      <c r="Q29" s="103"/>
      <c r="R29" s="43"/>
      <c r="S29" s="43"/>
      <c r="T29" s="43"/>
      <c r="U29" s="43"/>
      <c r="V29" s="43"/>
      <c r="W29" s="43"/>
      <c r="X29" s="43"/>
      <c r="Y29" s="43"/>
      <c r="Z29" s="43"/>
      <c r="AA29" s="43"/>
      <c r="AB29" s="43"/>
      <c r="AC29" s="43"/>
    </row>
    <row r="30" spans="1:32">
      <c r="B30" s="378" t="s">
        <v>815</v>
      </c>
      <c r="C30" s="2"/>
      <c r="D30" s="8"/>
      <c r="E30" s="8"/>
      <c r="I30" s="8"/>
      <c r="J30" s="8"/>
      <c r="K30" s="8"/>
      <c r="L30" s="8"/>
      <c r="M30" s="8"/>
      <c r="N30" s="8"/>
      <c r="O30" s="8"/>
      <c r="P30" s="8"/>
      <c r="Q30" s="8"/>
    </row>
    <row r="31" spans="1:32">
      <c r="C31" s="2"/>
      <c r="D31" s="8"/>
      <c r="E31" s="8"/>
      <c r="I31" s="8"/>
      <c r="J31" s="8"/>
      <c r="K31" s="8"/>
      <c r="L31" s="8"/>
      <c r="M31" s="8"/>
      <c r="N31" s="8"/>
      <c r="O31" s="8"/>
      <c r="P31" s="8"/>
      <c r="Q31" s="8"/>
    </row>
    <row r="32" spans="1:32">
      <c r="C32" s="2"/>
      <c r="D32" s="8"/>
      <c r="E32" s="8"/>
      <c r="I32" s="8"/>
      <c r="J32" s="8"/>
      <c r="K32" s="8"/>
      <c r="L32" s="8"/>
      <c r="M32" s="8"/>
      <c r="N32" s="8"/>
      <c r="O32" s="8"/>
      <c r="P32" s="8"/>
      <c r="Q32" s="8"/>
    </row>
    <row r="33" spans="1:30">
      <c r="A33" s="4"/>
      <c r="D33" s="83" t="s">
        <v>122</v>
      </c>
      <c r="E33" s="83" t="s">
        <v>123</v>
      </c>
      <c r="F33" s="83" t="s">
        <v>124</v>
      </c>
      <c r="G33" s="83" t="s">
        <v>125</v>
      </c>
      <c r="H33" s="83" t="s">
        <v>490</v>
      </c>
      <c r="I33" s="83" t="s">
        <v>491</v>
      </c>
      <c r="J33" s="83" t="s">
        <v>492</v>
      </c>
      <c r="K33" s="83" t="s">
        <v>493</v>
      </c>
      <c r="L33" s="83" t="s">
        <v>494</v>
      </c>
      <c r="M33" s="83" t="s">
        <v>768</v>
      </c>
      <c r="N33" s="83" t="s">
        <v>769</v>
      </c>
      <c r="O33" s="83" t="s">
        <v>770</v>
      </c>
      <c r="P33" s="83" t="s">
        <v>771</v>
      </c>
      <c r="Q33" s="83" t="s">
        <v>772</v>
      </c>
      <c r="R33" s="83" t="s">
        <v>773</v>
      </c>
      <c r="S33" s="83" t="s">
        <v>774</v>
      </c>
      <c r="T33" s="83" t="s">
        <v>775</v>
      </c>
      <c r="U33" s="83" t="s">
        <v>776</v>
      </c>
      <c r="V33" s="83" t="s">
        <v>777</v>
      </c>
      <c r="W33" s="83" t="s">
        <v>778</v>
      </c>
      <c r="X33" s="83" t="s">
        <v>779</v>
      </c>
      <c r="Y33" s="83" t="s">
        <v>780</v>
      </c>
      <c r="Z33" s="83" t="s">
        <v>781</v>
      </c>
      <c r="AA33" s="83" t="s">
        <v>782</v>
      </c>
      <c r="AB33" s="83" t="s">
        <v>783</v>
      </c>
      <c r="AC33" s="83" t="s">
        <v>784</v>
      </c>
    </row>
    <row r="34" spans="1:30" ht="43.5">
      <c r="B34" s="4"/>
      <c r="C34" s="4"/>
      <c r="D34" s="380" t="s">
        <v>816</v>
      </c>
      <c r="E34" s="380" t="s">
        <v>817</v>
      </c>
      <c r="F34" s="380" t="s">
        <v>818</v>
      </c>
      <c r="G34" s="380" t="s">
        <v>819</v>
      </c>
      <c r="H34" s="380" t="s">
        <v>820</v>
      </c>
      <c r="I34" s="380" t="s">
        <v>821</v>
      </c>
      <c r="J34" s="380" t="s">
        <v>822</v>
      </c>
      <c r="K34" s="380" t="s">
        <v>823</v>
      </c>
      <c r="L34" s="380" t="s">
        <v>824</v>
      </c>
      <c r="M34" s="380" t="s">
        <v>825</v>
      </c>
      <c r="N34" s="380" t="s">
        <v>826</v>
      </c>
      <c r="O34" s="380" t="s">
        <v>827</v>
      </c>
      <c r="P34" s="380" t="s">
        <v>828</v>
      </c>
      <c r="Q34" s="380" t="s">
        <v>829</v>
      </c>
      <c r="R34" s="380" t="s">
        <v>830</v>
      </c>
      <c r="S34" s="380" t="s">
        <v>831</v>
      </c>
      <c r="T34" s="380" t="s">
        <v>832</v>
      </c>
      <c r="U34" s="380" t="s">
        <v>833</v>
      </c>
      <c r="V34" s="380" t="s">
        <v>834</v>
      </c>
      <c r="W34" s="380" t="s">
        <v>835</v>
      </c>
      <c r="X34" s="380" t="s">
        <v>836</v>
      </c>
      <c r="Y34" s="380" t="s">
        <v>837</v>
      </c>
      <c r="Z34" s="380" t="s">
        <v>838</v>
      </c>
      <c r="AA34" s="380" t="s">
        <v>839</v>
      </c>
      <c r="AB34" s="380" t="s">
        <v>840</v>
      </c>
      <c r="AC34" s="133" t="s">
        <v>785</v>
      </c>
    </row>
    <row r="35" spans="1:30">
      <c r="B35" s="4"/>
      <c r="C35" s="4"/>
      <c r="L35" s="107"/>
      <c r="R35" s="21"/>
      <c r="S35" s="21"/>
      <c r="T35" s="21"/>
      <c r="AC35" s="21"/>
    </row>
    <row r="36" spans="1:30">
      <c r="A36" s="91"/>
      <c r="B36" s="91"/>
      <c r="C36" s="90" t="s">
        <v>786</v>
      </c>
      <c r="D36" s="84">
        <v>360</v>
      </c>
      <c r="E36" s="84">
        <v>360</v>
      </c>
      <c r="F36" s="84">
        <v>361</v>
      </c>
      <c r="G36" s="84">
        <v>361</v>
      </c>
      <c r="H36" s="84">
        <v>362</v>
      </c>
      <c r="I36" s="84">
        <v>363</v>
      </c>
      <c r="J36" s="84">
        <v>363</v>
      </c>
      <c r="K36" s="84">
        <v>364</v>
      </c>
      <c r="L36" s="84">
        <v>365</v>
      </c>
      <c r="M36" s="84">
        <v>366</v>
      </c>
      <c r="N36" s="84">
        <v>367</v>
      </c>
      <c r="O36" s="84">
        <v>368</v>
      </c>
      <c r="P36" s="84">
        <v>368</v>
      </c>
      <c r="Q36" s="84">
        <v>369</v>
      </c>
      <c r="R36" s="84">
        <v>369</v>
      </c>
      <c r="S36" s="84">
        <v>370</v>
      </c>
      <c r="T36" s="84">
        <v>370</v>
      </c>
      <c r="U36" s="84">
        <v>371</v>
      </c>
      <c r="V36" s="84">
        <v>371</v>
      </c>
      <c r="W36" s="84">
        <v>371</v>
      </c>
      <c r="X36" s="84">
        <v>372</v>
      </c>
      <c r="Y36" s="84">
        <v>373</v>
      </c>
      <c r="Z36" s="84">
        <v>373</v>
      </c>
      <c r="AA36" s="84">
        <v>373</v>
      </c>
      <c r="AB36" s="84">
        <v>373</v>
      </c>
    </row>
    <row r="37" spans="1:30">
      <c r="A37" s="80" t="s">
        <v>90</v>
      </c>
      <c r="B37" s="80" t="s">
        <v>511</v>
      </c>
      <c r="C37" s="80" t="s">
        <v>512</v>
      </c>
      <c r="D37" s="83" t="s">
        <v>787</v>
      </c>
      <c r="E37" s="83" t="s">
        <v>788</v>
      </c>
      <c r="F37" s="83" t="s">
        <v>789</v>
      </c>
      <c r="G37" s="83" t="s">
        <v>790</v>
      </c>
      <c r="H37" s="83" t="s">
        <v>791</v>
      </c>
      <c r="I37" s="83" t="s">
        <v>792</v>
      </c>
      <c r="J37" s="83" t="s">
        <v>793</v>
      </c>
      <c r="K37" s="83" t="s">
        <v>794</v>
      </c>
      <c r="L37" s="83" t="s">
        <v>795</v>
      </c>
      <c r="M37" s="83" t="s">
        <v>796</v>
      </c>
      <c r="N37" s="83" t="s">
        <v>797</v>
      </c>
      <c r="O37" s="83" t="s">
        <v>798</v>
      </c>
      <c r="P37" s="83" t="s">
        <v>799</v>
      </c>
      <c r="Q37" s="83" t="s">
        <v>800</v>
      </c>
      <c r="R37" s="83" t="s">
        <v>801</v>
      </c>
      <c r="S37" s="83" t="s">
        <v>802</v>
      </c>
      <c r="T37" s="83" t="s">
        <v>803</v>
      </c>
      <c r="U37" s="83" t="s">
        <v>804</v>
      </c>
      <c r="V37" s="83" t="s">
        <v>805</v>
      </c>
      <c r="W37" s="83" t="s">
        <v>806</v>
      </c>
      <c r="X37" s="83" t="s">
        <v>807</v>
      </c>
      <c r="Y37" s="83" t="s">
        <v>808</v>
      </c>
      <c r="Z37" s="83" t="s">
        <v>809</v>
      </c>
      <c r="AA37" s="83" t="s">
        <v>810</v>
      </c>
      <c r="AB37" s="83" t="s">
        <v>811</v>
      </c>
      <c r="AC37" s="80" t="s">
        <v>534</v>
      </c>
      <c r="AD37" s="80" t="str">
        <f t="shared" ref="AD37:AD51" si="5">A37</f>
        <v>Line</v>
      </c>
    </row>
    <row r="38" spans="1:30">
      <c r="A38" s="91">
        <v>200</v>
      </c>
      <c r="B38" s="378" t="s">
        <v>520</v>
      </c>
      <c r="C38" s="140">
        <f>'1-DRR Corrected'!$K$2-1</f>
        <v>2020</v>
      </c>
      <c r="D38" s="275">
        <f>D$13*'6-PlantJurisdiction'!$E$37</f>
        <v>30180150.996138077</v>
      </c>
      <c r="E38" s="275">
        <f>E$13*'6-PlantJurisdiction'!$E$37</f>
        <v>60907475.414448567</v>
      </c>
      <c r="F38" s="275">
        <f>F$13*'6-PlantJurisdiction'!$E$38</f>
        <v>267381247.60000023</v>
      </c>
      <c r="G38" s="275">
        <f>G$13*'6-PlantJurisdiction'!$E$38</f>
        <v>27564814.490000002</v>
      </c>
      <c r="H38" s="275">
        <f>H$13*'6-PlantJurisdiction'!$E$39</f>
        <v>3830300754.8100028</v>
      </c>
      <c r="I38" s="275">
        <f>I$13*'6-PlantJurisdiction'!$E$40</f>
        <v>1993014.9000000004</v>
      </c>
      <c r="J38" s="275">
        <f>J$13*'6-PlantJurisdiction'!$E$40</f>
        <v>32567442.010000005</v>
      </c>
      <c r="K38" s="275">
        <f>K$13*'6-PlantJurisdiction'!$E$41</f>
        <v>5152592728.2525015</v>
      </c>
      <c r="L38" s="275">
        <f>L$13*'6-PlantJurisdiction'!$E$42</f>
        <v>4293203864.4654756</v>
      </c>
      <c r="M38" s="275">
        <f>M$13*'6-PlantJurisdiction'!$E$43</f>
        <v>1289364225.457401</v>
      </c>
      <c r="N38" s="275">
        <f>N$13*'6-PlantJurisdiction'!$E$44</f>
        <v>2084569285.7256689</v>
      </c>
      <c r="O38" s="275">
        <f>O$13*'6-PlantJurisdiction'!$E$45</f>
        <v>0</v>
      </c>
      <c r="P38" s="275">
        <f>P$13*'6-PlantJurisdiction'!$E$45</f>
        <v>0</v>
      </c>
      <c r="Q38" s="275">
        <f>Q$13*'6-PlantJurisdiction'!$E$46</f>
        <v>0</v>
      </c>
      <c r="R38" s="275">
        <f>R$13*'6-PlantJurisdiction'!$E$46</f>
        <v>0</v>
      </c>
      <c r="S38" s="275">
        <f>S$13*'6-PlantJurisdiction'!$E$47</f>
        <v>0</v>
      </c>
      <c r="T38" s="275">
        <f>T$13*'6-PlantJurisdiction'!$E$47</f>
        <v>0</v>
      </c>
      <c r="U38" s="275">
        <f>U$13*'6-PlantJurisdiction'!$E$48</f>
        <v>0</v>
      </c>
      <c r="V38" s="275">
        <f>V$13*'6-PlantJurisdiction'!$E$48</f>
        <v>0</v>
      </c>
      <c r="W38" s="275">
        <f>W$13*'6-PlantJurisdiction'!$E$48</f>
        <v>0</v>
      </c>
      <c r="X38" s="275">
        <f>X$13*'6-PlantJurisdiction'!$E$49</f>
        <v>0</v>
      </c>
      <c r="Y38" s="275">
        <f>Y$13*'6-PlantJurisdiction'!$E$50</f>
        <v>0</v>
      </c>
      <c r="Z38" s="275">
        <f>Z$13*'6-PlantJurisdiction'!$E$50</f>
        <v>0</v>
      </c>
      <c r="AA38" s="275">
        <f>AA$13*'6-PlantJurisdiction'!$E$50</f>
        <v>0</v>
      </c>
      <c r="AB38" s="275">
        <f>AB$13*'6-PlantJurisdiction'!$E$50</f>
        <v>0</v>
      </c>
      <c r="AC38" s="24">
        <f t="shared" ref="AC38:AC50" si="6">SUM(D38:AB38)</f>
        <v>17070625004.121635</v>
      </c>
      <c r="AD38" s="91">
        <f t="shared" si="5"/>
        <v>200</v>
      </c>
    </row>
    <row r="39" spans="1:30">
      <c r="A39" s="91">
        <f>A38+1</f>
        <v>201</v>
      </c>
      <c r="B39" s="378" t="s">
        <v>522</v>
      </c>
      <c r="C39" s="140">
        <f>'1-DRR Corrected'!$K$2</f>
        <v>2021</v>
      </c>
      <c r="D39" s="275">
        <f>D$14*'6-PlantJurisdiction'!$E$37</f>
        <v>30898038.067257524</v>
      </c>
      <c r="E39" s="275">
        <f>E$14*'6-PlantJurisdiction'!$E$37</f>
        <v>60904675.680726133</v>
      </c>
      <c r="F39" s="275">
        <f>F$14*'6-PlantJurisdiction'!$E$38</f>
        <v>267642037.77083358</v>
      </c>
      <c r="G39" s="275">
        <f>G$14*'6-PlantJurisdiction'!$E$38</f>
        <v>27562449.069999985</v>
      </c>
      <c r="H39" s="275">
        <f>H$14*'6-PlantJurisdiction'!$E$39</f>
        <v>3830606314.1224976</v>
      </c>
      <c r="I39" s="275">
        <f>I$14*'6-PlantJurisdiction'!$E$40</f>
        <v>2003774.39</v>
      </c>
      <c r="J39" s="275">
        <f>J$14*'6-PlantJurisdiction'!$E$40</f>
        <v>32567442.200000003</v>
      </c>
      <c r="K39" s="275">
        <f>K$14*'6-PlantJurisdiction'!$E$41</f>
        <v>5183329412.833272</v>
      </c>
      <c r="L39" s="275">
        <f>L$14*'6-PlantJurisdiction'!$E$42</f>
        <v>4291261598.6182137</v>
      </c>
      <c r="M39" s="275">
        <f>M$14*'6-PlantJurisdiction'!$E$43</f>
        <v>1296578058.9537306</v>
      </c>
      <c r="N39" s="275">
        <f>N$14*'6-PlantJurisdiction'!$E$44</f>
        <v>2093972055.850178</v>
      </c>
      <c r="O39" s="275">
        <f>O$14*'6-PlantJurisdiction'!$E$45</f>
        <v>0</v>
      </c>
      <c r="P39" s="275">
        <f>P$14*'6-PlantJurisdiction'!$E$45</f>
        <v>0</v>
      </c>
      <c r="Q39" s="275">
        <f>Q$14*'6-PlantJurisdiction'!$E$46</f>
        <v>0</v>
      </c>
      <c r="R39" s="275">
        <f>R$14*'6-PlantJurisdiction'!$E$46</f>
        <v>0</v>
      </c>
      <c r="S39" s="275">
        <f>S$14*'6-PlantJurisdiction'!$E$47</f>
        <v>0</v>
      </c>
      <c r="T39" s="275">
        <f>T$14*'6-PlantJurisdiction'!$E$47</f>
        <v>0</v>
      </c>
      <c r="U39" s="275">
        <f>U$14*'6-PlantJurisdiction'!$E$48</f>
        <v>0</v>
      </c>
      <c r="V39" s="275">
        <f>V$14*'6-PlantJurisdiction'!$E$48</f>
        <v>0</v>
      </c>
      <c r="W39" s="275">
        <f>W$14*'6-PlantJurisdiction'!$E$48</f>
        <v>0</v>
      </c>
      <c r="X39" s="275">
        <f>X$14*'6-PlantJurisdiction'!$E$49</f>
        <v>0</v>
      </c>
      <c r="Y39" s="275">
        <f>Y$14*'6-PlantJurisdiction'!$E$50</f>
        <v>0</v>
      </c>
      <c r="Z39" s="275">
        <f>Z$14*'6-PlantJurisdiction'!$E$50</f>
        <v>0</v>
      </c>
      <c r="AA39" s="275">
        <f>AA$14*'6-PlantJurisdiction'!$E$50</f>
        <v>0</v>
      </c>
      <c r="AB39" s="275">
        <f>AB$14*'6-PlantJurisdiction'!$E$50</f>
        <v>0</v>
      </c>
      <c r="AC39" s="24">
        <f t="shared" si="6"/>
        <v>17117325857.556709</v>
      </c>
      <c r="AD39" s="91">
        <f t="shared" si="5"/>
        <v>201</v>
      </c>
    </row>
    <row r="40" spans="1:30">
      <c r="A40" s="91">
        <f t="shared" ref="A40:A51" si="7">A39+1</f>
        <v>202</v>
      </c>
      <c r="B40" s="378" t="s">
        <v>523</v>
      </c>
      <c r="C40" s="140">
        <f>'1-DRR Corrected'!$K$2</f>
        <v>2021</v>
      </c>
      <c r="D40" s="275">
        <f>D$15*'6-PlantJurisdiction'!$E$37</f>
        <v>30876970.280268431</v>
      </c>
      <c r="E40" s="275">
        <f>E$15*'6-PlantJurisdiction'!$E$37</f>
        <v>60910799.988206983</v>
      </c>
      <c r="F40" s="275">
        <f>F$15*'6-PlantJurisdiction'!$E$38</f>
        <v>269821630.07166684</v>
      </c>
      <c r="G40" s="275">
        <f>G$15*'6-PlantJurisdiction'!$E$38</f>
        <v>27560427.230000004</v>
      </c>
      <c r="H40" s="275">
        <f>H$15*'6-PlantJurisdiction'!$E$39</f>
        <v>3853823797.4049954</v>
      </c>
      <c r="I40" s="275">
        <f>I$15*'6-PlantJurisdiction'!$E$40</f>
        <v>2246561.5700000003</v>
      </c>
      <c r="J40" s="275">
        <f>J$15*'6-PlantJurisdiction'!$E$40</f>
        <v>30056380.199999999</v>
      </c>
      <c r="K40" s="275">
        <f>K$15*'6-PlantJurisdiction'!$E$41</f>
        <v>5218059971.6735477</v>
      </c>
      <c r="L40" s="275">
        <f>L$15*'6-PlantJurisdiction'!$E$42</f>
        <v>4304405588.5508509</v>
      </c>
      <c r="M40" s="275">
        <f>M$15*'6-PlantJurisdiction'!$E$43</f>
        <v>1302298828.0184331</v>
      </c>
      <c r="N40" s="275">
        <f>N$15*'6-PlantJurisdiction'!$E$44</f>
        <v>2101562952.8943748</v>
      </c>
      <c r="O40" s="275">
        <f>O$15*'6-PlantJurisdiction'!$E$45</f>
        <v>0</v>
      </c>
      <c r="P40" s="275">
        <f>P$15*'6-PlantJurisdiction'!$E$45</f>
        <v>0</v>
      </c>
      <c r="Q40" s="275">
        <f>Q$15*'6-PlantJurisdiction'!$E$46</f>
        <v>0</v>
      </c>
      <c r="R40" s="275">
        <f>R$15*'6-PlantJurisdiction'!$E$46</f>
        <v>0</v>
      </c>
      <c r="S40" s="275">
        <f>S$15*'6-PlantJurisdiction'!$E$47</f>
        <v>0</v>
      </c>
      <c r="T40" s="275">
        <f>T$15*'6-PlantJurisdiction'!$E$47</f>
        <v>0</v>
      </c>
      <c r="U40" s="275">
        <f>U$15*'6-PlantJurisdiction'!$E$48</f>
        <v>0</v>
      </c>
      <c r="V40" s="275">
        <f>V$15*'6-PlantJurisdiction'!$E$48</f>
        <v>0</v>
      </c>
      <c r="W40" s="275">
        <f>W$15*'6-PlantJurisdiction'!$E$48</f>
        <v>0</v>
      </c>
      <c r="X40" s="275">
        <f>X$15*'6-PlantJurisdiction'!$E$49</f>
        <v>0</v>
      </c>
      <c r="Y40" s="275">
        <f>Y$15*'6-PlantJurisdiction'!$E$50</f>
        <v>0</v>
      </c>
      <c r="Z40" s="275">
        <f>Z$15*'6-PlantJurisdiction'!$E$50</f>
        <v>0</v>
      </c>
      <c r="AA40" s="275">
        <f>AA$15*'6-PlantJurisdiction'!$E$50</f>
        <v>0</v>
      </c>
      <c r="AB40" s="275">
        <f>AB$15*'6-PlantJurisdiction'!$E$50</f>
        <v>0</v>
      </c>
      <c r="AC40" s="24">
        <f t="shared" si="6"/>
        <v>17201623907.882343</v>
      </c>
      <c r="AD40" s="91">
        <f t="shared" si="5"/>
        <v>202</v>
      </c>
    </row>
    <row r="41" spans="1:30">
      <c r="A41" s="91">
        <f t="shared" si="7"/>
        <v>203</v>
      </c>
      <c r="B41" s="378" t="s">
        <v>524</v>
      </c>
      <c r="C41" s="140">
        <f>'1-DRR Corrected'!$K$2</f>
        <v>2021</v>
      </c>
      <c r="D41" s="275">
        <f>D$16*'6-PlantJurisdiction'!$E$37</f>
        <v>28999342.481616419</v>
      </c>
      <c r="E41" s="275">
        <f>E$16*'6-PlantJurisdiction'!$E$37</f>
        <v>60923785.653189078</v>
      </c>
      <c r="F41" s="275">
        <f>F$16*'6-PlantJurisdiction'!$E$38</f>
        <v>273083355.35250044</v>
      </c>
      <c r="G41" s="275">
        <f>G$16*'6-PlantJurisdiction'!$E$38</f>
        <v>27286366.020000011</v>
      </c>
      <c r="H41" s="275">
        <f>H$16*'6-PlantJurisdiction'!$E$39</f>
        <v>3882433976.8774986</v>
      </c>
      <c r="I41" s="275">
        <f>I$16*'6-PlantJurisdiction'!$E$40</f>
        <v>2269898.9</v>
      </c>
      <c r="J41" s="275">
        <f>J$16*'6-PlantJurisdiction'!$E$40</f>
        <v>30056380.199999999</v>
      </c>
      <c r="K41" s="275">
        <f>K$16*'6-PlantJurisdiction'!$E$41</f>
        <v>5262613644.0072107</v>
      </c>
      <c r="L41" s="275">
        <f>L$16*'6-PlantJurisdiction'!$E$42</f>
        <v>4332147134.6829958</v>
      </c>
      <c r="M41" s="275">
        <f>M$16*'6-PlantJurisdiction'!$E$43</f>
        <v>1317897391.1555972</v>
      </c>
      <c r="N41" s="275">
        <f>N$16*'6-PlantJurisdiction'!$E$44</f>
        <v>2132443547.9282544</v>
      </c>
      <c r="O41" s="275">
        <f>O$16*'6-PlantJurisdiction'!$E$45</f>
        <v>0</v>
      </c>
      <c r="P41" s="275">
        <f>P$16*'6-PlantJurisdiction'!$E$45</f>
        <v>0</v>
      </c>
      <c r="Q41" s="275">
        <f>Q$16*'6-PlantJurisdiction'!$E$46</f>
        <v>0</v>
      </c>
      <c r="R41" s="275">
        <f>R$16*'6-PlantJurisdiction'!$E$46</f>
        <v>0</v>
      </c>
      <c r="S41" s="275">
        <f>S$16*'6-PlantJurisdiction'!$E$47</f>
        <v>0</v>
      </c>
      <c r="T41" s="275">
        <f>T$16*'6-PlantJurisdiction'!$E$47</f>
        <v>0</v>
      </c>
      <c r="U41" s="275">
        <f>U$16*'6-PlantJurisdiction'!$E$48</f>
        <v>0</v>
      </c>
      <c r="V41" s="275">
        <f>V$16*'6-PlantJurisdiction'!$E$48</f>
        <v>0</v>
      </c>
      <c r="W41" s="275">
        <f>W$16*'6-PlantJurisdiction'!$E$48</f>
        <v>0</v>
      </c>
      <c r="X41" s="275">
        <f>X$16*'6-PlantJurisdiction'!$E$49</f>
        <v>0</v>
      </c>
      <c r="Y41" s="275">
        <f>Y$16*'6-PlantJurisdiction'!$E$50</f>
        <v>0</v>
      </c>
      <c r="Z41" s="275">
        <f>Z$16*'6-PlantJurisdiction'!$E$50</f>
        <v>0</v>
      </c>
      <c r="AA41" s="275">
        <f>AA$16*'6-PlantJurisdiction'!$E$50</f>
        <v>0</v>
      </c>
      <c r="AB41" s="275">
        <f>AB$16*'6-PlantJurisdiction'!$E$50</f>
        <v>0</v>
      </c>
      <c r="AC41" s="24">
        <f t="shared" si="6"/>
        <v>17350154823.258862</v>
      </c>
      <c r="AD41" s="91">
        <f t="shared" si="5"/>
        <v>203</v>
      </c>
    </row>
    <row r="42" spans="1:30">
      <c r="A42" s="91">
        <f t="shared" si="7"/>
        <v>204</v>
      </c>
      <c r="B42" s="378" t="s">
        <v>525</v>
      </c>
      <c r="C42" s="140">
        <f>'1-DRR Corrected'!$K$2</f>
        <v>2021</v>
      </c>
      <c r="D42" s="275">
        <f>D$17*'6-PlantJurisdiction'!$E$37</f>
        <v>29150594.902198322</v>
      </c>
      <c r="E42" s="275">
        <f>E$17*'6-PlantJurisdiction'!$E$37</f>
        <v>60923785.285761222</v>
      </c>
      <c r="F42" s="275">
        <f>F$17*'6-PlantJurisdiction'!$E$38</f>
        <v>273405975.67333341</v>
      </c>
      <c r="G42" s="275">
        <f>G$17*'6-PlantJurisdiction'!$E$38</f>
        <v>27288483.100000016</v>
      </c>
      <c r="H42" s="275">
        <f>H$17*'6-PlantJurisdiction'!$E$39</f>
        <v>3893453017.800005</v>
      </c>
      <c r="I42" s="275">
        <f>I$17*'6-PlantJurisdiction'!$E$40</f>
        <v>2304052.6399999997</v>
      </c>
      <c r="J42" s="275">
        <f>J$17*'6-PlantJurisdiction'!$E$40</f>
        <v>30056380.57</v>
      </c>
      <c r="K42" s="275">
        <f>K$17*'6-PlantJurisdiction'!$E$41</f>
        <v>5314741227.4888563</v>
      </c>
      <c r="L42" s="275">
        <f>L$17*'6-PlantJurisdiction'!$E$42</f>
        <v>4353972099.031188</v>
      </c>
      <c r="M42" s="275">
        <f>M$17*'6-PlantJurisdiction'!$E$43</f>
        <v>1324320117.7183297</v>
      </c>
      <c r="N42" s="275">
        <f>N$17*'6-PlantJurisdiction'!$E$44</f>
        <v>2144879963.8143384</v>
      </c>
      <c r="O42" s="275">
        <f>O$17*'6-PlantJurisdiction'!$E$45</f>
        <v>0</v>
      </c>
      <c r="P42" s="275">
        <f>P$17*'6-PlantJurisdiction'!$E$45</f>
        <v>0</v>
      </c>
      <c r="Q42" s="275">
        <f>Q$17*'6-PlantJurisdiction'!$E$46</f>
        <v>0</v>
      </c>
      <c r="R42" s="275">
        <f>R$17*'6-PlantJurisdiction'!$E$46</f>
        <v>0</v>
      </c>
      <c r="S42" s="275">
        <f>S$17*'6-PlantJurisdiction'!$E$47</f>
        <v>0</v>
      </c>
      <c r="T42" s="275">
        <f>T$17*'6-PlantJurisdiction'!$E$47</f>
        <v>0</v>
      </c>
      <c r="U42" s="275">
        <f>U$17*'6-PlantJurisdiction'!$E$48</f>
        <v>0</v>
      </c>
      <c r="V42" s="275">
        <f>V$17*'6-PlantJurisdiction'!$E$48</f>
        <v>0</v>
      </c>
      <c r="W42" s="275">
        <f>W$17*'6-PlantJurisdiction'!$E$48</f>
        <v>0</v>
      </c>
      <c r="X42" s="275">
        <f>X$17*'6-PlantJurisdiction'!$E$49</f>
        <v>0</v>
      </c>
      <c r="Y42" s="275">
        <f>Y$17*'6-PlantJurisdiction'!$E$50</f>
        <v>0</v>
      </c>
      <c r="Z42" s="275">
        <f>Z$17*'6-PlantJurisdiction'!$E$50</f>
        <v>0</v>
      </c>
      <c r="AA42" s="275">
        <f>AA$17*'6-PlantJurisdiction'!$E$50</f>
        <v>0</v>
      </c>
      <c r="AB42" s="275">
        <f>AB$17*'6-PlantJurisdiction'!$E$50</f>
        <v>0</v>
      </c>
      <c r="AC42" s="24">
        <f t="shared" si="6"/>
        <v>17454495698.024014</v>
      </c>
      <c r="AD42" s="91">
        <f t="shared" si="5"/>
        <v>204</v>
      </c>
    </row>
    <row r="43" spans="1:30">
      <c r="A43" s="91">
        <f t="shared" si="7"/>
        <v>205</v>
      </c>
      <c r="B43" s="378" t="s">
        <v>526</v>
      </c>
      <c r="C43" s="140">
        <f>'1-DRR Corrected'!$K$2</f>
        <v>2021</v>
      </c>
      <c r="D43" s="275">
        <f>D$18*'6-PlantJurisdiction'!$E$37</f>
        <v>29840896.36959574</v>
      </c>
      <c r="E43" s="275">
        <f>E$18*'6-PlantJurisdiction'!$E$37</f>
        <v>60922814.8476246</v>
      </c>
      <c r="F43" s="275">
        <f>F$18*'6-PlantJurisdiction'!$E$38</f>
        <v>273552801.75416684</v>
      </c>
      <c r="G43" s="275">
        <f>G$18*'6-PlantJurisdiction'!$E$38</f>
        <v>27297281.869999975</v>
      </c>
      <c r="H43" s="275">
        <f>H$18*'6-PlantJurisdiction'!$E$39</f>
        <v>3915482762.3124995</v>
      </c>
      <c r="I43" s="275">
        <f>I$18*'6-PlantJurisdiction'!$E$40</f>
        <v>2312371.09</v>
      </c>
      <c r="J43" s="275">
        <f>J$18*'6-PlantJurisdiction'!$E$40</f>
        <v>30241259.109999999</v>
      </c>
      <c r="K43" s="275">
        <f>K$18*'6-PlantJurisdiction'!$E$41</f>
        <v>5347483174.0372267</v>
      </c>
      <c r="L43" s="275">
        <f>L$18*'6-PlantJurisdiction'!$E$42</f>
        <v>4377768526.685523</v>
      </c>
      <c r="M43" s="275">
        <f>M$18*'6-PlantJurisdiction'!$E$43</f>
        <v>1332322506.5309467</v>
      </c>
      <c r="N43" s="275">
        <f>N$18*'6-PlantJurisdiction'!$E$44</f>
        <v>2157378878.0568957</v>
      </c>
      <c r="O43" s="275">
        <f>O$18*'6-PlantJurisdiction'!$E$45</f>
        <v>0</v>
      </c>
      <c r="P43" s="275">
        <f>P$18*'6-PlantJurisdiction'!$E$45</f>
        <v>0</v>
      </c>
      <c r="Q43" s="275">
        <f>Q$18*'6-PlantJurisdiction'!$E$46</f>
        <v>0</v>
      </c>
      <c r="R43" s="275">
        <f>R$18*'6-PlantJurisdiction'!$E$46</f>
        <v>0</v>
      </c>
      <c r="S43" s="275">
        <f>S$18*'6-PlantJurisdiction'!$E$47</f>
        <v>0</v>
      </c>
      <c r="T43" s="275">
        <f>T$18*'6-PlantJurisdiction'!$E$47</f>
        <v>0</v>
      </c>
      <c r="U43" s="275">
        <f>U$18*'6-PlantJurisdiction'!$E$48</f>
        <v>0</v>
      </c>
      <c r="V43" s="275">
        <f>V$18*'6-PlantJurisdiction'!$E$48</f>
        <v>0</v>
      </c>
      <c r="W43" s="275">
        <f>W$18*'6-PlantJurisdiction'!$E$48</f>
        <v>0</v>
      </c>
      <c r="X43" s="275">
        <f>X$18*'6-PlantJurisdiction'!$E$49</f>
        <v>0</v>
      </c>
      <c r="Y43" s="275">
        <f>Y$18*'6-PlantJurisdiction'!$E$50</f>
        <v>0</v>
      </c>
      <c r="Z43" s="275">
        <f>Z$18*'6-PlantJurisdiction'!$E$50</f>
        <v>0</v>
      </c>
      <c r="AA43" s="275">
        <f>AA$18*'6-PlantJurisdiction'!$E$50</f>
        <v>0</v>
      </c>
      <c r="AB43" s="275">
        <f>AB$18*'6-PlantJurisdiction'!$E$50</f>
        <v>0</v>
      </c>
      <c r="AC43" s="24">
        <f t="shared" si="6"/>
        <v>17554603272.664478</v>
      </c>
      <c r="AD43" s="91">
        <f t="shared" si="5"/>
        <v>205</v>
      </c>
    </row>
    <row r="44" spans="1:30">
      <c r="A44" s="91">
        <f t="shared" si="7"/>
        <v>206</v>
      </c>
      <c r="B44" s="378" t="s">
        <v>812</v>
      </c>
      <c r="C44" s="140">
        <f>'1-DRR Corrected'!$K$2</f>
        <v>2021</v>
      </c>
      <c r="D44" s="275">
        <f>D$19*'6-PlantJurisdiction'!$E$37</f>
        <v>30002278.601939462</v>
      </c>
      <c r="E44" s="275">
        <f>E$19*'6-PlantJurisdiction'!$E$37</f>
        <v>60922814.908862568</v>
      </c>
      <c r="F44" s="275">
        <f>F$19*'6-PlantJurisdiction'!$E$38</f>
        <v>274094568.18500018</v>
      </c>
      <c r="G44" s="275">
        <f>G$19*'6-PlantJurisdiction'!$E$38</f>
        <v>27298637.880000003</v>
      </c>
      <c r="H44" s="275">
        <f>H$19*'6-PlantJurisdiction'!$E$39</f>
        <v>3925810806.3450012</v>
      </c>
      <c r="I44" s="275">
        <f>I$19*'6-PlantJurisdiction'!$E$40</f>
        <v>2325607.38</v>
      </c>
      <c r="J44" s="275">
        <f>J$19*'6-PlantJurisdiction'!$E$40</f>
        <v>30259165.650000002</v>
      </c>
      <c r="K44" s="275">
        <f>K$19*'6-PlantJurisdiction'!$E$41</f>
        <v>5364963238.7611465</v>
      </c>
      <c r="L44" s="275">
        <f>L$19*'6-PlantJurisdiction'!$E$42</f>
        <v>4406148097.6769285</v>
      </c>
      <c r="M44" s="275">
        <f>M$19*'6-PlantJurisdiction'!$E$43</f>
        <v>1347444107.8777945</v>
      </c>
      <c r="N44" s="275">
        <f>N$19*'6-PlantJurisdiction'!$E$44</f>
        <v>2185566646.328567</v>
      </c>
      <c r="O44" s="275">
        <f>O$19*'6-PlantJurisdiction'!$E$45</f>
        <v>0</v>
      </c>
      <c r="P44" s="275">
        <f>P$19*'6-PlantJurisdiction'!$E$45</f>
        <v>0</v>
      </c>
      <c r="Q44" s="275">
        <f>Q$19*'6-PlantJurisdiction'!$E$46</f>
        <v>0</v>
      </c>
      <c r="R44" s="275">
        <f>R$19*'6-PlantJurisdiction'!$E$46</f>
        <v>0</v>
      </c>
      <c r="S44" s="275">
        <f>S$19*'6-PlantJurisdiction'!$E$47</f>
        <v>0</v>
      </c>
      <c r="T44" s="275">
        <f>T$19*'6-PlantJurisdiction'!$E$47</f>
        <v>0</v>
      </c>
      <c r="U44" s="275">
        <f>U$19*'6-PlantJurisdiction'!$E$48</f>
        <v>0</v>
      </c>
      <c r="V44" s="275">
        <f>V$19*'6-PlantJurisdiction'!$E$48</f>
        <v>0</v>
      </c>
      <c r="W44" s="275">
        <f>W$19*'6-PlantJurisdiction'!$E$48</f>
        <v>0</v>
      </c>
      <c r="X44" s="275">
        <f>X$19*'6-PlantJurisdiction'!$E$49</f>
        <v>0</v>
      </c>
      <c r="Y44" s="275">
        <f>Y$19*'6-PlantJurisdiction'!$E$50</f>
        <v>0</v>
      </c>
      <c r="Z44" s="275">
        <f>Z$19*'6-PlantJurisdiction'!$E$50</f>
        <v>0</v>
      </c>
      <c r="AA44" s="275">
        <f>AA$19*'6-PlantJurisdiction'!$E$50</f>
        <v>0</v>
      </c>
      <c r="AB44" s="275">
        <f>AB$19*'6-PlantJurisdiction'!$E$50</f>
        <v>0</v>
      </c>
      <c r="AC44" s="24">
        <f t="shared" si="6"/>
        <v>17654835969.595238</v>
      </c>
      <c r="AD44" s="91">
        <f t="shared" si="5"/>
        <v>206</v>
      </c>
    </row>
    <row r="45" spans="1:30">
      <c r="A45" s="91">
        <f t="shared" si="7"/>
        <v>207</v>
      </c>
      <c r="B45" s="378" t="s">
        <v>528</v>
      </c>
      <c r="C45" s="140">
        <f>'1-DRR Corrected'!$K$2</f>
        <v>2021</v>
      </c>
      <c r="D45" s="275">
        <f>D20*'6-PlantJurisdiction'!$E$37</f>
        <v>30208779.18568318</v>
      </c>
      <c r="E45" s="275">
        <f>E20*'6-PlantJurisdiction'!$E$37</f>
        <v>60922814.908862568</v>
      </c>
      <c r="F45" s="275">
        <f>F$20*'6-PlantJurisdiction'!$E$38</f>
        <v>274102837.83583355</v>
      </c>
      <c r="G45" s="275">
        <f>G$20*'6-PlantJurisdiction'!$E$38</f>
        <v>27209364.430000007</v>
      </c>
      <c r="H45" s="275">
        <f>H$20*'6-PlantJurisdiction'!$E$39</f>
        <v>3938142764.3774972</v>
      </c>
      <c r="I45" s="275">
        <f>I$20*'6-PlantJurisdiction'!$E$40</f>
        <v>2344176.9200000004</v>
      </c>
      <c r="J45" s="275">
        <f>J$20*'6-PlantJurisdiction'!$E$40</f>
        <v>30303177.449999996</v>
      </c>
      <c r="K45" s="275">
        <f>K$20*'6-PlantJurisdiction'!$E$41</f>
        <v>5393951855.509758</v>
      </c>
      <c r="L45" s="275">
        <f>L$20*'6-PlantJurisdiction'!$E$42</f>
        <v>4427099572.7191067</v>
      </c>
      <c r="M45" s="275">
        <f>M$20*'6-PlantJurisdiction'!$E$43</f>
        <v>1351068092.8923159</v>
      </c>
      <c r="N45" s="275">
        <f>N$20*'6-PlantJurisdiction'!$E$44</f>
        <v>2197044281.3581791</v>
      </c>
      <c r="O45" s="275">
        <f>O$20*'6-PlantJurisdiction'!$E$45</f>
        <v>0</v>
      </c>
      <c r="P45" s="275">
        <f>P$20*'6-PlantJurisdiction'!$E$45</f>
        <v>0</v>
      </c>
      <c r="Q45" s="275">
        <f>Q$20*'6-PlantJurisdiction'!$E$46</f>
        <v>0</v>
      </c>
      <c r="R45" s="275">
        <f>R$20*'6-PlantJurisdiction'!$E$46</f>
        <v>0</v>
      </c>
      <c r="S45" s="275">
        <f>S$20*'6-PlantJurisdiction'!$E$47</f>
        <v>0</v>
      </c>
      <c r="T45" s="275">
        <f>T$20*'6-PlantJurisdiction'!$E$47</f>
        <v>0</v>
      </c>
      <c r="U45" s="275">
        <f>U$20*'6-PlantJurisdiction'!$E$48</f>
        <v>0</v>
      </c>
      <c r="V45" s="275">
        <f>V$20*'6-PlantJurisdiction'!$E$48</f>
        <v>0</v>
      </c>
      <c r="W45" s="275">
        <f>W$20*'6-PlantJurisdiction'!$E$48</f>
        <v>0</v>
      </c>
      <c r="X45" s="275">
        <f>X$20*'6-PlantJurisdiction'!$E$49</f>
        <v>0</v>
      </c>
      <c r="Y45" s="275">
        <f>Y$20*'6-PlantJurisdiction'!$E$50</f>
        <v>0</v>
      </c>
      <c r="Z45" s="275">
        <f>Z$20*'6-PlantJurisdiction'!$E$50</f>
        <v>0</v>
      </c>
      <c r="AA45" s="275">
        <f>AA$20*'6-PlantJurisdiction'!$E$50</f>
        <v>0</v>
      </c>
      <c r="AB45" s="275">
        <f>AB$20*'6-PlantJurisdiction'!$E$50</f>
        <v>0</v>
      </c>
      <c r="AC45" s="24">
        <f t="shared" si="6"/>
        <v>17732397717.587234</v>
      </c>
      <c r="AD45" s="91">
        <f t="shared" si="5"/>
        <v>207</v>
      </c>
    </row>
    <row r="46" spans="1:30">
      <c r="A46" s="91">
        <f t="shared" si="7"/>
        <v>208</v>
      </c>
      <c r="B46" s="378" t="s">
        <v>529</v>
      </c>
      <c r="C46" s="140">
        <f>'1-DRR Corrected'!$K$2</f>
        <v>2021</v>
      </c>
      <c r="D46" s="275">
        <f>D$21*'6-PlantJurisdiction'!$E$37</f>
        <v>30410741.678506516</v>
      </c>
      <c r="E46" s="275">
        <f>E$21*'6-PlantJurisdiction'!$E$37</f>
        <v>60910105.789457247</v>
      </c>
      <c r="F46" s="275">
        <f>F$21*'6-PlantJurisdiction'!$E$38</f>
        <v>274478742.28666687</v>
      </c>
      <c r="G46" s="275">
        <f>G$21*'6-PlantJurisdiction'!$E$38</f>
        <v>25365224.049999997</v>
      </c>
      <c r="H46" s="275">
        <f>H$21*'6-PlantJurisdiction'!$E$39</f>
        <v>3944157867.8399973</v>
      </c>
      <c r="I46" s="275">
        <f>I$21*'6-PlantJurisdiction'!$E$40</f>
        <v>2398007.0499999998</v>
      </c>
      <c r="J46" s="275">
        <f>J$21*'6-PlantJurisdiction'!$E$40</f>
        <v>30280193.02</v>
      </c>
      <c r="K46" s="275">
        <f>K$21*'6-PlantJurisdiction'!$E$41</f>
        <v>5440011966.2579298</v>
      </c>
      <c r="L46" s="275">
        <f>L$21*'6-PlantJurisdiction'!$E$42</f>
        <v>4447829047.0382376</v>
      </c>
      <c r="M46" s="275">
        <f>M$21*'6-PlantJurisdiction'!$E$43</f>
        <v>1359775324.5757272</v>
      </c>
      <c r="N46" s="275">
        <f>N$21*'6-PlantJurisdiction'!$E$44</f>
        <v>2214723905.6530762</v>
      </c>
      <c r="O46" s="275">
        <f>O$21*'6-PlantJurisdiction'!$E$45</f>
        <v>0</v>
      </c>
      <c r="P46" s="275">
        <f>P$21*'6-PlantJurisdiction'!$E$45</f>
        <v>0</v>
      </c>
      <c r="Q46" s="275">
        <f>Q$21*'6-PlantJurisdiction'!$E$46</f>
        <v>0</v>
      </c>
      <c r="R46" s="275">
        <f>R$21*'6-PlantJurisdiction'!$E$46</f>
        <v>0</v>
      </c>
      <c r="S46" s="275">
        <f>S$21*'6-PlantJurisdiction'!$E$47</f>
        <v>0</v>
      </c>
      <c r="T46" s="275">
        <f>T$21*'6-PlantJurisdiction'!$E$47</f>
        <v>0</v>
      </c>
      <c r="U46" s="275">
        <f>U$21*'6-PlantJurisdiction'!$E$48</f>
        <v>0</v>
      </c>
      <c r="V46" s="275">
        <f>V$21*'6-PlantJurisdiction'!$E$48</f>
        <v>0</v>
      </c>
      <c r="W46" s="275">
        <f>W$21*'6-PlantJurisdiction'!$E$48</f>
        <v>0</v>
      </c>
      <c r="X46" s="275">
        <f>X$21*'6-PlantJurisdiction'!$E$49</f>
        <v>0</v>
      </c>
      <c r="Y46" s="275">
        <f>Y$21*'6-PlantJurisdiction'!$E$50</f>
        <v>0</v>
      </c>
      <c r="Z46" s="275">
        <f>Z$21*'6-PlantJurisdiction'!$E$50</f>
        <v>0</v>
      </c>
      <c r="AA46" s="275">
        <f>AA$21*'6-PlantJurisdiction'!$E$50</f>
        <v>0</v>
      </c>
      <c r="AB46" s="275">
        <f>AB$21*'6-PlantJurisdiction'!$E$50</f>
        <v>0</v>
      </c>
      <c r="AC46" s="24">
        <f t="shared" si="6"/>
        <v>17830341125.239601</v>
      </c>
      <c r="AD46" s="91">
        <f t="shared" si="5"/>
        <v>208</v>
      </c>
    </row>
    <row r="47" spans="1:30">
      <c r="A47" s="91">
        <f t="shared" si="7"/>
        <v>209</v>
      </c>
      <c r="B47" s="378" t="s">
        <v>530</v>
      </c>
      <c r="C47" s="140">
        <f>'1-DRR Corrected'!$K$2</f>
        <v>2021</v>
      </c>
      <c r="D47" s="275">
        <f>D$22*'6-PlantJurisdiction'!$E$37</f>
        <v>30562718.340166427</v>
      </c>
      <c r="E47" s="275">
        <f>E$22*'6-PlantJurisdiction'!$E$37</f>
        <v>60910117.603282616</v>
      </c>
      <c r="F47" s="275">
        <f>F$22*'6-PlantJurisdiction'!$E$38</f>
        <v>274737057.44750029</v>
      </c>
      <c r="G47" s="275">
        <f>G$22*'6-PlantJurisdiction'!$E$38</f>
        <v>25310835.25</v>
      </c>
      <c r="H47" s="275">
        <f>H$22*'6-PlantJurisdiction'!$E$39</f>
        <v>3950225170.4425006</v>
      </c>
      <c r="I47" s="275">
        <f>I$22*'6-PlantJurisdiction'!$E$40</f>
        <v>763525.55999999994</v>
      </c>
      <c r="J47" s="275">
        <f>J$22*'6-PlantJurisdiction'!$E$40</f>
        <v>30259421.949999996</v>
      </c>
      <c r="K47" s="275">
        <f>K$22*'6-PlantJurisdiction'!$E$41</f>
        <v>5500567038.6281471</v>
      </c>
      <c r="L47" s="275">
        <f>L$22*'6-PlantJurisdiction'!$E$42</f>
        <v>4475888717.2348747</v>
      </c>
      <c r="M47" s="275">
        <f>M$22*'6-PlantJurisdiction'!$E$43</f>
        <v>1372216765.5414817</v>
      </c>
      <c r="N47" s="275">
        <f>N$22*'6-PlantJurisdiction'!$E$44</f>
        <v>2237819747.3453031</v>
      </c>
      <c r="O47" s="275">
        <f>O$22*'6-PlantJurisdiction'!$E$45</f>
        <v>0</v>
      </c>
      <c r="P47" s="275">
        <f>P$22*'6-PlantJurisdiction'!$E$45</f>
        <v>0</v>
      </c>
      <c r="Q47" s="275">
        <f>Q$22*'6-PlantJurisdiction'!$E$46</f>
        <v>0</v>
      </c>
      <c r="R47" s="275">
        <f>R$22*'6-PlantJurisdiction'!$E$46</f>
        <v>0</v>
      </c>
      <c r="S47" s="275">
        <f>S$22*'6-PlantJurisdiction'!$E$47</f>
        <v>0</v>
      </c>
      <c r="T47" s="275">
        <f>T$22*'6-PlantJurisdiction'!$E$47</f>
        <v>0</v>
      </c>
      <c r="U47" s="275">
        <f>U$22*'6-PlantJurisdiction'!$E$48</f>
        <v>0</v>
      </c>
      <c r="V47" s="275">
        <f>V$22*'6-PlantJurisdiction'!$E$48</f>
        <v>0</v>
      </c>
      <c r="W47" s="275">
        <f>W$22*'6-PlantJurisdiction'!$E$48</f>
        <v>0</v>
      </c>
      <c r="X47" s="275">
        <f>X$22*'6-PlantJurisdiction'!$E$49</f>
        <v>0</v>
      </c>
      <c r="Y47" s="275">
        <f>Y$22*'6-PlantJurisdiction'!$E$50</f>
        <v>0</v>
      </c>
      <c r="Z47" s="275">
        <f>Z$22*'6-PlantJurisdiction'!$E$50</f>
        <v>0</v>
      </c>
      <c r="AA47" s="275">
        <f>AA$22*'6-PlantJurisdiction'!$E$50</f>
        <v>0</v>
      </c>
      <c r="AB47" s="275">
        <f>AB$22*'6-PlantJurisdiction'!$E$50</f>
        <v>0</v>
      </c>
      <c r="AC47" s="24">
        <f t="shared" si="6"/>
        <v>17959261115.343258</v>
      </c>
      <c r="AD47" s="91">
        <f t="shared" si="5"/>
        <v>209</v>
      </c>
    </row>
    <row r="48" spans="1:30">
      <c r="A48" s="91">
        <f t="shared" si="7"/>
        <v>210</v>
      </c>
      <c r="B48" s="378" t="s">
        <v>531</v>
      </c>
      <c r="C48" s="140">
        <f>'1-DRR Corrected'!$K$2</f>
        <v>2021</v>
      </c>
      <c r="D48" s="275">
        <f>D$23*'6-PlantJurisdiction'!$E$37</f>
        <v>30712311.038209185</v>
      </c>
      <c r="E48" s="275">
        <f>E$23*'6-PlantJurisdiction'!$E$37</f>
        <v>60910119.34346164</v>
      </c>
      <c r="F48" s="275">
        <f>F$23*'6-PlantJurisdiction'!$E$38</f>
        <v>276050093.32833344</v>
      </c>
      <c r="G48" s="275">
        <f>G$23*'6-PlantJurisdiction'!$E$38</f>
        <v>25214734.909999989</v>
      </c>
      <c r="H48" s="275">
        <f>H$23*'6-PlantJurisdiction'!$E$39</f>
        <v>3961449147.505002</v>
      </c>
      <c r="I48" s="275">
        <f>I$23*'6-PlantJurisdiction'!$E$40</f>
        <v>841548.88000000012</v>
      </c>
      <c r="J48" s="275">
        <f>J$23*'6-PlantJurisdiction'!$E$40</f>
        <v>30259421.949999999</v>
      </c>
      <c r="K48" s="275">
        <f>K$23*'6-PlantJurisdiction'!$E$41</f>
        <v>5545265929.6097183</v>
      </c>
      <c r="L48" s="275">
        <f>L$23*'6-PlantJurisdiction'!$E$42</f>
        <v>4491416480.1827717</v>
      </c>
      <c r="M48" s="275">
        <f>M$23*'6-PlantJurisdiction'!$E$43</f>
        <v>1381314909.7270422</v>
      </c>
      <c r="N48" s="275">
        <f>N$23*'6-PlantJurisdiction'!$E$44</f>
        <v>2251042077.9661388</v>
      </c>
      <c r="O48" s="275">
        <f>O$23*'6-PlantJurisdiction'!$E$45</f>
        <v>0</v>
      </c>
      <c r="P48" s="275">
        <f>P$23*'6-PlantJurisdiction'!$E$45</f>
        <v>0</v>
      </c>
      <c r="Q48" s="275">
        <f>Q$23*'6-PlantJurisdiction'!$E$46</f>
        <v>0</v>
      </c>
      <c r="R48" s="275">
        <f>R$23*'6-PlantJurisdiction'!$E$46</f>
        <v>0</v>
      </c>
      <c r="S48" s="275">
        <f>S$23*'6-PlantJurisdiction'!$E$47</f>
        <v>0</v>
      </c>
      <c r="T48" s="275">
        <f>T$23*'6-PlantJurisdiction'!$E$47</f>
        <v>0</v>
      </c>
      <c r="U48" s="275">
        <f>U$23*'6-PlantJurisdiction'!$E$48</f>
        <v>0</v>
      </c>
      <c r="V48" s="275">
        <f>V$23*'6-PlantJurisdiction'!$E$48</f>
        <v>0</v>
      </c>
      <c r="W48" s="275">
        <f>W$23*'6-PlantJurisdiction'!$E$48</f>
        <v>0</v>
      </c>
      <c r="X48" s="275">
        <f>X$23*'6-PlantJurisdiction'!$E$49</f>
        <v>0</v>
      </c>
      <c r="Y48" s="275">
        <f>Y$23*'6-PlantJurisdiction'!$E$50</f>
        <v>0</v>
      </c>
      <c r="Z48" s="275">
        <f>Z$23*'6-PlantJurisdiction'!$E$50</f>
        <v>0</v>
      </c>
      <c r="AA48" s="275">
        <f>AA$23*'6-PlantJurisdiction'!$E$50</f>
        <v>0</v>
      </c>
      <c r="AB48" s="275">
        <f>AB$23*'6-PlantJurisdiction'!$E$50</f>
        <v>0</v>
      </c>
      <c r="AC48" s="24">
        <f t="shared" si="6"/>
        <v>18054476774.440674</v>
      </c>
      <c r="AD48" s="91">
        <f t="shared" si="5"/>
        <v>210</v>
      </c>
    </row>
    <row r="49" spans="1:30">
      <c r="A49" s="91">
        <f t="shared" si="7"/>
        <v>211</v>
      </c>
      <c r="B49" s="378" t="s">
        <v>532</v>
      </c>
      <c r="C49" s="140">
        <f>'1-DRR Corrected'!$K$2</f>
        <v>2021</v>
      </c>
      <c r="D49" s="275">
        <f>D$24*'6-PlantJurisdiction'!$E$37</f>
        <v>30838186.907729678</v>
      </c>
      <c r="E49" s="275">
        <f>E$24*'6-PlantJurisdiction'!$E$37</f>
        <v>60910175.238420255</v>
      </c>
      <c r="F49" s="275">
        <f>F$24*'6-PlantJurisdiction'!$E$38</f>
        <v>276320659.17916679</v>
      </c>
      <c r="G49" s="275">
        <f>G$24*'6-PlantJurisdiction'!$E$38</f>
        <v>24753361.409999996</v>
      </c>
      <c r="H49" s="275">
        <f>H$24*'6-PlantJurisdiction'!$E$39</f>
        <v>3968076710.7075043</v>
      </c>
      <c r="I49" s="275">
        <f>I$24*'6-PlantJurisdiction'!$E$40</f>
        <v>848799.92999999993</v>
      </c>
      <c r="J49" s="275">
        <f>J$24*'6-PlantJurisdiction'!$E$40</f>
        <v>30056380.57</v>
      </c>
      <c r="K49" s="275">
        <f>K$24*'6-PlantJurisdiction'!$E$41</f>
        <v>5370941141.6663542</v>
      </c>
      <c r="L49" s="275">
        <f>L$24*'6-PlantJurisdiction'!$E$42</f>
        <v>4290376274.1282086</v>
      </c>
      <c r="M49" s="275">
        <f>M$24*'6-PlantJurisdiction'!$E$43</f>
        <v>1372293329.3248296</v>
      </c>
      <c r="N49" s="275">
        <f>N$24*'6-PlantJurisdiction'!$E$44</f>
        <v>2241624878.6765475</v>
      </c>
      <c r="O49" s="275">
        <f>O$24*'6-PlantJurisdiction'!$E$45</f>
        <v>0</v>
      </c>
      <c r="P49" s="275">
        <f>P$24*'6-PlantJurisdiction'!$E$45</f>
        <v>0</v>
      </c>
      <c r="Q49" s="275">
        <f>Q$24*'6-PlantJurisdiction'!$E$46</f>
        <v>0</v>
      </c>
      <c r="R49" s="275">
        <f>R$24*'6-PlantJurisdiction'!$E$46</f>
        <v>0</v>
      </c>
      <c r="S49" s="275">
        <f>S$24*'6-PlantJurisdiction'!$E$47</f>
        <v>0</v>
      </c>
      <c r="T49" s="275">
        <f>T$24*'6-PlantJurisdiction'!$E$47</f>
        <v>0</v>
      </c>
      <c r="U49" s="275">
        <f>U$24*'6-PlantJurisdiction'!$E$48</f>
        <v>0</v>
      </c>
      <c r="V49" s="275">
        <f>V$24*'6-PlantJurisdiction'!$E$48</f>
        <v>0</v>
      </c>
      <c r="W49" s="275">
        <f>W$24*'6-PlantJurisdiction'!$E$48</f>
        <v>0</v>
      </c>
      <c r="X49" s="275">
        <f>X$24*'6-PlantJurisdiction'!$E$49</f>
        <v>0</v>
      </c>
      <c r="Y49" s="275">
        <f>Y$24*'6-PlantJurisdiction'!$E$50</f>
        <v>0</v>
      </c>
      <c r="Z49" s="275">
        <f>Z$24*'6-PlantJurisdiction'!$E$50</f>
        <v>0</v>
      </c>
      <c r="AA49" s="275">
        <f>AA$24*'6-PlantJurisdiction'!$E$50</f>
        <v>0</v>
      </c>
      <c r="AB49" s="275">
        <f>AB$24*'6-PlantJurisdiction'!$E$50</f>
        <v>0</v>
      </c>
      <c r="AC49" s="24">
        <f t="shared" si="6"/>
        <v>17667039897.738762</v>
      </c>
      <c r="AD49" s="91">
        <f t="shared" si="5"/>
        <v>211</v>
      </c>
    </row>
    <row r="50" spans="1:30">
      <c r="A50" s="91">
        <f t="shared" si="7"/>
        <v>212</v>
      </c>
      <c r="B50" s="378" t="s">
        <v>520</v>
      </c>
      <c r="C50" s="140">
        <f>'1-DRR Corrected'!$K$2</f>
        <v>2021</v>
      </c>
      <c r="D50" s="275">
        <f>D$25*'6-PlantJurisdiction'!$E$37</f>
        <v>30345786.482033882</v>
      </c>
      <c r="E50" s="275">
        <f>E$25*'6-PlantJurisdiction'!$E$37</f>
        <v>61142138.801266536</v>
      </c>
      <c r="F50" s="275">
        <f>F$25*'6-PlantJurisdiction'!$E$38</f>
        <v>278198099.20000023</v>
      </c>
      <c r="G50" s="275">
        <f>G$25*'6-PlantJurisdiction'!$E$38</f>
        <v>24754226.169999987</v>
      </c>
      <c r="H50" s="275">
        <f>H$25*'6-PlantJurisdiction'!$E$39</f>
        <v>3992385140.6099925</v>
      </c>
      <c r="I50" s="275">
        <f>I$25*'6-PlantJurisdiction'!$E$40</f>
        <v>333686.91000000003</v>
      </c>
      <c r="J50" s="275">
        <f>J$25*'6-PlantJurisdiction'!$E$40</f>
        <v>30056380.57</v>
      </c>
      <c r="K50" s="275">
        <f>K$25*'6-PlantJurisdiction'!$E$41</f>
        <v>5506124047.7773066</v>
      </c>
      <c r="L50" s="275">
        <f>L$25*'6-PlantJurisdiction'!$E$42</f>
        <v>4331411669.289362</v>
      </c>
      <c r="M50" s="275">
        <f>M$25*'6-PlantJurisdiction'!$E$43</f>
        <v>1382601290.4388263</v>
      </c>
      <c r="N50" s="275">
        <f>N$25*'6-PlantJurisdiction'!$E$44</f>
        <v>2255425743.8117585</v>
      </c>
      <c r="O50" s="275">
        <f>O$25*'6-PlantJurisdiction'!$E$45</f>
        <v>0</v>
      </c>
      <c r="P50" s="275">
        <f>P$25*'6-PlantJurisdiction'!$E$45</f>
        <v>0</v>
      </c>
      <c r="Q50" s="275">
        <f>Q$25*'6-PlantJurisdiction'!$E$46</f>
        <v>0</v>
      </c>
      <c r="R50" s="275">
        <f>R$25*'6-PlantJurisdiction'!$E$46</f>
        <v>0</v>
      </c>
      <c r="S50" s="275">
        <f>S$25*'6-PlantJurisdiction'!$E$47</f>
        <v>0</v>
      </c>
      <c r="T50" s="275">
        <f>T$25*'6-PlantJurisdiction'!$E$47</f>
        <v>0</v>
      </c>
      <c r="U50" s="275">
        <f>U$25*'6-PlantJurisdiction'!$E$48</f>
        <v>0</v>
      </c>
      <c r="V50" s="275">
        <f>V$25*'6-PlantJurisdiction'!$E$48</f>
        <v>0</v>
      </c>
      <c r="W50" s="275">
        <f>W$25*'6-PlantJurisdiction'!$E$48</f>
        <v>0</v>
      </c>
      <c r="X50" s="275">
        <f>X$25*'6-PlantJurisdiction'!$E$49</f>
        <v>0</v>
      </c>
      <c r="Y50" s="275">
        <f>Y$25*'6-PlantJurisdiction'!$E$50</f>
        <v>0</v>
      </c>
      <c r="Z50" s="275">
        <f>Z$25*'6-PlantJurisdiction'!$E$50</f>
        <v>0</v>
      </c>
      <c r="AA50" s="275">
        <f>AA$25*'6-PlantJurisdiction'!$E$50</f>
        <v>0</v>
      </c>
      <c r="AB50" s="275">
        <f>AB$25*'6-PlantJurisdiction'!$E$50</f>
        <v>0</v>
      </c>
      <c r="AC50" s="24">
        <f t="shared" si="6"/>
        <v>17892778210.060547</v>
      </c>
      <c r="AD50" s="91">
        <f t="shared" si="5"/>
        <v>212</v>
      </c>
    </row>
    <row r="51" spans="1:30">
      <c r="A51" s="91">
        <f t="shared" si="7"/>
        <v>213</v>
      </c>
      <c r="B51" s="664" t="s">
        <v>813</v>
      </c>
      <c r="C51" s="488"/>
      <c r="D51" s="661">
        <f>SUM(D38:D50)/13</f>
        <v>30232830.410103302</v>
      </c>
      <c r="E51" s="661">
        <f t="shared" ref="E51:AC51" si="8">SUM(E38:E50)/13</f>
        <v>60932432.574120767</v>
      </c>
      <c r="F51" s="661">
        <f t="shared" si="8"/>
        <v>273297623.51423097</v>
      </c>
      <c r="G51" s="661">
        <f t="shared" si="8"/>
        <v>26497400.452307682</v>
      </c>
      <c r="H51" s="661">
        <f t="shared" si="8"/>
        <v>3914334479.3196154</v>
      </c>
      <c r="I51" s="661">
        <f t="shared" si="8"/>
        <v>1768078.932307692</v>
      </c>
      <c r="J51" s="661">
        <f t="shared" si="8"/>
        <v>30539955.803846154</v>
      </c>
      <c r="K51" s="661">
        <f t="shared" si="8"/>
        <v>5353895798.1925364</v>
      </c>
      <c r="L51" s="661">
        <f t="shared" si="8"/>
        <v>4370994513.1002874</v>
      </c>
      <c r="M51" s="661">
        <f t="shared" si="8"/>
        <v>1340730380.6317275</v>
      </c>
      <c r="N51" s="661">
        <f t="shared" si="8"/>
        <v>2176773381.9545603</v>
      </c>
      <c r="O51" s="661">
        <f t="shared" si="8"/>
        <v>0</v>
      </c>
      <c r="P51" s="661">
        <f t="shared" si="8"/>
        <v>0</v>
      </c>
      <c r="Q51" s="661">
        <f t="shared" si="8"/>
        <v>0</v>
      </c>
      <c r="R51" s="661">
        <f t="shared" si="8"/>
        <v>0</v>
      </c>
      <c r="S51" s="661">
        <f t="shared" si="8"/>
        <v>0</v>
      </c>
      <c r="T51" s="661">
        <f t="shared" si="8"/>
        <v>0</v>
      </c>
      <c r="U51" s="661">
        <f t="shared" si="8"/>
        <v>0</v>
      </c>
      <c r="V51" s="661">
        <f t="shared" si="8"/>
        <v>0</v>
      </c>
      <c r="W51" s="661">
        <f t="shared" si="8"/>
        <v>0</v>
      </c>
      <c r="X51" s="661">
        <f t="shared" si="8"/>
        <v>0</v>
      </c>
      <c r="Y51" s="661">
        <f t="shared" si="8"/>
        <v>0</v>
      </c>
      <c r="Z51" s="661">
        <f t="shared" si="8"/>
        <v>0</v>
      </c>
      <c r="AA51" s="661">
        <f t="shared" si="8"/>
        <v>0</v>
      </c>
      <c r="AB51" s="661">
        <f t="shared" si="8"/>
        <v>0</v>
      </c>
      <c r="AC51" s="661">
        <f t="shared" si="8"/>
        <v>17579996874.885643</v>
      </c>
      <c r="AD51" s="91">
        <f t="shared" si="5"/>
        <v>213</v>
      </c>
    </row>
    <row r="52" spans="1:30">
      <c r="A52" s="18"/>
      <c r="B52" s="8"/>
      <c r="C52" s="8"/>
      <c r="D52" s="8"/>
      <c r="E52" s="8"/>
      <c r="F52" s="8"/>
      <c r="G52" s="8"/>
      <c r="H52" s="8"/>
      <c r="I52" s="8"/>
      <c r="J52" s="8"/>
      <c r="K52" s="8"/>
      <c r="L52" s="8"/>
      <c r="M52" s="8"/>
      <c r="N52" s="8"/>
      <c r="O52" s="8"/>
      <c r="P52" s="8"/>
      <c r="Q52" s="8"/>
      <c r="AD52" s="91"/>
    </row>
    <row r="53" spans="1:30">
      <c r="A53" s="18"/>
      <c r="B53" s="8"/>
      <c r="C53" s="8"/>
      <c r="D53" s="8"/>
      <c r="E53" s="8"/>
      <c r="F53" s="8"/>
      <c r="G53" s="8"/>
      <c r="H53" s="8"/>
      <c r="I53" s="8"/>
      <c r="J53" s="8"/>
      <c r="K53" s="8"/>
      <c r="L53" s="8"/>
      <c r="M53" s="8"/>
      <c r="N53" s="8"/>
      <c r="O53" s="8"/>
      <c r="P53" s="8"/>
      <c r="Q53" s="8"/>
      <c r="AD53" s="91"/>
    </row>
    <row r="54" spans="1:30">
      <c r="B54" s="45" t="s">
        <v>841</v>
      </c>
      <c r="C54" s="45"/>
      <c r="D54" s="103"/>
      <c r="E54" s="103"/>
      <c r="F54" s="103"/>
      <c r="G54" s="103"/>
      <c r="H54" s="43"/>
      <c r="I54" s="103"/>
      <c r="J54" s="103"/>
      <c r="K54" s="103"/>
      <c r="L54" s="103"/>
      <c r="M54" s="103"/>
      <c r="N54" s="103"/>
      <c r="O54" s="103"/>
      <c r="P54" s="103"/>
      <c r="Q54" s="103"/>
      <c r="R54" s="43"/>
      <c r="S54" s="43"/>
      <c r="T54" s="43"/>
      <c r="U54" s="43"/>
      <c r="V54" s="43"/>
      <c r="W54" s="43"/>
      <c r="X54" s="43"/>
      <c r="Y54" s="43"/>
      <c r="Z54" s="43"/>
      <c r="AA54" s="43"/>
      <c r="AB54" s="43"/>
      <c r="AC54" s="43"/>
    </row>
    <row r="55" spans="1:30">
      <c r="B55" s="378" t="s">
        <v>815</v>
      </c>
      <c r="C55" s="2"/>
      <c r="D55" s="8"/>
      <c r="E55" s="8"/>
      <c r="I55" s="8"/>
      <c r="J55" s="8"/>
      <c r="K55" s="8"/>
      <c r="L55" s="8"/>
      <c r="M55" s="8"/>
      <c r="N55" s="8"/>
      <c r="O55" s="8"/>
      <c r="P55" s="8"/>
      <c r="Q55" s="8"/>
    </row>
    <row r="56" spans="1:30">
      <c r="C56" s="2"/>
      <c r="D56" s="8"/>
      <c r="E56" s="8"/>
      <c r="F56" s="8"/>
      <c r="G56" s="8"/>
      <c r="I56" s="8"/>
      <c r="J56" s="8"/>
      <c r="K56" s="8"/>
      <c r="L56" s="8"/>
      <c r="M56" s="8"/>
      <c r="N56" s="8"/>
      <c r="O56" s="8"/>
      <c r="P56" s="8"/>
      <c r="Q56" s="8"/>
    </row>
    <row r="57" spans="1:30">
      <c r="B57" s="378"/>
      <c r="C57" s="2"/>
      <c r="D57" s="8"/>
      <c r="E57" s="8"/>
      <c r="F57" s="8"/>
      <c r="G57" s="8"/>
      <c r="I57" s="8"/>
      <c r="J57" s="8"/>
      <c r="K57" s="8"/>
      <c r="L57" s="8"/>
      <c r="M57" s="8"/>
      <c r="N57" s="8"/>
      <c r="O57" s="8"/>
      <c r="P57" s="8"/>
      <c r="Q57" s="8"/>
    </row>
    <row r="58" spans="1:30">
      <c r="A58" s="4"/>
      <c r="D58" s="83" t="s">
        <v>122</v>
      </c>
      <c r="E58" s="83" t="s">
        <v>123</v>
      </c>
      <c r="F58" s="83" t="s">
        <v>124</v>
      </c>
      <c r="G58" s="83" t="s">
        <v>125</v>
      </c>
      <c r="H58" s="83" t="s">
        <v>490</v>
      </c>
      <c r="I58" s="83" t="s">
        <v>491</v>
      </c>
      <c r="J58" s="83" t="s">
        <v>492</v>
      </c>
      <c r="K58" s="83" t="s">
        <v>493</v>
      </c>
      <c r="L58" s="83" t="s">
        <v>494</v>
      </c>
      <c r="M58" s="83" t="s">
        <v>768</v>
      </c>
      <c r="N58" s="83" t="s">
        <v>769</v>
      </c>
      <c r="O58" s="83" t="s">
        <v>770</v>
      </c>
      <c r="P58" s="83" t="s">
        <v>771</v>
      </c>
      <c r="Q58" s="83" t="s">
        <v>772</v>
      </c>
      <c r="R58" s="83" t="s">
        <v>773</v>
      </c>
      <c r="S58" s="83" t="s">
        <v>774</v>
      </c>
      <c r="T58" s="83" t="s">
        <v>775</v>
      </c>
      <c r="U58" s="83" t="s">
        <v>776</v>
      </c>
      <c r="V58" s="83" t="s">
        <v>777</v>
      </c>
      <c r="W58" s="83" t="s">
        <v>778</v>
      </c>
      <c r="X58" s="83" t="s">
        <v>779</v>
      </c>
      <c r="Y58" s="83" t="s">
        <v>780</v>
      </c>
      <c r="Z58" s="83" t="s">
        <v>781</v>
      </c>
      <c r="AA58" s="83" t="s">
        <v>782</v>
      </c>
      <c r="AB58" s="83" t="s">
        <v>783</v>
      </c>
      <c r="AC58" s="83" t="s">
        <v>784</v>
      </c>
      <c r="AD58" s="91"/>
    </row>
    <row r="59" spans="1:30" ht="43.5">
      <c r="B59" s="4"/>
      <c r="C59" s="4"/>
      <c r="D59" s="380" t="s">
        <v>842</v>
      </c>
      <c r="E59" s="380" t="s">
        <v>843</v>
      </c>
      <c r="F59" s="380" t="s">
        <v>844</v>
      </c>
      <c r="G59" s="380" t="s">
        <v>845</v>
      </c>
      <c r="H59" s="380" t="s">
        <v>846</v>
      </c>
      <c r="I59" s="380" t="s">
        <v>847</v>
      </c>
      <c r="J59" s="380" t="s">
        <v>848</v>
      </c>
      <c r="K59" s="380" t="s">
        <v>849</v>
      </c>
      <c r="L59" s="380" t="s">
        <v>850</v>
      </c>
      <c r="M59" s="380" t="s">
        <v>851</v>
      </c>
      <c r="N59" s="380" t="s">
        <v>852</v>
      </c>
      <c r="O59" s="380" t="s">
        <v>853</v>
      </c>
      <c r="P59" s="380" t="s">
        <v>854</v>
      </c>
      <c r="Q59" s="380" t="s">
        <v>855</v>
      </c>
      <c r="R59" s="380" t="s">
        <v>856</v>
      </c>
      <c r="S59" s="380" t="s">
        <v>857</v>
      </c>
      <c r="T59" s="380" t="s">
        <v>858</v>
      </c>
      <c r="U59" s="380" t="s">
        <v>859</v>
      </c>
      <c r="V59" s="380" t="s">
        <v>860</v>
      </c>
      <c r="W59" s="380" t="s">
        <v>861</v>
      </c>
      <c r="X59" s="380" t="s">
        <v>862</v>
      </c>
      <c r="Y59" s="380" t="s">
        <v>863</v>
      </c>
      <c r="Z59" s="380" t="s">
        <v>864</v>
      </c>
      <c r="AA59" s="380" t="s">
        <v>865</v>
      </c>
      <c r="AB59" s="380" t="s">
        <v>866</v>
      </c>
      <c r="AC59" s="133" t="s">
        <v>785</v>
      </c>
      <c r="AD59" s="91"/>
    </row>
    <row r="60" spans="1:30">
      <c r="B60" s="4"/>
      <c r="C60" s="4"/>
      <c r="L60" s="107"/>
      <c r="R60" s="21"/>
      <c r="S60" s="21"/>
      <c r="T60" s="21"/>
      <c r="AC60" s="21"/>
      <c r="AD60" s="91"/>
    </row>
    <row r="61" spans="1:30">
      <c r="A61" s="91"/>
      <c r="B61" s="91"/>
      <c r="C61" s="90" t="s">
        <v>786</v>
      </c>
      <c r="D61" s="84">
        <v>360</v>
      </c>
      <c r="E61" s="84">
        <v>360</v>
      </c>
      <c r="F61" s="84">
        <v>361</v>
      </c>
      <c r="G61" s="84">
        <v>361</v>
      </c>
      <c r="H61" s="84">
        <v>362</v>
      </c>
      <c r="I61" s="84">
        <v>363</v>
      </c>
      <c r="J61" s="84">
        <v>363</v>
      </c>
      <c r="K61" s="84">
        <v>364</v>
      </c>
      <c r="L61" s="84">
        <v>365</v>
      </c>
      <c r="M61" s="84">
        <v>366</v>
      </c>
      <c r="N61" s="84">
        <v>367</v>
      </c>
      <c r="O61" s="84">
        <v>368</v>
      </c>
      <c r="P61" s="84">
        <v>368</v>
      </c>
      <c r="Q61" s="84">
        <v>369</v>
      </c>
      <c r="R61" s="84">
        <v>369</v>
      </c>
      <c r="S61" s="84">
        <v>370</v>
      </c>
      <c r="T61" s="84">
        <v>370</v>
      </c>
      <c r="U61" s="84">
        <v>371</v>
      </c>
      <c r="V61" s="84">
        <v>371</v>
      </c>
      <c r="W61" s="84">
        <v>371</v>
      </c>
      <c r="X61" s="84">
        <v>372</v>
      </c>
      <c r="Y61" s="84">
        <v>373</v>
      </c>
      <c r="Z61" s="84">
        <v>373</v>
      </c>
      <c r="AA61" s="84">
        <v>373</v>
      </c>
      <c r="AB61" s="84">
        <v>373</v>
      </c>
      <c r="AD61" s="91"/>
    </row>
    <row r="62" spans="1:30">
      <c r="A62" s="80" t="s">
        <v>90</v>
      </c>
      <c r="B62" s="80" t="s">
        <v>511</v>
      </c>
      <c r="C62" s="80" t="s">
        <v>512</v>
      </c>
      <c r="D62" s="83" t="s">
        <v>787</v>
      </c>
      <c r="E62" s="83" t="s">
        <v>788</v>
      </c>
      <c r="F62" s="83" t="s">
        <v>789</v>
      </c>
      <c r="G62" s="83" t="s">
        <v>790</v>
      </c>
      <c r="H62" s="83" t="s">
        <v>791</v>
      </c>
      <c r="I62" s="83" t="s">
        <v>792</v>
      </c>
      <c r="J62" s="83" t="s">
        <v>793</v>
      </c>
      <c r="K62" s="83" t="s">
        <v>794</v>
      </c>
      <c r="L62" s="83" t="s">
        <v>795</v>
      </c>
      <c r="M62" s="83" t="s">
        <v>796</v>
      </c>
      <c r="N62" s="83" t="s">
        <v>797</v>
      </c>
      <c r="O62" s="83" t="s">
        <v>798</v>
      </c>
      <c r="P62" s="83" t="s">
        <v>799</v>
      </c>
      <c r="Q62" s="83" t="s">
        <v>800</v>
      </c>
      <c r="R62" s="83" t="s">
        <v>801</v>
      </c>
      <c r="S62" s="83" t="s">
        <v>802</v>
      </c>
      <c r="T62" s="83" t="s">
        <v>803</v>
      </c>
      <c r="U62" s="83" t="s">
        <v>804</v>
      </c>
      <c r="V62" s="83" t="s">
        <v>805</v>
      </c>
      <c r="W62" s="83" t="s">
        <v>806</v>
      </c>
      <c r="X62" s="83" t="s">
        <v>807</v>
      </c>
      <c r="Y62" s="83" t="s">
        <v>808</v>
      </c>
      <c r="Z62" s="83" t="s">
        <v>809</v>
      </c>
      <c r="AA62" s="83" t="s">
        <v>810</v>
      </c>
      <c r="AB62" s="83" t="s">
        <v>811</v>
      </c>
      <c r="AC62" s="80" t="s">
        <v>534</v>
      </c>
      <c r="AD62" s="80" t="str">
        <f t="shared" ref="AD62:AD76" si="9">A62</f>
        <v>Line</v>
      </c>
    </row>
    <row r="63" spans="1:30">
      <c r="A63" s="91">
        <v>300</v>
      </c>
      <c r="B63" s="378" t="s">
        <v>520</v>
      </c>
      <c r="C63" s="140">
        <f>'1-DRR Corrected'!$K$2-1</f>
        <v>2020</v>
      </c>
      <c r="D63" s="275">
        <f>D$13*'6-PlantJurisdiction'!$F$37</f>
        <v>28959922.103861932</v>
      </c>
      <c r="E63" s="275">
        <f>E$13*'6-PlantJurisdiction'!$F$37</f>
        <v>58444894.585551478</v>
      </c>
      <c r="F63" s="275">
        <f>F$13*'6-PlantJurisdiction'!$F$38</f>
        <v>0</v>
      </c>
      <c r="G63" s="275">
        <f>G$13*'6-PlantJurisdiction'!$F$38</f>
        <v>0</v>
      </c>
      <c r="H63" s="275">
        <f>H$13*'6-PlantJurisdiction'!$F$39</f>
        <v>0</v>
      </c>
      <c r="I63" s="275">
        <f>I$13*'6-PlantJurisdiction'!$F$40</f>
        <v>0</v>
      </c>
      <c r="J63" s="275">
        <f>J$13*'6-PlantJurisdiction'!$F$40</f>
        <v>0</v>
      </c>
      <c r="K63" s="275">
        <f>K$13*'6-PlantJurisdiction'!$F$41</f>
        <v>1302930184.1275053</v>
      </c>
      <c r="L63" s="275">
        <f>L$13*'6-PlantJurisdiction'!$F$42</f>
        <v>1085617512.7045281</v>
      </c>
      <c r="M63" s="275">
        <f>M$13*'6-PlantJurisdiction'!$F$43</f>
        <v>2012590465.2625999</v>
      </c>
      <c r="N63" s="275">
        <f>N$13*'6-PlantJurisdiction'!$F$44</f>
        <v>3253839517.024323</v>
      </c>
      <c r="O63" s="275">
        <f>O$13*'6-PlantJurisdiction'!$F$45</f>
        <v>3284988870.4699988</v>
      </c>
      <c r="P63" s="275">
        <f>P$13*'6-PlantJurisdiction'!$F$45</f>
        <v>1226643037.5000005</v>
      </c>
      <c r="Q63" s="275">
        <f>Q$13*'6-PlantJurisdiction'!$F$46</f>
        <v>1018910382.6299996</v>
      </c>
      <c r="R63" s="275">
        <f>R$13*'6-PlantJurisdiction'!$F$46</f>
        <v>2738037764.0500011</v>
      </c>
      <c r="S63" s="275">
        <f>S$13*'6-PlantJurisdiction'!$F$47</f>
        <v>0</v>
      </c>
      <c r="T63" s="275">
        <f>T$13*'6-PlantJurisdiction'!$F$47</f>
        <v>0</v>
      </c>
      <c r="U63" s="275">
        <f>U$13*'6-PlantJurisdiction'!$F$48</f>
        <v>0</v>
      </c>
      <c r="V63" s="275">
        <f>V$13*'6-PlantJurisdiction'!$F$48</f>
        <v>0</v>
      </c>
      <c r="W63" s="275">
        <f>W$13*'6-PlantJurisdiction'!$F$48</f>
        <v>0</v>
      </c>
      <c r="X63" s="275">
        <f>X$13*'6-PlantJurisdiction'!$F$49</f>
        <v>0</v>
      </c>
      <c r="Y63" s="275">
        <f>Y$13*'6-PlantJurisdiction'!$F$50</f>
        <v>0</v>
      </c>
      <c r="Z63" s="275">
        <f>Z$13*'6-PlantJurisdiction'!$F$50</f>
        <v>0</v>
      </c>
      <c r="AA63" s="275">
        <f>AA$13*'6-PlantJurisdiction'!$F$50</f>
        <v>0</v>
      </c>
      <c r="AB63" s="275">
        <f>AB$13*'6-PlantJurisdiction'!$F$50</f>
        <v>0</v>
      </c>
      <c r="AC63" s="24">
        <f t="shared" ref="AC63:AC75" si="10">SUM(D63:AB63)</f>
        <v>16010962550.458368</v>
      </c>
      <c r="AD63" s="91">
        <f t="shared" si="9"/>
        <v>300</v>
      </c>
    </row>
    <row r="64" spans="1:30">
      <c r="A64" s="91">
        <f>A63+1</f>
        <v>301</v>
      </c>
      <c r="B64" s="378" t="s">
        <v>522</v>
      </c>
      <c r="C64" s="140">
        <f>'1-DRR Corrected'!$K$2</f>
        <v>2021</v>
      </c>
      <c r="D64" s="275">
        <f>D$14*'6-PlantJurisdiction'!$F$37</f>
        <v>29648783.921075806</v>
      </c>
      <c r="E64" s="275">
        <f>E$14*'6-PlantJurisdiction'!$F$37</f>
        <v>58442208.049273916</v>
      </c>
      <c r="F64" s="275">
        <f>F$14*'6-PlantJurisdiction'!$F$38</f>
        <v>0</v>
      </c>
      <c r="G64" s="275">
        <f>G$14*'6-PlantJurisdiction'!$F$38</f>
        <v>0</v>
      </c>
      <c r="H64" s="275">
        <f>H$14*'6-PlantJurisdiction'!$F$39</f>
        <v>0</v>
      </c>
      <c r="I64" s="275">
        <f>I$14*'6-PlantJurisdiction'!$F$40</f>
        <v>0</v>
      </c>
      <c r="J64" s="275">
        <f>J$14*'6-PlantJurisdiction'!$F$40</f>
        <v>0</v>
      </c>
      <c r="K64" s="275">
        <f>K$14*'6-PlantJurisdiction'!$F$41</f>
        <v>1310702534.1292248</v>
      </c>
      <c r="L64" s="275">
        <f>L$14*'6-PlantJurisdiction'!$F$42</f>
        <v>1085126374.1784573</v>
      </c>
      <c r="M64" s="275">
        <f>M$14*'6-PlantJurisdiction'!$F$43</f>
        <v>2023850660.1912706</v>
      </c>
      <c r="N64" s="275">
        <f>N$14*'6-PlantJurisdiction'!$F$44</f>
        <v>3268516460.2231541</v>
      </c>
      <c r="O64" s="275">
        <f>O$14*'6-PlantJurisdiction'!$F$45</f>
        <v>3300378192.389997</v>
      </c>
      <c r="P64" s="275">
        <f>P$14*'6-PlantJurisdiction'!$F$45</f>
        <v>1241039600.7600002</v>
      </c>
      <c r="Q64" s="275">
        <f>Q$14*'6-PlantJurisdiction'!$F$46</f>
        <v>1019554261.0524997</v>
      </c>
      <c r="R64" s="275">
        <f>R$14*'6-PlantJurisdiction'!$F$46</f>
        <v>2751980818.0075021</v>
      </c>
      <c r="S64" s="275">
        <f>S$14*'6-PlantJurisdiction'!$F$47</f>
        <v>0</v>
      </c>
      <c r="T64" s="275">
        <f>T$14*'6-PlantJurisdiction'!$F$47</f>
        <v>0</v>
      </c>
      <c r="U64" s="275">
        <f>U$14*'6-PlantJurisdiction'!$F$48</f>
        <v>0</v>
      </c>
      <c r="V64" s="275">
        <f>V$14*'6-PlantJurisdiction'!$F$48</f>
        <v>0</v>
      </c>
      <c r="W64" s="275">
        <f>W$14*'6-PlantJurisdiction'!$F$48</f>
        <v>0</v>
      </c>
      <c r="X64" s="275">
        <f>X$14*'6-PlantJurisdiction'!$F$49</f>
        <v>0</v>
      </c>
      <c r="Y64" s="275">
        <f>Y$14*'6-PlantJurisdiction'!$F$50</f>
        <v>0</v>
      </c>
      <c r="Z64" s="275">
        <f>Z$14*'6-PlantJurisdiction'!$F$50</f>
        <v>0</v>
      </c>
      <c r="AA64" s="275">
        <f>AA$14*'6-PlantJurisdiction'!$F$50</f>
        <v>0</v>
      </c>
      <c r="AB64" s="275">
        <f>AB$14*'6-PlantJurisdiction'!$F$50</f>
        <v>0</v>
      </c>
      <c r="AC64" s="24">
        <f t="shared" si="10"/>
        <v>16089239892.902454</v>
      </c>
      <c r="AD64" s="91">
        <f t="shared" si="9"/>
        <v>301</v>
      </c>
    </row>
    <row r="65" spans="1:30">
      <c r="A65" s="91">
        <f t="shared" ref="A65:A76" si="11">A64+1</f>
        <v>302</v>
      </c>
      <c r="B65" s="378" t="s">
        <v>523</v>
      </c>
      <c r="C65" s="140">
        <f>'1-DRR Corrected'!$K$2</f>
        <v>2021</v>
      </c>
      <c r="D65" s="275">
        <f>D$15*'6-PlantJurisdiction'!$F$37</f>
        <v>29628567.93639823</v>
      </c>
      <c r="E65" s="275">
        <f>E$15*'6-PlantJurisdiction'!$F$37</f>
        <v>58448084.741793051</v>
      </c>
      <c r="F65" s="275">
        <f>F$15*'6-PlantJurisdiction'!$F$38</f>
        <v>0</v>
      </c>
      <c r="G65" s="275">
        <f>G$15*'6-PlantJurisdiction'!$F$38</f>
        <v>0</v>
      </c>
      <c r="H65" s="275">
        <f>H$15*'6-PlantJurisdiction'!$F$39</f>
        <v>0</v>
      </c>
      <c r="I65" s="275">
        <f>I$15*'6-PlantJurisdiction'!$F$40</f>
        <v>0</v>
      </c>
      <c r="J65" s="275">
        <f>J$15*'6-PlantJurisdiction'!$F$40</f>
        <v>0</v>
      </c>
      <c r="K65" s="275">
        <f>K$15*'6-PlantJurisdiction'!$F$41</f>
        <v>1319484810.5114603</v>
      </c>
      <c r="L65" s="275">
        <f>L$15*'6-PlantJurisdiction'!$F$42</f>
        <v>1088450079.7624826</v>
      </c>
      <c r="M65" s="275">
        <f>M$15*'6-PlantJurisdiction'!$F$43</f>
        <v>2032780305.5515687</v>
      </c>
      <c r="N65" s="275">
        <f>N$15*'6-PlantJurisdiction'!$F$44</f>
        <v>3280365220.0322924</v>
      </c>
      <c r="O65" s="275">
        <f>O$15*'6-PlantJurisdiction'!$F$45</f>
        <v>3316932089.519999</v>
      </c>
      <c r="P65" s="275">
        <f>P$15*'6-PlantJurisdiction'!$F$45</f>
        <v>1259466671.0600004</v>
      </c>
      <c r="Q65" s="275">
        <f>Q$15*'6-PlantJurisdiction'!$F$46</f>
        <v>1021663388.2749999</v>
      </c>
      <c r="R65" s="275">
        <f>R$15*'6-PlantJurisdiction'!$F$46</f>
        <v>2761294753.1550016</v>
      </c>
      <c r="S65" s="275">
        <f>S$15*'6-PlantJurisdiction'!$F$47</f>
        <v>0</v>
      </c>
      <c r="T65" s="275">
        <f>T$15*'6-PlantJurisdiction'!$F$47</f>
        <v>0</v>
      </c>
      <c r="U65" s="275">
        <f>U$15*'6-PlantJurisdiction'!$F$48</f>
        <v>0</v>
      </c>
      <c r="V65" s="275">
        <f>V$15*'6-PlantJurisdiction'!$F$48</f>
        <v>0</v>
      </c>
      <c r="W65" s="275">
        <f>W$15*'6-PlantJurisdiction'!$F$48</f>
        <v>0</v>
      </c>
      <c r="X65" s="275">
        <f>X$15*'6-PlantJurisdiction'!$F$49</f>
        <v>0</v>
      </c>
      <c r="Y65" s="275">
        <f>Y$15*'6-PlantJurisdiction'!$F$50</f>
        <v>0</v>
      </c>
      <c r="Z65" s="275">
        <f>Z$15*'6-PlantJurisdiction'!$F$50</f>
        <v>0</v>
      </c>
      <c r="AA65" s="275">
        <f>AA$15*'6-PlantJurisdiction'!$F$50</f>
        <v>0</v>
      </c>
      <c r="AB65" s="275">
        <f>AB$15*'6-PlantJurisdiction'!$F$50</f>
        <v>0</v>
      </c>
      <c r="AC65" s="24">
        <f t="shared" si="10"/>
        <v>16168513970.545994</v>
      </c>
      <c r="AD65" s="91">
        <f t="shared" si="9"/>
        <v>302</v>
      </c>
    </row>
    <row r="66" spans="1:30">
      <c r="A66" s="91">
        <f t="shared" si="11"/>
        <v>303</v>
      </c>
      <c r="B66" s="378" t="s">
        <v>524</v>
      </c>
      <c r="C66" s="140">
        <f>'1-DRR Corrected'!$K$2</f>
        <v>2021</v>
      </c>
      <c r="D66" s="275">
        <f>D$16*'6-PlantJurisdiction'!$F$37</f>
        <v>27826855.453383613</v>
      </c>
      <c r="E66" s="275">
        <f>E$16*'6-PlantJurisdiction'!$F$37</f>
        <v>58460545.376810968</v>
      </c>
      <c r="F66" s="275">
        <f>F$16*'6-PlantJurisdiction'!$F$38</f>
        <v>0</v>
      </c>
      <c r="G66" s="275">
        <f>G$16*'6-PlantJurisdiction'!$F$38</f>
        <v>0</v>
      </c>
      <c r="H66" s="275">
        <f>H$16*'6-PlantJurisdiction'!$F$39</f>
        <v>0</v>
      </c>
      <c r="I66" s="275">
        <f>I$16*'6-PlantJurisdiction'!$F$40</f>
        <v>0</v>
      </c>
      <c r="J66" s="275">
        <f>J$16*'6-PlantJurisdiction'!$F$40</f>
        <v>0</v>
      </c>
      <c r="K66" s="275">
        <f>K$16*'6-PlantJurisdiction'!$F$41</f>
        <v>1330751046.2802913</v>
      </c>
      <c r="L66" s="275">
        <f>L$16*'6-PlantJurisdiction'!$F$42</f>
        <v>1095465052.5570033</v>
      </c>
      <c r="M66" s="275">
        <f>M$16*'6-PlantJurisdiction'!$F$43</f>
        <v>2057128367.0394046</v>
      </c>
      <c r="N66" s="275">
        <f>N$16*'6-PlantJurisdiction'!$F$44</f>
        <v>3328567264.0317478</v>
      </c>
      <c r="O66" s="275">
        <f>O$16*'6-PlantJurisdiction'!$F$45</f>
        <v>3386113905.409997</v>
      </c>
      <c r="P66" s="275">
        <f>P$16*'6-PlantJurisdiction'!$F$45</f>
        <v>1277177144.2300005</v>
      </c>
      <c r="Q66" s="275">
        <f>Q$16*'6-PlantJurisdiction'!$F$46</f>
        <v>1027838764.5774996</v>
      </c>
      <c r="R66" s="275">
        <f>R$16*'6-PlantJurisdiction'!$F$46</f>
        <v>2771787355.5725036</v>
      </c>
      <c r="S66" s="275">
        <f>S$16*'6-PlantJurisdiction'!$F$47</f>
        <v>0</v>
      </c>
      <c r="T66" s="275">
        <f>T$16*'6-PlantJurisdiction'!$F$47</f>
        <v>0</v>
      </c>
      <c r="U66" s="275">
        <f>U$16*'6-PlantJurisdiction'!$F$48</f>
        <v>0</v>
      </c>
      <c r="V66" s="275">
        <f>V$16*'6-PlantJurisdiction'!$F$48</f>
        <v>0</v>
      </c>
      <c r="W66" s="275">
        <f>W$16*'6-PlantJurisdiction'!$F$48</f>
        <v>0</v>
      </c>
      <c r="X66" s="275">
        <f>X$16*'6-PlantJurisdiction'!$F$49</f>
        <v>0</v>
      </c>
      <c r="Y66" s="275">
        <f>Y$16*'6-PlantJurisdiction'!$F$50</f>
        <v>0</v>
      </c>
      <c r="Z66" s="275">
        <f>Z$16*'6-PlantJurisdiction'!$F$50</f>
        <v>0</v>
      </c>
      <c r="AA66" s="275">
        <f>AA$16*'6-PlantJurisdiction'!$F$50</f>
        <v>0</v>
      </c>
      <c r="AB66" s="275">
        <f>AB$16*'6-PlantJurisdiction'!$F$50</f>
        <v>0</v>
      </c>
      <c r="AC66" s="24">
        <f t="shared" si="10"/>
        <v>16361116300.528643</v>
      </c>
      <c r="AD66" s="91">
        <f t="shared" si="9"/>
        <v>303</v>
      </c>
    </row>
    <row r="67" spans="1:30">
      <c r="A67" s="91">
        <f t="shared" si="11"/>
        <v>304</v>
      </c>
      <c r="B67" s="378" t="s">
        <v>525</v>
      </c>
      <c r="C67" s="140">
        <f>'1-DRR Corrected'!$K$2</f>
        <v>2021</v>
      </c>
      <c r="D67" s="275">
        <f>D$17*'6-PlantJurisdiction'!$F$37</f>
        <v>27971992.511135012</v>
      </c>
      <c r="E67" s="275">
        <f>E$17*'6-PlantJurisdiction'!$F$37</f>
        <v>58460545.02423878</v>
      </c>
      <c r="F67" s="275">
        <f>F$17*'6-PlantJurisdiction'!$F$38</f>
        <v>0</v>
      </c>
      <c r="G67" s="275">
        <f>G$17*'6-PlantJurisdiction'!$F$38</f>
        <v>0</v>
      </c>
      <c r="H67" s="275">
        <f>H$17*'6-PlantJurisdiction'!$F$39</f>
        <v>0</v>
      </c>
      <c r="I67" s="275">
        <f>I$17*'6-PlantJurisdiction'!$F$40</f>
        <v>0</v>
      </c>
      <c r="J67" s="275">
        <f>J$17*'6-PlantJurisdiction'!$F$40</f>
        <v>0</v>
      </c>
      <c r="K67" s="275">
        <f>K$17*'6-PlantJurisdiction'!$F$41</f>
        <v>1343932488.2311471</v>
      </c>
      <c r="L67" s="275">
        <f>L$17*'6-PlantJurisdiction'!$F$42</f>
        <v>1100983906.1354835</v>
      </c>
      <c r="M67" s="275">
        <f>M$17*'6-PlantJurisdiction'!$F$43</f>
        <v>2067153709.7516694</v>
      </c>
      <c r="N67" s="275">
        <f>N$17*'6-PlantJurisdiction'!$F$44</f>
        <v>3347979476.2989945</v>
      </c>
      <c r="O67" s="275">
        <f>O$17*'6-PlantJurisdiction'!$F$45</f>
        <v>3415166773.1399961</v>
      </c>
      <c r="P67" s="275">
        <f>P$17*'6-PlantJurisdiction'!$F$45</f>
        <v>1296932614.0399995</v>
      </c>
      <c r="Q67" s="275">
        <f>Q$17*'6-PlantJurisdiction'!$F$46</f>
        <v>1032284313.9599997</v>
      </c>
      <c r="R67" s="275">
        <f>R$17*'6-PlantJurisdiction'!$F$46</f>
        <v>2786933038.4300013</v>
      </c>
      <c r="S67" s="275">
        <f>S$17*'6-PlantJurisdiction'!$F$47</f>
        <v>0</v>
      </c>
      <c r="T67" s="275">
        <f>T$17*'6-PlantJurisdiction'!$F$47</f>
        <v>0</v>
      </c>
      <c r="U67" s="275">
        <f>U$17*'6-PlantJurisdiction'!$F$48</f>
        <v>0</v>
      </c>
      <c r="V67" s="275">
        <f>V$17*'6-PlantJurisdiction'!$F$48</f>
        <v>0</v>
      </c>
      <c r="W67" s="275">
        <f>W$17*'6-PlantJurisdiction'!$F$48</f>
        <v>0</v>
      </c>
      <c r="X67" s="275">
        <f>X$17*'6-PlantJurisdiction'!$F$49</f>
        <v>0</v>
      </c>
      <c r="Y67" s="275">
        <f>Y$17*'6-PlantJurisdiction'!$F$50</f>
        <v>0</v>
      </c>
      <c r="Z67" s="275">
        <f>Z$17*'6-PlantJurisdiction'!$F$50</f>
        <v>0</v>
      </c>
      <c r="AA67" s="275">
        <f>AA$17*'6-PlantJurisdiction'!$F$50</f>
        <v>0</v>
      </c>
      <c r="AB67" s="275">
        <f>AB$17*'6-PlantJurisdiction'!$F$50</f>
        <v>0</v>
      </c>
      <c r="AC67" s="24">
        <f t="shared" si="10"/>
        <v>16477798857.522663</v>
      </c>
      <c r="AD67" s="91">
        <f t="shared" si="9"/>
        <v>304</v>
      </c>
    </row>
    <row r="68" spans="1:30">
      <c r="A68" s="91">
        <f t="shared" si="11"/>
        <v>305</v>
      </c>
      <c r="B68" s="378" t="s">
        <v>526</v>
      </c>
      <c r="C68" s="140">
        <f>'1-DRR Corrected'!$K$2</f>
        <v>2021</v>
      </c>
      <c r="D68" s="275">
        <f>D$18*'6-PlantJurisdiction'!$F$37</f>
        <v>28634384.052070934</v>
      </c>
      <c r="E68" s="275">
        <f>E$18*'6-PlantJurisdiction'!$F$37</f>
        <v>58459613.822375447</v>
      </c>
      <c r="F68" s="275">
        <f>F$18*'6-PlantJurisdiction'!$F$38</f>
        <v>0</v>
      </c>
      <c r="G68" s="275">
        <f>G$18*'6-PlantJurisdiction'!$F$38</f>
        <v>0</v>
      </c>
      <c r="H68" s="275">
        <f>H$18*'6-PlantJurisdiction'!$F$39</f>
        <v>0</v>
      </c>
      <c r="I68" s="275">
        <f>I$18*'6-PlantJurisdiction'!$F$40</f>
        <v>0</v>
      </c>
      <c r="J68" s="275">
        <f>J$18*'6-PlantJurisdiction'!$F$40</f>
        <v>0</v>
      </c>
      <c r="K68" s="275">
        <f>K$18*'6-PlantJurisdiction'!$F$41</f>
        <v>1352211906.5152755</v>
      </c>
      <c r="L68" s="275">
        <f>L$18*'6-PlantJurisdiction'!$F$42</f>
        <v>1107001281.3678074</v>
      </c>
      <c r="M68" s="275">
        <f>M$18*'6-PlantJurisdiction'!$F$43</f>
        <v>2079644774.0340555</v>
      </c>
      <c r="N68" s="275">
        <f>N$18*'6-PlantJurisdiction'!$F$44</f>
        <v>3367489243.3097725</v>
      </c>
      <c r="O68" s="275">
        <f>O$18*'6-PlantJurisdiction'!$F$45</f>
        <v>3446257934.0699978</v>
      </c>
      <c r="P68" s="275">
        <f>P$18*'6-PlantJurisdiction'!$F$45</f>
        <v>1312358538.2799993</v>
      </c>
      <c r="Q68" s="275">
        <f>Q$18*'6-PlantJurisdiction'!$F$46</f>
        <v>1036899567.8425001</v>
      </c>
      <c r="R68" s="275">
        <f>R$18*'6-PlantJurisdiction'!$F$46</f>
        <v>2800028146.8574996</v>
      </c>
      <c r="S68" s="275">
        <f>S$18*'6-PlantJurisdiction'!$F$47</f>
        <v>0</v>
      </c>
      <c r="T68" s="275">
        <f>T$18*'6-PlantJurisdiction'!$F$47</f>
        <v>0</v>
      </c>
      <c r="U68" s="275">
        <f>U$18*'6-PlantJurisdiction'!$F$48</f>
        <v>0</v>
      </c>
      <c r="V68" s="275">
        <f>V$18*'6-PlantJurisdiction'!$F$48</f>
        <v>0</v>
      </c>
      <c r="W68" s="275">
        <f>W$18*'6-PlantJurisdiction'!$F$48</f>
        <v>0</v>
      </c>
      <c r="X68" s="275">
        <f>X$18*'6-PlantJurisdiction'!$F$49</f>
        <v>0</v>
      </c>
      <c r="Y68" s="275">
        <f>Y$18*'6-PlantJurisdiction'!$F$50</f>
        <v>0</v>
      </c>
      <c r="Z68" s="275">
        <f>Z$18*'6-PlantJurisdiction'!$F$50</f>
        <v>0</v>
      </c>
      <c r="AA68" s="275">
        <f>AA$18*'6-PlantJurisdiction'!$F$50</f>
        <v>0</v>
      </c>
      <c r="AB68" s="275">
        <f>AB$18*'6-PlantJurisdiction'!$F$50</f>
        <v>0</v>
      </c>
      <c r="AC68" s="24">
        <f t="shared" si="10"/>
        <v>16588985390.151356</v>
      </c>
      <c r="AD68" s="91">
        <f t="shared" si="9"/>
        <v>305</v>
      </c>
    </row>
    <row r="69" spans="1:30">
      <c r="A69" s="91">
        <f t="shared" si="11"/>
        <v>306</v>
      </c>
      <c r="B69" s="378" t="s">
        <v>812</v>
      </c>
      <c r="C69" s="140">
        <f>'1-DRR Corrected'!$K$2</f>
        <v>2021</v>
      </c>
      <c r="D69" s="275">
        <f>D$19*'6-PlantJurisdiction'!$F$37</f>
        <v>28789241.358060546</v>
      </c>
      <c r="E69" s="275">
        <f>E$19*'6-PlantJurisdiction'!$F$37</f>
        <v>58459613.881137468</v>
      </c>
      <c r="F69" s="275">
        <f>F$19*'6-PlantJurisdiction'!$F$38</f>
        <v>0</v>
      </c>
      <c r="G69" s="275">
        <f>G$19*'6-PlantJurisdiction'!$F$38</f>
        <v>0</v>
      </c>
      <c r="H69" s="275">
        <f>H$19*'6-PlantJurisdiction'!$F$39</f>
        <v>0</v>
      </c>
      <c r="I69" s="275">
        <f>I$19*'6-PlantJurisdiction'!$F$40</f>
        <v>0</v>
      </c>
      <c r="J69" s="275">
        <f>J$19*'6-PlantJurisdiction'!$F$40</f>
        <v>0</v>
      </c>
      <c r="K69" s="275">
        <f>K$19*'6-PlantJurisdiction'!$F$41</f>
        <v>1356632070.3338552</v>
      </c>
      <c r="L69" s="275">
        <f>L$19*'6-PlantJurisdiction'!$F$42</f>
        <v>1114177590.7730789</v>
      </c>
      <c r="M69" s="275">
        <f>M$19*'6-PlantJurisdiction'!$F$43</f>
        <v>2103248337.7822056</v>
      </c>
      <c r="N69" s="275">
        <f>N$19*'6-PlantJurisdiction'!$F$44</f>
        <v>3411488008.3914328</v>
      </c>
      <c r="O69" s="275">
        <f>O$19*'6-PlantJurisdiction'!$F$45</f>
        <v>3478714558.7699952</v>
      </c>
      <c r="P69" s="275">
        <f>P$19*'6-PlantJurisdiction'!$F$45</f>
        <v>1335543847.2899995</v>
      </c>
      <c r="Q69" s="275">
        <f>Q$19*'6-PlantJurisdiction'!$F$46</f>
        <v>1040945101.4950001</v>
      </c>
      <c r="R69" s="275">
        <f>R$19*'6-PlantJurisdiction'!$F$46</f>
        <v>2817143221.2849998</v>
      </c>
      <c r="S69" s="275">
        <f>S$19*'6-PlantJurisdiction'!$F$47</f>
        <v>0</v>
      </c>
      <c r="T69" s="275">
        <f>T$19*'6-PlantJurisdiction'!$F$47</f>
        <v>0</v>
      </c>
      <c r="U69" s="275">
        <f>U$19*'6-PlantJurisdiction'!$F$48</f>
        <v>0</v>
      </c>
      <c r="V69" s="275">
        <f>V$19*'6-PlantJurisdiction'!$F$48</f>
        <v>0</v>
      </c>
      <c r="W69" s="275">
        <f>W$19*'6-PlantJurisdiction'!$F$48</f>
        <v>0</v>
      </c>
      <c r="X69" s="275">
        <f>X$19*'6-PlantJurisdiction'!$F$49</f>
        <v>0</v>
      </c>
      <c r="Y69" s="275">
        <f>Y$19*'6-PlantJurisdiction'!$F$50</f>
        <v>0</v>
      </c>
      <c r="Z69" s="275">
        <f>Z$19*'6-PlantJurisdiction'!$F$50</f>
        <v>0</v>
      </c>
      <c r="AA69" s="275">
        <f>AA$19*'6-PlantJurisdiction'!$F$50</f>
        <v>0</v>
      </c>
      <c r="AB69" s="275">
        <f>AB$19*'6-PlantJurisdiction'!$F$50</f>
        <v>0</v>
      </c>
      <c r="AC69" s="24">
        <f t="shared" si="10"/>
        <v>16745141591.359766</v>
      </c>
      <c r="AD69" s="91">
        <f t="shared" si="9"/>
        <v>306</v>
      </c>
    </row>
    <row r="70" spans="1:30">
      <c r="A70" s="91">
        <f t="shared" si="11"/>
        <v>307</v>
      </c>
      <c r="B70" s="378" t="s">
        <v>528</v>
      </c>
      <c r="C70" s="140">
        <f>'1-DRR Corrected'!$K$2</f>
        <v>2021</v>
      </c>
      <c r="D70" s="275">
        <f>D$20*'6-PlantJurisdiction'!$F$37</f>
        <v>28987392.8126502</v>
      </c>
      <c r="E70" s="545">
        <f>E20*'6-PlantJurisdiction'!$F$37</f>
        <v>58459613.881137468</v>
      </c>
      <c r="F70" s="275">
        <f>F$20*'6-PlantJurisdiction'!$F$38</f>
        <v>0</v>
      </c>
      <c r="G70" s="275">
        <f>G$20*'6-PlantJurisdiction'!$F$38</f>
        <v>0</v>
      </c>
      <c r="H70" s="275">
        <f>H$20*'6-PlantJurisdiction'!$F$39</f>
        <v>0</v>
      </c>
      <c r="I70" s="275">
        <f>I$20*'6-PlantJurisdiction'!$F$40</f>
        <v>0</v>
      </c>
      <c r="J70" s="275">
        <f>J$20*'6-PlantJurisdiction'!$F$40</f>
        <v>0</v>
      </c>
      <c r="K70" s="275">
        <f>K$20*'6-PlantJurisdiction'!$F$41</f>
        <v>1363962388.4377429</v>
      </c>
      <c r="L70" s="275">
        <f>L$20*'6-PlantJurisdiction'!$F$42</f>
        <v>1119475566.1175625</v>
      </c>
      <c r="M70" s="275">
        <f>M$20*'6-PlantJurisdiction'!$F$43</f>
        <v>2108905077.3926852</v>
      </c>
      <c r="N70" s="275">
        <f>N$20*'6-PlantJurisdiction'!$F$44</f>
        <v>3429403643.3751521</v>
      </c>
      <c r="O70" s="275">
        <f>O$20*'6-PlantJurisdiction'!$F$45</f>
        <v>3499442652.0899978</v>
      </c>
      <c r="P70" s="275">
        <f>P$20*'6-PlantJurisdiction'!$F$45</f>
        <v>1350841186.8900008</v>
      </c>
      <c r="Q70" s="275">
        <f>Q$20*'6-PlantJurisdiction'!$F$46</f>
        <v>1027150260.3975003</v>
      </c>
      <c r="R70" s="275">
        <f>R$20*'6-PlantJurisdiction'!$F$46</f>
        <v>2822811481.1624999</v>
      </c>
      <c r="S70" s="275">
        <f>S$20*'6-PlantJurisdiction'!$F$47</f>
        <v>0</v>
      </c>
      <c r="T70" s="275">
        <f>T$20*'6-PlantJurisdiction'!$F$47</f>
        <v>0</v>
      </c>
      <c r="U70" s="275">
        <f>U$20*'6-PlantJurisdiction'!$F$48</f>
        <v>0</v>
      </c>
      <c r="V70" s="275">
        <f>V$20*'6-PlantJurisdiction'!$F$48</f>
        <v>0</v>
      </c>
      <c r="W70" s="275">
        <f>W$20*'6-PlantJurisdiction'!$F$48</f>
        <v>0</v>
      </c>
      <c r="X70" s="275">
        <f>X$20*'6-PlantJurisdiction'!$F$49</f>
        <v>0</v>
      </c>
      <c r="Y70" s="275">
        <f>Y$20*'6-PlantJurisdiction'!$F$50</f>
        <v>0</v>
      </c>
      <c r="Z70" s="275">
        <f>Z$20*'6-PlantJurisdiction'!$F$50</f>
        <v>0</v>
      </c>
      <c r="AA70" s="275">
        <f>AA$20*'6-PlantJurisdiction'!$F$50</f>
        <v>0</v>
      </c>
      <c r="AB70" s="275">
        <f>AB$20*'6-PlantJurisdiction'!$F$50</f>
        <v>0</v>
      </c>
      <c r="AC70" s="24">
        <f t="shared" si="10"/>
        <v>16809439262.556931</v>
      </c>
      <c r="AD70" s="91">
        <f t="shared" si="9"/>
        <v>307</v>
      </c>
    </row>
    <row r="71" spans="1:30">
      <c r="A71" s="91">
        <f t="shared" si="11"/>
        <v>308</v>
      </c>
      <c r="B71" s="378" t="s">
        <v>529</v>
      </c>
      <c r="C71" s="140">
        <f>'1-DRR Corrected'!$K$2</f>
        <v>2021</v>
      </c>
      <c r="D71" s="275">
        <f>D$21*'6-PlantJurisdiction'!$F$37</f>
        <v>29181189.65816015</v>
      </c>
      <c r="E71" s="275">
        <f>E$21*'6-PlantJurisdiction'!$F$37</f>
        <v>58447418.610542774</v>
      </c>
      <c r="F71" s="275">
        <f>F$21*'6-PlantJurisdiction'!$F$38</f>
        <v>0</v>
      </c>
      <c r="G71" s="275">
        <f>G$21*'6-PlantJurisdiction'!$F$38</f>
        <v>0</v>
      </c>
      <c r="H71" s="275">
        <f>H$21*'6-PlantJurisdiction'!$F$39</f>
        <v>0</v>
      </c>
      <c r="I71" s="275">
        <f>I$21*'6-PlantJurisdiction'!$F$40</f>
        <v>0</v>
      </c>
      <c r="J71" s="275">
        <f>J$21*'6-PlantJurisdiction'!$F$40</f>
        <v>0</v>
      </c>
      <c r="K71" s="275">
        <f>K$21*'6-PlantJurisdiction'!$F$41</f>
        <v>1375609555.5520749</v>
      </c>
      <c r="L71" s="275">
        <f>L$21*'6-PlantJurisdiction'!$F$42</f>
        <v>1124717404.3950956</v>
      </c>
      <c r="M71" s="275">
        <f>M$21*'6-PlantJurisdiction'!$F$43</f>
        <v>2122496342.8542728</v>
      </c>
      <c r="N71" s="275">
        <f>N$21*'6-PlantJurisdiction'!$F$44</f>
        <v>3457000068.4835911</v>
      </c>
      <c r="O71" s="275">
        <f>O$21*'6-PlantJurisdiction'!$F$45</f>
        <v>3525531736.6800013</v>
      </c>
      <c r="P71" s="275">
        <f>P$21*'6-PlantJurisdiction'!$F$45</f>
        <v>1367037868.8599992</v>
      </c>
      <c r="Q71" s="275">
        <f>Q$21*'6-PlantJurisdiction'!$F$46</f>
        <v>1032600927.7900004</v>
      </c>
      <c r="R71" s="275">
        <f>R$21*'6-PlantJurisdiction'!$F$46</f>
        <v>2836373408.4099998</v>
      </c>
      <c r="S71" s="275">
        <f>S$21*'6-PlantJurisdiction'!$F$47</f>
        <v>0</v>
      </c>
      <c r="T71" s="275">
        <f>T$21*'6-PlantJurisdiction'!$F$47</f>
        <v>0</v>
      </c>
      <c r="U71" s="275">
        <f>U$21*'6-PlantJurisdiction'!$F$48</f>
        <v>0</v>
      </c>
      <c r="V71" s="275">
        <f>V$21*'6-PlantJurisdiction'!$F$48</f>
        <v>0</v>
      </c>
      <c r="W71" s="275">
        <f>W$21*'6-PlantJurisdiction'!$F$48</f>
        <v>0</v>
      </c>
      <c r="X71" s="275">
        <f>X$21*'6-PlantJurisdiction'!$F$49</f>
        <v>0</v>
      </c>
      <c r="Y71" s="275">
        <f>Y$21*'6-PlantJurisdiction'!$F$50</f>
        <v>0</v>
      </c>
      <c r="Z71" s="275">
        <f>Z$21*'6-PlantJurisdiction'!$F$50</f>
        <v>0</v>
      </c>
      <c r="AA71" s="275">
        <f>AA$21*'6-PlantJurisdiction'!$F$50</f>
        <v>0</v>
      </c>
      <c r="AB71" s="275">
        <f>AB$21*'6-PlantJurisdiction'!$F$50</f>
        <v>0</v>
      </c>
      <c r="AC71" s="24">
        <f t="shared" si="10"/>
        <v>16928995921.293737</v>
      </c>
      <c r="AD71" s="91">
        <f t="shared" si="9"/>
        <v>308</v>
      </c>
    </row>
    <row r="72" spans="1:30">
      <c r="A72" s="91">
        <f t="shared" si="11"/>
        <v>309</v>
      </c>
      <c r="B72" s="378" t="s">
        <v>530</v>
      </c>
      <c r="C72" s="140">
        <f>'1-DRR Corrected'!$K$2</f>
        <v>2021</v>
      </c>
      <c r="D72" s="275">
        <f>D$22*'6-PlantJurisdiction'!$F$37</f>
        <v>29327021.674833596</v>
      </c>
      <c r="E72" s="275">
        <f>E$22*'6-PlantJurisdiction'!$F$37</f>
        <v>58447429.946717411</v>
      </c>
      <c r="F72" s="275">
        <f>F$22*'6-PlantJurisdiction'!$F$38</f>
        <v>0</v>
      </c>
      <c r="G72" s="275">
        <f>G$22*'6-PlantJurisdiction'!$F$38</f>
        <v>0</v>
      </c>
      <c r="H72" s="275">
        <f>H$22*'6-PlantJurisdiction'!$F$39</f>
        <v>0</v>
      </c>
      <c r="I72" s="275">
        <f>I$22*'6-PlantJurisdiction'!$F$40</f>
        <v>0</v>
      </c>
      <c r="J72" s="275">
        <f>J$22*'6-PlantJurisdiction'!$F$40</f>
        <v>0</v>
      </c>
      <c r="K72" s="275">
        <f>K$22*'6-PlantJurisdiction'!$F$41</f>
        <v>1390922046.9043539</v>
      </c>
      <c r="L72" s="275">
        <f>L$22*'6-PlantJurisdiction'!$F$42</f>
        <v>1131812820.8551233</v>
      </c>
      <c r="M72" s="275">
        <f>M$22*'6-PlantJurisdiction'!$F$43</f>
        <v>2141916398.8535175</v>
      </c>
      <c r="N72" s="275">
        <f>N$22*'6-PlantJurisdiction'!$F$44</f>
        <v>3493050759.0946951</v>
      </c>
      <c r="O72" s="275">
        <f>O$22*'6-PlantJurisdiction'!$F$45</f>
        <v>3548006263.71</v>
      </c>
      <c r="P72" s="275">
        <f>P$22*'6-PlantJurisdiction'!$F$45</f>
        <v>1383512290.9599993</v>
      </c>
      <c r="Q72" s="275">
        <f>Q$22*'6-PlantJurisdiction'!$F$46</f>
        <v>1026902892.1825005</v>
      </c>
      <c r="R72" s="275">
        <f>R$22*'6-PlantJurisdiction'!$F$46</f>
        <v>2848673581.4575019</v>
      </c>
      <c r="S72" s="275">
        <f>S$22*'6-PlantJurisdiction'!$F$47</f>
        <v>0</v>
      </c>
      <c r="T72" s="275">
        <f>T$22*'6-PlantJurisdiction'!$F$47</f>
        <v>0</v>
      </c>
      <c r="U72" s="275">
        <f>U$22*'6-PlantJurisdiction'!$F$48</f>
        <v>0</v>
      </c>
      <c r="V72" s="275">
        <f>V$22*'6-PlantJurisdiction'!$F$48</f>
        <v>0</v>
      </c>
      <c r="W72" s="275">
        <f>W$22*'6-PlantJurisdiction'!$F$48</f>
        <v>0</v>
      </c>
      <c r="X72" s="275">
        <f>X$22*'6-PlantJurisdiction'!$F$49</f>
        <v>0</v>
      </c>
      <c r="Y72" s="275">
        <f>Y$22*'6-PlantJurisdiction'!$F$50</f>
        <v>0</v>
      </c>
      <c r="Z72" s="275">
        <f>Z$22*'6-PlantJurisdiction'!$F$50</f>
        <v>0</v>
      </c>
      <c r="AA72" s="275">
        <f>AA$22*'6-PlantJurisdiction'!$F$50</f>
        <v>0</v>
      </c>
      <c r="AB72" s="275">
        <f>AB$22*'6-PlantJurisdiction'!$F$50</f>
        <v>0</v>
      </c>
      <c r="AC72" s="24">
        <f t="shared" si="10"/>
        <v>17052571505.639244</v>
      </c>
      <c r="AD72" s="91">
        <f t="shared" si="9"/>
        <v>309</v>
      </c>
    </row>
    <row r="73" spans="1:30">
      <c r="A73" s="91">
        <f t="shared" si="11"/>
        <v>310</v>
      </c>
      <c r="B73" s="378" t="s">
        <v>531</v>
      </c>
      <c r="C73" s="140">
        <f>'1-DRR Corrected'!$K$2</f>
        <v>2021</v>
      </c>
      <c r="D73" s="275">
        <f>D$23*'6-PlantJurisdiction'!$F$37</f>
        <v>29470566.115124144</v>
      </c>
      <c r="E73" s="275">
        <f>E$23*'6-PlantJurisdiction'!$F$37</f>
        <v>58447431.616538383</v>
      </c>
      <c r="F73" s="275">
        <f>F$23*'6-PlantJurisdiction'!$F$38</f>
        <v>0</v>
      </c>
      <c r="G73" s="275">
        <f>G$23*'6-PlantJurisdiction'!$F$38</f>
        <v>0</v>
      </c>
      <c r="H73" s="275">
        <f>H$23*'6-PlantJurisdiction'!$F$39</f>
        <v>0</v>
      </c>
      <c r="I73" s="275">
        <f>I$23*'6-PlantJurisdiction'!$F$40</f>
        <v>0</v>
      </c>
      <c r="J73" s="275">
        <f>J$23*'6-PlantJurisdiction'!$F$40</f>
        <v>0</v>
      </c>
      <c r="K73" s="275">
        <f>K$23*'6-PlantJurisdiction'!$F$41</f>
        <v>1402225003.945297</v>
      </c>
      <c r="L73" s="275">
        <f>L$23*'6-PlantJurisdiction'!$F$42</f>
        <v>1135739308.3738937</v>
      </c>
      <c r="M73" s="275">
        <f>M$23*'6-PlantJurisdiction'!$F$43</f>
        <v>2156117846.2629547</v>
      </c>
      <c r="N73" s="275">
        <f>N$23*'6-PlantJurisdiction'!$F$44</f>
        <v>3513689718.9871984</v>
      </c>
      <c r="O73" s="275">
        <f>O$23*'6-PlantJurisdiction'!$F$45</f>
        <v>3571224935.4100013</v>
      </c>
      <c r="P73" s="275">
        <f>P$23*'6-PlantJurisdiction'!$F$45</f>
        <v>1400387754.6299996</v>
      </c>
      <c r="Q73" s="275">
        <f>Q$23*'6-PlantJurisdiction'!$F$46</f>
        <v>1029224558.2749999</v>
      </c>
      <c r="R73" s="275">
        <f>R$23*'6-PlantJurisdiction'!$F$46</f>
        <v>2859612087.8450012</v>
      </c>
      <c r="S73" s="275">
        <f>S$23*'6-PlantJurisdiction'!$F$47</f>
        <v>0</v>
      </c>
      <c r="T73" s="275">
        <f>T$23*'6-PlantJurisdiction'!$F$47</f>
        <v>0</v>
      </c>
      <c r="U73" s="275">
        <f>U$23*'6-PlantJurisdiction'!$F$48</f>
        <v>0</v>
      </c>
      <c r="V73" s="275">
        <f>V$23*'6-PlantJurisdiction'!$F$48</f>
        <v>0</v>
      </c>
      <c r="W73" s="275">
        <f>W$23*'6-PlantJurisdiction'!$F$48</f>
        <v>0</v>
      </c>
      <c r="X73" s="275">
        <f>X$23*'6-PlantJurisdiction'!$F$49</f>
        <v>0</v>
      </c>
      <c r="Y73" s="275">
        <f>Y$23*'6-PlantJurisdiction'!$F$50</f>
        <v>0</v>
      </c>
      <c r="Z73" s="275">
        <f>Z$23*'6-PlantJurisdiction'!$F$50</f>
        <v>0</v>
      </c>
      <c r="AA73" s="275">
        <f>AA$23*'6-PlantJurisdiction'!$F$50</f>
        <v>0</v>
      </c>
      <c r="AB73" s="275">
        <f>AB$23*'6-PlantJurisdiction'!$F$50</f>
        <v>0</v>
      </c>
      <c r="AC73" s="24">
        <f t="shared" si="10"/>
        <v>17156139211.461008</v>
      </c>
      <c r="AD73" s="91">
        <f t="shared" si="9"/>
        <v>310</v>
      </c>
    </row>
    <row r="74" spans="1:30">
      <c r="A74" s="91">
        <f t="shared" si="11"/>
        <v>311</v>
      </c>
      <c r="B74" s="378" t="s">
        <v>532</v>
      </c>
      <c r="C74" s="140">
        <f>'1-DRR Corrected'!$K$2</f>
        <v>2021</v>
      </c>
      <c r="D74" s="275">
        <f>D$24*'6-PlantJurisdiction'!$F$37</f>
        <v>29591352.633936979</v>
      </c>
      <c r="E74" s="275">
        <f>E$24*'6-PlantJurisdiction'!$F$37</f>
        <v>58447485.251579754</v>
      </c>
      <c r="F74" s="275">
        <f>F$24*'6-PlantJurisdiction'!$F$38</f>
        <v>0</v>
      </c>
      <c r="G74" s="275">
        <f>G$24*'6-PlantJurisdiction'!$F$38</f>
        <v>0</v>
      </c>
      <c r="H74" s="275">
        <f>H$24*'6-PlantJurisdiction'!$F$39</f>
        <v>0</v>
      </c>
      <c r="I74" s="275">
        <f>I$24*'6-PlantJurisdiction'!$F$40</f>
        <v>0</v>
      </c>
      <c r="J74" s="275">
        <f>J$24*'6-PlantJurisdiction'!$F$40</f>
        <v>0</v>
      </c>
      <c r="K74" s="275">
        <f>K$24*'6-PlantJurisdiction'!$F$41</f>
        <v>1358143695.7511468</v>
      </c>
      <c r="L74" s="275">
        <f>L$24*'6-PlantJurisdiction'!$F$42</f>
        <v>1084902503.195127</v>
      </c>
      <c r="M74" s="275">
        <f>M$24*'6-PlantJurisdiction'!$F$43</f>
        <v>2142035908.560168</v>
      </c>
      <c r="N74" s="275">
        <f>N$24*'6-PlantJurisdiction'!$F$44</f>
        <v>3498990253.0601163</v>
      </c>
      <c r="O74" s="275">
        <f>O$24*'6-PlantJurisdiction'!$F$45</f>
        <v>3546529307.8499994</v>
      </c>
      <c r="P74" s="275">
        <f>P$24*'6-PlantJurisdiction'!$F$45</f>
        <v>1410861326.6600001</v>
      </c>
      <c r="Q74" s="275">
        <f>Q$24*'6-PlantJurisdiction'!$F$46</f>
        <v>1025124086.0774999</v>
      </c>
      <c r="R74" s="275">
        <f>R$24*'6-PlantJurisdiction'!$F$46</f>
        <v>2865592302.8425007</v>
      </c>
      <c r="S74" s="275">
        <f>S$24*'6-PlantJurisdiction'!$F$47</f>
        <v>0</v>
      </c>
      <c r="T74" s="275">
        <f>T$24*'6-PlantJurisdiction'!$F$47</f>
        <v>0</v>
      </c>
      <c r="U74" s="275">
        <f>U$24*'6-PlantJurisdiction'!$F$48</f>
        <v>0</v>
      </c>
      <c r="V74" s="275">
        <f>V$24*'6-PlantJurisdiction'!$F$48</f>
        <v>0</v>
      </c>
      <c r="W74" s="275">
        <f>W$24*'6-PlantJurisdiction'!$F$48</f>
        <v>0</v>
      </c>
      <c r="X74" s="275">
        <f>X$24*'6-PlantJurisdiction'!$F$49</f>
        <v>0</v>
      </c>
      <c r="Y74" s="275">
        <f>Y$24*'6-PlantJurisdiction'!$F$50</f>
        <v>0</v>
      </c>
      <c r="Z74" s="275">
        <f>Z$24*'6-PlantJurisdiction'!$F$50</f>
        <v>0</v>
      </c>
      <c r="AA74" s="275">
        <f>AA$24*'6-PlantJurisdiction'!$F$50</f>
        <v>0</v>
      </c>
      <c r="AB74" s="275">
        <f>AB$24*'6-PlantJurisdiction'!$F$50</f>
        <v>0</v>
      </c>
      <c r="AC74" s="24">
        <f t="shared" si="10"/>
        <v>17020218221.882074</v>
      </c>
      <c r="AD74" s="91">
        <f t="shared" si="9"/>
        <v>311</v>
      </c>
    </row>
    <row r="75" spans="1:30">
      <c r="A75" s="91">
        <f t="shared" si="11"/>
        <v>312</v>
      </c>
      <c r="B75" s="378" t="s">
        <v>520</v>
      </c>
      <c r="C75" s="140">
        <f>'1-DRR Corrected'!$K$2</f>
        <v>2021</v>
      </c>
      <c r="D75" s="275">
        <f>D$25*'6-PlantJurisdiction'!$F$37</f>
        <v>29118860.697966103</v>
      </c>
      <c r="E75" s="275">
        <f>E$25*'6-PlantJurisdiction'!$F$37</f>
        <v>58670070.178733438</v>
      </c>
      <c r="F75" s="275">
        <f>F$25*'6-PlantJurisdiction'!$F$38</f>
        <v>0</v>
      </c>
      <c r="G75" s="275">
        <f>G$25*'6-PlantJurisdiction'!$F$38</f>
        <v>0</v>
      </c>
      <c r="H75" s="275">
        <f>H$25*'6-PlantJurisdiction'!$F$39</f>
        <v>0</v>
      </c>
      <c r="I75" s="275">
        <f>I$25*'6-PlantJurisdiction'!$F$40</f>
        <v>0</v>
      </c>
      <c r="J75" s="275">
        <f>J$25*'6-PlantJurisdiction'!$F$40</f>
        <v>0</v>
      </c>
      <c r="K75" s="275">
        <f>K$25*'6-PlantJurisdiction'!$F$41</f>
        <v>1392327241.4026909</v>
      </c>
      <c r="L75" s="275">
        <f>L$25*'6-PlantJurisdiction'!$F$42</f>
        <v>1095279076.2706394</v>
      </c>
      <c r="M75" s="275">
        <f>M$25*'6-PlantJurisdiction'!$F$43</f>
        <v>2158125779.711175</v>
      </c>
      <c r="N75" s="275">
        <f>N$25*'6-PlantJurisdiction'!$F$44</f>
        <v>3520532257.2782393</v>
      </c>
      <c r="O75" s="275">
        <f>O$25*'6-PlantJurisdiction'!$F$45</f>
        <v>3573807357.6999989</v>
      </c>
      <c r="P75" s="275">
        <f>P$25*'6-PlantJurisdiction'!$F$45</f>
        <v>1431524018.4900002</v>
      </c>
      <c r="Q75" s="275">
        <f>Q$25*'6-PlantJurisdiction'!$F$46</f>
        <v>1030954038.3700004</v>
      </c>
      <c r="R75" s="275">
        <f>R$25*'6-PlantJurisdiction'!$F$46</f>
        <v>2879007578.7600017</v>
      </c>
      <c r="S75" s="275">
        <f>S$25*'6-PlantJurisdiction'!$F$47</f>
        <v>0</v>
      </c>
      <c r="T75" s="275">
        <f>T$25*'6-PlantJurisdiction'!$F$47</f>
        <v>0</v>
      </c>
      <c r="U75" s="275">
        <f>U$25*'6-PlantJurisdiction'!$F$48</f>
        <v>0</v>
      </c>
      <c r="V75" s="275">
        <f>V$25*'6-PlantJurisdiction'!$F$48</f>
        <v>0</v>
      </c>
      <c r="W75" s="275">
        <f>W$25*'6-PlantJurisdiction'!$F$48</f>
        <v>0</v>
      </c>
      <c r="X75" s="275">
        <f>X$25*'6-PlantJurisdiction'!$F$49</f>
        <v>0</v>
      </c>
      <c r="Y75" s="275">
        <f>Y$25*'6-PlantJurisdiction'!$F$50</f>
        <v>0</v>
      </c>
      <c r="Z75" s="275">
        <f>Z$25*'6-PlantJurisdiction'!$F$50</f>
        <v>0</v>
      </c>
      <c r="AA75" s="275">
        <f>AA$25*'6-PlantJurisdiction'!$F$50</f>
        <v>0</v>
      </c>
      <c r="AB75" s="275">
        <f>AB$25*'6-PlantJurisdiction'!$F$50</f>
        <v>0</v>
      </c>
      <c r="AC75" s="24">
        <f t="shared" si="10"/>
        <v>17169346278.859446</v>
      </c>
      <c r="AD75" s="91">
        <f t="shared" si="9"/>
        <v>312</v>
      </c>
    </row>
    <row r="76" spans="1:30">
      <c r="A76" s="91">
        <f t="shared" si="11"/>
        <v>313</v>
      </c>
      <c r="B76" s="664" t="s">
        <v>813</v>
      </c>
      <c r="C76" s="488"/>
      <c r="D76" s="661">
        <f>SUM(D63:D75)/13</f>
        <v>29010471.609896712</v>
      </c>
      <c r="E76" s="661">
        <f t="shared" ref="E76:AC76" si="12">SUM(E63:E75)/13</f>
        <v>58468842.689725414</v>
      </c>
      <c r="F76" s="661">
        <f t="shared" si="12"/>
        <v>0</v>
      </c>
      <c r="G76" s="661">
        <f t="shared" si="12"/>
        <v>0</v>
      </c>
      <c r="H76" s="661">
        <f t="shared" si="12"/>
        <v>0</v>
      </c>
      <c r="I76" s="661">
        <f t="shared" si="12"/>
        <v>0</v>
      </c>
      <c r="J76" s="661">
        <f t="shared" si="12"/>
        <v>0</v>
      </c>
      <c r="K76" s="661">
        <f t="shared" si="12"/>
        <v>1353833459.3940048</v>
      </c>
      <c r="L76" s="661">
        <f t="shared" si="12"/>
        <v>1105288344.3604834</v>
      </c>
      <c r="M76" s="661">
        <f t="shared" si="12"/>
        <v>2092768767.1728883</v>
      </c>
      <c r="N76" s="661">
        <f t="shared" si="12"/>
        <v>3397762453.0454397</v>
      </c>
      <c r="O76" s="661">
        <f t="shared" si="12"/>
        <v>3453314967.4776907</v>
      </c>
      <c r="P76" s="661">
        <f t="shared" si="12"/>
        <v>1330255838.4346151</v>
      </c>
      <c r="Q76" s="661">
        <f t="shared" si="12"/>
        <v>1028465580.2249999</v>
      </c>
      <c r="R76" s="661">
        <f t="shared" si="12"/>
        <v>2810713502.9103851</v>
      </c>
      <c r="S76" s="661">
        <f t="shared" si="12"/>
        <v>0</v>
      </c>
      <c r="T76" s="661">
        <f t="shared" si="12"/>
        <v>0</v>
      </c>
      <c r="U76" s="661">
        <f t="shared" si="12"/>
        <v>0</v>
      </c>
      <c r="V76" s="661">
        <f t="shared" si="12"/>
        <v>0</v>
      </c>
      <c r="W76" s="661">
        <f t="shared" si="12"/>
        <v>0</v>
      </c>
      <c r="X76" s="661">
        <f t="shared" si="12"/>
        <v>0</v>
      </c>
      <c r="Y76" s="661">
        <f t="shared" si="12"/>
        <v>0</v>
      </c>
      <c r="Z76" s="661">
        <f t="shared" si="12"/>
        <v>0</v>
      </c>
      <c r="AA76" s="661">
        <f t="shared" si="12"/>
        <v>0</v>
      </c>
      <c r="AB76" s="661">
        <f t="shared" si="12"/>
        <v>0</v>
      </c>
      <c r="AC76" s="661">
        <f t="shared" si="12"/>
        <v>16659882227.320129</v>
      </c>
      <c r="AD76" s="91">
        <f t="shared" si="9"/>
        <v>313</v>
      </c>
    </row>
    <row r="77" spans="1:30">
      <c r="A77" s="91"/>
      <c r="B77" s="381"/>
      <c r="C77" s="38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D77" s="91"/>
    </row>
    <row r="78" spans="1:30">
      <c r="A78" s="91"/>
      <c r="B78" s="381"/>
      <c r="C78" s="38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D78" s="91"/>
    </row>
    <row r="79" spans="1:30">
      <c r="B79" s="45" t="s">
        <v>867</v>
      </c>
      <c r="C79" s="45"/>
      <c r="D79" s="103"/>
      <c r="E79" s="103"/>
      <c r="F79" s="103"/>
      <c r="G79" s="103"/>
      <c r="H79" s="103"/>
      <c r="I79" s="43"/>
      <c r="J79" s="43"/>
      <c r="K79" s="43"/>
      <c r="L79" s="103"/>
      <c r="M79" s="103"/>
      <c r="N79" s="103"/>
      <c r="O79" s="103"/>
      <c r="P79" s="103"/>
      <c r="Q79" s="103"/>
      <c r="R79" s="43"/>
      <c r="S79" s="43"/>
      <c r="T79" s="43"/>
      <c r="U79" s="43"/>
      <c r="V79" s="43"/>
      <c r="W79" s="43"/>
      <c r="X79" s="43"/>
      <c r="Y79" s="43"/>
      <c r="Z79" s="43"/>
      <c r="AA79" s="43"/>
      <c r="AB79" s="43"/>
      <c r="AC79" s="43"/>
    </row>
    <row r="80" spans="1:30">
      <c r="B80" s="378" t="s">
        <v>868</v>
      </c>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8"/>
      <c r="AB80" s="378"/>
      <c r="AC80" s="378"/>
    </row>
    <row r="81" spans="1:30">
      <c r="B81" s="378"/>
      <c r="C81" s="378"/>
      <c r="D81" s="378"/>
      <c r="E81" s="378"/>
      <c r="F81" s="378"/>
      <c r="G81" s="378"/>
      <c r="H81" s="378"/>
      <c r="I81" s="378"/>
      <c r="J81" s="378"/>
      <c r="K81" s="378"/>
      <c r="L81" s="378"/>
      <c r="M81" s="378"/>
      <c r="N81" s="378"/>
      <c r="O81" s="378"/>
      <c r="P81" s="378"/>
      <c r="Q81" s="378"/>
      <c r="R81" s="378"/>
      <c r="S81" s="378"/>
      <c r="T81" s="378"/>
      <c r="U81" s="378"/>
      <c r="V81" s="378"/>
      <c r="W81" s="378"/>
      <c r="X81" s="378"/>
      <c r="Y81" s="378"/>
      <c r="Z81" s="378"/>
      <c r="AA81" s="378"/>
      <c r="AB81" s="378"/>
      <c r="AC81" s="378"/>
    </row>
    <row r="82" spans="1:30">
      <c r="A82" s="4"/>
      <c r="D82" s="83" t="s">
        <v>122</v>
      </c>
      <c r="E82" s="83" t="s">
        <v>123</v>
      </c>
      <c r="F82" s="83" t="s">
        <v>124</v>
      </c>
      <c r="G82" s="83"/>
      <c r="H82" s="83"/>
      <c r="I82" s="83"/>
      <c r="J82" s="83"/>
      <c r="K82" s="83"/>
      <c r="L82" s="83"/>
      <c r="M82" s="83"/>
      <c r="N82" s="83"/>
      <c r="O82" s="83"/>
      <c r="P82" s="83"/>
      <c r="AC82" s="91"/>
      <c r="AD82"/>
    </row>
    <row r="83" spans="1:30" ht="43.5">
      <c r="B83" s="91"/>
      <c r="C83" s="91"/>
      <c r="D83" s="100" t="s">
        <v>101</v>
      </c>
      <c r="E83" s="133" t="s">
        <v>869</v>
      </c>
      <c r="F83" s="133" t="s">
        <v>870</v>
      </c>
      <c r="AC83" s="91"/>
      <c r="AD83"/>
    </row>
    <row r="84" spans="1:30">
      <c r="B84" s="91"/>
      <c r="C84" s="91"/>
      <c r="D84" s="100"/>
      <c r="E84" s="100"/>
      <c r="AC84" s="91"/>
      <c r="AD84"/>
    </row>
    <row r="85" spans="1:30">
      <c r="B85" s="91"/>
      <c r="C85" s="91"/>
      <c r="D85" s="84" t="s">
        <v>871</v>
      </c>
      <c r="E85" s="4" t="s">
        <v>505</v>
      </c>
      <c r="F85" s="4" t="s">
        <v>536</v>
      </c>
      <c r="AC85" s="91"/>
      <c r="AD85"/>
    </row>
    <row r="86" spans="1:30" ht="29">
      <c r="A86" s="80" t="s">
        <v>90</v>
      </c>
      <c r="B86" s="80" t="s">
        <v>511</v>
      </c>
      <c r="C86" s="80" t="s">
        <v>512</v>
      </c>
      <c r="D86" s="382" t="s">
        <v>872</v>
      </c>
      <c r="E86" s="3" t="s">
        <v>737</v>
      </c>
      <c r="F86" s="3" t="s">
        <v>737</v>
      </c>
      <c r="G86" s="83"/>
      <c r="H86" s="83"/>
      <c r="I86" s="83"/>
      <c r="J86" s="83"/>
      <c r="K86" s="83"/>
      <c r="L86" s="83"/>
      <c r="M86" s="83"/>
      <c r="N86" s="83"/>
      <c r="O86" s="83"/>
      <c r="P86" s="80"/>
      <c r="AD86" s="80" t="str">
        <f>A86</f>
        <v>Line</v>
      </c>
    </row>
    <row r="87" spans="1:30">
      <c r="A87" s="91">
        <v>400</v>
      </c>
      <c r="B87" s="378" t="s">
        <v>520</v>
      </c>
      <c r="C87" s="140">
        <f>'1-DRR Corrected'!$K$2-1</f>
        <v>2020</v>
      </c>
      <c r="D87" s="272">
        <v>1027405415.9300002</v>
      </c>
      <c r="E87" s="121">
        <f>$D87*'6-PlantJurisdiction'!E$85</f>
        <v>499927545.26414639</v>
      </c>
      <c r="F87" s="121">
        <f>$D87*'6-PlantJurisdiction'!F$85</f>
        <v>479714722.77515143</v>
      </c>
      <c r="G87" s="111" t="str">
        <f>"See RY"&amp;'1-DRR Corrected'!K1-1&amp;" Model, 7-PlantInService, L. 401, col 1"</f>
        <v>See RY2022 Model, 7-PlantInService, L. 401, col 1</v>
      </c>
      <c r="H87" s="111"/>
      <c r="I87" s="111"/>
      <c r="J87" s="111"/>
      <c r="K87" s="111"/>
      <c r="L87" s="111"/>
      <c r="M87" s="111"/>
      <c r="N87" s="111"/>
      <c r="O87" s="111"/>
      <c r="P87" s="11"/>
      <c r="AD87" s="91">
        <f>A87</f>
        <v>400</v>
      </c>
    </row>
    <row r="88" spans="1:30">
      <c r="A88" s="91">
        <f>+A87+1</f>
        <v>401</v>
      </c>
      <c r="B88" s="383" t="s">
        <v>520</v>
      </c>
      <c r="C88" s="140">
        <f>'1-DRR Corrected'!$K$2</f>
        <v>2021</v>
      </c>
      <c r="D88" s="273">
        <v>1048285668.3300002</v>
      </c>
      <c r="E88" s="121">
        <f>$D88*'6-PlantJurisdiction'!E$85</f>
        <v>510087714.91575253</v>
      </c>
      <c r="F88" s="121">
        <f>$D88*'6-PlantJurisdiction'!F$85</f>
        <v>489464101.48800772</v>
      </c>
      <c r="G88" s="111" t="s">
        <v>873</v>
      </c>
      <c r="H88" s="384"/>
      <c r="I88" s="384"/>
      <c r="J88" s="384"/>
      <c r="K88" s="384"/>
      <c r="L88" s="384"/>
      <c r="M88" s="384"/>
      <c r="N88" s="384"/>
      <c r="O88" s="384"/>
      <c r="P88" s="384"/>
      <c r="AD88" s="91">
        <f>A88</f>
        <v>401</v>
      </c>
    </row>
    <row r="89" spans="1:30">
      <c r="A89" s="91">
        <f t="shared" ref="A89" si="13">A88+1</f>
        <v>402</v>
      </c>
      <c r="B89" s="385" t="s">
        <v>874</v>
      </c>
      <c r="C89" s="488"/>
      <c r="D89" s="386">
        <f>AVERAGE(D87:D88)</f>
        <v>1037845542.1300001</v>
      </c>
      <c r="E89" s="489">
        <f>AVERAGE(E87:E88)</f>
        <v>505007630.08994949</v>
      </c>
      <c r="F89" s="489">
        <f>AVERAGE(F87:F88)</f>
        <v>484589412.13157958</v>
      </c>
      <c r="G89" s="11" t="str">
        <f>"(Line "&amp;$A87&amp;" + Line "&amp;$A88&amp;")/2"</f>
        <v>(Line 400 + Line 401)/2</v>
      </c>
      <c r="H89" s="11"/>
      <c r="I89" s="11"/>
      <c r="J89" s="11"/>
      <c r="K89" s="11"/>
      <c r="L89" s="11"/>
      <c r="M89" s="11"/>
      <c r="N89" s="11"/>
      <c r="O89" s="11"/>
      <c r="P89" s="11"/>
      <c r="AD89" s="91">
        <f>A89</f>
        <v>402</v>
      </c>
    </row>
    <row r="90" spans="1:30">
      <c r="A90" s="91"/>
      <c r="B90" s="381"/>
      <c r="C90" s="38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D90" s="91"/>
    </row>
    <row r="91" spans="1:30">
      <c r="A91" s="91"/>
      <c r="B91" s="381"/>
      <c r="C91" s="38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D91" s="91"/>
    </row>
    <row r="92" spans="1:30">
      <c r="B92" s="45" t="s">
        <v>875</v>
      </c>
      <c r="C92" s="45"/>
      <c r="D92" s="103"/>
      <c r="E92" s="103"/>
      <c r="F92" s="103"/>
      <c r="G92" s="103"/>
      <c r="H92" s="103"/>
      <c r="I92" s="103"/>
      <c r="J92" s="103"/>
      <c r="K92" s="103"/>
      <c r="L92" s="103"/>
      <c r="M92" s="43"/>
      <c r="N92" s="103"/>
      <c r="O92" s="103"/>
      <c r="P92" s="103"/>
      <c r="Q92" s="103"/>
      <c r="R92" s="43"/>
      <c r="S92" s="43"/>
      <c r="T92" s="43"/>
      <c r="U92" s="43"/>
      <c r="V92" s="43"/>
      <c r="W92" s="43"/>
      <c r="X92" s="43"/>
      <c r="Y92" s="43"/>
      <c r="Z92" s="43"/>
      <c r="AA92" s="43"/>
      <c r="AB92" s="43"/>
      <c r="AC92" s="43"/>
    </row>
    <row r="93" spans="1:30">
      <c r="A93" s="18"/>
      <c r="B93" s="741" t="s">
        <v>876</v>
      </c>
      <c r="C93" s="741"/>
      <c r="D93" s="741"/>
      <c r="E93" s="741"/>
      <c r="F93" s="741"/>
      <c r="G93" s="741"/>
      <c r="H93" s="741"/>
      <c r="I93" s="741"/>
      <c r="J93" s="741"/>
      <c r="K93" s="741"/>
      <c r="L93" s="741"/>
      <c r="M93" s="741"/>
      <c r="N93" s="741"/>
      <c r="O93" s="378"/>
      <c r="P93" s="378"/>
      <c r="Q93" s="378"/>
      <c r="R93" s="378"/>
      <c r="S93" s="378"/>
      <c r="T93" s="378"/>
      <c r="U93" s="378"/>
      <c r="V93" s="378"/>
      <c r="W93" s="378"/>
      <c r="X93" s="378"/>
      <c r="Y93" s="378"/>
      <c r="Z93" s="378"/>
      <c r="AA93" s="378"/>
      <c r="AB93" s="378"/>
      <c r="AC93" s="378"/>
      <c r="AD93" s="91"/>
    </row>
    <row r="94" spans="1:30">
      <c r="A94" s="18"/>
      <c r="B94" s="741"/>
      <c r="C94" s="741"/>
      <c r="D94" s="741"/>
      <c r="E94" s="741"/>
      <c r="F94" s="741"/>
      <c r="G94" s="741"/>
      <c r="H94" s="741"/>
      <c r="I94" s="741"/>
      <c r="J94" s="741"/>
      <c r="K94" s="741"/>
      <c r="L94" s="741"/>
      <c r="M94" s="741"/>
      <c r="N94" s="741"/>
      <c r="O94" s="8"/>
      <c r="AC94" s="91"/>
      <c r="AD94"/>
    </row>
    <row r="95" spans="1:30">
      <c r="A95" s="4"/>
      <c r="D95" s="83" t="s">
        <v>122</v>
      </c>
      <c r="E95" s="83" t="s">
        <v>123</v>
      </c>
      <c r="F95" s="83" t="s">
        <v>124</v>
      </c>
      <c r="G95" s="83" t="s">
        <v>125</v>
      </c>
      <c r="H95" s="83" t="s">
        <v>490</v>
      </c>
      <c r="J95" s="83"/>
      <c r="K95" s="83"/>
      <c r="L95" s="83"/>
      <c r="M95" s="83"/>
      <c r="N95" s="83"/>
      <c r="O95" s="83"/>
      <c r="P95" s="83"/>
      <c r="AC95" s="91"/>
      <c r="AD95"/>
    </row>
    <row r="96" spans="1:30" ht="43.5">
      <c r="B96" s="91"/>
      <c r="C96" s="91"/>
      <c r="D96" s="133" t="s">
        <v>496</v>
      </c>
      <c r="E96" s="387" t="str">
        <f>"24-Allocators, Line " &amp; '24-Allocators'!$A$24</f>
        <v>24-Allocators, Line 113</v>
      </c>
      <c r="F96" s="387" t="s">
        <v>877</v>
      </c>
      <c r="G96" s="133" t="s">
        <v>878</v>
      </c>
      <c r="H96" s="133" t="s">
        <v>879</v>
      </c>
      <c r="AC96" s="91"/>
      <c r="AD96"/>
    </row>
    <row r="97" spans="1:30">
      <c r="B97" s="91"/>
      <c r="C97" s="91"/>
      <c r="D97" s="83"/>
      <c r="F97" s="100"/>
      <c r="AC97" s="91"/>
      <c r="AD97"/>
    </row>
    <row r="98" spans="1:30">
      <c r="B98" s="91"/>
      <c r="C98" s="91"/>
      <c r="D98" s="84"/>
      <c r="E98" s="4" t="s">
        <v>880</v>
      </c>
      <c r="F98" s="4" t="s">
        <v>881</v>
      </c>
      <c r="AC98" s="91"/>
      <c r="AD98"/>
    </row>
    <row r="99" spans="1:30">
      <c r="B99" s="91"/>
      <c r="C99" s="91"/>
      <c r="D99" s="84" t="s">
        <v>882</v>
      </c>
      <c r="E99" s="4" t="s">
        <v>737</v>
      </c>
      <c r="F99" s="4" t="s">
        <v>737</v>
      </c>
      <c r="G99" s="4" t="s">
        <v>505</v>
      </c>
      <c r="H99" s="4" t="s">
        <v>536</v>
      </c>
      <c r="AC99" s="91"/>
      <c r="AD99"/>
    </row>
    <row r="100" spans="1:30">
      <c r="A100" s="80" t="s">
        <v>90</v>
      </c>
      <c r="B100" s="80" t="s">
        <v>511</v>
      </c>
      <c r="C100" s="80" t="s">
        <v>512</v>
      </c>
      <c r="D100" s="110" t="s">
        <v>883</v>
      </c>
      <c r="E100" s="110" t="s">
        <v>884</v>
      </c>
      <c r="F100" s="382" t="s">
        <v>885</v>
      </c>
      <c r="G100" s="3" t="s">
        <v>737</v>
      </c>
      <c r="H100" s="3" t="s">
        <v>737</v>
      </c>
      <c r="J100" s="83"/>
      <c r="K100" s="83"/>
      <c r="L100" s="83"/>
      <c r="M100" s="83"/>
      <c r="N100" s="83"/>
      <c r="O100" s="83"/>
      <c r="P100" s="80"/>
      <c r="AD100" s="80" t="str">
        <f>A100</f>
        <v>Line</v>
      </c>
    </row>
    <row r="101" spans="1:30">
      <c r="A101" s="91">
        <v>500</v>
      </c>
      <c r="B101" s="378" t="s">
        <v>520</v>
      </c>
      <c r="C101" s="140">
        <f>'1-DRR Corrected'!$K$2-1</f>
        <v>2020</v>
      </c>
      <c r="D101" s="272">
        <v>3477057482.2699981</v>
      </c>
      <c r="E101" s="19">
        <f>'24-Allocators'!$C$24</f>
        <v>0.30680154907006396</v>
      </c>
      <c r="F101" s="265">
        <f>+E101*D101</f>
        <v>1066766621.7660918</v>
      </c>
      <c r="G101" s="121">
        <f>$F101*'6-PlantJurisdiction'!E$85</f>
        <v>519080404.21074045</v>
      </c>
      <c r="H101" s="121">
        <f>$F101*'6-PlantJurisdiction'!F$85</f>
        <v>498093202.83082098</v>
      </c>
      <c r="J101" s="111"/>
      <c r="K101" s="111"/>
      <c r="L101" s="111"/>
      <c r="M101" s="111"/>
      <c r="N101" s="111"/>
      <c r="O101" s="111"/>
      <c r="P101" s="11"/>
      <c r="AD101" s="91">
        <f>A101</f>
        <v>500</v>
      </c>
    </row>
    <row r="102" spans="1:30">
      <c r="A102" s="91">
        <f>+A101+1</f>
        <v>501</v>
      </c>
      <c r="B102" s="383" t="s">
        <v>520</v>
      </c>
      <c r="C102" s="140">
        <f>'1-DRR Corrected'!$K$2</f>
        <v>2021</v>
      </c>
      <c r="D102" s="273">
        <v>3180271854.7399983</v>
      </c>
      <c r="E102" s="19">
        <f>'24-Allocators'!$C$24</f>
        <v>0.30680154907006396</v>
      </c>
      <c r="F102" s="388">
        <f>+E102*D102</f>
        <v>975712331.49815691</v>
      </c>
      <c r="G102" s="121">
        <f>$F102*'6-PlantJurisdiction'!E$85</f>
        <v>474774089.37764907</v>
      </c>
      <c r="H102" s="121">
        <f>$F102*'6-PlantJurisdiction'!F$85</f>
        <v>455578258.93807179</v>
      </c>
      <c r="I102" s="111"/>
      <c r="J102" s="111"/>
      <c r="K102" s="111"/>
      <c r="L102" s="384"/>
      <c r="M102" s="384"/>
      <c r="N102" s="384"/>
      <c r="O102" s="384"/>
      <c r="P102" s="384"/>
      <c r="AD102" s="91">
        <f>A102</f>
        <v>501</v>
      </c>
    </row>
    <row r="103" spans="1:30">
      <c r="A103" s="91">
        <f t="shared" ref="A103" si="14">A102+1</f>
        <v>502</v>
      </c>
      <c r="B103" s="385" t="s">
        <v>874</v>
      </c>
      <c r="C103" s="488"/>
      <c r="D103" s="386">
        <f>AVERAGE(D101:D102)</f>
        <v>3328664668.5049982</v>
      </c>
      <c r="E103" s="490"/>
      <c r="F103" s="386">
        <f>AVERAGE(F101:F102)</f>
        <v>1021239476.6321244</v>
      </c>
      <c r="G103" s="489">
        <f>AVERAGE(G101:G102)</f>
        <v>496927246.79419476</v>
      </c>
      <c r="H103" s="489">
        <f>AVERAGE(H101:H102)</f>
        <v>476835730.88444638</v>
      </c>
      <c r="I103" s="11" t="str">
        <f>"(Line "&amp;$A101&amp;" + Line "&amp;$A102&amp;")/2"</f>
        <v>(Line 500 + Line 501)/2</v>
      </c>
      <c r="J103" s="11"/>
      <c r="K103" s="11"/>
      <c r="L103" s="11"/>
      <c r="M103" s="11"/>
      <c r="N103" s="11"/>
      <c r="O103" s="11"/>
      <c r="P103" s="11"/>
      <c r="AD103" s="91">
        <f>A103</f>
        <v>502</v>
      </c>
    </row>
    <row r="104" spans="1:30">
      <c r="A104" s="91"/>
      <c r="B104" s="378"/>
      <c r="C104" s="378"/>
      <c r="D104" s="11"/>
      <c r="E104" s="19"/>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D104" s="91"/>
    </row>
    <row r="105" spans="1:30">
      <c r="A105" s="91"/>
      <c r="B105" s="378"/>
      <c r="C105" s="378"/>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D105" s="91"/>
    </row>
    <row r="106" spans="1:30">
      <c r="B106" s="45" t="s">
        <v>886</v>
      </c>
      <c r="C106" s="45"/>
      <c r="D106" s="103"/>
      <c r="E106" s="103"/>
      <c r="F106" s="103"/>
      <c r="G106" s="103"/>
      <c r="H106" s="103"/>
      <c r="I106" s="103"/>
      <c r="J106" s="103"/>
      <c r="K106" s="103"/>
      <c r="L106" s="103"/>
      <c r="M106" s="43"/>
      <c r="N106" s="46"/>
      <c r="O106" s="46"/>
      <c r="P106" s="46"/>
      <c r="Q106" s="46"/>
      <c r="R106" s="46"/>
      <c r="S106" s="46"/>
      <c r="T106" s="46"/>
      <c r="U106" s="46"/>
      <c r="V106" s="46"/>
      <c r="W106" s="46"/>
      <c r="X106" s="46"/>
      <c r="Y106" s="46"/>
      <c r="Z106" s="46"/>
      <c r="AA106" s="46"/>
      <c r="AB106" s="46"/>
      <c r="AC106" s="43"/>
    </row>
    <row r="107" spans="1:30">
      <c r="A107" s="18"/>
      <c r="B107" s="741" t="s">
        <v>887</v>
      </c>
      <c r="C107" s="741"/>
      <c r="D107" s="741"/>
      <c r="E107" s="741"/>
      <c r="F107" s="741"/>
      <c r="G107" s="741"/>
      <c r="H107" s="741"/>
      <c r="I107" s="741"/>
      <c r="J107" s="741"/>
      <c r="K107" s="741"/>
      <c r="L107" s="741"/>
      <c r="M107" s="741"/>
      <c r="N107" s="741"/>
      <c r="O107" s="378"/>
      <c r="P107" s="378"/>
      <c r="Q107" s="378"/>
      <c r="R107" s="378"/>
      <c r="S107" s="378"/>
      <c r="T107" s="378"/>
      <c r="U107" s="378"/>
      <c r="V107" s="378"/>
      <c r="W107" s="378"/>
      <c r="X107" s="378"/>
      <c r="Y107" s="378"/>
      <c r="Z107" s="378"/>
      <c r="AA107" s="378"/>
      <c r="AB107" s="378"/>
      <c r="AC107" s="378"/>
      <c r="AD107" s="91"/>
    </row>
    <row r="108" spans="1:30">
      <c r="A108" s="18"/>
      <c r="B108" s="741"/>
      <c r="C108" s="741"/>
      <c r="D108" s="741"/>
      <c r="E108" s="741"/>
      <c r="F108" s="741"/>
      <c r="G108" s="741"/>
      <c r="H108" s="741"/>
      <c r="I108" s="741"/>
      <c r="J108" s="741"/>
      <c r="K108" s="741"/>
      <c r="L108" s="741"/>
      <c r="M108" s="741"/>
      <c r="N108" s="741"/>
      <c r="O108" s="378"/>
      <c r="P108" s="378"/>
      <c r="Q108" s="378"/>
      <c r="R108" s="378"/>
      <c r="S108" s="378"/>
      <c r="T108" s="378"/>
      <c r="U108" s="378"/>
      <c r="V108" s="378"/>
      <c r="W108" s="378"/>
      <c r="X108" s="378"/>
      <c r="Y108" s="378"/>
      <c r="Z108" s="378"/>
      <c r="AA108" s="378"/>
      <c r="AB108" s="378"/>
      <c r="AC108" s="91"/>
      <c r="AD108"/>
    </row>
    <row r="109" spans="1:30">
      <c r="A109" s="4"/>
      <c r="D109" s="83" t="s">
        <v>122</v>
      </c>
      <c r="E109" s="83" t="s">
        <v>123</v>
      </c>
      <c r="F109" s="83" t="s">
        <v>124</v>
      </c>
      <c r="G109" s="83" t="s">
        <v>125</v>
      </c>
      <c r="H109" s="83" t="s">
        <v>490</v>
      </c>
      <c r="I109" s="11"/>
      <c r="J109" s="11"/>
      <c r="K109" s="11"/>
      <c r="L109" s="11"/>
      <c r="M109" s="11"/>
      <c r="N109" s="11"/>
      <c r="O109" s="11"/>
      <c r="P109" s="11"/>
      <c r="AC109" s="91"/>
      <c r="AD109"/>
    </row>
    <row r="110" spans="1:30" ht="43.5">
      <c r="B110" s="91"/>
      <c r="C110" s="91"/>
      <c r="D110" s="133" t="s">
        <v>497</v>
      </c>
      <c r="E110" s="387" t="str">
        <f>"24-Allocators, Line " &amp; '24-Allocators'!$A$23</f>
        <v>24-Allocators, Line 112</v>
      </c>
      <c r="F110" s="387" t="s">
        <v>877</v>
      </c>
      <c r="G110" s="133" t="s">
        <v>878</v>
      </c>
      <c r="H110" s="133" t="s">
        <v>879</v>
      </c>
      <c r="I110" s="11"/>
      <c r="J110" s="11"/>
      <c r="K110" s="11"/>
      <c r="L110" s="11"/>
      <c r="M110" s="11"/>
      <c r="N110" s="11"/>
      <c r="O110" s="11"/>
      <c r="P110" s="11"/>
      <c r="AC110" s="91"/>
      <c r="AD110"/>
    </row>
    <row r="111" spans="1:30">
      <c r="B111" s="91"/>
      <c r="C111" s="91"/>
      <c r="D111" s="83"/>
      <c r="F111" s="100"/>
      <c r="H111" s="11"/>
      <c r="I111" s="11"/>
      <c r="J111" s="11"/>
      <c r="K111" s="11"/>
      <c r="L111" s="11"/>
      <c r="M111" s="11"/>
      <c r="N111" s="11"/>
      <c r="O111" s="11"/>
      <c r="P111" s="11"/>
      <c r="AC111" s="91"/>
      <c r="AD111"/>
    </row>
    <row r="112" spans="1:30">
      <c r="B112" s="91"/>
      <c r="C112" s="91"/>
      <c r="D112" s="83"/>
      <c r="E112" s="4" t="s">
        <v>880</v>
      </c>
      <c r="F112" s="4" t="s">
        <v>881</v>
      </c>
      <c r="H112" s="11"/>
      <c r="I112" s="11"/>
      <c r="J112" s="11"/>
      <c r="K112" s="11"/>
      <c r="L112" s="11"/>
      <c r="M112" s="11"/>
      <c r="N112" s="11"/>
      <c r="O112" s="11"/>
      <c r="P112" s="11"/>
      <c r="AC112" s="91"/>
      <c r="AD112"/>
    </row>
    <row r="113" spans="1:30">
      <c r="B113" s="91"/>
      <c r="C113" s="91"/>
      <c r="D113" s="84" t="s">
        <v>888</v>
      </c>
      <c r="E113" s="4" t="s">
        <v>737</v>
      </c>
      <c r="F113" s="4" t="s">
        <v>737</v>
      </c>
      <c r="G113" s="4" t="s">
        <v>505</v>
      </c>
      <c r="H113" s="4" t="s">
        <v>536</v>
      </c>
      <c r="I113" s="11"/>
      <c r="J113" s="11"/>
      <c r="K113" s="11"/>
      <c r="L113" s="11"/>
      <c r="M113" s="11"/>
      <c r="N113" s="11"/>
      <c r="O113" s="11"/>
      <c r="P113" s="11"/>
      <c r="AC113" s="91"/>
      <c r="AD113"/>
    </row>
    <row r="114" spans="1:30">
      <c r="A114" s="80" t="s">
        <v>90</v>
      </c>
      <c r="B114" s="80" t="s">
        <v>511</v>
      </c>
      <c r="C114" s="80" t="s">
        <v>512</v>
      </c>
      <c r="D114" s="110" t="s">
        <v>883</v>
      </c>
      <c r="E114" s="110" t="s">
        <v>884</v>
      </c>
      <c r="F114" s="382" t="s">
        <v>885</v>
      </c>
      <c r="G114" s="3" t="s">
        <v>737</v>
      </c>
      <c r="H114" s="3" t="s">
        <v>737</v>
      </c>
      <c r="I114" s="11"/>
      <c r="J114" s="11"/>
      <c r="K114" s="11"/>
      <c r="L114" s="11"/>
      <c r="M114" s="11"/>
      <c r="N114" s="11"/>
      <c r="O114" s="11"/>
      <c r="P114" s="11"/>
      <c r="AD114" s="80" t="str">
        <f>A114</f>
        <v>Line</v>
      </c>
    </row>
    <row r="115" spans="1:30">
      <c r="A115" s="91">
        <v>600</v>
      </c>
      <c r="B115" s="378" t="s">
        <v>520</v>
      </c>
      <c r="C115" s="140">
        <f>'1-DRR Corrected'!$K$2-1</f>
        <v>2020</v>
      </c>
      <c r="D115" s="272">
        <v>208887972.33999997</v>
      </c>
      <c r="E115" s="19">
        <f>'24-Allocators'!$C$23</f>
        <v>0.43638724816634106</v>
      </c>
      <c r="F115" s="265">
        <f>+E115*D115</f>
        <v>91156047.424499348</v>
      </c>
      <c r="G115" s="121">
        <f>$F115*'6-PlantJurisdiction'!E$85</f>
        <v>44355829.080053218</v>
      </c>
      <c r="H115" s="121">
        <f>$F115*'6-PlantJurisdiction'!F$85</f>
        <v>42562456.20424258</v>
      </c>
      <c r="I115" s="11"/>
      <c r="J115" s="111"/>
      <c r="K115" s="111"/>
      <c r="L115" s="11"/>
      <c r="M115" s="11"/>
      <c r="N115" s="11"/>
      <c r="O115" s="11"/>
      <c r="P115" s="11"/>
      <c r="AD115" s="91">
        <f>A115</f>
        <v>600</v>
      </c>
    </row>
    <row r="116" spans="1:30">
      <c r="A116" s="91">
        <f>+A115+1</f>
        <v>601</v>
      </c>
      <c r="B116" s="383" t="s">
        <v>520</v>
      </c>
      <c r="C116" s="140">
        <f>'1-DRR Corrected'!$K$2</f>
        <v>2021</v>
      </c>
      <c r="D116" s="273">
        <v>228511816.55000004</v>
      </c>
      <c r="E116" s="19">
        <f>'24-Allocators'!$C$23</f>
        <v>0.43638724816634106</v>
      </c>
      <c r="F116" s="388">
        <f>+E116*D116</f>
        <v>99719642.797746271</v>
      </c>
      <c r="G116" s="121">
        <f>$F116*'6-PlantJurisdiction'!E$85</f>
        <v>48522808.48974169</v>
      </c>
      <c r="H116" s="121">
        <f>$F116*'6-PlantJurisdiction'!F$85</f>
        <v>46560958.369735941</v>
      </c>
      <c r="I116" s="111"/>
      <c r="J116" s="111"/>
      <c r="K116" s="111"/>
      <c r="L116" s="11"/>
      <c r="M116" s="11"/>
      <c r="N116" s="11"/>
      <c r="O116" s="11"/>
      <c r="P116" s="11"/>
      <c r="AD116" s="91">
        <f>A116</f>
        <v>601</v>
      </c>
    </row>
    <row r="117" spans="1:30">
      <c r="A117" s="91">
        <f t="shared" ref="A117" si="15">A116+1</f>
        <v>602</v>
      </c>
      <c r="B117" s="385" t="s">
        <v>874</v>
      </c>
      <c r="C117" s="488"/>
      <c r="D117" s="386">
        <f>AVERAGE(D115:D116)</f>
        <v>218699894.44499999</v>
      </c>
      <c r="E117" s="490"/>
      <c r="F117" s="386">
        <f>AVERAGE(F115:F116)</f>
        <v>95437845.111122817</v>
      </c>
      <c r="G117" s="489">
        <f>AVERAGE(G115:G116)</f>
        <v>46439318.784897454</v>
      </c>
      <c r="H117" s="489">
        <f>AVERAGE(H115:H116)</f>
        <v>44561707.286989257</v>
      </c>
      <c r="I117" s="11" t="str">
        <f>"(Line "&amp;$A115&amp;" + Line "&amp;$A116&amp;")/2"</f>
        <v>(Line 600 + Line 601)/2</v>
      </c>
      <c r="J117" s="11"/>
      <c r="K117" s="11"/>
      <c r="L117" s="11"/>
      <c r="M117" s="11"/>
      <c r="N117" s="11"/>
      <c r="O117" s="11"/>
      <c r="P117" s="11"/>
      <c r="AD117" s="91">
        <f>A117</f>
        <v>602</v>
      </c>
    </row>
    <row r="118" spans="1:30">
      <c r="A118" s="91"/>
      <c r="B118" s="378"/>
      <c r="C118" s="378"/>
      <c r="D118" s="11"/>
      <c r="E118" s="19"/>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D118" s="91"/>
    </row>
    <row r="119" spans="1:30">
      <c r="A119" s="91"/>
      <c r="B119" s="378"/>
      <c r="C119" s="378"/>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D119" s="91"/>
    </row>
    <row r="120" spans="1:30">
      <c r="B120" s="45" t="s">
        <v>889</v>
      </c>
      <c r="C120" s="45"/>
      <c r="D120" s="103"/>
      <c r="E120" s="103"/>
      <c r="F120" s="103"/>
      <c r="G120" s="103"/>
      <c r="H120" s="103"/>
      <c r="I120" s="103"/>
      <c r="J120" s="103"/>
      <c r="K120" s="103"/>
      <c r="L120" s="103"/>
      <c r="M120" s="43"/>
      <c r="N120" s="43"/>
      <c r="O120" s="103"/>
      <c r="P120" s="103"/>
      <c r="Q120" s="103"/>
      <c r="R120" s="43"/>
      <c r="S120" s="43"/>
      <c r="T120" s="43"/>
      <c r="U120" s="43"/>
      <c r="V120" s="43"/>
      <c r="W120" s="43"/>
      <c r="X120" s="43"/>
      <c r="Y120" s="43"/>
      <c r="Z120" s="43"/>
      <c r="AA120" s="43"/>
      <c r="AB120" s="43"/>
      <c r="AC120" s="43"/>
    </row>
    <row r="121" spans="1:30">
      <c r="A121" s="18"/>
      <c r="B121" s="378" t="s">
        <v>890</v>
      </c>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91"/>
    </row>
    <row r="122" spans="1:30">
      <c r="A122" s="18"/>
      <c r="C122" s="8"/>
      <c r="D122" s="8"/>
      <c r="E122" s="8"/>
      <c r="F122" s="8"/>
      <c r="G122" s="8"/>
      <c r="H122" s="8"/>
      <c r="I122" s="8"/>
      <c r="J122" s="8"/>
      <c r="K122" s="8"/>
      <c r="L122" s="8"/>
      <c r="M122" s="8"/>
      <c r="N122" s="8"/>
      <c r="O122" s="8"/>
      <c r="P122" s="8"/>
      <c r="Q122" s="8"/>
      <c r="AD122" s="91"/>
    </row>
    <row r="123" spans="1:30">
      <c r="A123" s="4"/>
      <c r="D123" s="83" t="s">
        <v>122</v>
      </c>
      <c r="E123" s="83" t="s">
        <v>123</v>
      </c>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D123" s="91"/>
    </row>
    <row r="124" spans="1:30" ht="29">
      <c r="B124" s="91"/>
      <c r="C124" s="91"/>
      <c r="D124" s="133" t="s">
        <v>891</v>
      </c>
      <c r="E124" s="133" t="s">
        <v>891</v>
      </c>
      <c r="AC124" s="91"/>
      <c r="AD124"/>
    </row>
    <row r="125" spans="1:30">
      <c r="B125" s="91"/>
      <c r="C125" s="91"/>
      <c r="D125" s="84"/>
      <c r="AC125" s="91"/>
      <c r="AD125"/>
    </row>
    <row r="126" spans="1:30">
      <c r="B126" s="91"/>
      <c r="C126" s="91"/>
      <c r="D126" s="4" t="s">
        <v>505</v>
      </c>
      <c r="E126" s="4" t="s">
        <v>536</v>
      </c>
      <c r="AC126" s="91"/>
      <c r="AD126"/>
    </row>
    <row r="127" spans="1:30">
      <c r="A127" s="80" t="s">
        <v>90</v>
      </c>
      <c r="B127" s="80" t="s">
        <v>511</v>
      </c>
      <c r="C127" s="80" t="s">
        <v>512</v>
      </c>
      <c r="D127" s="3" t="s">
        <v>737</v>
      </c>
      <c r="E127" s="3" t="s">
        <v>737</v>
      </c>
      <c r="F127" s="83"/>
      <c r="G127" s="83"/>
      <c r="H127" s="83"/>
      <c r="I127" s="83"/>
      <c r="J127" s="83"/>
      <c r="K127" s="83"/>
      <c r="L127" s="83"/>
      <c r="M127" s="83"/>
      <c r="N127" s="83"/>
      <c r="O127" s="83"/>
      <c r="P127" s="83"/>
      <c r="Q127" s="80"/>
      <c r="R127" s="80"/>
      <c r="S127" s="80"/>
      <c r="T127" s="80"/>
      <c r="U127" s="80"/>
      <c r="V127" s="80"/>
      <c r="W127" s="80"/>
      <c r="X127" s="80"/>
      <c r="Y127" s="80"/>
      <c r="Z127" s="80"/>
      <c r="AA127" s="80"/>
      <c r="AD127" s="80" t="str">
        <f>A127</f>
        <v>Line</v>
      </c>
    </row>
    <row r="128" spans="1:30">
      <c r="A128" s="91">
        <v>700</v>
      </c>
      <c r="B128" s="378" t="s">
        <v>520</v>
      </c>
      <c r="C128" s="140">
        <f>'1-DRR Corrected'!$K$2-1</f>
        <v>2020</v>
      </c>
      <c r="D128" s="121">
        <f>E87+G101+G115</f>
        <v>1063363778.5549401</v>
      </c>
      <c r="E128" s="121">
        <f>F87+H101+H115</f>
        <v>1020370381.810215</v>
      </c>
      <c r="F128" s="111"/>
      <c r="G128" s="111"/>
      <c r="H128" s="111"/>
      <c r="I128" s="111"/>
      <c r="J128" s="111"/>
      <c r="K128" s="111"/>
      <c r="L128" s="111"/>
      <c r="M128" s="111"/>
      <c r="N128" s="111"/>
      <c r="O128" s="111"/>
      <c r="P128" s="111"/>
      <c r="Q128" s="11"/>
      <c r="R128" s="11"/>
      <c r="S128" s="11"/>
      <c r="T128" s="11"/>
      <c r="U128" s="11"/>
      <c r="V128" s="11"/>
      <c r="W128" s="11"/>
      <c r="X128" s="11"/>
      <c r="Y128" s="11"/>
      <c r="Z128" s="11"/>
      <c r="AA128" s="11"/>
      <c r="AD128" s="91">
        <f>A128</f>
        <v>700</v>
      </c>
    </row>
    <row r="129" spans="1:30">
      <c r="A129" s="91">
        <f>+A128+1</f>
        <v>701</v>
      </c>
      <c r="B129" s="378" t="s">
        <v>520</v>
      </c>
      <c r="C129" s="140">
        <f>'1-DRR Corrected'!$K$2</f>
        <v>2021</v>
      </c>
      <c r="D129" s="121">
        <f>E88+G102+G116</f>
        <v>1033384612.7831433</v>
      </c>
      <c r="E129" s="121">
        <f>F88+H102+H116</f>
        <v>991603318.79581547</v>
      </c>
      <c r="F129" s="111" t="s">
        <v>892</v>
      </c>
      <c r="G129" s="384"/>
      <c r="H129" s="384"/>
      <c r="I129" s="384"/>
      <c r="J129" s="384"/>
      <c r="K129" s="384"/>
      <c r="L129" s="384"/>
      <c r="M129" s="384"/>
      <c r="N129" s="384"/>
      <c r="O129" s="384"/>
      <c r="P129" s="384"/>
      <c r="Q129" s="384"/>
      <c r="R129" s="384"/>
      <c r="S129" s="384"/>
      <c r="T129" s="384"/>
      <c r="U129" s="384"/>
      <c r="V129" s="384"/>
      <c r="W129" s="384"/>
      <c r="X129" s="384"/>
      <c r="Y129" s="384"/>
      <c r="Z129" s="384"/>
      <c r="AA129" s="384"/>
      <c r="AD129" s="91">
        <f>A129</f>
        <v>701</v>
      </c>
    </row>
    <row r="130" spans="1:30">
      <c r="A130" s="91">
        <f t="shared" ref="A130" si="16">A129+1</f>
        <v>702</v>
      </c>
      <c r="B130" s="488" t="s">
        <v>874</v>
      </c>
      <c r="C130" s="488"/>
      <c r="D130" s="489">
        <f>AVERAGE(D128:D129)</f>
        <v>1048374195.6690416</v>
      </c>
      <c r="E130" s="489">
        <f>AVERAGE(E128:E129)</f>
        <v>1005986850.3030152</v>
      </c>
      <c r="F130" s="111" t="str">
        <f>"(Line "&amp;$A128&amp;" + Line "&amp;$A129&amp;")/2"</f>
        <v>(Line 700 + Line 701)/2</v>
      </c>
      <c r="G130" s="11"/>
      <c r="H130" s="11"/>
      <c r="I130" s="11"/>
      <c r="J130" s="11"/>
      <c r="K130" s="11"/>
      <c r="L130" s="11"/>
      <c r="M130" s="11"/>
      <c r="N130" s="11"/>
      <c r="O130" s="11"/>
      <c r="P130" s="11"/>
      <c r="Q130" s="11"/>
      <c r="R130" s="11"/>
      <c r="S130" s="11"/>
      <c r="T130" s="11"/>
      <c r="U130" s="11"/>
      <c r="V130" s="11"/>
      <c r="W130" s="11"/>
      <c r="X130" s="11"/>
      <c r="Y130" s="11"/>
      <c r="Z130" s="11"/>
      <c r="AA130" s="11"/>
      <c r="AD130" s="91">
        <f>A130</f>
        <v>702</v>
      </c>
    </row>
    <row r="131" spans="1:30">
      <c r="A131" s="91"/>
      <c r="B131" s="381"/>
      <c r="C131" s="38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30">
      <c r="A132" s="91"/>
      <c r="C132" s="38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30">
      <c r="B133" s="7" t="s">
        <v>674</v>
      </c>
      <c r="C133" s="385"/>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30">
      <c r="B134" s="8" t="s">
        <v>893</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30">
      <c r="A135" s="91"/>
      <c r="B135" s="8" t="s">
        <v>894</v>
      </c>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30">
      <c r="B136" s="8" t="s">
        <v>895</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30">
      <c r="B137" s="8" t="s">
        <v>763</v>
      </c>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30">
      <c r="B138" s="91"/>
      <c r="C138" s="91"/>
      <c r="D138" s="11"/>
      <c r="E138" s="11"/>
      <c r="F138" s="83"/>
      <c r="G138" s="83"/>
      <c r="L138" s="8"/>
      <c r="M138" s="8"/>
      <c r="P138" s="8"/>
      <c r="Q138" s="8"/>
    </row>
  </sheetData>
  <mergeCells count="2">
    <mergeCell ref="B93:N94"/>
    <mergeCell ref="B107:N108"/>
  </mergeCells>
  <phoneticPr fontId="104" type="noConversion"/>
  <printOptions horizontalCentered="1"/>
  <pageMargins left="1" right="1" top="1" bottom="1" header="0.5" footer="0.5"/>
  <pageSetup scale="20" orientation="landscape" r:id="rId1"/>
  <headerFooter>
    <oddHeader>&amp;RDocket No. ER20-2878-000, et al.- Annual Update RY2024
&amp;F</oddHeader>
  </headerFooter>
  <rowBreaks count="2" manualBreakCount="2">
    <brk id="52" max="16383" man="1"/>
    <brk id="90" max="16383" man="1"/>
  </rowBreaks>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34B60-B224-4E50-ACFC-E92F4F799619}">
  <sheetPr>
    <tabColor rgb="FFFF0000"/>
    <pageSetUpPr fitToPage="1"/>
  </sheetPr>
  <dimension ref="A1:AF138"/>
  <sheetViews>
    <sheetView view="pageBreakPreview" topLeftCell="A59" zoomScale="25" zoomScaleNormal="70" zoomScaleSheetLayoutView="25" zoomScalePageLayoutView="70" workbookViewId="0">
      <selection activeCell="W98" sqref="W98"/>
    </sheetView>
  </sheetViews>
  <sheetFormatPr defaultColWidth="8.81640625" defaultRowHeight="14.5"/>
  <cols>
    <col min="1" max="1" width="4.7265625" style="21" bestFit="1" customWidth="1"/>
    <col min="2" max="2" width="14" customWidth="1"/>
    <col min="3" max="3" width="14.453125" customWidth="1"/>
    <col min="4" max="4" width="20.453125" customWidth="1"/>
    <col min="5" max="5" width="22.81640625" customWidth="1"/>
    <col min="6" max="29" width="20.453125" customWidth="1"/>
    <col min="30" max="30" width="4.7265625" style="21" bestFit="1" customWidth="1"/>
    <col min="32" max="32" width="16.7265625" bestFit="1" customWidth="1"/>
  </cols>
  <sheetData>
    <row r="1" spans="1:30">
      <c r="B1" s="2" t="s">
        <v>764</v>
      </c>
      <c r="C1" s="2"/>
      <c r="H1" s="101"/>
      <c r="N1" s="8"/>
      <c r="AC1" s="6" t="s">
        <v>384</v>
      </c>
    </row>
    <row r="2" spans="1:30">
      <c r="B2" s="78" t="s">
        <v>120</v>
      </c>
      <c r="C2" s="38"/>
      <c r="N2" s="8"/>
      <c r="AC2" s="4"/>
    </row>
    <row r="3" spans="1:30">
      <c r="A3" s="80"/>
      <c r="B3" s="105"/>
      <c r="AD3" s="80"/>
    </row>
    <row r="4" spans="1:30">
      <c r="B4" s="45" t="s">
        <v>765</v>
      </c>
      <c r="C4" s="45"/>
      <c r="D4" s="43"/>
      <c r="E4" s="43"/>
      <c r="F4" s="43"/>
      <c r="G4" s="43"/>
      <c r="H4" s="43"/>
      <c r="I4" s="43"/>
      <c r="J4" s="43"/>
      <c r="K4" s="43"/>
      <c r="L4" s="43"/>
      <c r="M4" s="43"/>
      <c r="N4" s="43"/>
      <c r="O4" s="43"/>
      <c r="P4" s="43"/>
      <c r="Q4" s="43"/>
      <c r="R4" s="43"/>
      <c r="S4" s="43"/>
      <c r="T4" s="43"/>
      <c r="U4" s="43"/>
      <c r="V4" s="43"/>
      <c r="W4" s="43"/>
      <c r="X4" s="43"/>
      <c r="Y4" s="43"/>
      <c r="Z4" s="43"/>
      <c r="AA4" s="43"/>
      <c r="AB4" s="43"/>
      <c r="AC4" s="43"/>
    </row>
    <row r="5" spans="1:30">
      <c r="A5" s="4"/>
      <c r="B5" s="378" t="s">
        <v>766</v>
      </c>
      <c r="C5" s="8"/>
      <c r="M5" s="8"/>
      <c r="N5" s="21"/>
      <c r="O5" s="379"/>
    </row>
    <row r="6" spans="1:30">
      <c r="A6" s="4"/>
      <c r="B6" s="378" t="s">
        <v>767</v>
      </c>
      <c r="C6" s="8"/>
      <c r="M6" s="8"/>
      <c r="N6" s="21"/>
      <c r="O6" s="379"/>
    </row>
    <row r="7" spans="1:30">
      <c r="A7" s="4"/>
      <c r="B7" s="378"/>
      <c r="C7" s="8"/>
      <c r="M7" s="8"/>
      <c r="N7" s="21"/>
      <c r="O7" s="379"/>
    </row>
    <row r="8" spans="1:30">
      <c r="A8" s="4"/>
      <c r="D8" s="83" t="s">
        <v>122</v>
      </c>
      <c r="E8" s="83" t="s">
        <v>123</v>
      </c>
      <c r="F8" s="83" t="s">
        <v>124</v>
      </c>
      <c r="G8" s="83" t="s">
        <v>125</v>
      </c>
      <c r="H8" s="83" t="s">
        <v>490</v>
      </c>
      <c r="I8" s="83" t="s">
        <v>491</v>
      </c>
      <c r="J8" s="83" t="s">
        <v>492</v>
      </c>
      <c r="K8" s="83" t="s">
        <v>493</v>
      </c>
      <c r="L8" s="83" t="s">
        <v>494</v>
      </c>
      <c r="M8" s="83" t="s">
        <v>768</v>
      </c>
      <c r="N8" s="83" t="s">
        <v>769</v>
      </c>
      <c r="O8" s="83" t="s">
        <v>770</v>
      </c>
      <c r="P8" s="83" t="s">
        <v>771</v>
      </c>
      <c r="Q8" s="83" t="s">
        <v>772</v>
      </c>
      <c r="R8" s="83" t="s">
        <v>773</v>
      </c>
      <c r="S8" s="83" t="s">
        <v>774</v>
      </c>
      <c r="T8" s="83" t="s">
        <v>775</v>
      </c>
      <c r="U8" s="83" t="s">
        <v>776</v>
      </c>
      <c r="V8" s="83" t="s">
        <v>777</v>
      </c>
      <c r="W8" s="83" t="s">
        <v>778</v>
      </c>
      <c r="X8" s="83" t="s">
        <v>779</v>
      </c>
      <c r="Y8" s="83" t="s">
        <v>780</v>
      </c>
      <c r="Z8" s="83" t="s">
        <v>781</v>
      </c>
      <c r="AA8" s="83" t="s">
        <v>782</v>
      </c>
      <c r="AB8" s="83" t="s">
        <v>783</v>
      </c>
      <c r="AC8" s="83" t="s">
        <v>784</v>
      </c>
    </row>
    <row r="9" spans="1:30">
      <c r="B9" s="4"/>
      <c r="C9" s="4"/>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133" t="s">
        <v>785</v>
      </c>
    </row>
    <row r="10" spans="1:30">
      <c r="B10" s="4"/>
      <c r="C10" s="4"/>
      <c r="L10" s="107"/>
      <c r="R10" s="21"/>
      <c r="S10" s="21"/>
      <c r="T10" s="21"/>
      <c r="AC10" s="21"/>
    </row>
    <row r="11" spans="1:30">
      <c r="C11" s="90" t="s">
        <v>786</v>
      </c>
      <c r="D11" s="84">
        <v>360</v>
      </c>
      <c r="E11" s="84">
        <v>360</v>
      </c>
      <c r="F11" s="84">
        <v>361</v>
      </c>
      <c r="G11" s="84">
        <v>361</v>
      </c>
      <c r="H11" s="84">
        <v>362</v>
      </c>
      <c r="I11" s="84">
        <v>363</v>
      </c>
      <c r="J11" s="84">
        <v>363</v>
      </c>
      <c r="K11" s="84">
        <v>364</v>
      </c>
      <c r="L11" s="84">
        <v>365</v>
      </c>
      <c r="M11" s="84">
        <v>366</v>
      </c>
      <c r="N11" s="84">
        <v>367</v>
      </c>
      <c r="O11" s="84">
        <v>368</v>
      </c>
      <c r="P11" s="84">
        <v>368</v>
      </c>
      <c r="Q11" s="84">
        <v>369</v>
      </c>
      <c r="R11" s="84">
        <v>369</v>
      </c>
      <c r="S11" s="84">
        <v>370</v>
      </c>
      <c r="T11" s="84">
        <v>370</v>
      </c>
      <c r="U11" s="84">
        <v>371</v>
      </c>
      <c r="V11" s="84">
        <v>371</v>
      </c>
      <c r="W11" s="84">
        <v>371</v>
      </c>
      <c r="X11" s="84">
        <v>372</v>
      </c>
      <c r="Y11" s="84">
        <v>373</v>
      </c>
      <c r="Z11" s="84">
        <v>373</v>
      </c>
      <c r="AA11" s="84">
        <v>373</v>
      </c>
      <c r="AB11" s="84">
        <v>373</v>
      </c>
    </row>
    <row r="12" spans="1:30">
      <c r="A12" s="80" t="s">
        <v>90</v>
      </c>
      <c r="B12" s="80" t="s">
        <v>511</v>
      </c>
      <c r="C12" s="80" t="s">
        <v>512</v>
      </c>
      <c r="D12" s="83" t="s">
        <v>787</v>
      </c>
      <c r="E12" s="83" t="s">
        <v>788</v>
      </c>
      <c r="F12" s="83" t="s">
        <v>789</v>
      </c>
      <c r="G12" s="83" t="s">
        <v>790</v>
      </c>
      <c r="H12" s="83" t="s">
        <v>791</v>
      </c>
      <c r="I12" s="83" t="s">
        <v>792</v>
      </c>
      <c r="J12" s="83" t="s">
        <v>793</v>
      </c>
      <c r="K12" s="83" t="s">
        <v>794</v>
      </c>
      <c r="L12" s="83" t="s">
        <v>795</v>
      </c>
      <c r="M12" s="83" t="s">
        <v>796</v>
      </c>
      <c r="N12" s="83" t="s">
        <v>797</v>
      </c>
      <c r="O12" s="83" t="s">
        <v>798</v>
      </c>
      <c r="P12" s="83" t="s">
        <v>799</v>
      </c>
      <c r="Q12" s="83" t="s">
        <v>800</v>
      </c>
      <c r="R12" s="83" t="s">
        <v>801</v>
      </c>
      <c r="S12" s="83" t="s">
        <v>802</v>
      </c>
      <c r="T12" s="83" t="s">
        <v>803</v>
      </c>
      <c r="U12" s="83" t="s">
        <v>804</v>
      </c>
      <c r="V12" s="83" t="s">
        <v>805</v>
      </c>
      <c r="W12" s="83" t="s">
        <v>806</v>
      </c>
      <c r="X12" s="83" t="s">
        <v>807</v>
      </c>
      <c r="Y12" s="83" t="s">
        <v>808</v>
      </c>
      <c r="Z12" s="83" t="s">
        <v>809</v>
      </c>
      <c r="AA12" s="83" t="s">
        <v>810</v>
      </c>
      <c r="AB12" s="83" t="s">
        <v>811</v>
      </c>
      <c r="AC12" s="80" t="s">
        <v>534</v>
      </c>
      <c r="AD12" s="80" t="s">
        <v>90</v>
      </c>
    </row>
    <row r="13" spans="1:30">
      <c r="A13" s="91">
        <v>100</v>
      </c>
      <c r="B13" s="378" t="s">
        <v>520</v>
      </c>
      <c r="C13" s="140">
        <v>2020</v>
      </c>
      <c r="D13" s="271">
        <v>63027771.540000007</v>
      </c>
      <c r="E13" s="271">
        <v>121789472.85000004</v>
      </c>
      <c r="F13" s="271">
        <v>287916401.14000022</v>
      </c>
      <c r="G13" s="271">
        <v>41228172.840000004</v>
      </c>
      <c r="H13" s="271">
        <v>3895742182.2900028</v>
      </c>
      <c r="I13" s="271">
        <v>1993014.9000000004</v>
      </c>
      <c r="J13" s="271">
        <v>32567442.010000005</v>
      </c>
      <c r="K13" s="271">
        <v>6486792396.2000065</v>
      </c>
      <c r="L13" s="271">
        <v>5408929665.4400043</v>
      </c>
      <c r="M13" s="271">
        <v>3304179298.1400008</v>
      </c>
      <c r="N13" s="271">
        <v>5340479209.1599913</v>
      </c>
      <c r="O13" s="271">
        <v>3287960869.8999987</v>
      </c>
      <c r="P13" s="271">
        <v>1226643037.5000005</v>
      </c>
      <c r="Q13" s="271">
        <v>1021426055.2499996</v>
      </c>
      <c r="R13" s="271">
        <v>2740493019.6300011</v>
      </c>
      <c r="S13" s="271">
        <v>101249085.03999999</v>
      </c>
      <c r="T13" s="271">
        <v>1207615475.4699998</v>
      </c>
      <c r="U13" s="271">
        <v>27313911.41</v>
      </c>
      <c r="V13" s="271">
        <v>5218.9600000000009</v>
      </c>
      <c r="W13" s="271">
        <v>2124123.9299999997</v>
      </c>
      <c r="X13" s="271">
        <v>895447.84000000008</v>
      </c>
      <c r="Y13" s="271">
        <v>14583742.070000002</v>
      </c>
      <c r="Z13" s="271">
        <v>55991260.379999988</v>
      </c>
      <c r="AA13" s="271">
        <v>126364180.29000001</v>
      </c>
      <c r="AB13" s="271">
        <v>71947422.940000042</v>
      </c>
      <c r="AC13" s="24">
        <v>34869257877.120003</v>
      </c>
      <c r="AD13" s="91">
        <v>100</v>
      </c>
    </row>
    <row r="14" spans="1:30">
      <c r="A14" s="91">
        <v>101</v>
      </c>
      <c r="B14" s="378" t="s">
        <v>522</v>
      </c>
      <c r="C14" s="140">
        <v>2021</v>
      </c>
      <c r="D14" s="271">
        <v>64148859.289999999</v>
      </c>
      <c r="E14" s="271">
        <v>121783986.58000004</v>
      </c>
      <c r="F14" s="271">
        <v>288178288.62000024</v>
      </c>
      <c r="G14" s="271">
        <v>41225807.419999987</v>
      </c>
      <c r="H14" s="271">
        <v>3896212395.8099976</v>
      </c>
      <c r="I14" s="271">
        <v>2003774.39</v>
      </c>
      <c r="J14" s="271">
        <v>32567442.200000003</v>
      </c>
      <c r="K14" s="271">
        <v>6525763225.8399973</v>
      </c>
      <c r="L14" s="271">
        <v>5406583591.7300043</v>
      </c>
      <c r="M14" s="271">
        <v>3322653576.5900011</v>
      </c>
      <c r="N14" s="271">
        <v>5364560098.4399986</v>
      </c>
      <c r="O14" s="271">
        <v>3303351241.4899969</v>
      </c>
      <c r="P14" s="271">
        <v>1241039600.7600002</v>
      </c>
      <c r="Q14" s="271">
        <v>1022069891.6599996</v>
      </c>
      <c r="R14" s="271">
        <v>2754436221.8900023</v>
      </c>
      <c r="S14" s="271">
        <v>102432511.8</v>
      </c>
      <c r="T14" s="271">
        <v>1210530842.2299995</v>
      </c>
      <c r="U14" s="271">
        <v>27313911.539999999</v>
      </c>
      <c r="V14" s="271">
        <v>5218.96</v>
      </c>
      <c r="W14" s="271">
        <v>2147842.09</v>
      </c>
      <c r="X14" s="271">
        <v>895447.8</v>
      </c>
      <c r="Y14" s="271">
        <v>14605572.049999999</v>
      </c>
      <c r="Z14" s="271">
        <v>56138460.779999986</v>
      </c>
      <c r="AA14" s="271">
        <v>126726030.62000005</v>
      </c>
      <c r="AB14" s="271">
        <v>72509835.970000044</v>
      </c>
      <c r="AC14" s="24">
        <v>34999883676.550003</v>
      </c>
      <c r="AD14" s="91">
        <v>101</v>
      </c>
    </row>
    <row r="15" spans="1:30">
      <c r="A15" s="91">
        <v>102</v>
      </c>
      <c r="B15" s="378" t="s">
        <v>523</v>
      </c>
      <c r="C15" s="140">
        <v>2021</v>
      </c>
      <c r="D15" s="271">
        <v>63821914.379999995</v>
      </c>
      <c r="E15" s="271">
        <v>121795987.58000003</v>
      </c>
      <c r="F15" s="271">
        <v>290358978.2300002</v>
      </c>
      <c r="G15" s="271">
        <v>41223785.580000006</v>
      </c>
      <c r="H15" s="271">
        <v>3919594533.2999954</v>
      </c>
      <c r="I15" s="271">
        <v>2246561.5700000003</v>
      </c>
      <c r="J15" s="271">
        <v>30056380.199999999</v>
      </c>
      <c r="K15" s="271">
        <v>6569736841.7300081</v>
      </c>
      <c r="L15" s="271">
        <v>5423138078.5600004</v>
      </c>
      <c r="M15" s="271">
        <v>3337304241.0400014</v>
      </c>
      <c r="N15" s="271">
        <v>5384000931.250001</v>
      </c>
      <c r="O15" s="271">
        <v>3319906188.289999</v>
      </c>
      <c r="P15" s="271">
        <v>1259466671.0600004</v>
      </c>
      <c r="Q15" s="271">
        <v>1024178976.8699999</v>
      </c>
      <c r="R15" s="271">
        <v>2763750305.3400016</v>
      </c>
      <c r="S15" s="271">
        <v>103818620.19000004</v>
      </c>
      <c r="T15" s="271">
        <v>1212112891.9299994</v>
      </c>
      <c r="U15" s="271">
        <v>27313911.539999999</v>
      </c>
      <c r="V15" s="271">
        <v>5218.96</v>
      </c>
      <c r="W15" s="271">
        <v>2173755.2200000002</v>
      </c>
      <c r="X15" s="271">
        <v>895447.79999999993</v>
      </c>
      <c r="Y15" s="271">
        <v>14622724.189999992</v>
      </c>
      <c r="Z15" s="271">
        <v>56202290.489999987</v>
      </c>
      <c r="AA15" s="271">
        <v>126972627.44</v>
      </c>
      <c r="AB15" s="271">
        <v>72685583.670000017</v>
      </c>
      <c r="AC15" s="24">
        <v>35167383446.410011</v>
      </c>
      <c r="AD15" s="91">
        <v>102</v>
      </c>
    </row>
    <row r="16" spans="1:30">
      <c r="A16" s="91">
        <v>103</v>
      </c>
      <c r="B16" s="378" t="s">
        <v>524</v>
      </c>
      <c r="C16" s="140">
        <v>2021</v>
      </c>
      <c r="D16" s="271">
        <v>59856912.960000031</v>
      </c>
      <c r="E16" s="271">
        <v>121821433.88000004</v>
      </c>
      <c r="F16" s="271">
        <v>293621800.82000041</v>
      </c>
      <c r="G16" s="271">
        <v>40949724.370000012</v>
      </c>
      <c r="H16" s="271">
        <v>3948369366.9799986</v>
      </c>
      <c r="I16" s="271">
        <v>2269898.9</v>
      </c>
      <c r="J16" s="271">
        <v>30056380.199999999</v>
      </c>
      <c r="K16" s="271">
        <v>6626016168.7400026</v>
      </c>
      <c r="L16" s="271">
        <v>5457980664.7399988</v>
      </c>
      <c r="M16" s="271">
        <v>3377251115.6900015</v>
      </c>
      <c r="N16" s="271">
        <v>5463084746.2400017</v>
      </c>
      <c r="O16" s="271">
        <v>3389089053.849997</v>
      </c>
      <c r="P16" s="271">
        <v>1277177144.2300005</v>
      </c>
      <c r="Q16" s="271">
        <v>1030354311.1599996</v>
      </c>
      <c r="R16" s="271">
        <v>2774243056.0600038</v>
      </c>
      <c r="S16" s="271">
        <v>105298187.01000006</v>
      </c>
      <c r="T16" s="271">
        <v>1215225201.6400003</v>
      </c>
      <c r="U16" s="271">
        <v>27313911.539999999</v>
      </c>
      <c r="V16" s="271">
        <v>5218.96</v>
      </c>
      <c r="W16" s="271">
        <v>2217949.2499999995</v>
      </c>
      <c r="X16" s="271">
        <v>895447.79999999993</v>
      </c>
      <c r="Y16" s="271">
        <v>14683002.599999998</v>
      </c>
      <c r="Z16" s="271">
        <v>56415986.049999997</v>
      </c>
      <c r="AA16" s="271">
        <v>127124160.46000001</v>
      </c>
      <c r="AB16" s="271">
        <v>72900875.570000038</v>
      </c>
      <c r="AC16" s="24">
        <v>35514221719.700012</v>
      </c>
      <c r="AD16" s="91">
        <v>103</v>
      </c>
    </row>
    <row r="17" spans="1:32">
      <c r="A17" s="91">
        <v>104</v>
      </c>
      <c r="B17" s="378" t="s">
        <v>525</v>
      </c>
      <c r="C17" s="140">
        <v>2021</v>
      </c>
      <c r="D17" s="271">
        <v>59867641.300000004</v>
      </c>
      <c r="E17" s="271">
        <v>121821433.16</v>
      </c>
      <c r="F17" s="271">
        <v>293945518.45000005</v>
      </c>
      <c r="G17" s="271">
        <v>40951841.450000018</v>
      </c>
      <c r="H17" s="271">
        <v>3959553062.1100049</v>
      </c>
      <c r="I17" s="271">
        <v>2304052.6399999997</v>
      </c>
      <c r="J17" s="271">
        <v>30056380.57</v>
      </c>
      <c r="K17" s="271">
        <v>6691785974.840003</v>
      </c>
      <c r="L17" s="271">
        <v>5485411273.9800053</v>
      </c>
      <c r="M17" s="271">
        <v>3393699434.9899988</v>
      </c>
      <c r="N17" s="271">
        <v>5494934550.3499994</v>
      </c>
      <c r="O17" s="271">
        <v>3418142971.2499962</v>
      </c>
      <c r="P17" s="271">
        <v>1296932614.0399995</v>
      </c>
      <c r="Q17" s="271">
        <v>1034799818.5299997</v>
      </c>
      <c r="R17" s="271">
        <v>2789388887.2200012</v>
      </c>
      <c r="S17" s="271">
        <v>106962082.01000004</v>
      </c>
      <c r="T17" s="271">
        <v>1224794385.4499996</v>
      </c>
      <c r="U17" s="271">
        <v>27313911.41</v>
      </c>
      <c r="V17" s="271">
        <v>10228.049999999999</v>
      </c>
      <c r="W17" s="271">
        <v>3854361.27</v>
      </c>
      <c r="X17" s="271">
        <v>895447.84000000008</v>
      </c>
      <c r="Y17" s="271">
        <v>14716713.940000001</v>
      </c>
      <c r="Z17" s="271">
        <v>56629893.779999994</v>
      </c>
      <c r="AA17" s="271">
        <v>127321283.14000005</v>
      </c>
      <c r="AB17" s="271">
        <v>73097934.100000024</v>
      </c>
      <c r="AC17" s="24">
        <v>35749191695.870003</v>
      </c>
      <c r="AD17" s="91">
        <v>104</v>
      </c>
    </row>
    <row r="18" spans="1:32">
      <c r="A18" s="91">
        <v>105</v>
      </c>
      <c r="B18" s="378" t="s">
        <v>526</v>
      </c>
      <c r="C18" s="140">
        <v>2021</v>
      </c>
      <c r="D18" s="271">
        <v>60934673.170000009</v>
      </c>
      <c r="E18" s="271">
        <v>121819531.52000004</v>
      </c>
      <c r="F18" s="271">
        <v>294093441.84000015</v>
      </c>
      <c r="G18" s="271">
        <v>40960640.219999976</v>
      </c>
      <c r="H18" s="271">
        <v>3981747460.8299994</v>
      </c>
      <c r="I18" s="271">
        <v>2312371.09</v>
      </c>
      <c r="J18" s="271">
        <v>30241259.109999999</v>
      </c>
      <c r="K18" s="271">
        <v>6733266347.7000017</v>
      </c>
      <c r="L18" s="271">
        <v>5515310925.6499977</v>
      </c>
      <c r="M18" s="271">
        <v>3414193138.110002</v>
      </c>
      <c r="N18" s="271">
        <v>5526944407.5600014</v>
      </c>
      <c r="O18" s="271">
        <v>3449235181.849998</v>
      </c>
      <c r="P18" s="271">
        <v>1312358538.2799993</v>
      </c>
      <c r="Q18" s="271">
        <v>1039415030.4000001</v>
      </c>
      <c r="R18" s="271">
        <v>2802484143.9499998</v>
      </c>
      <c r="S18" s="271">
        <v>108358181.34</v>
      </c>
      <c r="T18" s="271">
        <v>1228172053.8899989</v>
      </c>
      <c r="U18" s="271">
        <v>27313911.539999999</v>
      </c>
      <c r="V18" s="271">
        <v>10228.049999999999</v>
      </c>
      <c r="W18" s="271">
        <v>3866931.8099999996</v>
      </c>
      <c r="X18" s="271">
        <v>895447.8</v>
      </c>
      <c r="Y18" s="271">
        <v>14868628.900000002</v>
      </c>
      <c r="Z18" s="271">
        <v>56875773.690000005</v>
      </c>
      <c r="AA18" s="271">
        <v>127458295.64000003</v>
      </c>
      <c r="AB18" s="271">
        <v>73206010.639999986</v>
      </c>
      <c r="AC18" s="24">
        <v>35966342554.580009</v>
      </c>
      <c r="AD18" s="91">
        <v>105</v>
      </c>
    </row>
    <row r="19" spans="1:32">
      <c r="A19" s="91">
        <v>106</v>
      </c>
      <c r="B19" s="378" t="s">
        <v>812</v>
      </c>
      <c r="C19" s="140">
        <v>2021</v>
      </c>
      <c r="D19" s="271">
        <v>60965251.570000008</v>
      </c>
      <c r="E19" s="271">
        <v>121819531.64000003</v>
      </c>
      <c r="F19" s="271">
        <v>294636305.58000016</v>
      </c>
      <c r="G19" s="271">
        <v>40961996.230000004</v>
      </c>
      <c r="H19" s="271">
        <v>3992240159.0700011</v>
      </c>
      <c r="I19" s="271">
        <v>2325607.38</v>
      </c>
      <c r="J19" s="271">
        <v>30259165.650000002</v>
      </c>
      <c r="K19" s="271">
        <v>6755627356.9100018</v>
      </c>
      <c r="L19" s="271">
        <v>5550953597.3600073</v>
      </c>
      <c r="M19" s="271">
        <v>3452918553.23</v>
      </c>
      <c r="N19" s="271">
        <v>5599132116.8699989</v>
      </c>
      <c r="O19" s="271">
        <v>3481692856.219995</v>
      </c>
      <c r="P19" s="271">
        <v>1335543847.2899995</v>
      </c>
      <c r="Q19" s="271">
        <v>1043460522.0400001</v>
      </c>
      <c r="R19" s="271">
        <v>2819599366.6799998</v>
      </c>
      <c r="S19" s="271">
        <v>110189818.24000005</v>
      </c>
      <c r="T19" s="271">
        <v>1231832195.0499995</v>
      </c>
      <c r="U19" s="271">
        <v>27313911.539999999</v>
      </c>
      <c r="V19" s="271">
        <v>10228.049999999999</v>
      </c>
      <c r="W19" s="271">
        <v>3864473.8999999994</v>
      </c>
      <c r="X19" s="271">
        <v>895447.79999999993</v>
      </c>
      <c r="Y19" s="271">
        <v>14930293.040000003</v>
      </c>
      <c r="Z19" s="271">
        <v>57506336.979999982</v>
      </c>
      <c r="AA19" s="271">
        <v>127674285.01000005</v>
      </c>
      <c r="AB19" s="271">
        <v>73666898.480000019</v>
      </c>
      <c r="AC19" s="24">
        <v>36230020121.81002</v>
      </c>
      <c r="AD19" s="91">
        <v>106</v>
      </c>
    </row>
    <row r="20" spans="1:32">
      <c r="A20" s="91">
        <v>107</v>
      </c>
      <c r="B20" s="378" t="s">
        <v>528</v>
      </c>
      <c r="C20" s="140">
        <v>2021</v>
      </c>
      <c r="D20" s="271">
        <v>61084242.470000044</v>
      </c>
      <c r="E20" s="271">
        <v>121819531.64000003</v>
      </c>
      <c r="F20" s="271">
        <v>294645672.5400002</v>
      </c>
      <c r="G20" s="271">
        <v>40872722.780000009</v>
      </c>
      <c r="H20" s="271">
        <v>4004736771.3099971</v>
      </c>
      <c r="I20" s="271">
        <v>2344176.9200000004</v>
      </c>
      <c r="J20" s="271">
        <v>30303177.449999996</v>
      </c>
      <c r="K20" s="271">
        <v>6792407072.4300003</v>
      </c>
      <c r="L20" s="271">
        <v>5577289839.0600023</v>
      </c>
      <c r="M20" s="271">
        <v>3462199527.8800006</v>
      </c>
      <c r="N20" s="271">
        <v>5628526562.8399973</v>
      </c>
      <c r="O20" s="271">
        <v>3502421999.2099977</v>
      </c>
      <c r="P20" s="271">
        <v>1350841186.8900008</v>
      </c>
      <c r="Q20" s="271">
        <v>1029665638.9300003</v>
      </c>
      <c r="R20" s="271">
        <v>2825267774.8600001</v>
      </c>
      <c r="S20" s="271">
        <v>111185024.34000005</v>
      </c>
      <c r="T20" s="271">
        <v>1234670701.95</v>
      </c>
      <c r="U20" s="271">
        <v>27313911.539999999</v>
      </c>
      <c r="V20" s="271">
        <v>10228.049999999999</v>
      </c>
      <c r="W20" s="271">
        <v>3980850.6399999997</v>
      </c>
      <c r="X20" s="271">
        <v>895447.79999999993</v>
      </c>
      <c r="Y20" s="271">
        <v>15067418.389999997</v>
      </c>
      <c r="Z20" s="271">
        <v>57654195.229999997</v>
      </c>
      <c r="AA20" s="271">
        <v>154358487.63000003</v>
      </c>
      <c r="AB20" s="271">
        <v>73930142.960000008</v>
      </c>
      <c r="AC20" s="24">
        <v>36403492305.73999</v>
      </c>
      <c r="AD20" s="91">
        <v>107</v>
      </c>
    </row>
    <row r="21" spans="1:32">
      <c r="A21" s="91">
        <v>108</v>
      </c>
      <c r="B21" s="378" t="s">
        <v>529</v>
      </c>
      <c r="C21" s="140">
        <v>2021</v>
      </c>
      <c r="D21" s="271">
        <v>61194340.670000002</v>
      </c>
      <c r="E21" s="271">
        <v>121794627.25000001</v>
      </c>
      <c r="F21" s="271">
        <v>295022674.30000019</v>
      </c>
      <c r="G21" s="271">
        <v>39028582.399999999</v>
      </c>
      <c r="H21" s="271">
        <v>4010916528.9799972</v>
      </c>
      <c r="I21" s="271">
        <v>2398007.0499999998</v>
      </c>
      <c r="J21" s="271">
        <v>30280193.02</v>
      </c>
      <c r="K21" s="271">
        <v>6850575157.510004</v>
      </c>
      <c r="L21" s="271">
        <v>5603347957.1000004</v>
      </c>
      <c r="M21" s="271">
        <v>3484498275.0499997</v>
      </c>
      <c r="N21" s="271">
        <v>5673803788.2000008</v>
      </c>
      <c r="O21" s="271">
        <v>3528512133.4700012</v>
      </c>
      <c r="P21" s="271">
        <v>1367037868.8599992</v>
      </c>
      <c r="Q21" s="271">
        <v>1035116264.3100004</v>
      </c>
      <c r="R21" s="271">
        <v>2838829850.4099998</v>
      </c>
      <c r="S21" s="271">
        <v>111817080.27000009</v>
      </c>
      <c r="T21" s="271">
        <v>1237840584.009999</v>
      </c>
      <c r="U21" s="271">
        <v>27313911.539999999</v>
      </c>
      <c r="V21" s="271">
        <v>10228.049999999999</v>
      </c>
      <c r="W21" s="271">
        <v>3980182.4399999995</v>
      </c>
      <c r="X21" s="271">
        <v>895447.79999999993</v>
      </c>
      <c r="Y21" s="271">
        <v>15064980.000000004</v>
      </c>
      <c r="Z21" s="271">
        <v>57806476.37000002</v>
      </c>
      <c r="AA21" s="271">
        <v>154482286.53</v>
      </c>
      <c r="AB21" s="271">
        <v>73927214.409999982</v>
      </c>
      <c r="AC21" s="24">
        <v>36625494640.000015</v>
      </c>
      <c r="AD21" s="91">
        <v>108</v>
      </c>
    </row>
    <row r="22" spans="1:32">
      <c r="A22" s="91">
        <v>109</v>
      </c>
      <c r="B22" s="378" t="s">
        <v>530</v>
      </c>
      <c r="C22" s="140">
        <v>2021</v>
      </c>
      <c r="D22" s="271">
        <v>61206488.210000023</v>
      </c>
      <c r="E22" s="271">
        <v>121794650.40000002</v>
      </c>
      <c r="F22" s="271">
        <v>295282086.77000028</v>
      </c>
      <c r="G22" s="271">
        <v>38974193.600000001</v>
      </c>
      <c r="H22" s="271">
        <v>4017148485.7900004</v>
      </c>
      <c r="I22" s="271">
        <v>763525.55999999994</v>
      </c>
      <c r="J22" s="271">
        <v>30259421.949999996</v>
      </c>
      <c r="K22" s="271">
        <v>6926903501.9000006</v>
      </c>
      <c r="L22" s="271">
        <v>5638589835.0699987</v>
      </c>
      <c r="M22" s="271">
        <v>3516360022.039999</v>
      </c>
      <c r="N22" s="271">
        <v>5732951496.4599981</v>
      </c>
      <c r="O22" s="271">
        <v>3550987710.1700001</v>
      </c>
      <c r="P22" s="271">
        <v>1383512290.9599993</v>
      </c>
      <c r="Q22" s="271">
        <v>1029418186.6900005</v>
      </c>
      <c r="R22" s="271">
        <v>2851130171.7600017</v>
      </c>
      <c r="S22" s="271">
        <v>113204667.72000004</v>
      </c>
      <c r="T22" s="271">
        <v>1241350914.1199994</v>
      </c>
      <c r="U22" s="271">
        <v>27313911.539999999</v>
      </c>
      <c r="V22" s="271">
        <v>10228.049999999999</v>
      </c>
      <c r="W22" s="271">
        <v>3983065.5699999994</v>
      </c>
      <c r="X22" s="271">
        <v>895447.79999999993</v>
      </c>
      <c r="Y22" s="271">
        <v>15136761.57</v>
      </c>
      <c r="Z22" s="271">
        <v>57881306.740000002</v>
      </c>
      <c r="AA22" s="271">
        <v>168157118.47000006</v>
      </c>
      <c r="AB22" s="271">
        <v>74075152.159999982</v>
      </c>
      <c r="AC22" s="24">
        <v>36897290641.070015</v>
      </c>
      <c r="AD22" s="91">
        <v>109</v>
      </c>
    </row>
    <row r="23" spans="1:32">
      <c r="A23" s="91">
        <v>110</v>
      </c>
      <c r="B23" s="378" t="s">
        <v>531</v>
      </c>
      <c r="C23" s="140">
        <v>2021</v>
      </c>
      <c r="D23" s="271">
        <v>61213964.209999993</v>
      </c>
      <c r="E23" s="271">
        <v>121794653.81000002</v>
      </c>
      <c r="F23" s="271">
        <v>296596219.9600001</v>
      </c>
      <c r="G23" s="271">
        <v>38878093.25999999</v>
      </c>
      <c r="H23" s="271">
        <v>4028537117.0600019</v>
      </c>
      <c r="I23" s="271">
        <v>841548.88000000012</v>
      </c>
      <c r="J23" s="271">
        <v>30259421.949999999</v>
      </c>
      <c r="K23" s="271">
        <v>6983366130.5900154</v>
      </c>
      <c r="L23" s="271">
        <v>5658130876.8499994</v>
      </c>
      <c r="M23" s="271">
        <v>3539659863.659997</v>
      </c>
      <c r="N23" s="271">
        <v>5766813962.9300032</v>
      </c>
      <c r="O23" s="271">
        <v>3574207431.5400014</v>
      </c>
      <c r="P23" s="271">
        <v>1400387754.6299996</v>
      </c>
      <c r="Q23" s="271">
        <v>1031739810.7699999</v>
      </c>
      <c r="R23" s="271">
        <v>2862068826.4500012</v>
      </c>
      <c r="S23" s="271">
        <v>114262035.01000002</v>
      </c>
      <c r="T23" s="271">
        <v>1243398305.6000001</v>
      </c>
      <c r="U23" s="271">
        <v>27313911.539999999</v>
      </c>
      <c r="V23" s="271">
        <v>10228.049999999999</v>
      </c>
      <c r="W23" s="271">
        <v>3986520.49</v>
      </c>
      <c r="X23" s="271">
        <v>895447.79999999993</v>
      </c>
      <c r="Y23" s="271">
        <v>15170061.739999996</v>
      </c>
      <c r="Z23" s="271">
        <v>58090137.000000015</v>
      </c>
      <c r="AA23" s="271">
        <v>168290839.34999987</v>
      </c>
      <c r="AB23" s="271">
        <v>74205368.549999997</v>
      </c>
      <c r="AC23" s="24">
        <v>37100118531.680023</v>
      </c>
      <c r="AD23" s="91">
        <v>110</v>
      </c>
    </row>
    <row r="24" spans="1:32">
      <c r="A24" s="91">
        <v>111</v>
      </c>
      <c r="B24" s="378" t="s">
        <v>532</v>
      </c>
      <c r="C24" s="140">
        <v>2021</v>
      </c>
      <c r="D24" s="271">
        <v>61174965.459999993</v>
      </c>
      <c r="E24" s="271">
        <v>121794763.34</v>
      </c>
      <c r="F24" s="271">
        <v>296867883.12000012</v>
      </c>
      <c r="G24" s="271">
        <v>38416719.759999998</v>
      </c>
      <c r="H24" s="271">
        <v>4035329334.4700041</v>
      </c>
      <c r="I24" s="271">
        <v>848799.92999999993</v>
      </c>
      <c r="J24" s="271">
        <v>30056380.57</v>
      </c>
      <c r="K24" s="271">
        <v>6765420892.3200006</v>
      </c>
      <c r="L24" s="271">
        <v>5406340697.9900026</v>
      </c>
      <c r="M24" s="271">
        <v>3516556595.5799975</v>
      </c>
      <c r="N24" s="271">
        <v>5742698473.6699972</v>
      </c>
      <c r="O24" s="271">
        <v>3549512853.6499996</v>
      </c>
      <c r="P24" s="271">
        <v>1410861326.6600001</v>
      </c>
      <c r="Q24" s="271">
        <v>1027639296.5599998</v>
      </c>
      <c r="R24" s="271">
        <v>2868049189.7500005</v>
      </c>
      <c r="S24" s="271">
        <v>115010822.05000007</v>
      </c>
      <c r="T24" s="271">
        <v>1246599901.8</v>
      </c>
      <c r="U24" s="271">
        <v>27313911.41</v>
      </c>
      <c r="V24" s="271">
        <v>10228.049999999999</v>
      </c>
      <c r="W24" s="271">
        <v>3983575.8000000003</v>
      </c>
      <c r="X24" s="271">
        <v>895447.84000000008</v>
      </c>
      <c r="Y24" s="271">
        <v>15080772.640000002</v>
      </c>
      <c r="Z24" s="271">
        <v>57916702.970000029</v>
      </c>
      <c r="AA24" s="271">
        <v>168362058.77999994</v>
      </c>
      <c r="AB24" s="271">
        <v>74258790.13000001</v>
      </c>
      <c r="AC24" s="24">
        <v>36581000384.300011</v>
      </c>
      <c r="AD24" s="91">
        <v>111</v>
      </c>
      <c r="AE24" s="354"/>
    </row>
    <row r="25" spans="1:32">
      <c r="A25" s="91">
        <v>112</v>
      </c>
      <c r="B25" s="378" t="s">
        <v>520</v>
      </c>
      <c r="C25" s="140">
        <v>2021</v>
      </c>
      <c r="D25" s="271">
        <v>59924411.959999986</v>
      </c>
      <c r="E25" s="271">
        <v>122249311.82999997</v>
      </c>
      <c r="F25" s="271">
        <v>298746420.45000023</v>
      </c>
      <c r="G25" s="271">
        <v>38417584.519999988</v>
      </c>
      <c r="H25" s="271">
        <v>4059802418.5799923</v>
      </c>
      <c r="I25" s="271">
        <v>333686.91000000003</v>
      </c>
      <c r="J25" s="271">
        <v>30056380.57</v>
      </c>
      <c r="K25" s="271">
        <v>6935248124.7499971</v>
      </c>
      <c r="L25" s="271">
        <v>5457839457.5400009</v>
      </c>
      <c r="M25" s="271">
        <v>3542954677.8700008</v>
      </c>
      <c r="N25" s="271">
        <v>5778042518.9799976</v>
      </c>
      <c r="O25" s="271">
        <v>3576791953.1699986</v>
      </c>
      <c r="P25" s="271">
        <v>1431524018.4900002</v>
      </c>
      <c r="Q25" s="271">
        <v>1033469206.8400004</v>
      </c>
      <c r="R25" s="271">
        <v>2881464613.9700017</v>
      </c>
      <c r="S25" s="271">
        <v>116267283.02000006</v>
      </c>
      <c r="T25" s="271">
        <v>1252530966.6099999</v>
      </c>
      <c r="U25" s="271">
        <v>27313911.41</v>
      </c>
      <c r="V25" s="271">
        <v>10228.049999999999</v>
      </c>
      <c r="W25" s="271">
        <v>3938094.8000000007</v>
      </c>
      <c r="X25" s="271">
        <v>895447.84</v>
      </c>
      <c r="Y25" s="271">
        <v>15117496.18</v>
      </c>
      <c r="Z25" s="271">
        <v>57968810.010000028</v>
      </c>
      <c r="AA25" s="271">
        <v>168662538.01999992</v>
      </c>
      <c r="AB25" s="271">
        <v>74563569.629999965</v>
      </c>
      <c r="AC25" s="24">
        <v>36964133131.999985</v>
      </c>
      <c r="AD25" s="91">
        <v>112</v>
      </c>
      <c r="AE25" s="354"/>
      <c r="AF25" s="24"/>
    </row>
    <row r="26" spans="1:32">
      <c r="A26" s="91">
        <v>113</v>
      </c>
      <c r="B26" s="664" t="s">
        <v>813</v>
      </c>
      <c r="C26" s="488"/>
      <c r="D26" s="661">
        <v>61417033.63000001</v>
      </c>
      <c r="E26" s="661">
        <v>121838378.11384615</v>
      </c>
      <c r="F26" s="661">
        <v>293839360.90923101</v>
      </c>
      <c r="G26" s="661">
        <v>40160758.802307695</v>
      </c>
      <c r="H26" s="661">
        <v>3980763832.0446148</v>
      </c>
      <c r="I26" s="661">
        <v>1768078.932307692</v>
      </c>
      <c r="J26" s="661">
        <v>30539955.803846154</v>
      </c>
      <c r="K26" s="661">
        <v>6741762245.4969273</v>
      </c>
      <c r="L26" s="661">
        <v>5506911266.2361555</v>
      </c>
      <c r="M26" s="661">
        <v>3435725255.3746152</v>
      </c>
      <c r="N26" s="661">
        <v>5576613297.1499987</v>
      </c>
      <c r="O26" s="661">
        <v>3456293264.927691</v>
      </c>
      <c r="P26" s="661">
        <v>1330255838.4346151</v>
      </c>
      <c r="Q26" s="661">
        <v>1030981000.77</v>
      </c>
      <c r="R26" s="661">
        <v>2813169648.3053861</v>
      </c>
      <c r="S26" s="661">
        <v>109235030.61846158</v>
      </c>
      <c r="T26" s="661">
        <v>1229744186.1346149</v>
      </c>
      <c r="U26" s="661">
        <v>27313911.500000004</v>
      </c>
      <c r="V26" s="661">
        <v>8686.7915384615408</v>
      </c>
      <c r="W26" s="661">
        <v>3392440.554615384</v>
      </c>
      <c r="X26" s="661">
        <v>895447.81230769237</v>
      </c>
      <c r="Y26" s="661">
        <v>14896012.870000003</v>
      </c>
      <c r="Z26" s="661">
        <v>57159817.728461534</v>
      </c>
      <c r="AA26" s="661">
        <v>143996476.26000002</v>
      </c>
      <c r="AB26" s="661">
        <v>73459599.93923077</v>
      </c>
      <c r="AC26" s="661">
        <v>36082140825.14077</v>
      </c>
      <c r="AD26" s="91">
        <v>113</v>
      </c>
      <c r="AE26" s="354"/>
    </row>
    <row r="27" spans="1:32">
      <c r="A27" s="18"/>
      <c r="B27" s="8"/>
      <c r="C27" s="8"/>
      <c r="D27" s="8"/>
      <c r="E27" s="8"/>
      <c r="F27" s="8"/>
      <c r="G27" s="8"/>
      <c r="H27" s="8"/>
      <c r="I27" s="8"/>
      <c r="J27" s="8"/>
      <c r="K27" s="8"/>
      <c r="L27" s="8"/>
      <c r="M27" s="8"/>
      <c r="N27" s="8"/>
      <c r="O27" s="8"/>
      <c r="P27" s="8"/>
      <c r="Q27" s="8"/>
      <c r="AD27" s="91"/>
    </row>
    <row r="28" spans="1:32">
      <c r="A28" s="18"/>
      <c r="B28" s="8"/>
      <c r="C28" s="8"/>
      <c r="D28" s="8"/>
      <c r="E28" s="8"/>
      <c r="F28" s="8"/>
      <c r="G28" s="8"/>
      <c r="H28" s="8"/>
      <c r="I28" s="8"/>
      <c r="J28" s="8"/>
      <c r="K28" s="8"/>
      <c r="L28" s="8"/>
      <c r="M28" s="8"/>
      <c r="N28" s="8"/>
      <c r="O28" s="8"/>
      <c r="P28" s="8"/>
      <c r="Q28" s="8"/>
      <c r="V28" s="19"/>
      <c r="W28" s="19"/>
      <c r="AD28" s="91"/>
    </row>
    <row r="29" spans="1:32">
      <c r="B29" s="45" t="s">
        <v>814</v>
      </c>
      <c r="C29" s="45"/>
      <c r="D29" s="103"/>
      <c r="E29" s="103"/>
      <c r="F29" s="43"/>
      <c r="G29" s="43"/>
      <c r="H29" s="43"/>
      <c r="I29" s="103"/>
      <c r="J29" s="103"/>
      <c r="K29" s="103"/>
      <c r="L29" s="103"/>
      <c r="M29" s="103"/>
      <c r="N29" s="103"/>
      <c r="O29" s="103"/>
      <c r="P29" s="103"/>
      <c r="Q29" s="103"/>
      <c r="R29" s="43"/>
      <c r="S29" s="43"/>
      <c r="T29" s="43"/>
      <c r="U29" s="43"/>
      <c r="V29" s="43"/>
      <c r="W29" s="43"/>
      <c r="X29" s="43"/>
      <c r="Y29" s="43"/>
      <c r="Z29" s="43"/>
      <c r="AA29" s="43"/>
      <c r="AB29" s="43"/>
      <c r="AC29" s="43"/>
    </row>
    <row r="30" spans="1:32">
      <c r="B30" s="378" t="s">
        <v>815</v>
      </c>
      <c r="C30" s="2"/>
      <c r="D30" s="8"/>
      <c r="E30" s="8"/>
      <c r="I30" s="8"/>
      <c r="J30" s="8"/>
      <c r="K30" s="8"/>
      <c r="L30" s="8"/>
      <c r="M30" s="8"/>
      <c r="N30" s="8"/>
      <c r="O30" s="8"/>
      <c r="P30" s="8"/>
      <c r="Q30" s="8"/>
    </row>
    <row r="31" spans="1:32">
      <c r="C31" s="2"/>
      <c r="D31" s="8"/>
      <c r="E31" s="8"/>
      <c r="I31" s="8"/>
      <c r="J31" s="8"/>
      <c r="K31" s="8"/>
      <c r="L31" s="8"/>
      <c r="M31" s="8"/>
      <c r="N31" s="8"/>
      <c r="O31" s="8"/>
      <c r="P31" s="8"/>
      <c r="Q31" s="8"/>
    </row>
    <row r="32" spans="1:32">
      <c r="C32" s="2"/>
      <c r="D32" s="8"/>
      <c r="E32" s="8"/>
      <c r="I32" s="8"/>
      <c r="J32" s="8"/>
      <c r="K32" s="8"/>
      <c r="L32" s="8"/>
      <c r="M32" s="8"/>
      <c r="N32" s="8"/>
      <c r="O32" s="8"/>
      <c r="P32" s="8"/>
      <c r="Q32" s="8"/>
    </row>
    <row r="33" spans="1:30">
      <c r="A33" s="4"/>
      <c r="D33" s="83" t="s">
        <v>122</v>
      </c>
      <c r="E33" s="83" t="s">
        <v>123</v>
      </c>
      <c r="F33" s="83" t="s">
        <v>124</v>
      </c>
      <c r="G33" s="83" t="s">
        <v>125</v>
      </c>
      <c r="H33" s="83" t="s">
        <v>490</v>
      </c>
      <c r="I33" s="83" t="s">
        <v>491</v>
      </c>
      <c r="J33" s="83" t="s">
        <v>492</v>
      </c>
      <c r="K33" s="83" t="s">
        <v>493</v>
      </c>
      <c r="L33" s="83" t="s">
        <v>494</v>
      </c>
      <c r="M33" s="83" t="s">
        <v>768</v>
      </c>
      <c r="N33" s="83" t="s">
        <v>769</v>
      </c>
      <c r="O33" s="83" t="s">
        <v>770</v>
      </c>
      <c r="P33" s="83" t="s">
        <v>771</v>
      </c>
      <c r="Q33" s="83" t="s">
        <v>772</v>
      </c>
      <c r="R33" s="83" t="s">
        <v>773</v>
      </c>
      <c r="S33" s="83" t="s">
        <v>774</v>
      </c>
      <c r="T33" s="83" t="s">
        <v>775</v>
      </c>
      <c r="U33" s="83" t="s">
        <v>776</v>
      </c>
      <c r="V33" s="83" t="s">
        <v>777</v>
      </c>
      <c r="W33" s="83" t="s">
        <v>778</v>
      </c>
      <c r="X33" s="83" t="s">
        <v>779</v>
      </c>
      <c r="Y33" s="83" t="s">
        <v>780</v>
      </c>
      <c r="Z33" s="83" t="s">
        <v>781</v>
      </c>
      <c r="AA33" s="83" t="s">
        <v>782</v>
      </c>
      <c r="AB33" s="83" t="s">
        <v>783</v>
      </c>
      <c r="AC33" s="83" t="s">
        <v>784</v>
      </c>
    </row>
    <row r="34" spans="1:30" ht="43.5">
      <c r="B34" s="4"/>
      <c r="C34" s="4"/>
      <c r="D34" s="380" t="s">
        <v>816</v>
      </c>
      <c r="E34" s="380" t="s">
        <v>817</v>
      </c>
      <c r="F34" s="380" t="s">
        <v>818</v>
      </c>
      <c r="G34" s="380" t="s">
        <v>819</v>
      </c>
      <c r="H34" s="380" t="s">
        <v>820</v>
      </c>
      <c r="I34" s="380" t="s">
        <v>821</v>
      </c>
      <c r="J34" s="380" t="s">
        <v>822</v>
      </c>
      <c r="K34" s="380" t="s">
        <v>823</v>
      </c>
      <c r="L34" s="380" t="s">
        <v>824</v>
      </c>
      <c r="M34" s="380" t="s">
        <v>825</v>
      </c>
      <c r="N34" s="380" t="s">
        <v>826</v>
      </c>
      <c r="O34" s="380" t="s">
        <v>827</v>
      </c>
      <c r="P34" s="380" t="s">
        <v>828</v>
      </c>
      <c r="Q34" s="380" t="s">
        <v>829</v>
      </c>
      <c r="R34" s="380" t="s">
        <v>830</v>
      </c>
      <c r="S34" s="380" t="s">
        <v>831</v>
      </c>
      <c r="T34" s="380" t="s">
        <v>832</v>
      </c>
      <c r="U34" s="380" t="s">
        <v>833</v>
      </c>
      <c r="V34" s="380" t="s">
        <v>834</v>
      </c>
      <c r="W34" s="380" t="s">
        <v>835</v>
      </c>
      <c r="X34" s="380" t="s">
        <v>836</v>
      </c>
      <c r="Y34" s="380" t="s">
        <v>837</v>
      </c>
      <c r="Z34" s="380" t="s">
        <v>838</v>
      </c>
      <c r="AA34" s="380" t="s">
        <v>839</v>
      </c>
      <c r="AB34" s="380" t="s">
        <v>840</v>
      </c>
      <c r="AC34" s="133" t="s">
        <v>785</v>
      </c>
    </row>
    <row r="35" spans="1:30">
      <c r="B35" s="4"/>
      <c r="C35" s="4"/>
      <c r="L35" s="107"/>
      <c r="R35" s="21"/>
      <c r="S35" s="21"/>
      <c r="T35" s="21"/>
      <c r="AC35" s="21"/>
    </row>
    <row r="36" spans="1:30">
      <c r="A36" s="91"/>
      <c r="B36" s="91"/>
      <c r="C36" s="90" t="s">
        <v>786</v>
      </c>
      <c r="D36" s="84">
        <v>360</v>
      </c>
      <c r="E36" s="84">
        <v>360</v>
      </c>
      <c r="F36" s="84">
        <v>361</v>
      </c>
      <c r="G36" s="84">
        <v>361</v>
      </c>
      <c r="H36" s="84">
        <v>362</v>
      </c>
      <c r="I36" s="84">
        <v>363</v>
      </c>
      <c r="J36" s="84">
        <v>363</v>
      </c>
      <c r="K36" s="84">
        <v>364</v>
      </c>
      <c r="L36" s="84">
        <v>365</v>
      </c>
      <c r="M36" s="84">
        <v>366</v>
      </c>
      <c r="N36" s="84">
        <v>367</v>
      </c>
      <c r="O36" s="84">
        <v>368</v>
      </c>
      <c r="P36" s="84">
        <v>368</v>
      </c>
      <c r="Q36" s="84">
        <v>369</v>
      </c>
      <c r="R36" s="84">
        <v>369</v>
      </c>
      <c r="S36" s="84">
        <v>370</v>
      </c>
      <c r="T36" s="84">
        <v>370</v>
      </c>
      <c r="U36" s="84">
        <v>371</v>
      </c>
      <c r="V36" s="84">
        <v>371</v>
      </c>
      <c r="W36" s="84">
        <v>371</v>
      </c>
      <c r="X36" s="84">
        <v>372</v>
      </c>
      <c r="Y36" s="84">
        <v>373</v>
      </c>
      <c r="Z36" s="84">
        <v>373</v>
      </c>
      <c r="AA36" s="84">
        <v>373</v>
      </c>
      <c r="AB36" s="84">
        <v>373</v>
      </c>
    </row>
    <row r="37" spans="1:30">
      <c r="A37" s="80" t="s">
        <v>90</v>
      </c>
      <c r="B37" s="80" t="s">
        <v>511</v>
      </c>
      <c r="C37" s="80" t="s">
        <v>512</v>
      </c>
      <c r="D37" s="83" t="s">
        <v>787</v>
      </c>
      <c r="E37" s="83" t="s">
        <v>788</v>
      </c>
      <c r="F37" s="83" t="s">
        <v>789</v>
      </c>
      <c r="G37" s="83" t="s">
        <v>790</v>
      </c>
      <c r="H37" s="83" t="s">
        <v>791</v>
      </c>
      <c r="I37" s="83" t="s">
        <v>792</v>
      </c>
      <c r="J37" s="83" t="s">
        <v>793</v>
      </c>
      <c r="K37" s="83" t="s">
        <v>794</v>
      </c>
      <c r="L37" s="83" t="s">
        <v>795</v>
      </c>
      <c r="M37" s="83" t="s">
        <v>796</v>
      </c>
      <c r="N37" s="83" t="s">
        <v>797</v>
      </c>
      <c r="O37" s="83" t="s">
        <v>798</v>
      </c>
      <c r="P37" s="83" t="s">
        <v>799</v>
      </c>
      <c r="Q37" s="83" t="s">
        <v>800</v>
      </c>
      <c r="R37" s="83" t="s">
        <v>801</v>
      </c>
      <c r="S37" s="83" t="s">
        <v>802</v>
      </c>
      <c r="T37" s="83" t="s">
        <v>803</v>
      </c>
      <c r="U37" s="83" t="s">
        <v>804</v>
      </c>
      <c r="V37" s="83" t="s">
        <v>805</v>
      </c>
      <c r="W37" s="83" t="s">
        <v>806</v>
      </c>
      <c r="X37" s="83" t="s">
        <v>807</v>
      </c>
      <c r="Y37" s="83" t="s">
        <v>808</v>
      </c>
      <c r="Z37" s="83" t="s">
        <v>809</v>
      </c>
      <c r="AA37" s="83" t="s">
        <v>810</v>
      </c>
      <c r="AB37" s="83" t="s">
        <v>811</v>
      </c>
      <c r="AC37" s="80" t="s">
        <v>534</v>
      </c>
      <c r="AD37" s="80" t="s">
        <v>90</v>
      </c>
    </row>
    <row r="38" spans="1:30">
      <c r="A38" s="91">
        <v>200</v>
      </c>
      <c r="B38" s="378" t="s">
        <v>520</v>
      </c>
      <c r="C38" s="140">
        <v>2020</v>
      </c>
      <c r="D38" s="275">
        <v>32280488.360475305</v>
      </c>
      <c r="E38" s="275">
        <v>62376053.677668214</v>
      </c>
      <c r="F38" s="275">
        <v>287916401.14000022</v>
      </c>
      <c r="G38" s="275">
        <v>41228172.840000004</v>
      </c>
      <c r="H38" s="275">
        <v>3895742182.2900028</v>
      </c>
      <c r="I38" s="275">
        <v>1993014.9000000004</v>
      </c>
      <c r="J38" s="275">
        <v>32567442.010000005</v>
      </c>
      <c r="K38" s="275">
        <v>5177551034.0526648</v>
      </c>
      <c r="L38" s="275">
        <v>4317235340.9710617</v>
      </c>
      <c r="M38" s="275">
        <v>1290232901.5876629</v>
      </c>
      <c r="N38" s="275">
        <v>2085377748.6536169</v>
      </c>
      <c r="O38" s="275">
        <v>0</v>
      </c>
      <c r="P38" s="275">
        <v>0</v>
      </c>
      <c r="Q38" s="275">
        <v>0</v>
      </c>
      <c r="R38" s="275">
        <v>0</v>
      </c>
      <c r="S38" s="275">
        <v>0</v>
      </c>
      <c r="T38" s="275">
        <v>0</v>
      </c>
      <c r="U38" s="275">
        <v>0</v>
      </c>
      <c r="V38" s="275">
        <v>0</v>
      </c>
      <c r="W38" s="275">
        <v>0</v>
      </c>
      <c r="X38" s="275">
        <v>0</v>
      </c>
      <c r="Y38" s="275">
        <v>0</v>
      </c>
      <c r="Z38" s="275">
        <v>0</v>
      </c>
      <c r="AA38" s="275">
        <v>0</v>
      </c>
      <c r="AB38" s="275">
        <v>0</v>
      </c>
      <c r="AC38" s="24">
        <v>17224500780.483154</v>
      </c>
      <c r="AD38" s="91">
        <v>200</v>
      </c>
    </row>
    <row r="39" spans="1:30">
      <c r="A39" s="91">
        <v>201</v>
      </c>
      <c r="B39" s="378" t="s">
        <v>522</v>
      </c>
      <c r="C39" s="140">
        <v>2021</v>
      </c>
      <c r="D39" s="275">
        <v>32854667.951165404</v>
      </c>
      <c r="E39" s="275">
        <v>62373243.813531339</v>
      </c>
      <c r="F39" s="275">
        <v>288178288.62000024</v>
      </c>
      <c r="G39" s="275">
        <v>41225807.419999987</v>
      </c>
      <c r="H39" s="275">
        <v>3896212395.8099976</v>
      </c>
      <c r="I39" s="275">
        <v>2003774.39</v>
      </c>
      <c r="J39" s="275">
        <v>32567442.200000003</v>
      </c>
      <c r="K39" s="275">
        <v>5208656308.7364397</v>
      </c>
      <c r="L39" s="275">
        <v>4315362779.6770868</v>
      </c>
      <c r="M39" s="275">
        <v>1297446832.7150385</v>
      </c>
      <c r="N39" s="275">
        <v>2094780977.9717247</v>
      </c>
      <c r="O39" s="275">
        <v>0</v>
      </c>
      <c r="P39" s="275">
        <v>0</v>
      </c>
      <c r="Q39" s="275">
        <v>0</v>
      </c>
      <c r="R39" s="275">
        <v>0</v>
      </c>
      <c r="S39" s="275">
        <v>0</v>
      </c>
      <c r="T39" s="275">
        <v>0</v>
      </c>
      <c r="U39" s="275">
        <v>0</v>
      </c>
      <c r="V39" s="275">
        <v>0</v>
      </c>
      <c r="W39" s="275">
        <v>0</v>
      </c>
      <c r="X39" s="275">
        <v>0</v>
      </c>
      <c r="Y39" s="275">
        <v>0</v>
      </c>
      <c r="Z39" s="275">
        <v>0</v>
      </c>
      <c r="AA39" s="275">
        <v>0</v>
      </c>
      <c r="AB39" s="275">
        <v>0</v>
      </c>
      <c r="AC39" s="24">
        <v>17271662519.304985</v>
      </c>
      <c r="AD39" s="91">
        <v>201</v>
      </c>
    </row>
    <row r="40" spans="1:30">
      <c r="A40" s="91">
        <v>202</v>
      </c>
      <c r="B40" s="378" t="s">
        <v>523</v>
      </c>
      <c r="C40" s="140">
        <v>2021</v>
      </c>
      <c r="D40" s="275">
        <v>32687218.886984643</v>
      </c>
      <c r="E40" s="275">
        <v>62379390.280895613</v>
      </c>
      <c r="F40" s="275">
        <v>290358978.2300002</v>
      </c>
      <c r="G40" s="275">
        <v>41223785.580000006</v>
      </c>
      <c r="H40" s="275">
        <v>3919594533.2999954</v>
      </c>
      <c r="I40" s="275">
        <v>2246561.5700000003</v>
      </c>
      <c r="J40" s="275">
        <v>30056380.199999999</v>
      </c>
      <c r="K40" s="275">
        <v>5243754648.0259371</v>
      </c>
      <c r="L40" s="275">
        <v>4328576043.6710243</v>
      </c>
      <c r="M40" s="275">
        <v>1303167699.4107871</v>
      </c>
      <c r="N40" s="275">
        <v>2102372334.2095203</v>
      </c>
      <c r="O40" s="275">
        <v>0</v>
      </c>
      <c r="P40" s="275">
        <v>0</v>
      </c>
      <c r="Q40" s="275">
        <v>0</v>
      </c>
      <c r="R40" s="275">
        <v>0</v>
      </c>
      <c r="S40" s="275">
        <v>0</v>
      </c>
      <c r="T40" s="275">
        <v>0</v>
      </c>
      <c r="U40" s="275">
        <v>0</v>
      </c>
      <c r="V40" s="275">
        <v>0</v>
      </c>
      <c r="W40" s="275">
        <v>0</v>
      </c>
      <c r="X40" s="275">
        <v>0</v>
      </c>
      <c r="Y40" s="275">
        <v>0</v>
      </c>
      <c r="Z40" s="275">
        <v>0</v>
      </c>
      <c r="AA40" s="275">
        <v>0</v>
      </c>
      <c r="AB40" s="275">
        <v>0</v>
      </c>
      <c r="AC40" s="24">
        <v>17356417573.365143</v>
      </c>
      <c r="AD40" s="91">
        <v>202</v>
      </c>
    </row>
    <row r="41" spans="1:30">
      <c r="A41" s="91">
        <v>203</v>
      </c>
      <c r="B41" s="378" t="s">
        <v>524</v>
      </c>
      <c r="C41" s="140">
        <v>2021</v>
      </c>
      <c r="D41" s="275">
        <v>30656492.128600873</v>
      </c>
      <c r="E41" s="275">
        <v>62392422.932548963</v>
      </c>
      <c r="F41" s="275">
        <v>293621800.82000041</v>
      </c>
      <c r="G41" s="275">
        <v>40949724.370000012</v>
      </c>
      <c r="H41" s="275">
        <v>3948369366.9799986</v>
      </c>
      <c r="I41" s="275">
        <v>2269898.9</v>
      </c>
      <c r="J41" s="275">
        <v>30056380.199999999</v>
      </c>
      <c r="K41" s="275">
        <v>5288675013.8953743</v>
      </c>
      <c r="L41" s="275">
        <v>4356386285.9428444</v>
      </c>
      <c r="M41" s="275">
        <v>1318766360.1789973</v>
      </c>
      <c r="N41" s="275">
        <v>2133253388.4369981</v>
      </c>
      <c r="O41" s="275">
        <v>0</v>
      </c>
      <c r="P41" s="275">
        <v>0</v>
      </c>
      <c r="Q41" s="275">
        <v>0</v>
      </c>
      <c r="R41" s="275">
        <v>0</v>
      </c>
      <c r="S41" s="275">
        <v>0</v>
      </c>
      <c r="T41" s="275">
        <v>0</v>
      </c>
      <c r="U41" s="275">
        <v>0</v>
      </c>
      <c r="V41" s="275">
        <v>0</v>
      </c>
      <c r="W41" s="275">
        <v>0</v>
      </c>
      <c r="X41" s="275">
        <v>0</v>
      </c>
      <c r="Y41" s="275">
        <v>0</v>
      </c>
      <c r="Z41" s="275">
        <v>0</v>
      </c>
      <c r="AA41" s="275">
        <v>0</v>
      </c>
      <c r="AB41" s="275">
        <v>0</v>
      </c>
      <c r="AC41" s="24">
        <v>17505397134.785362</v>
      </c>
      <c r="AD41" s="91">
        <v>203</v>
      </c>
    </row>
    <row r="42" spans="1:30">
      <c r="A42" s="91">
        <v>204</v>
      </c>
      <c r="B42" s="378" t="s">
        <v>525</v>
      </c>
      <c r="C42" s="140">
        <v>2021</v>
      </c>
      <c r="D42" s="275">
        <v>30661986.786686264</v>
      </c>
      <c r="E42" s="275">
        <v>62392422.563791625</v>
      </c>
      <c r="F42" s="275">
        <v>293945518.45000005</v>
      </c>
      <c r="G42" s="275">
        <v>40951841.450000018</v>
      </c>
      <c r="H42" s="275">
        <v>3959553062.1100049</v>
      </c>
      <c r="I42" s="275">
        <v>2304052.6399999997</v>
      </c>
      <c r="J42" s="275">
        <v>30056380.57</v>
      </c>
      <c r="K42" s="275">
        <v>5341170377.8262405</v>
      </c>
      <c r="L42" s="275">
        <v>4378280524.3523378</v>
      </c>
      <c r="M42" s="275">
        <v>1325189184.3727758</v>
      </c>
      <c r="N42" s="275">
        <v>2145690263.5166807</v>
      </c>
      <c r="O42" s="275">
        <v>0</v>
      </c>
      <c r="P42" s="275">
        <v>0</v>
      </c>
      <c r="Q42" s="275">
        <v>0</v>
      </c>
      <c r="R42" s="275">
        <v>0</v>
      </c>
      <c r="S42" s="275">
        <v>0</v>
      </c>
      <c r="T42" s="275">
        <v>0</v>
      </c>
      <c r="U42" s="275">
        <v>0</v>
      </c>
      <c r="V42" s="275">
        <v>0</v>
      </c>
      <c r="W42" s="275">
        <v>0</v>
      </c>
      <c r="X42" s="275">
        <v>0</v>
      </c>
      <c r="Y42" s="275">
        <v>0</v>
      </c>
      <c r="Z42" s="275">
        <v>0</v>
      </c>
      <c r="AA42" s="275">
        <v>0</v>
      </c>
      <c r="AB42" s="275">
        <v>0</v>
      </c>
      <c r="AC42" s="24">
        <v>17610195614.638519</v>
      </c>
      <c r="AD42" s="91">
        <v>204</v>
      </c>
    </row>
    <row r="43" spans="1:30">
      <c r="A43" s="91">
        <v>205</v>
      </c>
      <c r="B43" s="378" t="s">
        <v>526</v>
      </c>
      <c r="C43" s="140">
        <v>2021</v>
      </c>
      <c r="D43" s="275">
        <v>31208480.959305577</v>
      </c>
      <c r="E43" s="275">
        <v>62391448.614270896</v>
      </c>
      <c r="F43" s="275">
        <v>294093441.84000015</v>
      </c>
      <c r="G43" s="275">
        <v>40960640.219999976</v>
      </c>
      <c r="H43" s="275">
        <v>3981747460.8299994</v>
      </c>
      <c r="I43" s="275">
        <v>2312371.09</v>
      </c>
      <c r="J43" s="275">
        <v>30241259.109999999</v>
      </c>
      <c r="K43" s="275">
        <v>5374278689.9590588</v>
      </c>
      <c r="L43" s="275">
        <v>4402145473.7705536</v>
      </c>
      <c r="M43" s="275">
        <v>1333191670.8164389</v>
      </c>
      <c r="N43" s="275">
        <v>2158189636.952837</v>
      </c>
      <c r="O43" s="275">
        <v>0</v>
      </c>
      <c r="P43" s="275">
        <v>0</v>
      </c>
      <c r="Q43" s="275">
        <v>0</v>
      </c>
      <c r="R43" s="275">
        <v>0</v>
      </c>
      <c r="S43" s="275">
        <v>0</v>
      </c>
      <c r="T43" s="275">
        <v>0</v>
      </c>
      <c r="U43" s="275">
        <v>0</v>
      </c>
      <c r="V43" s="275">
        <v>0</v>
      </c>
      <c r="W43" s="275">
        <v>0</v>
      </c>
      <c r="X43" s="275">
        <v>0</v>
      </c>
      <c r="Y43" s="275">
        <v>0</v>
      </c>
      <c r="Z43" s="275">
        <v>0</v>
      </c>
      <c r="AA43" s="275">
        <v>0</v>
      </c>
      <c r="AB43" s="275">
        <v>0</v>
      </c>
      <c r="AC43" s="24">
        <v>17710760574.162464</v>
      </c>
      <c r="AD43" s="91">
        <v>205</v>
      </c>
    </row>
    <row r="44" spans="1:30">
      <c r="A44" s="91">
        <v>206</v>
      </c>
      <c r="B44" s="378" t="s">
        <v>812</v>
      </c>
      <c r="C44" s="140">
        <v>2021</v>
      </c>
      <c r="D44" s="275">
        <v>31224142.082349654</v>
      </c>
      <c r="E44" s="275">
        <v>62391448.675730437</v>
      </c>
      <c r="F44" s="275">
        <v>294636305.58000016</v>
      </c>
      <c r="G44" s="275">
        <v>40961996.230000004</v>
      </c>
      <c r="H44" s="275">
        <v>3992240159.0700011</v>
      </c>
      <c r="I44" s="275">
        <v>2325607.38</v>
      </c>
      <c r="J44" s="275">
        <v>30259165.650000002</v>
      </c>
      <c r="K44" s="275">
        <v>5392126535.1322012</v>
      </c>
      <c r="L44" s="275">
        <v>4430594318.8232594</v>
      </c>
      <c r="M44" s="275">
        <v>1348313369.794333</v>
      </c>
      <c r="N44" s="275">
        <v>2186377864.4181061</v>
      </c>
      <c r="O44" s="275">
        <v>0</v>
      </c>
      <c r="P44" s="275">
        <v>0</v>
      </c>
      <c r="Q44" s="275">
        <v>0</v>
      </c>
      <c r="R44" s="275">
        <v>0</v>
      </c>
      <c r="S44" s="275">
        <v>0</v>
      </c>
      <c r="T44" s="275">
        <v>0</v>
      </c>
      <c r="U44" s="275">
        <v>0</v>
      </c>
      <c r="V44" s="275">
        <v>0</v>
      </c>
      <c r="W44" s="275">
        <v>0</v>
      </c>
      <c r="X44" s="275">
        <v>0</v>
      </c>
      <c r="Y44" s="275">
        <v>0</v>
      </c>
      <c r="Z44" s="275">
        <v>0</v>
      </c>
      <c r="AA44" s="275">
        <v>0</v>
      </c>
      <c r="AB44" s="275">
        <v>0</v>
      </c>
      <c r="AC44" s="24">
        <v>17811450912.835979</v>
      </c>
      <c r="AD44" s="91">
        <v>206</v>
      </c>
    </row>
    <row r="45" spans="1:30">
      <c r="A45" s="91">
        <v>207</v>
      </c>
      <c r="B45" s="378" t="s">
        <v>528</v>
      </c>
      <c r="C45" s="140">
        <v>2021</v>
      </c>
      <c r="D45" s="275">
        <v>31285084.810747024</v>
      </c>
      <c r="E45" s="275">
        <v>62391448.675730437</v>
      </c>
      <c r="F45" s="275">
        <v>294645672.5400002</v>
      </c>
      <c r="G45" s="275">
        <v>40872722.780000009</v>
      </c>
      <c r="H45" s="275">
        <v>4004736771.3099971</v>
      </c>
      <c r="I45" s="275">
        <v>2344176.9200000004</v>
      </c>
      <c r="J45" s="275">
        <v>30303177.449999996</v>
      </c>
      <c r="K45" s="275">
        <v>5421482932.3300343</v>
      </c>
      <c r="L45" s="275">
        <v>4451615067.9267368</v>
      </c>
      <c r="M45" s="275">
        <v>1351937452.4399002</v>
      </c>
      <c r="N45" s="275">
        <v>2197855958.6413169</v>
      </c>
      <c r="O45" s="275">
        <v>0</v>
      </c>
      <c r="P45" s="275">
        <v>0</v>
      </c>
      <c r="Q45" s="275">
        <v>0</v>
      </c>
      <c r="R45" s="275">
        <v>0</v>
      </c>
      <c r="S45" s="275">
        <v>0</v>
      </c>
      <c r="T45" s="275">
        <v>0</v>
      </c>
      <c r="U45" s="275">
        <v>0</v>
      </c>
      <c r="V45" s="275">
        <v>0</v>
      </c>
      <c r="W45" s="275">
        <v>0</v>
      </c>
      <c r="X45" s="275">
        <v>0</v>
      </c>
      <c r="Y45" s="275">
        <v>0</v>
      </c>
      <c r="Z45" s="275">
        <v>0</v>
      </c>
      <c r="AA45" s="275">
        <v>0</v>
      </c>
      <c r="AB45" s="275">
        <v>0</v>
      </c>
      <c r="AC45" s="24">
        <v>17889470465.824463</v>
      </c>
      <c r="AD45" s="91">
        <v>207</v>
      </c>
    </row>
    <row r="46" spans="1:30">
      <c r="A46" s="91">
        <v>208</v>
      </c>
      <c r="B46" s="378" t="s">
        <v>529</v>
      </c>
      <c r="C46" s="140">
        <v>2021</v>
      </c>
      <c r="D46" s="275">
        <v>31341473.027826097</v>
      </c>
      <c r="E46" s="275">
        <v>62378693.570292354</v>
      </c>
      <c r="F46" s="275">
        <v>295022674.30000019</v>
      </c>
      <c r="G46" s="275">
        <v>39028582.399999999</v>
      </c>
      <c r="H46" s="275">
        <v>4010916528.9799972</v>
      </c>
      <c r="I46" s="275">
        <v>2398007.0499999998</v>
      </c>
      <c r="J46" s="275">
        <v>30280193.02</v>
      </c>
      <c r="K46" s="275">
        <v>5467910844.718792</v>
      </c>
      <c r="L46" s="275">
        <v>4472413827.5852852</v>
      </c>
      <c r="M46" s="275">
        <v>1360644781.7543576</v>
      </c>
      <c r="N46" s="275">
        <v>2215536042.1298132</v>
      </c>
      <c r="O46" s="275">
        <v>0</v>
      </c>
      <c r="P46" s="275">
        <v>0</v>
      </c>
      <c r="Q46" s="275">
        <v>0</v>
      </c>
      <c r="R46" s="275">
        <v>0</v>
      </c>
      <c r="S46" s="275">
        <v>0</v>
      </c>
      <c r="T46" s="275">
        <v>0</v>
      </c>
      <c r="U46" s="275">
        <v>0</v>
      </c>
      <c r="V46" s="275">
        <v>0</v>
      </c>
      <c r="W46" s="275">
        <v>0</v>
      </c>
      <c r="X46" s="275">
        <v>0</v>
      </c>
      <c r="Y46" s="275">
        <v>0</v>
      </c>
      <c r="Z46" s="275">
        <v>0</v>
      </c>
      <c r="AA46" s="275">
        <v>0</v>
      </c>
      <c r="AB46" s="275">
        <v>0</v>
      </c>
      <c r="AC46" s="24">
        <v>17987871648.536366</v>
      </c>
      <c r="AD46" s="91">
        <v>208</v>
      </c>
    </row>
    <row r="47" spans="1:30">
      <c r="A47" s="91">
        <v>209</v>
      </c>
      <c r="B47" s="378" t="s">
        <v>530</v>
      </c>
      <c r="C47" s="140">
        <v>2021</v>
      </c>
      <c r="D47" s="275">
        <v>31347694.547546659</v>
      </c>
      <c r="E47" s="275">
        <v>62378705.426864266</v>
      </c>
      <c r="F47" s="275">
        <v>295282086.77000028</v>
      </c>
      <c r="G47" s="275">
        <v>38974193.600000001</v>
      </c>
      <c r="H47" s="275">
        <v>4017148485.7900004</v>
      </c>
      <c r="I47" s="275">
        <v>763525.55999999994</v>
      </c>
      <c r="J47" s="275">
        <v>30259421.949999996</v>
      </c>
      <c r="K47" s="275">
        <v>5528833697.5382318</v>
      </c>
      <c r="L47" s="275">
        <v>4500542771.8432226</v>
      </c>
      <c r="M47" s="275">
        <v>1373086320.3511581</v>
      </c>
      <c r="N47" s="275">
        <v>2238632343.0156384</v>
      </c>
      <c r="O47" s="275">
        <v>0</v>
      </c>
      <c r="P47" s="275">
        <v>0</v>
      </c>
      <c r="Q47" s="275">
        <v>0</v>
      </c>
      <c r="R47" s="275">
        <v>0</v>
      </c>
      <c r="S47" s="275">
        <v>0</v>
      </c>
      <c r="T47" s="275">
        <v>0</v>
      </c>
      <c r="U47" s="275">
        <v>0</v>
      </c>
      <c r="V47" s="275">
        <v>0</v>
      </c>
      <c r="W47" s="275">
        <v>0</v>
      </c>
      <c r="X47" s="275">
        <v>0</v>
      </c>
      <c r="Y47" s="275">
        <v>0</v>
      </c>
      <c r="Z47" s="275">
        <v>0</v>
      </c>
      <c r="AA47" s="275">
        <v>0</v>
      </c>
      <c r="AB47" s="275">
        <v>0</v>
      </c>
      <c r="AC47" s="24">
        <v>18117249246.392662</v>
      </c>
      <c r="AD47" s="91">
        <v>209</v>
      </c>
    </row>
    <row r="48" spans="1:30">
      <c r="A48" s="91">
        <v>210</v>
      </c>
      <c r="B48" s="378" t="s">
        <v>531</v>
      </c>
      <c r="C48" s="140">
        <v>2021</v>
      </c>
      <c r="D48" s="275">
        <v>31351523.477637086</v>
      </c>
      <c r="E48" s="275">
        <v>62378707.173339866</v>
      </c>
      <c r="F48" s="275">
        <v>296596219.9600001</v>
      </c>
      <c r="G48" s="275">
        <v>38878093.25999999</v>
      </c>
      <c r="H48" s="275">
        <v>4028537117.0600019</v>
      </c>
      <c r="I48" s="275">
        <v>841548.88000000012</v>
      </c>
      <c r="J48" s="275">
        <v>30259421.949999999</v>
      </c>
      <c r="K48" s="275">
        <v>5573900368.9690266</v>
      </c>
      <c r="L48" s="275">
        <v>4516139808.8524189</v>
      </c>
      <c r="M48" s="275">
        <v>1382184562.1677647</v>
      </c>
      <c r="N48" s="275">
        <v>2251855132.8300724</v>
      </c>
      <c r="O48" s="275">
        <v>0</v>
      </c>
      <c r="P48" s="275">
        <v>0</v>
      </c>
      <c r="Q48" s="275">
        <v>0</v>
      </c>
      <c r="R48" s="275">
        <v>0</v>
      </c>
      <c r="S48" s="275">
        <v>0</v>
      </c>
      <c r="T48" s="275">
        <v>0</v>
      </c>
      <c r="U48" s="275">
        <v>0</v>
      </c>
      <c r="V48" s="275">
        <v>0</v>
      </c>
      <c r="W48" s="275">
        <v>0</v>
      </c>
      <c r="X48" s="275">
        <v>0</v>
      </c>
      <c r="Y48" s="275">
        <v>0</v>
      </c>
      <c r="Z48" s="275">
        <v>0</v>
      </c>
      <c r="AA48" s="275">
        <v>0</v>
      </c>
      <c r="AB48" s="275">
        <v>0</v>
      </c>
      <c r="AC48" s="24">
        <v>18212922504.580261</v>
      </c>
      <c r="AD48" s="91">
        <v>210</v>
      </c>
    </row>
    <row r="49" spans="1:30">
      <c r="A49" s="91">
        <v>211</v>
      </c>
      <c r="B49" s="378" t="s">
        <v>532</v>
      </c>
      <c r="C49" s="140">
        <v>2021</v>
      </c>
      <c r="D49" s="275">
        <v>31331549.763436366</v>
      </c>
      <c r="E49" s="275">
        <v>62378763.270545959</v>
      </c>
      <c r="F49" s="275">
        <v>296867883.12000012</v>
      </c>
      <c r="G49" s="275">
        <v>38416719.759999998</v>
      </c>
      <c r="H49" s="275">
        <v>4035329334.4700041</v>
      </c>
      <c r="I49" s="275">
        <v>848799.92999999993</v>
      </c>
      <c r="J49" s="275">
        <v>30056380.57</v>
      </c>
      <c r="K49" s="275">
        <v>5399943423.0934649</v>
      </c>
      <c r="L49" s="275">
        <v>4315168909.6319399</v>
      </c>
      <c r="M49" s="275">
        <v>1373163079.3965981</v>
      </c>
      <c r="N49" s="275">
        <v>2242438392.7340798</v>
      </c>
      <c r="O49" s="275">
        <v>0</v>
      </c>
      <c r="P49" s="275">
        <v>0</v>
      </c>
      <c r="Q49" s="275">
        <v>0</v>
      </c>
      <c r="R49" s="275">
        <v>0</v>
      </c>
      <c r="S49" s="275">
        <v>0</v>
      </c>
      <c r="T49" s="275">
        <v>0</v>
      </c>
      <c r="U49" s="275">
        <v>0</v>
      </c>
      <c r="V49" s="275">
        <v>0</v>
      </c>
      <c r="W49" s="275">
        <v>0</v>
      </c>
      <c r="X49" s="275">
        <v>0</v>
      </c>
      <c r="Y49" s="275">
        <v>0</v>
      </c>
      <c r="Z49" s="275">
        <v>0</v>
      </c>
      <c r="AA49" s="275">
        <v>0</v>
      </c>
      <c r="AB49" s="275">
        <v>0</v>
      </c>
      <c r="AC49" s="24">
        <v>17825943235.74007</v>
      </c>
      <c r="AD49" s="91">
        <v>211</v>
      </c>
    </row>
    <row r="50" spans="1:30">
      <c r="A50" s="91">
        <v>212</v>
      </c>
      <c r="B50" s="378" t="s">
        <v>520</v>
      </c>
      <c r="C50" s="140">
        <v>2021</v>
      </c>
      <c r="D50" s="275">
        <v>30691062.614445508</v>
      </c>
      <c r="E50" s="275">
        <v>62611566.158577681</v>
      </c>
      <c r="F50" s="275">
        <v>298746420.45000023</v>
      </c>
      <c r="G50" s="275">
        <v>38417584.519999988</v>
      </c>
      <c r="H50" s="275">
        <v>4059802418.5799923</v>
      </c>
      <c r="I50" s="275">
        <v>333686.91000000003</v>
      </c>
      <c r="J50" s="275">
        <v>30056380.57</v>
      </c>
      <c r="K50" s="275">
        <v>5535494109.6536388</v>
      </c>
      <c r="L50" s="275">
        <v>4356273578.854393</v>
      </c>
      <c r="M50" s="275">
        <v>1383471138.1416409</v>
      </c>
      <c r="N50" s="275">
        <v>2256239717.0628891</v>
      </c>
      <c r="O50" s="275">
        <v>0</v>
      </c>
      <c r="P50" s="275">
        <v>0</v>
      </c>
      <c r="Q50" s="275">
        <v>0</v>
      </c>
      <c r="R50" s="275">
        <v>0</v>
      </c>
      <c r="S50" s="275">
        <v>0</v>
      </c>
      <c r="T50" s="275">
        <v>0</v>
      </c>
      <c r="U50" s="275">
        <v>0</v>
      </c>
      <c r="V50" s="275">
        <v>0</v>
      </c>
      <c r="W50" s="275">
        <v>0</v>
      </c>
      <c r="X50" s="275">
        <v>0</v>
      </c>
      <c r="Y50" s="275">
        <v>0</v>
      </c>
      <c r="Z50" s="275">
        <v>0</v>
      </c>
      <c r="AA50" s="275">
        <v>0</v>
      </c>
      <c r="AB50" s="275">
        <v>0</v>
      </c>
      <c r="AC50" s="24">
        <v>18052137663.515579</v>
      </c>
      <c r="AD50" s="91">
        <v>212</v>
      </c>
    </row>
    <row r="51" spans="1:30">
      <c r="A51" s="91">
        <v>213</v>
      </c>
      <c r="B51" s="664" t="s">
        <v>813</v>
      </c>
      <c r="C51" s="488"/>
      <c r="D51" s="661">
        <v>31455528.107477427</v>
      </c>
      <c r="E51" s="661">
        <v>62401101.141060591</v>
      </c>
      <c r="F51" s="661">
        <v>293839360.90923101</v>
      </c>
      <c r="G51" s="661">
        <v>40160758.802307695</v>
      </c>
      <c r="H51" s="661">
        <v>3980763832.0446148</v>
      </c>
      <c r="I51" s="661">
        <v>1768078.932307692</v>
      </c>
      <c r="J51" s="661">
        <v>30539955.803846154</v>
      </c>
      <c r="K51" s="661">
        <v>5381059844.9177771</v>
      </c>
      <c r="L51" s="661">
        <v>4395441133.2232428</v>
      </c>
      <c r="M51" s="661">
        <v>1341599642.5482657</v>
      </c>
      <c r="N51" s="661">
        <v>2177584600.0440993</v>
      </c>
      <c r="O51" s="661">
        <v>0</v>
      </c>
      <c r="P51" s="661">
        <v>0</v>
      </c>
      <c r="Q51" s="661">
        <v>0</v>
      </c>
      <c r="R51" s="661">
        <v>0</v>
      </c>
      <c r="S51" s="661">
        <v>0</v>
      </c>
      <c r="T51" s="661">
        <v>0</v>
      </c>
      <c r="U51" s="661">
        <v>0</v>
      </c>
      <c r="V51" s="661">
        <v>0</v>
      </c>
      <c r="W51" s="661">
        <v>0</v>
      </c>
      <c r="X51" s="661">
        <v>0</v>
      </c>
      <c r="Y51" s="661">
        <v>0</v>
      </c>
      <c r="Z51" s="661">
        <v>0</v>
      </c>
      <c r="AA51" s="661">
        <v>0</v>
      </c>
      <c r="AB51" s="661">
        <v>0</v>
      </c>
      <c r="AC51" s="661">
        <v>17736613836.474236</v>
      </c>
      <c r="AD51" s="91">
        <v>213</v>
      </c>
    </row>
    <row r="52" spans="1:30">
      <c r="A52" s="18"/>
      <c r="B52" s="8"/>
      <c r="C52" s="8"/>
      <c r="D52" s="8"/>
      <c r="E52" s="8"/>
      <c r="F52" s="8"/>
      <c r="G52" s="8"/>
      <c r="H52" s="8"/>
      <c r="I52" s="8"/>
      <c r="J52" s="8"/>
      <c r="K52" s="8"/>
      <c r="L52" s="8"/>
      <c r="M52" s="8"/>
      <c r="N52" s="8"/>
      <c r="O52" s="8"/>
      <c r="P52" s="8"/>
      <c r="Q52" s="8"/>
      <c r="AD52" s="91"/>
    </row>
    <row r="53" spans="1:30">
      <c r="A53" s="18"/>
      <c r="B53" s="8"/>
      <c r="C53" s="8"/>
      <c r="D53" s="8"/>
      <c r="E53" s="8"/>
      <c r="F53" s="8"/>
      <c r="G53" s="8"/>
      <c r="H53" s="8"/>
      <c r="I53" s="8"/>
      <c r="J53" s="8"/>
      <c r="K53" s="8"/>
      <c r="L53" s="8"/>
      <c r="M53" s="8"/>
      <c r="N53" s="8"/>
      <c r="O53" s="8"/>
      <c r="P53" s="8"/>
      <c r="Q53" s="8"/>
      <c r="AD53" s="91"/>
    </row>
    <row r="54" spans="1:30">
      <c r="B54" s="45" t="s">
        <v>841</v>
      </c>
      <c r="C54" s="45"/>
      <c r="D54" s="103"/>
      <c r="E54" s="103"/>
      <c r="F54" s="103"/>
      <c r="G54" s="103"/>
      <c r="H54" s="43"/>
      <c r="I54" s="103"/>
      <c r="J54" s="103"/>
      <c r="K54" s="103"/>
      <c r="L54" s="103"/>
      <c r="M54" s="103"/>
      <c r="N54" s="103"/>
      <c r="O54" s="103"/>
      <c r="P54" s="103"/>
      <c r="Q54" s="103"/>
      <c r="R54" s="43"/>
      <c r="S54" s="43"/>
      <c r="T54" s="43"/>
      <c r="U54" s="43"/>
      <c r="V54" s="43"/>
      <c r="W54" s="43"/>
      <c r="X54" s="43"/>
      <c r="Y54" s="43"/>
      <c r="Z54" s="43"/>
      <c r="AA54" s="43"/>
      <c r="AB54" s="43"/>
      <c r="AC54" s="43"/>
    </row>
    <row r="55" spans="1:30">
      <c r="B55" s="378" t="s">
        <v>815</v>
      </c>
      <c r="C55" s="2"/>
      <c r="D55" s="8"/>
      <c r="E55" s="8"/>
      <c r="I55" s="8"/>
      <c r="J55" s="8"/>
      <c r="K55" s="8"/>
      <c r="L55" s="8"/>
      <c r="M55" s="8"/>
      <c r="N55" s="8"/>
      <c r="O55" s="8"/>
      <c r="P55" s="8"/>
      <c r="Q55" s="8"/>
    </row>
    <row r="56" spans="1:30">
      <c r="C56" s="2"/>
      <c r="D56" s="8"/>
      <c r="E56" s="8"/>
      <c r="F56" s="8"/>
      <c r="G56" s="8"/>
      <c r="I56" s="8"/>
      <c r="J56" s="8"/>
      <c r="K56" s="8"/>
      <c r="L56" s="8"/>
      <c r="M56" s="8"/>
      <c r="N56" s="8"/>
      <c r="O56" s="8"/>
      <c r="P56" s="8"/>
      <c r="Q56" s="8"/>
    </row>
    <row r="57" spans="1:30">
      <c r="B57" s="378"/>
      <c r="C57" s="2"/>
      <c r="D57" s="8"/>
      <c r="E57" s="8"/>
      <c r="F57" s="8"/>
      <c r="G57" s="8"/>
      <c r="I57" s="8"/>
      <c r="J57" s="8"/>
      <c r="K57" s="8"/>
      <c r="L57" s="8"/>
      <c r="M57" s="8"/>
      <c r="N57" s="8"/>
      <c r="O57" s="8"/>
      <c r="P57" s="8"/>
      <c r="Q57" s="8"/>
    </row>
    <row r="58" spans="1:30">
      <c r="A58" s="4"/>
      <c r="D58" s="83" t="s">
        <v>122</v>
      </c>
      <c r="E58" s="83" t="s">
        <v>123</v>
      </c>
      <c r="F58" s="83" t="s">
        <v>124</v>
      </c>
      <c r="G58" s="83" t="s">
        <v>125</v>
      </c>
      <c r="H58" s="83" t="s">
        <v>490</v>
      </c>
      <c r="I58" s="83" t="s">
        <v>491</v>
      </c>
      <c r="J58" s="83" t="s">
        <v>492</v>
      </c>
      <c r="K58" s="83" t="s">
        <v>493</v>
      </c>
      <c r="L58" s="83" t="s">
        <v>494</v>
      </c>
      <c r="M58" s="83" t="s">
        <v>768</v>
      </c>
      <c r="N58" s="83" t="s">
        <v>769</v>
      </c>
      <c r="O58" s="83" t="s">
        <v>770</v>
      </c>
      <c r="P58" s="83" t="s">
        <v>771</v>
      </c>
      <c r="Q58" s="83" t="s">
        <v>772</v>
      </c>
      <c r="R58" s="83" t="s">
        <v>773</v>
      </c>
      <c r="S58" s="83" t="s">
        <v>774</v>
      </c>
      <c r="T58" s="83" t="s">
        <v>775</v>
      </c>
      <c r="U58" s="83" t="s">
        <v>776</v>
      </c>
      <c r="V58" s="83" t="s">
        <v>777</v>
      </c>
      <c r="W58" s="83" t="s">
        <v>778</v>
      </c>
      <c r="X58" s="83" t="s">
        <v>779</v>
      </c>
      <c r="Y58" s="83" t="s">
        <v>780</v>
      </c>
      <c r="Z58" s="83" t="s">
        <v>781</v>
      </c>
      <c r="AA58" s="83" t="s">
        <v>782</v>
      </c>
      <c r="AB58" s="83" t="s">
        <v>783</v>
      </c>
      <c r="AC58" s="83" t="s">
        <v>784</v>
      </c>
      <c r="AD58" s="91"/>
    </row>
    <row r="59" spans="1:30" ht="43.5">
      <c r="B59" s="4"/>
      <c r="C59" s="4"/>
      <c r="D59" s="380" t="s">
        <v>842</v>
      </c>
      <c r="E59" s="380" t="s">
        <v>843</v>
      </c>
      <c r="F59" s="380" t="s">
        <v>844</v>
      </c>
      <c r="G59" s="380" t="s">
        <v>845</v>
      </c>
      <c r="H59" s="380" t="s">
        <v>846</v>
      </c>
      <c r="I59" s="380" t="s">
        <v>847</v>
      </c>
      <c r="J59" s="380" t="s">
        <v>848</v>
      </c>
      <c r="K59" s="380" t="s">
        <v>849</v>
      </c>
      <c r="L59" s="380" t="s">
        <v>850</v>
      </c>
      <c r="M59" s="380" t="s">
        <v>851</v>
      </c>
      <c r="N59" s="380" t="s">
        <v>852</v>
      </c>
      <c r="O59" s="380" t="s">
        <v>853</v>
      </c>
      <c r="P59" s="380" t="s">
        <v>854</v>
      </c>
      <c r="Q59" s="380" t="s">
        <v>855</v>
      </c>
      <c r="R59" s="380" t="s">
        <v>856</v>
      </c>
      <c r="S59" s="380" t="s">
        <v>857</v>
      </c>
      <c r="T59" s="380" t="s">
        <v>858</v>
      </c>
      <c r="U59" s="380" t="s">
        <v>859</v>
      </c>
      <c r="V59" s="380" t="s">
        <v>860</v>
      </c>
      <c r="W59" s="380" t="s">
        <v>861</v>
      </c>
      <c r="X59" s="380" t="s">
        <v>862</v>
      </c>
      <c r="Y59" s="380" t="s">
        <v>863</v>
      </c>
      <c r="Z59" s="380" t="s">
        <v>864</v>
      </c>
      <c r="AA59" s="380" t="s">
        <v>865</v>
      </c>
      <c r="AB59" s="380" t="s">
        <v>866</v>
      </c>
      <c r="AC59" s="133" t="s">
        <v>785</v>
      </c>
      <c r="AD59" s="91"/>
    </row>
    <row r="60" spans="1:30">
      <c r="B60" s="4"/>
      <c r="C60" s="4"/>
      <c r="L60" s="107"/>
      <c r="R60" s="21"/>
      <c r="S60" s="21"/>
      <c r="T60" s="21"/>
      <c r="AC60" s="21"/>
      <c r="AD60" s="91"/>
    </row>
    <row r="61" spans="1:30">
      <c r="A61" s="91"/>
      <c r="B61" s="91"/>
      <c r="C61" s="90" t="s">
        <v>786</v>
      </c>
      <c r="D61" s="84">
        <v>360</v>
      </c>
      <c r="E61" s="84">
        <v>360</v>
      </c>
      <c r="F61" s="84">
        <v>361</v>
      </c>
      <c r="G61" s="84">
        <v>361</v>
      </c>
      <c r="H61" s="84">
        <v>362</v>
      </c>
      <c r="I61" s="84">
        <v>363</v>
      </c>
      <c r="J61" s="84">
        <v>363</v>
      </c>
      <c r="K61" s="84">
        <v>364</v>
      </c>
      <c r="L61" s="84">
        <v>365</v>
      </c>
      <c r="M61" s="84">
        <v>366</v>
      </c>
      <c r="N61" s="84">
        <v>367</v>
      </c>
      <c r="O61" s="84">
        <v>368</v>
      </c>
      <c r="P61" s="84">
        <v>368</v>
      </c>
      <c r="Q61" s="84">
        <v>369</v>
      </c>
      <c r="R61" s="84">
        <v>369</v>
      </c>
      <c r="S61" s="84">
        <v>370</v>
      </c>
      <c r="T61" s="84">
        <v>370</v>
      </c>
      <c r="U61" s="84">
        <v>371</v>
      </c>
      <c r="V61" s="84">
        <v>371</v>
      </c>
      <c r="W61" s="84">
        <v>371</v>
      </c>
      <c r="X61" s="84">
        <v>372</v>
      </c>
      <c r="Y61" s="84">
        <v>373</v>
      </c>
      <c r="Z61" s="84">
        <v>373</v>
      </c>
      <c r="AA61" s="84">
        <v>373</v>
      </c>
      <c r="AB61" s="84">
        <v>373</v>
      </c>
      <c r="AD61" s="91"/>
    </row>
    <row r="62" spans="1:30">
      <c r="A62" s="80" t="s">
        <v>90</v>
      </c>
      <c r="B62" s="80" t="s">
        <v>511</v>
      </c>
      <c r="C62" s="80" t="s">
        <v>512</v>
      </c>
      <c r="D62" s="83" t="s">
        <v>787</v>
      </c>
      <c r="E62" s="83" t="s">
        <v>788</v>
      </c>
      <c r="F62" s="83" t="s">
        <v>789</v>
      </c>
      <c r="G62" s="83" t="s">
        <v>790</v>
      </c>
      <c r="H62" s="83" t="s">
        <v>791</v>
      </c>
      <c r="I62" s="83" t="s">
        <v>792</v>
      </c>
      <c r="J62" s="83" t="s">
        <v>793</v>
      </c>
      <c r="K62" s="83" t="s">
        <v>794</v>
      </c>
      <c r="L62" s="83" t="s">
        <v>795</v>
      </c>
      <c r="M62" s="83" t="s">
        <v>796</v>
      </c>
      <c r="N62" s="83" t="s">
        <v>797</v>
      </c>
      <c r="O62" s="83" t="s">
        <v>798</v>
      </c>
      <c r="P62" s="83" t="s">
        <v>799</v>
      </c>
      <c r="Q62" s="83" t="s">
        <v>800</v>
      </c>
      <c r="R62" s="83" t="s">
        <v>801</v>
      </c>
      <c r="S62" s="83" t="s">
        <v>802</v>
      </c>
      <c r="T62" s="83" t="s">
        <v>803</v>
      </c>
      <c r="U62" s="83" t="s">
        <v>804</v>
      </c>
      <c r="V62" s="83" t="s">
        <v>805</v>
      </c>
      <c r="W62" s="83" t="s">
        <v>806</v>
      </c>
      <c r="X62" s="83" t="s">
        <v>807</v>
      </c>
      <c r="Y62" s="83" t="s">
        <v>808</v>
      </c>
      <c r="Z62" s="83" t="s">
        <v>809</v>
      </c>
      <c r="AA62" s="83" t="s">
        <v>810</v>
      </c>
      <c r="AB62" s="83" t="s">
        <v>811</v>
      </c>
      <c r="AC62" s="80" t="s">
        <v>534</v>
      </c>
      <c r="AD62" s="80" t="s">
        <v>90</v>
      </c>
    </row>
    <row r="63" spans="1:30">
      <c r="A63" s="91">
        <v>300</v>
      </c>
      <c r="B63" s="378" t="s">
        <v>520</v>
      </c>
      <c r="C63" s="140">
        <v>2020</v>
      </c>
      <c r="D63" s="275">
        <v>30747283.179524701</v>
      </c>
      <c r="E63" s="275">
        <v>59413419.172331825</v>
      </c>
      <c r="F63" s="275">
        <v>0</v>
      </c>
      <c r="G63" s="275">
        <v>0</v>
      </c>
      <c r="H63" s="275">
        <v>0</v>
      </c>
      <c r="I63" s="275">
        <v>0</v>
      </c>
      <c r="J63" s="275">
        <v>0</v>
      </c>
      <c r="K63" s="275">
        <v>1309241362.147342</v>
      </c>
      <c r="L63" s="275">
        <v>1091694324.4689424</v>
      </c>
      <c r="M63" s="275">
        <v>2013946396.5523381</v>
      </c>
      <c r="N63" s="275">
        <v>3255101460.5063748</v>
      </c>
      <c r="O63" s="275">
        <v>3287960869.8999987</v>
      </c>
      <c r="P63" s="275">
        <v>1226643037.5000005</v>
      </c>
      <c r="Q63" s="275">
        <v>1021426055.2499996</v>
      </c>
      <c r="R63" s="275">
        <v>2740493019.6300011</v>
      </c>
      <c r="S63" s="275">
        <v>0</v>
      </c>
      <c r="T63" s="275">
        <v>0</v>
      </c>
      <c r="U63" s="275">
        <v>0</v>
      </c>
      <c r="V63" s="275">
        <v>0</v>
      </c>
      <c r="W63" s="275">
        <v>0</v>
      </c>
      <c r="X63" s="275">
        <v>0</v>
      </c>
      <c r="Y63" s="275">
        <v>0</v>
      </c>
      <c r="Z63" s="275">
        <v>0</v>
      </c>
      <c r="AA63" s="275">
        <v>0</v>
      </c>
      <c r="AB63" s="275">
        <v>0</v>
      </c>
      <c r="AC63" s="24">
        <v>16036667228.306854</v>
      </c>
      <c r="AD63" s="91">
        <v>300</v>
      </c>
    </row>
    <row r="64" spans="1:30">
      <c r="A64" s="91">
        <v>301</v>
      </c>
      <c r="B64" s="378" t="s">
        <v>522</v>
      </c>
      <c r="C64" s="140">
        <v>2021</v>
      </c>
      <c r="D64" s="275">
        <v>31294191.338834595</v>
      </c>
      <c r="E64" s="275">
        <v>59410742.766468704</v>
      </c>
      <c r="F64" s="275">
        <v>0</v>
      </c>
      <c r="G64" s="275">
        <v>0</v>
      </c>
      <c r="H64" s="275">
        <v>0</v>
      </c>
      <c r="I64" s="275">
        <v>0</v>
      </c>
      <c r="J64" s="275">
        <v>0</v>
      </c>
      <c r="K64" s="275">
        <v>1317106917.1035576</v>
      </c>
      <c r="L64" s="275">
        <v>1091220812.0529172</v>
      </c>
      <c r="M64" s="275">
        <v>2025206743.8749628</v>
      </c>
      <c r="N64" s="275">
        <v>3269779120.4682741</v>
      </c>
      <c r="O64" s="275">
        <v>3303351241.4899969</v>
      </c>
      <c r="P64" s="275">
        <v>1241039600.7600002</v>
      </c>
      <c r="Q64" s="275">
        <v>1022069891.6599996</v>
      </c>
      <c r="R64" s="275">
        <v>2754436221.8900023</v>
      </c>
      <c r="S64" s="275">
        <v>0</v>
      </c>
      <c r="T64" s="275">
        <v>0</v>
      </c>
      <c r="U64" s="275">
        <v>0</v>
      </c>
      <c r="V64" s="275">
        <v>0</v>
      </c>
      <c r="W64" s="275">
        <v>0</v>
      </c>
      <c r="X64" s="275">
        <v>0</v>
      </c>
      <c r="Y64" s="275">
        <v>0</v>
      </c>
      <c r="Z64" s="275">
        <v>0</v>
      </c>
      <c r="AA64" s="275">
        <v>0</v>
      </c>
      <c r="AB64" s="275">
        <v>0</v>
      </c>
      <c r="AC64" s="24">
        <v>16114915483.405014</v>
      </c>
      <c r="AD64" s="91">
        <v>301</v>
      </c>
    </row>
    <row r="65" spans="1:30">
      <c r="A65" s="91">
        <v>302</v>
      </c>
      <c r="B65" s="378" t="s">
        <v>523</v>
      </c>
      <c r="C65" s="140">
        <v>2021</v>
      </c>
      <c r="D65" s="275">
        <v>31134695.493015353</v>
      </c>
      <c r="E65" s="275">
        <v>59416597.299104415</v>
      </c>
      <c r="F65" s="275">
        <v>0</v>
      </c>
      <c r="G65" s="275">
        <v>0</v>
      </c>
      <c r="H65" s="275">
        <v>0</v>
      </c>
      <c r="I65" s="275">
        <v>0</v>
      </c>
      <c r="J65" s="275">
        <v>0</v>
      </c>
      <c r="K65" s="275">
        <v>1325982193.704071</v>
      </c>
      <c r="L65" s="275">
        <v>1094562034.8889756</v>
      </c>
      <c r="M65" s="275">
        <v>2034136541.6292143</v>
      </c>
      <c r="N65" s="275">
        <v>3281628597.0404811</v>
      </c>
      <c r="O65" s="275">
        <v>3319906188.289999</v>
      </c>
      <c r="P65" s="275">
        <v>1259466671.0600004</v>
      </c>
      <c r="Q65" s="275">
        <v>1024178976.8699999</v>
      </c>
      <c r="R65" s="275">
        <v>2763750305.3400016</v>
      </c>
      <c r="S65" s="275">
        <v>0</v>
      </c>
      <c r="T65" s="275">
        <v>0</v>
      </c>
      <c r="U65" s="275">
        <v>0</v>
      </c>
      <c r="V65" s="275">
        <v>0</v>
      </c>
      <c r="W65" s="275">
        <v>0</v>
      </c>
      <c r="X65" s="275">
        <v>0</v>
      </c>
      <c r="Y65" s="275">
        <v>0</v>
      </c>
      <c r="Z65" s="275">
        <v>0</v>
      </c>
      <c r="AA65" s="275">
        <v>0</v>
      </c>
      <c r="AB65" s="275">
        <v>0</v>
      </c>
      <c r="AC65" s="24">
        <v>16194162801.614862</v>
      </c>
      <c r="AD65" s="91">
        <v>302</v>
      </c>
    </row>
    <row r="66" spans="1:30">
      <c r="A66" s="91">
        <v>303</v>
      </c>
      <c r="B66" s="378" t="s">
        <v>524</v>
      </c>
      <c r="C66" s="140">
        <v>2021</v>
      </c>
      <c r="D66" s="275">
        <v>29200420.831399158</v>
      </c>
      <c r="E66" s="275">
        <v>59429010.947451077</v>
      </c>
      <c r="F66" s="275">
        <v>0</v>
      </c>
      <c r="G66" s="275">
        <v>0</v>
      </c>
      <c r="H66" s="275">
        <v>0</v>
      </c>
      <c r="I66" s="275">
        <v>0</v>
      </c>
      <c r="J66" s="275">
        <v>0</v>
      </c>
      <c r="K66" s="275">
        <v>1337341154.8446286</v>
      </c>
      <c r="L66" s="275">
        <v>1101594378.7971544</v>
      </c>
      <c r="M66" s="275">
        <v>2058484755.5110044</v>
      </c>
      <c r="N66" s="275">
        <v>3329831357.8030038</v>
      </c>
      <c r="O66" s="275">
        <v>3389089053.849997</v>
      </c>
      <c r="P66" s="275">
        <v>1277177144.2300005</v>
      </c>
      <c r="Q66" s="275">
        <v>1030354311.1599996</v>
      </c>
      <c r="R66" s="275">
        <v>2774243056.0600038</v>
      </c>
      <c r="S66" s="275">
        <v>0</v>
      </c>
      <c r="T66" s="275">
        <v>0</v>
      </c>
      <c r="U66" s="275">
        <v>0</v>
      </c>
      <c r="V66" s="275">
        <v>0</v>
      </c>
      <c r="W66" s="275">
        <v>0</v>
      </c>
      <c r="X66" s="275">
        <v>0</v>
      </c>
      <c r="Y66" s="275">
        <v>0</v>
      </c>
      <c r="Z66" s="275">
        <v>0</v>
      </c>
      <c r="AA66" s="275">
        <v>0</v>
      </c>
      <c r="AB66" s="275">
        <v>0</v>
      </c>
      <c r="AC66" s="24">
        <v>16386744644.034643</v>
      </c>
      <c r="AD66" s="91">
        <v>303</v>
      </c>
    </row>
    <row r="67" spans="1:30">
      <c r="A67" s="91">
        <v>304</v>
      </c>
      <c r="B67" s="378" t="s">
        <v>525</v>
      </c>
      <c r="C67" s="140">
        <v>2021</v>
      </c>
      <c r="D67" s="275">
        <v>29205654.51331374</v>
      </c>
      <c r="E67" s="275">
        <v>59429010.596208371</v>
      </c>
      <c r="F67" s="275">
        <v>0</v>
      </c>
      <c r="G67" s="275">
        <v>0</v>
      </c>
      <c r="H67" s="275">
        <v>0</v>
      </c>
      <c r="I67" s="275">
        <v>0</v>
      </c>
      <c r="J67" s="275">
        <v>0</v>
      </c>
      <c r="K67" s="275">
        <v>1350615597.013762</v>
      </c>
      <c r="L67" s="275">
        <v>1107130749.6276677</v>
      </c>
      <c r="M67" s="275">
        <v>2068510250.6172233</v>
      </c>
      <c r="N67" s="275">
        <v>3349244286.8333187</v>
      </c>
      <c r="O67" s="275">
        <v>3418142971.2499962</v>
      </c>
      <c r="P67" s="275">
        <v>1296932614.0399995</v>
      </c>
      <c r="Q67" s="275">
        <v>1034799818.5299997</v>
      </c>
      <c r="R67" s="275">
        <v>2789388887.2200012</v>
      </c>
      <c r="S67" s="275">
        <v>0</v>
      </c>
      <c r="T67" s="275">
        <v>0</v>
      </c>
      <c r="U67" s="275">
        <v>0</v>
      </c>
      <c r="V67" s="275">
        <v>0</v>
      </c>
      <c r="W67" s="275">
        <v>0</v>
      </c>
      <c r="X67" s="275">
        <v>0</v>
      </c>
      <c r="Y67" s="275">
        <v>0</v>
      </c>
      <c r="Z67" s="275">
        <v>0</v>
      </c>
      <c r="AA67" s="275">
        <v>0</v>
      </c>
      <c r="AB67" s="275">
        <v>0</v>
      </c>
      <c r="AC67" s="24">
        <v>16503399840.241489</v>
      </c>
      <c r="AD67" s="91">
        <v>304</v>
      </c>
    </row>
    <row r="68" spans="1:30">
      <c r="A68" s="91">
        <v>305</v>
      </c>
      <c r="B68" s="378" t="s">
        <v>526</v>
      </c>
      <c r="C68" s="140">
        <v>2021</v>
      </c>
      <c r="D68" s="275">
        <v>29726192.210694432</v>
      </c>
      <c r="E68" s="275">
        <v>59428082.905729145</v>
      </c>
      <c r="F68" s="275">
        <v>0</v>
      </c>
      <c r="G68" s="275">
        <v>0</v>
      </c>
      <c r="H68" s="275">
        <v>0</v>
      </c>
      <c r="I68" s="275">
        <v>0</v>
      </c>
      <c r="J68" s="275">
        <v>0</v>
      </c>
      <c r="K68" s="275">
        <v>1358987657.7409434</v>
      </c>
      <c r="L68" s="275">
        <v>1113165451.8794439</v>
      </c>
      <c r="M68" s="275">
        <v>2081001467.2935631</v>
      </c>
      <c r="N68" s="275">
        <v>3368754770.6071649</v>
      </c>
      <c r="O68" s="275">
        <v>3449235181.849998</v>
      </c>
      <c r="P68" s="275">
        <v>1312358538.2799993</v>
      </c>
      <c r="Q68" s="275">
        <v>1039415030.4000001</v>
      </c>
      <c r="R68" s="275">
        <v>2802484143.9499998</v>
      </c>
      <c r="S68" s="275">
        <v>0</v>
      </c>
      <c r="T68" s="275">
        <v>0</v>
      </c>
      <c r="U68" s="275">
        <v>0</v>
      </c>
      <c r="V68" s="275">
        <v>0</v>
      </c>
      <c r="W68" s="275">
        <v>0</v>
      </c>
      <c r="X68" s="275">
        <v>0</v>
      </c>
      <c r="Y68" s="275">
        <v>0</v>
      </c>
      <c r="Z68" s="275">
        <v>0</v>
      </c>
      <c r="AA68" s="275">
        <v>0</v>
      </c>
      <c r="AB68" s="275">
        <v>0</v>
      </c>
      <c r="AC68" s="24">
        <v>16614556517.117535</v>
      </c>
      <c r="AD68" s="91">
        <v>305</v>
      </c>
    </row>
    <row r="69" spans="1:30">
      <c r="A69" s="91">
        <v>306</v>
      </c>
      <c r="B69" s="378" t="s">
        <v>812</v>
      </c>
      <c r="C69" s="140">
        <v>2021</v>
      </c>
      <c r="D69" s="275">
        <v>29741109.487650353</v>
      </c>
      <c r="E69" s="275">
        <v>59428082.964269593</v>
      </c>
      <c r="F69" s="275">
        <v>0</v>
      </c>
      <c r="G69" s="275">
        <v>0</v>
      </c>
      <c r="H69" s="275">
        <v>0</v>
      </c>
      <c r="I69" s="275">
        <v>0</v>
      </c>
      <c r="J69" s="275">
        <v>0</v>
      </c>
      <c r="K69" s="275">
        <v>1363500821.7778008</v>
      </c>
      <c r="L69" s="275">
        <v>1120359278.5367482</v>
      </c>
      <c r="M69" s="275">
        <v>2104605183.4356673</v>
      </c>
      <c r="N69" s="275">
        <v>3412754252.4518929</v>
      </c>
      <c r="O69" s="275">
        <v>3481692856.219995</v>
      </c>
      <c r="P69" s="275">
        <v>1335543847.2899995</v>
      </c>
      <c r="Q69" s="275">
        <v>1043460522.0400001</v>
      </c>
      <c r="R69" s="275">
        <v>2819599366.6799998</v>
      </c>
      <c r="S69" s="275">
        <v>0</v>
      </c>
      <c r="T69" s="275">
        <v>0</v>
      </c>
      <c r="U69" s="275">
        <v>0</v>
      </c>
      <c r="V69" s="275">
        <v>0</v>
      </c>
      <c r="W69" s="275">
        <v>0</v>
      </c>
      <c r="X69" s="275">
        <v>0</v>
      </c>
      <c r="Y69" s="275">
        <v>0</v>
      </c>
      <c r="Z69" s="275">
        <v>0</v>
      </c>
      <c r="AA69" s="275">
        <v>0</v>
      </c>
      <c r="AB69" s="275">
        <v>0</v>
      </c>
      <c r="AC69" s="24">
        <v>16770685320.884024</v>
      </c>
      <c r="AD69" s="91">
        <v>306</v>
      </c>
    </row>
    <row r="70" spans="1:30">
      <c r="A70" s="91">
        <v>307</v>
      </c>
      <c r="B70" s="378" t="s">
        <v>528</v>
      </c>
      <c r="C70" s="140">
        <v>2021</v>
      </c>
      <c r="D70" s="275">
        <v>29799157.65925302</v>
      </c>
      <c r="E70" s="545">
        <v>59428082.964269593</v>
      </c>
      <c r="F70" s="275">
        <v>0</v>
      </c>
      <c r="G70" s="275">
        <v>0</v>
      </c>
      <c r="H70" s="275">
        <v>0</v>
      </c>
      <c r="I70" s="275">
        <v>0</v>
      </c>
      <c r="J70" s="275">
        <v>0</v>
      </c>
      <c r="K70" s="275">
        <v>1370924140.099966</v>
      </c>
      <c r="L70" s="275">
        <v>1125674771.133265</v>
      </c>
      <c r="M70" s="275">
        <v>2110262075.4401007</v>
      </c>
      <c r="N70" s="275">
        <v>3430670604.1986809</v>
      </c>
      <c r="O70" s="275">
        <v>3502421999.2099977</v>
      </c>
      <c r="P70" s="275">
        <v>1350841186.8900008</v>
      </c>
      <c r="Q70" s="275">
        <v>1029665638.9300003</v>
      </c>
      <c r="R70" s="275">
        <v>2825267774.8600001</v>
      </c>
      <c r="S70" s="275">
        <v>0</v>
      </c>
      <c r="T70" s="275">
        <v>0</v>
      </c>
      <c r="U70" s="275">
        <v>0</v>
      </c>
      <c r="V70" s="275">
        <v>0</v>
      </c>
      <c r="W70" s="275">
        <v>0</v>
      </c>
      <c r="X70" s="275">
        <v>0</v>
      </c>
      <c r="Y70" s="275">
        <v>0</v>
      </c>
      <c r="Z70" s="275">
        <v>0</v>
      </c>
      <c r="AA70" s="275">
        <v>0</v>
      </c>
      <c r="AB70" s="275">
        <v>0</v>
      </c>
      <c r="AC70" s="24">
        <v>16834955431.385534</v>
      </c>
      <c r="AD70" s="91">
        <v>307</v>
      </c>
    </row>
    <row r="71" spans="1:30">
      <c r="A71" s="91">
        <v>308</v>
      </c>
      <c r="B71" s="378" t="s">
        <v>529</v>
      </c>
      <c r="C71" s="140">
        <v>2021</v>
      </c>
      <c r="D71" s="275">
        <v>29852867.642173905</v>
      </c>
      <c r="E71" s="275">
        <v>59415933.679707661</v>
      </c>
      <c r="F71" s="275">
        <v>0</v>
      </c>
      <c r="G71" s="275">
        <v>0</v>
      </c>
      <c r="H71" s="275">
        <v>0</v>
      </c>
      <c r="I71" s="275">
        <v>0</v>
      </c>
      <c r="J71" s="275">
        <v>0</v>
      </c>
      <c r="K71" s="275">
        <v>1382664312.7912116</v>
      </c>
      <c r="L71" s="275">
        <v>1130934129.5147154</v>
      </c>
      <c r="M71" s="275">
        <v>2123853493.2956424</v>
      </c>
      <c r="N71" s="275">
        <v>3458267746.070188</v>
      </c>
      <c r="O71" s="275">
        <v>3528512133.4700012</v>
      </c>
      <c r="P71" s="275">
        <v>1367037868.8599992</v>
      </c>
      <c r="Q71" s="275">
        <v>1035116264.3100004</v>
      </c>
      <c r="R71" s="275">
        <v>2838829850.4099998</v>
      </c>
      <c r="S71" s="275">
        <v>0</v>
      </c>
      <c r="T71" s="275">
        <v>0</v>
      </c>
      <c r="U71" s="275">
        <v>0</v>
      </c>
      <c r="V71" s="275">
        <v>0</v>
      </c>
      <c r="W71" s="275">
        <v>0</v>
      </c>
      <c r="X71" s="275">
        <v>0</v>
      </c>
      <c r="Y71" s="275">
        <v>0</v>
      </c>
      <c r="Z71" s="275">
        <v>0</v>
      </c>
      <c r="AA71" s="275">
        <v>0</v>
      </c>
      <c r="AB71" s="275">
        <v>0</v>
      </c>
      <c r="AC71" s="24">
        <v>16954484600.04364</v>
      </c>
      <c r="AD71" s="91">
        <v>308</v>
      </c>
    </row>
    <row r="72" spans="1:30">
      <c r="A72" s="91">
        <v>309</v>
      </c>
      <c r="B72" s="378" t="s">
        <v>530</v>
      </c>
      <c r="C72" s="140">
        <v>2021</v>
      </c>
      <c r="D72" s="275">
        <v>29858793.662453365</v>
      </c>
      <c r="E72" s="275">
        <v>59415944.973135754</v>
      </c>
      <c r="F72" s="275">
        <v>0</v>
      </c>
      <c r="G72" s="275">
        <v>0</v>
      </c>
      <c r="H72" s="275">
        <v>0</v>
      </c>
      <c r="I72" s="275">
        <v>0</v>
      </c>
      <c r="J72" s="275">
        <v>0</v>
      </c>
      <c r="K72" s="275">
        <v>1398069804.3617682</v>
      </c>
      <c r="L72" s="275">
        <v>1138047063.2267764</v>
      </c>
      <c r="M72" s="275">
        <v>2143273701.6888409</v>
      </c>
      <c r="N72" s="275">
        <v>3494319153.4443598</v>
      </c>
      <c r="O72" s="275">
        <v>3550987710.1700001</v>
      </c>
      <c r="P72" s="275">
        <v>1383512290.9599993</v>
      </c>
      <c r="Q72" s="275">
        <v>1029418186.6900005</v>
      </c>
      <c r="R72" s="275">
        <v>2851130171.7600017</v>
      </c>
      <c r="S72" s="275">
        <v>0</v>
      </c>
      <c r="T72" s="275">
        <v>0</v>
      </c>
      <c r="U72" s="275">
        <v>0</v>
      </c>
      <c r="V72" s="275">
        <v>0</v>
      </c>
      <c r="W72" s="275">
        <v>0</v>
      </c>
      <c r="X72" s="275">
        <v>0</v>
      </c>
      <c r="Y72" s="275">
        <v>0</v>
      </c>
      <c r="Z72" s="275">
        <v>0</v>
      </c>
      <c r="AA72" s="275">
        <v>0</v>
      </c>
      <c r="AB72" s="275">
        <v>0</v>
      </c>
      <c r="AC72" s="24">
        <v>17078032820.937336</v>
      </c>
      <c r="AD72" s="91">
        <v>309</v>
      </c>
    </row>
    <row r="73" spans="1:30">
      <c r="A73" s="91">
        <v>310</v>
      </c>
      <c r="B73" s="378" t="s">
        <v>531</v>
      </c>
      <c r="C73" s="140">
        <v>2021</v>
      </c>
      <c r="D73" s="275">
        <v>29862440.732362907</v>
      </c>
      <c r="E73" s="275">
        <v>59415946.636660151</v>
      </c>
      <c r="F73" s="275">
        <v>0</v>
      </c>
      <c r="G73" s="275">
        <v>0</v>
      </c>
      <c r="H73" s="275">
        <v>0</v>
      </c>
      <c r="I73" s="275">
        <v>0</v>
      </c>
      <c r="J73" s="275">
        <v>0</v>
      </c>
      <c r="K73" s="275">
        <v>1409465761.6209893</v>
      </c>
      <c r="L73" s="275">
        <v>1141991067.9975801</v>
      </c>
      <c r="M73" s="275">
        <v>2157475301.4922323</v>
      </c>
      <c r="N73" s="275">
        <v>3514958830.0999308</v>
      </c>
      <c r="O73" s="275">
        <v>3574207431.5400014</v>
      </c>
      <c r="P73" s="275">
        <v>1400387754.6299996</v>
      </c>
      <c r="Q73" s="275">
        <v>1031739810.7699999</v>
      </c>
      <c r="R73" s="275">
        <v>2862068826.4500012</v>
      </c>
      <c r="S73" s="275">
        <v>0</v>
      </c>
      <c r="T73" s="275">
        <v>0</v>
      </c>
      <c r="U73" s="275">
        <v>0</v>
      </c>
      <c r="V73" s="275">
        <v>0</v>
      </c>
      <c r="W73" s="275">
        <v>0</v>
      </c>
      <c r="X73" s="275">
        <v>0</v>
      </c>
      <c r="Y73" s="275">
        <v>0</v>
      </c>
      <c r="Z73" s="275">
        <v>0</v>
      </c>
      <c r="AA73" s="275">
        <v>0</v>
      </c>
      <c r="AB73" s="275">
        <v>0</v>
      </c>
      <c r="AC73" s="24">
        <v>17181573171.969757</v>
      </c>
      <c r="AD73" s="91">
        <v>310</v>
      </c>
    </row>
    <row r="74" spans="1:30">
      <c r="A74" s="91">
        <v>311</v>
      </c>
      <c r="B74" s="378" t="s">
        <v>532</v>
      </c>
      <c r="C74" s="140">
        <v>2021</v>
      </c>
      <c r="D74" s="275">
        <v>29843415.696563628</v>
      </c>
      <c r="E74" s="275">
        <v>59416000.069454044</v>
      </c>
      <c r="F74" s="275">
        <v>0</v>
      </c>
      <c r="G74" s="275">
        <v>0</v>
      </c>
      <c r="H74" s="275">
        <v>0</v>
      </c>
      <c r="I74" s="275">
        <v>0</v>
      </c>
      <c r="J74" s="275">
        <v>0</v>
      </c>
      <c r="K74" s="275">
        <v>1365477469.2265363</v>
      </c>
      <c r="L74" s="275">
        <v>1091171788.3580625</v>
      </c>
      <c r="M74" s="275">
        <v>2143393516.1833994</v>
      </c>
      <c r="N74" s="275">
        <v>3500260080.9359174</v>
      </c>
      <c r="O74" s="275">
        <v>3549512853.6499996</v>
      </c>
      <c r="P74" s="275">
        <v>1410861326.6600001</v>
      </c>
      <c r="Q74" s="275">
        <v>1027639296.5599998</v>
      </c>
      <c r="R74" s="275">
        <v>2868049189.7500005</v>
      </c>
      <c r="S74" s="275">
        <v>0</v>
      </c>
      <c r="T74" s="275">
        <v>0</v>
      </c>
      <c r="U74" s="275">
        <v>0</v>
      </c>
      <c r="V74" s="275">
        <v>0</v>
      </c>
      <c r="W74" s="275">
        <v>0</v>
      </c>
      <c r="X74" s="275">
        <v>0</v>
      </c>
      <c r="Y74" s="275">
        <v>0</v>
      </c>
      <c r="Z74" s="275">
        <v>0</v>
      </c>
      <c r="AA74" s="275">
        <v>0</v>
      </c>
      <c r="AB74" s="275">
        <v>0</v>
      </c>
      <c r="AC74" s="24">
        <v>17045624937.089931</v>
      </c>
      <c r="AD74" s="91">
        <v>311</v>
      </c>
    </row>
    <row r="75" spans="1:30">
      <c r="A75" s="91">
        <v>312</v>
      </c>
      <c r="B75" s="378" t="s">
        <v>520</v>
      </c>
      <c r="C75" s="140">
        <v>2021</v>
      </c>
      <c r="D75" s="275">
        <v>29233349.345554478</v>
      </c>
      <c r="E75" s="275">
        <v>59637745.671422288</v>
      </c>
      <c r="F75" s="275">
        <v>0</v>
      </c>
      <c r="G75" s="275">
        <v>0</v>
      </c>
      <c r="H75" s="275">
        <v>0</v>
      </c>
      <c r="I75" s="275">
        <v>0</v>
      </c>
      <c r="J75" s="275">
        <v>0</v>
      </c>
      <c r="K75" s="275">
        <v>1399754015.0963581</v>
      </c>
      <c r="L75" s="275">
        <v>1101565878.6856079</v>
      </c>
      <c r="M75" s="275">
        <v>2159483539.7283602</v>
      </c>
      <c r="N75" s="275">
        <v>3521802801.9171085</v>
      </c>
      <c r="O75" s="275">
        <v>3576791953.1699986</v>
      </c>
      <c r="P75" s="275">
        <v>1431524018.4900002</v>
      </c>
      <c r="Q75" s="275">
        <v>1033469206.8400004</v>
      </c>
      <c r="R75" s="275">
        <v>2881464613.9700017</v>
      </c>
      <c r="S75" s="275">
        <v>0</v>
      </c>
      <c r="T75" s="275">
        <v>0</v>
      </c>
      <c r="U75" s="275">
        <v>0</v>
      </c>
      <c r="V75" s="275">
        <v>0</v>
      </c>
      <c r="W75" s="275">
        <v>0</v>
      </c>
      <c r="X75" s="275">
        <v>0</v>
      </c>
      <c r="Y75" s="275">
        <v>0</v>
      </c>
      <c r="Z75" s="275">
        <v>0</v>
      </c>
      <c r="AA75" s="275">
        <v>0</v>
      </c>
      <c r="AB75" s="275">
        <v>0</v>
      </c>
      <c r="AC75" s="24">
        <v>17194727122.914413</v>
      </c>
      <c r="AD75" s="91">
        <v>312</v>
      </c>
    </row>
    <row r="76" spans="1:30">
      <c r="A76" s="91">
        <v>313</v>
      </c>
      <c r="B76" s="664" t="s">
        <v>813</v>
      </c>
      <c r="C76" s="488"/>
      <c r="D76" s="661">
        <v>29961505.522522587</v>
      </c>
      <c r="E76" s="661">
        <v>59437276.972785577</v>
      </c>
      <c r="F76" s="661">
        <v>0</v>
      </c>
      <c r="G76" s="661">
        <v>0</v>
      </c>
      <c r="H76" s="661">
        <v>0</v>
      </c>
      <c r="I76" s="661">
        <v>0</v>
      </c>
      <c r="J76" s="661">
        <v>0</v>
      </c>
      <c r="K76" s="661">
        <v>1360702400.5791488</v>
      </c>
      <c r="L76" s="661">
        <v>1111470133.012912</v>
      </c>
      <c r="M76" s="661">
        <v>2094125612.8263497</v>
      </c>
      <c r="N76" s="661">
        <v>3399028697.1058993</v>
      </c>
      <c r="O76" s="661">
        <v>3456293264.927691</v>
      </c>
      <c r="P76" s="661">
        <v>1330255838.4346151</v>
      </c>
      <c r="Q76" s="661">
        <v>1030981000.77</v>
      </c>
      <c r="R76" s="661">
        <v>2813169648.3053861</v>
      </c>
      <c r="S76" s="661">
        <v>0</v>
      </c>
      <c r="T76" s="661">
        <v>0</v>
      </c>
      <c r="U76" s="661">
        <v>0</v>
      </c>
      <c r="V76" s="661">
        <v>0</v>
      </c>
      <c r="W76" s="661">
        <v>0</v>
      </c>
      <c r="X76" s="661">
        <v>0</v>
      </c>
      <c r="Y76" s="661">
        <v>0</v>
      </c>
      <c r="Z76" s="661">
        <v>0</v>
      </c>
      <c r="AA76" s="661">
        <v>0</v>
      </c>
      <c r="AB76" s="661">
        <v>0</v>
      </c>
      <c r="AC76" s="661">
        <v>16685425378.457308</v>
      </c>
      <c r="AD76" s="91">
        <v>313</v>
      </c>
    </row>
    <row r="77" spans="1:30">
      <c r="A77" s="91"/>
      <c r="B77" s="381"/>
      <c r="C77" s="38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D77" s="91"/>
    </row>
    <row r="78" spans="1:30">
      <c r="A78" s="91"/>
      <c r="B78" s="381"/>
      <c r="C78" s="38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D78" s="91"/>
    </row>
    <row r="79" spans="1:30">
      <c r="B79" s="45" t="s">
        <v>867</v>
      </c>
      <c r="C79" s="45"/>
      <c r="D79" s="103"/>
      <c r="E79" s="103"/>
      <c r="F79" s="103"/>
      <c r="G79" s="103"/>
      <c r="H79" s="103"/>
      <c r="I79" s="43"/>
      <c r="J79" s="43"/>
      <c r="K79" s="43"/>
      <c r="L79" s="103"/>
      <c r="M79" s="103"/>
      <c r="N79" s="103"/>
      <c r="O79" s="103"/>
      <c r="P79" s="103"/>
      <c r="Q79" s="103"/>
      <c r="R79" s="43"/>
      <c r="S79" s="43"/>
      <c r="T79" s="43"/>
      <c r="U79" s="43"/>
      <c r="V79" s="43"/>
      <c r="W79" s="43"/>
      <c r="X79" s="43"/>
      <c r="Y79" s="43"/>
      <c r="Z79" s="43"/>
      <c r="AA79" s="43"/>
      <c r="AB79" s="43"/>
      <c r="AC79" s="43"/>
    </row>
    <row r="80" spans="1:30">
      <c r="B80" s="378" t="s">
        <v>868</v>
      </c>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8"/>
      <c r="AB80" s="378"/>
      <c r="AC80" s="378"/>
    </row>
    <row r="81" spans="1:30">
      <c r="B81" s="378"/>
      <c r="C81" s="378"/>
      <c r="D81" s="378"/>
      <c r="E81" s="378"/>
      <c r="F81" s="378"/>
      <c r="G81" s="378"/>
      <c r="H81" s="378"/>
      <c r="I81" s="378"/>
      <c r="J81" s="378"/>
      <c r="K81" s="378"/>
      <c r="L81" s="378"/>
      <c r="M81" s="378"/>
      <c r="N81" s="378"/>
      <c r="O81" s="378"/>
      <c r="P81" s="378"/>
      <c r="Q81" s="378"/>
      <c r="R81" s="378"/>
      <c r="S81" s="378"/>
      <c r="T81" s="378"/>
      <c r="U81" s="378"/>
      <c r="V81" s="378"/>
      <c r="W81" s="378"/>
      <c r="X81" s="378"/>
      <c r="Y81" s="378"/>
      <c r="Z81" s="378"/>
      <c r="AA81" s="378"/>
      <c r="AB81" s="378"/>
      <c r="AC81" s="378"/>
    </row>
    <row r="82" spans="1:30">
      <c r="A82" s="4"/>
      <c r="D82" s="83" t="s">
        <v>122</v>
      </c>
      <c r="E82" s="83" t="s">
        <v>123</v>
      </c>
      <c r="F82" s="83" t="s">
        <v>124</v>
      </c>
      <c r="G82" s="83"/>
      <c r="H82" s="83"/>
      <c r="I82" s="83"/>
      <c r="J82" s="83"/>
      <c r="K82" s="83"/>
      <c r="L82" s="83"/>
      <c r="M82" s="83"/>
      <c r="N82" s="83"/>
      <c r="O82" s="83"/>
      <c r="P82" s="83"/>
      <c r="AC82" s="91"/>
      <c r="AD82"/>
    </row>
    <row r="83" spans="1:30" ht="43.5">
      <c r="B83" s="91"/>
      <c r="C83" s="91"/>
      <c r="D83" s="100" t="s">
        <v>101</v>
      </c>
      <c r="E83" s="133" t="s">
        <v>869</v>
      </c>
      <c r="F83" s="133" t="s">
        <v>870</v>
      </c>
      <c r="AC83" s="91"/>
      <c r="AD83"/>
    </row>
    <row r="84" spans="1:30">
      <c r="B84" s="91"/>
      <c r="C84" s="91"/>
      <c r="D84" s="100"/>
      <c r="E84" s="100"/>
      <c r="AC84" s="91"/>
      <c r="AD84"/>
    </row>
    <row r="85" spans="1:30">
      <c r="B85" s="91"/>
      <c r="C85" s="91"/>
      <c r="D85" s="84" t="s">
        <v>871</v>
      </c>
      <c r="E85" s="4" t="s">
        <v>505</v>
      </c>
      <c r="F85" s="4" t="s">
        <v>536</v>
      </c>
      <c r="AC85" s="91"/>
      <c r="AD85"/>
    </row>
    <row r="86" spans="1:30" ht="29">
      <c r="A86" s="80" t="s">
        <v>90</v>
      </c>
      <c r="B86" s="80" t="s">
        <v>511</v>
      </c>
      <c r="C86" s="80" t="s">
        <v>512</v>
      </c>
      <c r="D86" s="382" t="s">
        <v>872</v>
      </c>
      <c r="E86" s="3" t="s">
        <v>737</v>
      </c>
      <c r="F86" s="3" t="s">
        <v>737</v>
      </c>
      <c r="G86" s="83"/>
      <c r="H86" s="83"/>
      <c r="I86" s="83"/>
      <c r="J86" s="83"/>
      <c r="K86" s="83"/>
      <c r="L86" s="83"/>
      <c r="M86" s="83"/>
      <c r="N86" s="83"/>
      <c r="O86" s="83"/>
      <c r="P86" s="80"/>
      <c r="AD86" s="80" t="s">
        <v>90</v>
      </c>
    </row>
    <row r="87" spans="1:30">
      <c r="A87" s="91">
        <v>400</v>
      </c>
      <c r="B87" s="378" t="s">
        <v>520</v>
      </c>
      <c r="C87" s="140">
        <v>2020</v>
      </c>
      <c r="D87" s="272">
        <v>1027405415.9300002</v>
      </c>
      <c r="E87" s="121">
        <v>501752981.41567934</v>
      </c>
      <c r="F87" s="121">
        <v>477921549.18722939</v>
      </c>
      <c r="G87" s="111" t="s">
        <v>896</v>
      </c>
      <c r="H87" s="111"/>
      <c r="I87" s="111"/>
      <c r="J87" s="111"/>
      <c r="K87" s="111"/>
      <c r="L87" s="111"/>
      <c r="M87" s="111"/>
      <c r="N87" s="111"/>
      <c r="O87" s="111"/>
      <c r="P87" s="11"/>
      <c r="AD87" s="91">
        <v>400</v>
      </c>
    </row>
    <row r="88" spans="1:30">
      <c r="A88" s="91">
        <v>401</v>
      </c>
      <c r="B88" s="383" t="s">
        <v>520</v>
      </c>
      <c r="C88" s="140">
        <v>2021</v>
      </c>
      <c r="D88" s="273">
        <v>1048285668.3300002</v>
      </c>
      <c r="E88" s="121">
        <v>511950249.92523688</v>
      </c>
      <c r="F88" s="121">
        <v>487634484.72338802</v>
      </c>
      <c r="G88" s="111" t="s">
        <v>873</v>
      </c>
      <c r="H88" s="384"/>
      <c r="I88" s="384"/>
      <c r="J88" s="384"/>
      <c r="K88" s="384"/>
      <c r="L88" s="384"/>
      <c r="M88" s="384"/>
      <c r="N88" s="384"/>
      <c r="O88" s="384"/>
      <c r="P88" s="384"/>
      <c r="AD88" s="91">
        <v>401</v>
      </c>
    </row>
    <row r="89" spans="1:30">
      <c r="A89" s="91">
        <v>402</v>
      </c>
      <c r="B89" s="385" t="s">
        <v>874</v>
      </c>
      <c r="C89" s="488"/>
      <c r="D89" s="386">
        <v>1037845542.1300001</v>
      </c>
      <c r="E89" s="489">
        <v>506851615.67045808</v>
      </c>
      <c r="F89" s="489">
        <v>482778016.95530868</v>
      </c>
      <c r="G89" s="11" t="s">
        <v>897</v>
      </c>
      <c r="H89" s="11"/>
      <c r="I89" s="11"/>
      <c r="J89" s="11"/>
      <c r="K89" s="11"/>
      <c r="L89" s="11"/>
      <c r="M89" s="11"/>
      <c r="N89" s="11"/>
      <c r="O89" s="11"/>
      <c r="P89" s="11"/>
      <c r="AD89" s="91">
        <v>402</v>
      </c>
    </row>
    <row r="90" spans="1:30">
      <c r="A90" s="91"/>
      <c r="B90" s="381"/>
      <c r="C90" s="38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D90" s="91"/>
    </row>
    <row r="91" spans="1:30">
      <c r="A91" s="91"/>
      <c r="B91" s="381"/>
      <c r="C91" s="38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D91" s="91"/>
    </row>
    <row r="92" spans="1:30">
      <c r="B92" s="45" t="s">
        <v>875</v>
      </c>
      <c r="C92" s="45"/>
      <c r="D92" s="103"/>
      <c r="E92" s="103"/>
      <c r="F92" s="103"/>
      <c r="G92" s="103"/>
      <c r="H92" s="103"/>
      <c r="I92" s="103"/>
      <c r="J92" s="103"/>
      <c r="K92" s="103"/>
      <c r="L92" s="103"/>
      <c r="M92" s="43"/>
      <c r="N92" s="103"/>
      <c r="O92" s="103"/>
      <c r="P92" s="103"/>
      <c r="Q92" s="103"/>
      <c r="R92" s="43"/>
      <c r="S92" s="43"/>
      <c r="T92" s="43"/>
      <c r="U92" s="43"/>
      <c r="V92" s="43"/>
      <c r="W92" s="43"/>
      <c r="X92" s="43"/>
      <c r="Y92" s="43"/>
      <c r="Z92" s="43"/>
      <c r="AA92" s="43"/>
      <c r="AB92" s="43"/>
      <c r="AC92" s="43"/>
    </row>
    <row r="93" spans="1:30">
      <c r="A93" s="18"/>
      <c r="B93" s="741" t="s">
        <v>876</v>
      </c>
      <c r="C93" s="741"/>
      <c r="D93" s="741"/>
      <c r="E93" s="741"/>
      <c r="F93" s="741"/>
      <c r="G93" s="741"/>
      <c r="H93" s="741"/>
      <c r="I93" s="741"/>
      <c r="J93" s="741"/>
      <c r="K93" s="741"/>
      <c r="L93" s="741"/>
      <c r="M93" s="741"/>
      <c r="N93" s="741"/>
      <c r="O93" s="378"/>
      <c r="P93" s="378"/>
      <c r="Q93" s="378"/>
      <c r="R93" s="378"/>
      <c r="S93" s="378"/>
      <c r="T93" s="378"/>
      <c r="U93" s="378"/>
      <c r="V93" s="378"/>
      <c r="W93" s="378"/>
      <c r="X93" s="378"/>
      <c r="Y93" s="378"/>
      <c r="Z93" s="378"/>
      <c r="AA93" s="378"/>
      <c r="AB93" s="378"/>
      <c r="AC93" s="378"/>
      <c r="AD93" s="91"/>
    </row>
    <row r="94" spans="1:30">
      <c r="A94" s="18"/>
      <c r="B94" s="741"/>
      <c r="C94" s="741"/>
      <c r="D94" s="741"/>
      <c r="E94" s="741"/>
      <c r="F94" s="741"/>
      <c r="G94" s="741"/>
      <c r="H94" s="741"/>
      <c r="I94" s="741"/>
      <c r="J94" s="741"/>
      <c r="K94" s="741"/>
      <c r="L94" s="741"/>
      <c r="M94" s="741"/>
      <c r="N94" s="741"/>
      <c r="O94" s="8"/>
      <c r="AC94" s="91"/>
      <c r="AD94"/>
    </row>
    <row r="95" spans="1:30">
      <c r="A95" s="4"/>
      <c r="D95" s="83" t="s">
        <v>122</v>
      </c>
      <c r="E95" s="83" t="s">
        <v>123</v>
      </c>
      <c r="F95" s="83" t="s">
        <v>124</v>
      </c>
      <c r="G95" s="83" t="s">
        <v>125</v>
      </c>
      <c r="H95" s="83" t="s">
        <v>490</v>
      </c>
      <c r="J95" s="83"/>
      <c r="K95" s="83"/>
      <c r="L95" s="83"/>
      <c r="M95" s="83"/>
      <c r="N95" s="83"/>
      <c r="O95" s="83"/>
      <c r="P95" s="83"/>
      <c r="AC95" s="91"/>
      <c r="AD95"/>
    </row>
    <row r="96" spans="1:30" ht="43.5">
      <c r="B96" s="91"/>
      <c r="C96" s="91"/>
      <c r="D96" s="133" t="s">
        <v>496</v>
      </c>
      <c r="E96" s="387" t="s">
        <v>898</v>
      </c>
      <c r="F96" s="387" t="s">
        <v>877</v>
      </c>
      <c r="G96" s="133" t="s">
        <v>878</v>
      </c>
      <c r="H96" s="133" t="s">
        <v>879</v>
      </c>
      <c r="AC96" s="91"/>
      <c r="AD96"/>
    </row>
    <row r="97" spans="1:30">
      <c r="B97" s="91"/>
      <c r="C97" s="91"/>
      <c r="D97" s="83"/>
      <c r="F97" s="100"/>
      <c r="AC97" s="91"/>
      <c r="AD97"/>
    </row>
    <row r="98" spans="1:30">
      <c r="B98" s="91"/>
      <c r="C98" s="91"/>
      <c r="D98" s="84"/>
      <c r="E98" s="4" t="s">
        <v>880</v>
      </c>
      <c r="F98" s="4" t="s">
        <v>881</v>
      </c>
      <c r="AC98" s="91"/>
      <c r="AD98"/>
    </row>
    <row r="99" spans="1:30">
      <c r="B99" s="91"/>
      <c r="C99" s="91"/>
      <c r="D99" s="84" t="s">
        <v>882</v>
      </c>
      <c r="E99" s="4" t="s">
        <v>737</v>
      </c>
      <c r="F99" s="4" t="s">
        <v>737</v>
      </c>
      <c r="G99" s="4" t="s">
        <v>505</v>
      </c>
      <c r="H99" s="4" t="s">
        <v>536</v>
      </c>
      <c r="AC99" s="91"/>
      <c r="AD99"/>
    </row>
    <row r="100" spans="1:30">
      <c r="A100" s="80" t="s">
        <v>90</v>
      </c>
      <c r="B100" s="80" t="s">
        <v>511</v>
      </c>
      <c r="C100" s="80" t="s">
        <v>512</v>
      </c>
      <c r="D100" s="110" t="s">
        <v>883</v>
      </c>
      <c r="E100" s="110" t="s">
        <v>884</v>
      </c>
      <c r="F100" s="382" t="s">
        <v>885</v>
      </c>
      <c r="G100" s="3" t="s">
        <v>737</v>
      </c>
      <c r="H100" s="3" t="s">
        <v>737</v>
      </c>
      <c r="J100" s="83"/>
      <c r="K100" s="83"/>
      <c r="L100" s="83"/>
      <c r="M100" s="83"/>
      <c r="N100" s="83"/>
      <c r="O100" s="83"/>
      <c r="P100" s="80"/>
      <c r="AD100" s="80" t="s">
        <v>90</v>
      </c>
    </row>
    <row r="101" spans="1:30">
      <c r="A101" s="91">
        <v>500</v>
      </c>
      <c r="B101" s="378" t="s">
        <v>520</v>
      </c>
      <c r="C101" s="140">
        <v>2020</v>
      </c>
      <c r="D101" s="272">
        <v>3477057482.2699981</v>
      </c>
      <c r="E101" s="19">
        <v>0.30680154907006396</v>
      </c>
      <c r="F101" s="265">
        <v>1066766621.7660918</v>
      </c>
      <c r="G101" s="121">
        <v>520975775.13873756</v>
      </c>
      <c r="H101" s="121">
        <v>496231330.48620594</v>
      </c>
      <c r="J101" s="111"/>
      <c r="K101" s="111"/>
      <c r="L101" s="111"/>
      <c r="M101" s="111"/>
      <c r="N101" s="111"/>
      <c r="O101" s="111"/>
      <c r="P101" s="11"/>
      <c r="AD101" s="91">
        <v>500</v>
      </c>
    </row>
    <row r="102" spans="1:30">
      <c r="A102" s="91">
        <v>501</v>
      </c>
      <c r="B102" s="383" t="s">
        <v>520</v>
      </c>
      <c r="C102" s="140">
        <v>2021</v>
      </c>
      <c r="D102" s="273">
        <v>3180271854.7399983</v>
      </c>
      <c r="E102" s="19">
        <v>0.30680154907006396</v>
      </c>
      <c r="F102" s="388">
        <v>975712331.49815691</v>
      </c>
      <c r="G102" s="121">
        <v>476507680.16449636</v>
      </c>
      <c r="H102" s="121">
        <v>453875307.44966781</v>
      </c>
      <c r="I102" s="111"/>
      <c r="J102" s="111"/>
      <c r="K102" s="111"/>
      <c r="L102" s="384"/>
      <c r="M102" s="384"/>
      <c r="N102" s="384"/>
      <c r="O102" s="384"/>
      <c r="P102" s="384"/>
      <c r="AD102" s="91">
        <v>501</v>
      </c>
    </row>
    <row r="103" spans="1:30">
      <c r="A103" s="91">
        <v>502</v>
      </c>
      <c r="B103" s="385" t="s">
        <v>874</v>
      </c>
      <c r="C103" s="488"/>
      <c r="D103" s="386">
        <v>3328664668.5049982</v>
      </c>
      <c r="E103" s="490"/>
      <c r="F103" s="386">
        <v>1021239476.6321244</v>
      </c>
      <c r="G103" s="489">
        <v>498741727.65161693</v>
      </c>
      <c r="H103" s="489">
        <v>475053318.96793687</v>
      </c>
      <c r="I103" s="11" t="s">
        <v>899</v>
      </c>
      <c r="J103" s="11"/>
      <c r="K103" s="11"/>
      <c r="L103" s="11"/>
      <c r="M103" s="11"/>
      <c r="N103" s="11"/>
      <c r="O103" s="11"/>
      <c r="P103" s="11"/>
      <c r="AD103" s="91">
        <v>502</v>
      </c>
    </row>
    <row r="104" spans="1:30">
      <c r="A104" s="91"/>
      <c r="B104" s="378"/>
      <c r="C104" s="378"/>
      <c r="D104" s="11"/>
      <c r="E104" s="19"/>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D104" s="91"/>
    </row>
    <row r="105" spans="1:30">
      <c r="A105" s="91"/>
      <c r="B105" s="378"/>
      <c r="C105" s="378"/>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D105" s="91"/>
    </row>
    <row r="106" spans="1:30">
      <c r="B106" s="45" t="s">
        <v>886</v>
      </c>
      <c r="C106" s="45"/>
      <c r="D106" s="103"/>
      <c r="E106" s="103"/>
      <c r="F106" s="103"/>
      <c r="G106" s="103"/>
      <c r="H106" s="103"/>
      <c r="I106" s="103"/>
      <c r="J106" s="103"/>
      <c r="K106" s="103"/>
      <c r="L106" s="103"/>
      <c r="M106" s="43"/>
      <c r="N106" s="46"/>
      <c r="O106" s="46"/>
      <c r="P106" s="46"/>
      <c r="Q106" s="46"/>
      <c r="R106" s="46"/>
      <c r="S106" s="46"/>
      <c r="T106" s="46"/>
      <c r="U106" s="46"/>
      <c r="V106" s="46"/>
      <c r="W106" s="46"/>
      <c r="X106" s="46"/>
      <c r="Y106" s="46"/>
      <c r="Z106" s="46"/>
      <c r="AA106" s="46"/>
      <c r="AB106" s="46"/>
      <c r="AC106" s="43"/>
    </row>
    <row r="107" spans="1:30">
      <c r="A107" s="18"/>
      <c r="B107" s="741" t="s">
        <v>887</v>
      </c>
      <c r="C107" s="741"/>
      <c r="D107" s="741"/>
      <c r="E107" s="741"/>
      <c r="F107" s="741"/>
      <c r="G107" s="741"/>
      <c r="H107" s="741"/>
      <c r="I107" s="741"/>
      <c r="J107" s="741"/>
      <c r="K107" s="741"/>
      <c r="L107" s="741"/>
      <c r="M107" s="741"/>
      <c r="N107" s="741"/>
      <c r="O107" s="378"/>
      <c r="P107" s="378"/>
      <c r="Q107" s="378"/>
      <c r="R107" s="378"/>
      <c r="S107" s="378"/>
      <c r="T107" s="378"/>
      <c r="U107" s="378"/>
      <c r="V107" s="378"/>
      <c r="W107" s="378"/>
      <c r="X107" s="378"/>
      <c r="Y107" s="378"/>
      <c r="Z107" s="378"/>
      <c r="AA107" s="378"/>
      <c r="AB107" s="378"/>
      <c r="AC107" s="378"/>
      <c r="AD107" s="91"/>
    </row>
    <row r="108" spans="1:30">
      <c r="A108" s="18"/>
      <c r="B108" s="741"/>
      <c r="C108" s="741"/>
      <c r="D108" s="741"/>
      <c r="E108" s="741"/>
      <c r="F108" s="741"/>
      <c r="G108" s="741"/>
      <c r="H108" s="741"/>
      <c r="I108" s="741"/>
      <c r="J108" s="741"/>
      <c r="K108" s="741"/>
      <c r="L108" s="741"/>
      <c r="M108" s="741"/>
      <c r="N108" s="741"/>
      <c r="O108" s="378"/>
      <c r="P108" s="378"/>
      <c r="Q108" s="378"/>
      <c r="R108" s="378"/>
      <c r="S108" s="378"/>
      <c r="T108" s="378"/>
      <c r="U108" s="378"/>
      <c r="V108" s="378"/>
      <c r="W108" s="378"/>
      <c r="X108" s="378"/>
      <c r="Y108" s="378"/>
      <c r="Z108" s="378"/>
      <c r="AA108" s="378"/>
      <c r="AB108" s="378"/>
      <c r="AC108" s="91"/>
      <c r="AD108"/>
    </row>
    <row r="109" spans="1:30">
      <c r="A109" s="4"/>
      <c r="D109" s="83" t="s">
        <v>122</v>
      </c>
      <c r="E109" s="83" t="s">
        <v>123</v>
      </c>
      <c r="F109" s="83" t="s">
        <v>124</v>
      </c>
      <c r="G109" s="83" t="s">
        <v>125</v>
      </c>
      <c r="H109" s="83" t="s">
        <v>490</v>
      </c>
      <c r="I109" s="11"/>
      <c r="J109" s="11"/>
      <c r="K109" s="11"/>
      <c r="L109" s="11"/>
      <c r="M109" s="11"/>
      <c r="N109" s="11"/>
      <c r="O109" s="11"/>
      <c r="P109" s="11"/>
      <c r="AC109" s="91"/>
      <c r="AD109"/>
    </row>
    <row r="110" spans="1:30" ht="43.5">
      <c r="B110" s="91"/>
      <c r="C110" s="91"/>
      <c r="D110" s="133" t="s">
        <v>497</v>
      </c>
      <c r="E110" s="387" t="s">
        <v>900</v>
      </c>
      <c r="F110" s="387" t="s">
        <v>877</v>
      </c>
      <c r="G110" s="133" t="s">
        <v>878</v>
      </c>
      <c r="H110" s="133" t="s">
        <v>879</v>
      </c>
      <c r="I110" s="11"/>
      <c r="J110" s="11"/>
      <c r="K110" s="11"/>
      <c r="L110" s="11"/>
      <c r="M110" s="11"/>
      <c r="N110" s="11"/>
      <c r="O110" s="11"/>
      <c r="P110" s="11"/>
      <c r="AC110" s="91"/>
      <c r="AD110"/>
    </row>
    <row r="111" spans="1:30">
      <c r="B111" s="91"/>
      <c r="C111" s="91"/>
      <c r="D111" s="83"/>
      <c r="F111" s="100"/>
      <c r="H111" s="11"/>
      <c r="I111" s="11"/>
      <c r="J111" s="11"/>
      <c r="K111" s="11"/>
      <c r="L111" s="11"/>
      <c r="M111" s="11"/>
      <c r="N111" s="11"/>
      <c r="O111" s="11"/>
      <c r="P111" s="11"/>
      <c r="AC111" s="91"/>
      <c r="AD111"/>
    </row>
    <row r="112" spans="1:30">
      <c r="B112" s="91"/>
      <c r="C112" s="91"/>
      <c r="D112" s="83"/>
      <c r="E112" s="4" t="s">
        <v>880</v>
      </c>
      <c r="F112" s="4" t="s">
        <v>881</v>
      </c>
      <c r="H112" s="11"/>
      <c r="I112" s="11"/>
      <c r="J112" s="11"/>
      <c r="K112" s="11"/>
      <c r="L112" s="11"/>
      <c r="M112" s="11"/>
      <c r="N112" s="11"/>
      <c r="O112" s="11"/>
      <c r="P112" s="11"/>
      <c r="AC112" s="91"/>
      <c r="AD112"/>
    </row>
    <row r="113" spans="1:30">
      <c r="B113" s="91"/>
      <c r="C113" s="91"/>
      <c r="D113" s="84" t="s">
        <v>888</v>
      </c>
      <c r="E113" s="4" t="s">
        <v>737</v>
      </c>
      <c r="F113" s="4" t="s">
        <v>737</v>
      </c>
      <c r="G113" s="4" t="s">
        <v>505</v>
      </c>
      <c r="H113" s="4" t="s">
        <v>536</v>
      </c>
      <c r="I113" s="11"/>
      <c r="J113" s="11"/>
      <c r="K113" s="11"/>
      <c r="L113" s="11"/>
      <c r="M113" s="11"/>
      <c r="N113" s="11"/>
      <c r="O113" s="11"/>
      <c r="P113" s="11"/>
      <c r="AC113" s="91"/>
      <c r="AD113"/>
    </row>
    <row r="114" spans="1:30">
      <c r="A114" s="80" t="s">
        <v>90</v>
      </c>
      <c r="B114" s="80" t="s">
        <v>511</v>
      </c>
      <c r="C114" s="80" t="s">
        <v>512</v>
      </c>
      <c r="D114" s="110" t="s">
        <v>883</v>
      </c>
      <c r="E114" s="110" t="s">
        <v>884</v>
      </c>
      <c r="F114" s="382" t="s">
        <v>885</v>
      </c>
      <c r="G114" s="3" t="s">
        <v>737</v>
      </c>
      <c r="H114" s="3" t="s">
        <v>737</v>
      </c>
      <c r="I114" s="11"/>
      <c r="J114" s="11"/>
      <c r="K114" s="11"/>
      <c r="L114" s="11"/>
      <c r="M114" s="11"/>
      <c r="N114" s="11"/>
      <c r="O114" s="11"/>
      <c r="P114" s="11"/>
      <c r="AD114" s="80" t="s">
        <v>90</v>
      </c>
    </row>
    <row r="115" spans="1:30">
      <c r="A115" s="91">
        <v>600</v>
      </c>
      <c r="B115" s="378" t="s">
        <v>520</v>
      </c>
      <c r="C115" s="140">
        <v>2020</v>
      </c>
      <c r="D115" s="272">
        <v>208887972.33999997</v>
      </c>
      <c r="E115" s="19">
        <v>0.43638724816634106</v>
      </c>
      <c r="F115" s="265">
        <v>91156047.424499348</v>
      </c>
      <c r="G115" s="121">
        <v>44517790.017595001</v>
      </c>
      <c r="H115" s="121">
        <v>42403357.747015715</v>
      </c>
      <c r="I115" s="11"/>
      <c r="J115" s="111"/>
      <c r="K115" s="111"/>
      <c r="L115" s="11"/>
      <c r="M115" s="11"/>
      <c r="N115" s="11"/>
      <c r="O115" s="11"/>
      <c r="P115" s="11"/>
      <c r="AD115" s="91">
        <v>600</v>
      </c>
    </row>
    <row r="116" spans="1:30">
      <c r="A116" s="91">
        <v>601</v>
      </c>
      <c r="B116" s="383" t="s">
        <v>520</v>
      </c>
      <c r="C116" s="140">
        <v>2021</v>
      </c>
      <c r="D116" s="273">
        <v>228511816.55000004</v>
      </c>
      <c r="E116" s="19">
        <v>0.43638724816634106</v>
      </c>
      <c r="F116" s="388">
        <v>99719642.797746271</v>
      </c>
      <c r="G116" s="121">
        <v>48699984.741840951</v>
      </c>
      <c r="H116" s="121">
        <v>46386913.511796318</v>
      </c>
      <c r="I116" s="111"/>
      <c r="J116" s="111"/>
      <c r="K116" s="111"/>
      <c r="L116" s="11"/>
      <c r="M116" s="11"/>
      <c r="N116" s="11"/>
      <c r="O116" s="11"/>
      <c r="P116" s="11"/>
      <c r="AD116" s="91">
        <v>601</v>
      </c>
    </row>
    <row r="117" spans="1:30">
      <c r="A117" s="91">
        <v>602</v>
      </c>
      <c r="B117" s="385" t="s">
        <v>874</v>
      </c>
      <c r="C117" s="488"/>
      <c r="D117" s="386">
        <v>218699894.44499999</v>
      </c>
      <c r="E117" s="490"/>
      <c r="F117" s="386">
        <v>95437845.111122817</v>
      </c>
      <c r="G117" s="489">
        <v>46608887.379717976</v>
      </c>
      <c r="H117" s="489">
        <v>44395135.62940602</v>
      </c>
      <c r="I117" s="11" t="s">
        <v>901</v>
      </c>
      <c r="J117" s="11"/>
      <c r="K117" s="11"/>
      <c r="L117" s="11"/>
      <c r="M117" s="11"/>
      <c r="N117" s="11"/>
      <c r="O117" s="11"/>
      <c r="P117" s="11"/>
      <c r="AD117" s="91">
        <v>602</v>
      </c>
    </row>
    <row r="118" spans="1:30">
      <c r="A118" s="91"/>
      <c r="B118" s="378"/>
      <c r="C118" s="378"/>
      <c r="D118" s="11"/>
      <c r="E118" s="19"/>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D118" s="91"/>
    </row>
    <row r="119" spans="1:30">
      <c r="A119" s="91"/>
      <c r="B119" s="378"/>
      <c r="C119" s="378"/>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D119" s="91"/>
    </row>
    <row r="120" spans="1:30">
      <c r="B120" s="45" t="s">
        <v>889</v>
      </c>
      <c r="C120" s="45"/>
      <c r="D120" s="103"/>
      <c r="E120" s="103"/>
      <c r="F120" s="103"/>
      <c r="G120" s="103"/>
      <c r="H120" s="103"/>
      <c r="I120" s="103"/>
      <c r="J120" s="103"/>
      <c r="K120" s="103"/>
      <c r="L120" s="103"/>
      <c r="M120" s="43"/>
      <c r="N120" s="43"/>
      <c r="O120" s="103"/>
      <c r="P120" s="103"/>
      <c r="Q120" s="103"/>
      <c r="R120" s="43"/>
      <c r="S120" s="43"/>
      <c r="T120" s="43"/>
      <c r="U120" s="43"/>
      <c r="V120" s="43"/>
      <c r="W120" s="43"/>
      <c r="X120" s="43"/>
      <c r="Y120" s="43"/>
      <c r="Z120" s="43"/>
      <c r="AA120" s="43"/>
      <c r="AB120" s="43"/>
      <c r="AC120" s="43"/>
    </row>
    <row r="121" spans="1:30">
      <c r="A121" s="18"/>
      <c r="B121" s="378" t="s">
        <v>890</v>
      </c>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91"/>
    </row>
    <row r="122" spans="1:30">
      <c r="A122" s="18"/>
      <c r="C122" s="8"/>
      <c r="D122" s="8"/>
      <c r="E122" s="8"/>
      <c r="F122" s="8"/>
      <c r="G122" s="8"/>
      <c r="H122" s="8"/>
      <c r="I122" s="8"/>
      <c r="J122" s="8"/>
      <c r="K122" s="8"/>
      <c r="L122" s="8"/>
      <c r="M122" s="8"/>
      <c r="N122" s="8"/>
      <c r="O122" s="8"/>
      <c r="P122" s="8"/>
      <c r="Q122" s="8"/>
      <c r="AD122" s="91"/>
    </row>
    <row r="123" spans="1:30">
      <c r="A123" s="4"/>
      <c r="D123" s="83" t="s">
        <v>122</v>
      </c>
      <c r="E123" s="83" t="s">
        <v>123</v>
      </c>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D123" s="91"/>
    </row>
    <row r="124" spans="1:30" ht="29">
      <c r="B124" s="91"/>
      <c r="C124" s="91"/>
      <c r="D124" s="133" t="s">
        <v>891</v>
      </c>
      <c r="E124" s="133" t="s">
        <v>891</v>
      </c>
      <c r="AC124" s="91"/>
      <c r="AD124"/>
    </row>
    <row r="125" spans="1:30">
      <c r="B125" s="91"/>
      <c r="C125" s="91"/>
      <c r="D125" s="84"/>
      <c r="AC125" s="91"/>
      <c r="AD125"/>
    </row>
    <row r="126" spans="1:30">
      <c r="B126" s="91"/>
      <c r="C126" s="91"/>
      <c r="D126" s="4" t="s">
        <v>505</v>
      </c>
      <c r="E126" s="4" t="s">
        <v>536</v>
      </c>
      <c r="AC126" s="91"/>
      <c r="AD126"/>
    </row>
    <row r="127" spans="1:30">
      <c r="A127" s="80" t="s">
        <v>90</v>
      </c>
      <c r="B127" s="80" t="s">
        <v>511</v>
      </c>
      <c r="C127" s="80" t="s">
        <v>512</v>
      </c>
      <c r="D127" s="3" t="s">
        <v>737</v>
      </c>
      <c r="E127" s="3" t="s">
        <v>737</v>
      </c>
      <c r="F127" s="83"/>
      <c r="G127" s="83"/>
      <c r="H127" s="83"/>
      <c r="I127" s="83"/>
      <c r="J127" s="83"/>
      <c r="K127" s="83"/>
      <c r="L127" s="83"/>
      <c r="M127" s="83"/>
      <c r="N127" s="83"/>
      <c r="O127" s="83"/>
      <c r="P127" s="83"/>
      <c r="Q127" s="80"/>
      <c r="R127" s="80"/>
      <c r="S127" s="80"/>
      <c r="T127" s="80"/>
      <c r="U127" s="80"/>
      <c r="V127" s="80"/>
      <c r="W127" s="80"/>
      <c r="X127" s="80"/>
      <c r="Y127" s="80"/>
      <c r="Z127" s="80"/>
      <c r="AA127" s="80"/>
      <c r="AD127" s="80" t="s">
        <v>90</v>
      </c>
    </row>
    <row r="128" spans="1:30">
      <c r="A128" s="91">
        <v>700</v>
      </c>
      <c r="B128" s="378" t="s">
        <v>520</v>
      </c>
      <c r="C128" s="140">
        <v>2020</v>
      </c>
      <c r="D128" s="121">
        <v>1067246546.5720119</v>
      </c>
      <c r="E128" s="121">
        <v>1016556237.420451</v>
      </c>
      <c r="F128" s="111"/>
      <c r="G128" s="111"/>
      <c r="H128" s="111"/>
      <c r="I128" s="111"/>
      <c r="J128" s="111"/>
      <c r="K128" s="111"/>
      <c r="L128" s="111"/>
      <c r="M128" s="111"/>
      <c r="N128" s="111"/>
      <c r="O128" s="111"/>
      <c r="P128" s="111"/>
      <c r="Q128" s="11"/>
      <c r="R128" s="11"/>
      <c r="S128" s="11"/>
      <c r="T128" s="11"/>
      <c r="U128" s="11"/>
      <c r="V128" s="11"/>
      <c r="W128" s="11"/>
      <c r="X128" s="11"/>
      <c r="Y128" s="11"/>
      <c r="Z128" s="11"/>
      <c r="AA128" s="11"/>
      <c r="AD128" s="91">
        <v>700</v>
      </c>
    </row>
    <row r="129" spans="1:30">
      <c r="A129" s="91">
        <v>701</v>
      </c>
      <c r="B129" s="378" t="s">
        <v>520</v>
      </c>
      <c r="C129" s="140">
        <v>2021</v>
      </c>
      <c r="D129" s="121">
        <v>1037157914.8315742</v>
      </c>
      <c r="E129" s="121">
        <v>987896705.68485224</v>
      </c>
      <c r="F129" s="111" t="s">
        <v>892</v>
      </c>
      <c r="G129" s="384"/>
      <c r="H129" s="384"/>
      <c r="I129" s="384"/>
      <c r="J129" s="384"/>
      <c r="K129" s="384"/>
      <c r="L129" s="384"/>
      <c r="M129" s="384"/>
      <c r="N129" s="384"/>
      <c r="O129" s="384"/>
      <c r="P129" s="384"/>
      <c r="Q129" s="384"/>
      <c r="R129" s="384"/>
      <c r="S129" s="384"/>
      <c r="T129" s="384"/>
      <c r="U129" s="384"/>
      <c r="V129" s="384"/>
      <c r="W129" s="384"/>
      <c r="X129" s="384"/>
      <c r="Y129" s="384"/>
      <c r="Z129" s="384"/>
      <c r="AA129" s="384"/>
      <c r="AD129" s="91">
        <v>701</v>
      </c>
    </row>
    <row r="130" spans="1:30">
      <c r="A130" s="91">
        <v>702</v>
      </c>
      <c r="B130" s="488" t="s">
        <v>874</v>
      </c>
      <c r="C130" s="488"/>
      <c r="D130" s="489">
        <v>1052202230.7017931</v>
      </c>
      <c r="E130" s="489">
        <v>1002226471.5526516</v>
      </c>
      <c r="F130" s="111" t="s">
        <v>902</v>
      </c>
      <c r="G130" s="11"/>
      <c r="H130" s="11"/>
      <c r="I130" s="11"/>
      <c r="J130" s="11"/>
      <c r="K130" s="11"/>
      <c r="L130" s="11"/>
      <c r="M130" s="11"/>
      <c r="N130" s="11"/>
      <c r="O130" s="11"/>
      <c r="P130" s="11"/>
      <c r="Q130" s="11"/>
      <c r="R130" s="11"/>
      <c r="S130" s="11"/>
      <c r="T130" s="11"/>
      <c r="U130" s="11"/>
      <c r="V130" s="11"/>
      <c r="W130" s="11"/>
      <c r="X130" s="11"/>
      <c r="Y130" s="11"/>
      <c r="Z130" s="11"/>
      <c r="AA130" s="11"/>
      <c r="AD130" s="91">
        <v>702</v>
      </c>
    </row>
    <row r="131" spans="1:30">
      <c r="A131" s="91"/>
      <c r="B131" s="381"/>
      <c r="C131" s="38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30">
      <c r="A132" s="91"/>
      <c r="C132" s="38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30">
      <c r="B133" s="7" t="s">
        <v>674</v>
      </c>
      <c r="C133" s="385"/>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30">
      <c r="B134" s="8" t="s">
        <v>893</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30">
      <c r="A135" s="91"/>
      <c r="B135" s="8" t="s">
        <v>894</v>
      </c>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30">
      <c r="B136" s="8" t="s">
        <v>895</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30">
      <c r="B137" s="8" t="s">
        <v>763</v>
      </c>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30">
      <c r="B138" s="91"/>
      <c r="C138" s="91"/>
      <c r="D138" s="11"/>
      <c r="E138" s="11"/>
      <c r="F138" s="83"/>
      <c r="G138" s="83"/>
      <c r="L138" s="8"/>
      <c r="M138" s="8"/>
      <c r="P138" s="8"/>
      <c r="Q138" s="8"/>
    </row>
  </sheetData>
  <mergeCells count="2">
    <mergeCell ref="B93:N94"/>
    <mergeCell ref="B107:N108"/>
  </mergeCells>
  <printOptions horizontalCentered="1"/>
  <pageMargins left="1" right="1" top="1" bottom="1" header="0.5" footer="0.5"/>
  <pageSetup scale="20" orientation="landscape" r:id="rId1"/>
  <headerFooter>
    <oddHeader>&amp;RDocket No. ER20-2878-000, et al.- Annual Update RY2024
&amp;F</oddHeader>
  </headerFooter>
  <rowBreaks count="2" manualBreakCount="2">
    <brk id="52" max="16383" man="1"/>
    <brk id="9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09CF4-2504-4F2B-B6B2-05DB6CA30421}">
  <sheetPr codeName="Sheet14">
    <tabColor rgb="FF92D050"/>
    <pageSetUpPr fitToPage="1"/>
  </sheetPr>
  <dimension ref="A1:O49"/>
  <sheetViews>
    <sheetView view="pageBreakPreview" topLeftCell="A3" zoomScale="40" zoomScaleNormal="100" zoomScaleSheetLayoutView="40" workbookViewId="0">
      <selection activeCell="W98" sqref="W98"/>
    </sheetView>
  </sheetViews>
  <sheetFormatPr defaultRowHeight="14.5"/>
  <cols>
    <col min="1" max="1" width="4.7265625" bestFit="1" customWidth="1"/>
    <col min="2" max="2" width="43" customWidth="1"/>
    <col min="3" max="3" width="15.54296875" customWidth="1"/>
    <col min="4" max="4" width="14.453125" bestFit="1" customWidth="1"/>
    <col min="5" max="5" width="15.54296875" bestFit="1" customWidth="1"/>
    <col min="6" max="6" width="15.26953125" customWidth="1"/>
    <col min="7" max="7" width="14.81640625" bestFit="1" customWidth="1"/>
    <col min="8" max="9" width="14.453125" bestFit="1" customWidth="1"/>
    <col min="10" max="10" width="16.26953125" customWidth="1"/>
    <col min="11" max="12" width="14.453125" bestFit="1" customWidth="1"/>
    <col min="13" max="13" width="9.26953125" customWidth="1"/>
    <col min="15" max="15" width="4.7265625" bestFit="1" customWidth="1"/>
  </cols>
  <sheetData>
    <row r="1" spans="1:15">
      <c r="B1" s="2" t="s">
        <v>903</v>
      </c>
      <c r="M1" s="6" t="str">
        <f>CONCATENATE("Prior Year: ",'1-DRR Corrected'!$K$2)</f>
        <v>Prior Year: 2021</v>
      </c>
    </row>
    <row r="2" spans="1:15">
      <c r="B2" s="35" t="s">
        <v>120</v>
      </c>
    </row>
    <row r="4" spans="1:15">
      <c r="B4" s="41" t="s">
        <v>904</v>
      </c>
      <c r="C4" s="41"/>
      <c r="D4" s="41"/>
      <c r="E4" s="41"/>
      <c r="F4" s="41"/>
      <c r="G4" s="41"/>
      <c r="H4" s="41"/>
      <c r="I4" s="41"/>
      <c r="J4" s="41"/>
      <c r="K4" s="41"/>
      <c r="L4" s="41"/>
      <c r="M4" s="41"/>
      <c r="O4" s="21"/>
    </row>
    <row r="5" spans="1:15">
      <c r="B5" s="742" t="s">
        <v>905</v>
      </c>
      <c r="C5" s="742"/>
      <c r="D5" s="742"/>
      <c r="E5" s="742"/>
      <c r="F5" s="742"/>
      <c r="G5" s="742"/>
      <c r="H5" s="742"/>
      <c r="I5" s="742"/>
      <c r="J5" s="742"/>
      <c r="K5" s="742"/>
      <c r="L5" s="742"/>
      <c r="M5" s="742"/>
      <c r="O5" s="21"/>
    </row>
    <row r="6" spans="1:15">
      <c r="B6" s="742"/>
      <c r="C6" s="742"/>
      <c r="D6" s="742"/>
      <c r="E6" s="742"/>
      <c r="F6" s="742"/>
      <c r="G6" s="742"/>
      <c r="H6" s="742"/>
      <c r="I6" s="742"/>
      <c r="J6" s="742"/>
      <c r="K6" s="742"/>
      <c r="L6" s="742"/>
      <c r="M6" s="742"/>
      <c r="O6" s="21"/>
    </row>
    <row r="7" spans="1:15">
      <c r="B7" s="742" t="s">
        <v>906</v>
      </c>
      <c r="C7" s="742"/>
      <c r="D7" s="742"/>
      <c r="E7" s="742"/>
      <c r="F7" s="742"/>
      <c r="G7" s="742"/>
      <c r="H7" s="742"/>
      <c r="I7" s="742"/>
      <c r="J7" s="742"/>
      <c r="K7" s="742"/>
      <c r="L7" s="742"/>
      <c r="M7" s="742"/>
      <c r="O7" s="21"/>
    </row>
    <row r="8" spans="1:15">
      <c r="B8" s="742"/>
      <c r="C8" s="742"/>
      <c r="D8" s="742"/>
      <c r="E8" s="742"/>
      <c r="F8" s="742"/>
      <c r="G8" s="742"/>
      <c r="H8" s="742"/>
      <c r="I8" s="742"/>
      <c r="J8" s="742"/>
      <c r="K8" s="742"/>
      <c r="L8" s="742"/>
      <c r="M8" s="742"/>
      <c r="O8" s="21"/>
    </row>
    <row r="9" spans="1:15">
      <c r="B9" s="330" t="s">
        <v>907</v>
      </c>
    </row>
    <row r="10" spans="1:15" ht="29">
      <c r="C10" s="744" t="s">
        <v>425</v>
      </c>
      <c r="D10" s="745"/>
      <c r="E10" s="633" t="s">
        <v>908</v>
      </c>
      <c r="F10" s="744" t="s">
        <v>909</v>
      </c>
      <c r="G10" s="745"/>
      <c r="H10" s="633" t="s">
        <v>427</v>
      </c>
      <c r="I10" s="633" t="s">
        <v>910</v>
      </c>
      <c r="J10" s="744" t="s">
        <v>429</v>
      </c>
      <c r="K10" s="745"/>
      <c r="L10" s="633" t="s">
        <v>430</v>
      </c>
      <c r="M10" s="665" t="s">
        <v>117</v>
      </c>
    </row>
    <row r="11" spans="1:15" ht="65.25" customHeight="1">
      <c r="A11" s="4" t="s">
        <v>90</v>
      </c>
      <c r="B11" s="129" t="s">
        <v>511</v>
      </c>
      <c r="C11" s="634" t="s">
        <v>911</v>
      </c>
      <c r="D11" s="542" t="s">
        <v>912</v>
      </c>
      <c r="E11" s="634" t="s">
        <v>913</v>
      </c>
      <c r="F11" s="634" t="s">
        <v>911</v>
      </c>
      <c r="G11" s="542" t="s">
        <v>912</v>
      </c>
      <c r="H11" s="634" t="s">
        <v>913</v>
      </c>
      <c r="I11" s="634" t="s">
        <v>913</v>
      </c>
      <c r="J11" s="634" t="s">
        <v>911</v>
      </c>
      <c r="K11" s="542" t="s">
        <v>912</v>
      </c>
      <c r="L11" s="634" t="s">
        <v>913</v>
      </c>
      <c r="M11" s="634"/>
      <c r="N11" s="109" t="s">
        <v>90</v>
      </c>
    </row>
    <row r="12" spans="1:15">
      <c r="A12" s="4">
        <v>100</v>
      </c>
      <c r="B12" s="481" t="s">
        <v>522</v>
      </c>
      <c r="C12" s="713">
        <f>('9-WholesaleRevenues Corrected'!C82*'15-LossFactors'!$C$23/'15-LossFactors'!$C$21)+'9-WholesaleRevenues Corrected'!D30</f>
        <v>78378.146971723065</v>
      </c>
      <c r="D12" s="712">
        <f>'9-WholesaleRevenues Corrected'!C66</f>
        <v>62993.097468757886</v>
      </c>
      <c r="E12" s="346">
        <f>'9-WholesaleRevenues Corrected'!C30</f>
        <v>5314</v>
      </c>
      <c r="F12" s="346">
        <f>('9-WholesaleRevenues Corrected'!D82*'15-LossFactors'!$C$23/'15-LossFactors'!$C$21)+'9-WholesaleRevenues Corrected'!E30</f>
        <v>984.96592622935555</v>
      </c>
      <c r="G12" s="355">
        <f>'9-WholesaleRevenues Corrected'!D66</f>
        <v>947</v>
      </c>
      <c r="H12" s="346">
        <f>'9-WholesaleRevenues Corrected'!F30</f>
        <v>1997</v>
      </c>
      <c r="I12" s="346">
        <f>'9-WholesaleRevenues Corrected'!G30</f>
        <v>916</v>
      </c>
      <c r="J12" s="713">
        <f>('9-WholesaleRevenues Corrected'!E82*'15-LossFactors'!$C$23/'15-LossFactors'!$C$21)+'9-WholesaleRevenues Corrected'!H30</f>
        <v>74619.709999626124</v>
      </c>
      <c r="K12" s="715">
        <f>'9-WholesaleRevenues Corrected'!E66</f>
        <v>44227.22436</v>
      </c>
      <c r="L12" s="346">
        <f>'9-WholesaleRevenues Corrected'!I30</f>
        <v>72</v>
      </c>
      <c r="M12" s="346"/>
      <c r="N12" s="4">
        <f>A12</f>
        <v>100</v>
      </c>
    </row>
    <row r="13" spans="1:15">
      <c r="A13" s="4">
        <f>A12+1</f>
        <v>101</v>
      </c>
      <c r="B13" s="482" t="s">
        <v>523</v>
      </c>
      <c r="C13" s="713">
        <f>('9-WholesaleRevenues Corrected'!C83*'15-LossFactors'!$C$23/'15-LossFactors'!$C$21)+'9-WholesaleRevenues Corrected'!D31</f>
        <v>76504.304024946701</v>
      </c>
      <c r="D13" s="713">
        <f>'9-WholesaleRevenues Corrected'!C67</f>
        <v>53535.032153222346</v>
      </c>
      <c r="E13" s="346">
        <f>'9-WholesaleRevenues Corrected'!C31</f>
        <v>5159</v>
      </c>
      <c r="F13" s="346">
        <f>('9-WholesaleRevenues Corrected'!D83*'15-LossFactors'!$C$23/'15-LossFactors'!$C$21)+'9-WholesaleRevenues Corrected'!E31</f>
        <v>1311.1935315694413</v>
      </c>
      <c r="G13" s="355">
        <f>'9-WholesaleRevenues Corrected'!D67</f>
        <v>1059</v>
      </c>
      <c r="H13" s="346">
        <f>'9-WholesaleRevenues Corrected'!F31</f>
        <v>2254</v>
      </c>
      <c r="I13" s="346">
        <f>'9-WholesaleRevenues Corrected'!G31</f>
        <v>894</v>
      </c>
      <c r="J13" s="713">
        <f>('9-WholesaleRevenues Corrected'!E83*'15-LossFactors'!$C$23/'15-LossFactors'!$C$21)+'9-WholesaleRevenues Corrected'!H31</f>
        <v>92060.248199982874</v>
      </c>
      <c r="K13" s="715">
        <f>'9-WholesaleRevenues Corrected'!E67</f>
        <v>45352.89352000002</v>
      </c>
      <c r="L13" s="346">
        <f>'9-WholesaleRevenues Corrected'!I31</f>
        <v>69</v>
      </c>
      <c r="M13" s="346"/>
      <c r="N13" s="4">
        <f t="shared" ref="N13:N26" si="0">A13</f>
        <v>101</v>
      </c>
    </row>
    <row r="14" spans="1:15">
      <c r="A14" s="4">
        <f t="shared" ref="A14:A24" si="1">A13+1</f>
        <v>102</v>
      </c>
      <c r="B14" s="482" t="s">
        <v>524</v>
      </c>
      <c r="C14" s="713">
        <f>('9-WholesaleRevenues Corrected'!C84*'15-LossFactors'!$C$23/'15-LossFactors'!$C$21)+'9-WholesaleRevenues Corrected'!D32</f>
        <v>75666.083920157107</v>
      </c>
      <c r="D14" s="713">
        <f>'9-WholesaleRevenues Corrected'!C68</f>
        <v>54028.904816807713</v>
      </c>
      <c r="E14" s="346">
        <f>'9-WholesaleRevenues Corrected'!C32</f>
        <v>5269</v>
      </c>
      <c r="F14" s="346">
        <f>('9-WholesaleRevenues Corrected'!D84*'15-LossFactors'!$C$23/'15-LossFactors'!$C$21)+'9-WholesaleRevenues Corrected'!E32</f>
        <v>1026.2521831418621</v>
      </c>
      <c r="G14" s="355">
        <f>'9-WholesaleRevenues Corrected'!D68</f>
        <v>416</v>
      </c>
      <c r="H14" s="346">
        <f>'9-WholesaleRevenues Corrected'!F32</f>
        <v>2238</v>
      </c>
      <c r="I14" s="346">
        <f>'9-WholesaleRevenues Corrected'!G32</f>
        <v>882</v>
      </c>
      <c r="J14" s="713">
        <f>('9-WholesaleRevenues Corrected'!E84*'15-LossFactors'!$C$23/'15-LossFactors'!$C$21)+'9-WholesaleRevenues Corrected'!H32</f>
        <v>105532.45412699869</v>
      </c>
      <c r="K14" s="715">
        <f>'9-WholesaleRevenues Corrected'!E68</f>
        <v>57429.631799999981</v>
      </c>
      <c r="L14" s="346">
        <f>'9-WholesaleRevenues Corrected'!I32</f>
        <v>74</v>
      </c>
      <c r="M14" s="346"/>
      <c r="N14" s="4">
        <f t="shared" si="0"/>
        <v>102</v>
      </c>
    </row>
    <row r="15" spans="1:15">
      <c r="A15" s="4">
        <f t="shared" si="1"/>
        <v>103</v>
      </c>
      <c r="B15" s="482" t="s">
        <v>525</v>
      </c>
      <c r="C15" s="713">
        <f>('9-WholesaleRevenues Corrected'!C85*'15-LossFactors'!$C$23/'15-LossFactors'!$C$21)+'9-WholesaleRevenues Corrected'!D33</f>
        <v>78049.681526856642</v>
      </c>
      <c r="D15" s="713">
        <f>'9-WholesaleRevenues Corrected'!C69</f>
        <v>54924.744330569869</v>
      </c>
      <c r="E15" s="346">
        <f>'9-WholesaleRevenues Corrected'!C33</f>
        <v>5166</v>
      </c>
      <c r="F15" s="346">
        <f>('9-WholesaleRevenues Corrected'!D85*'15-LossFactors'!$C$23/'15-LossFactors'!$C$21)+'9-WholesaleRevenues Corrected'!E33</f>
        <v>868.8114584691009</v>
      </c>
      <c r="G15" s="355">
        <f>'9-WholesaleRevenues Corrected'!D69</f>
        <v>481</v>
      </c>
      <c r="H15" s="346">
        <f>'9-WholesaleRevenues Corrected'!F33</f>
        <v>2828</v>
      </c>
      <c r="I15" s="346">
        <f>'9-WholesaleRevenues Corrected'!G33</f>
        <v>790</v>
      </c>
      <c r="J15" s="713">
        <f>('9-WholesaleRevenues Corrected'!E85*'15-LossFactors'!$C$23/'15-LossFactors'!$C$21)+'9-WholesaleRevenues Corrected'!H33</f>
        <v>125655.63302647922</v>
      </c>
      <c r="K15" s="715">
        <f>'9-WholesaleRevenues Corrected'!E69</f>
        <v>51301.274640000003</v>
      </c>
      <c r="L15" s="346">
        <f>'9-WholesaleRevenues Corrected'!I33</f>
        <v>55</v>
      </c>
      <c r="M15" s="346"/>
      <c r="N15" s="4">
        <f t="shared" si="0"/>
        <v>103</v>
      </c>
    </row>
    <row r="16" spans="1:15">
      <c r="A16" s="4">
        <f t="shared" si="1"/>
        <v>104</v>
      </c>
      <c r="B16" s="482" t="s">
        <v>526</v>
      </c>
      <c r="C16" s="713">
        <f>('9-WholesaleRevenues Corrected'!C86*'15-LossFactors'!$C$23/'15-LossFactors'!$C$21)+'9-WholesaleRevenues Corrected'!D34</f>
        <v>83132.54020202352</v>
      </c>
      <c r="D16" s="713">
        <f>'9-WholesaleRevenues Corrected'!C70</f>
        <v>55319.179288325409</v>
      </c>
      <c r="E16" s="346">
        <f>'9-WholesaleRevenues Corrected'!C34</f>
        <v>5138</v>
      </c>
      <c r="F16" s="346">
        <f>('9-WholesaleRevenues Corrected'!D86*'15-LossFactors'!$C$23/'15-LossFactors'!$C$21)+'9-WholesaleRevenues Corrected'!E34</f>
        <v>1262.4816876757218</v>
      </c>
      <c r="G16" s="355">
        <f>'9-WholesaleRevenues Corrected'!D70</f>
        <v>776</v>
      </c>
      <c r="H16" s="346">
        <f>'9-WholesaleRevenues Corrected'!F34</f>
        <v>3415</v>
      </c>
      <c r="I16" s="346">
        <f>'9-WholesaleRevenues Corrected'!G34</f>
        <v>758</v>
      </c>
      <c r="J16" s="713">
        <f>('9-WholesaleRevenues Corrected'!E86*'15-LossFactors'!$C$23/'15-LossFactors'!$C$21)+'9-WholesaleRevenues Corrected'!H34</f>
        <v>139220.57898646209</v>
      </c>
      <c r="K16" s="715">
        <f>'9-WholesaleRevenues Corrected'!E70</f>
        <v>53493.491599999994</v>
      </c>
      <c r="L16" s="346">
        <f>'9-WholesaleRevenues Corrected'!I34</f>
        <v>73</v>
      </c>
      <c r="M16" s="346"/>
      <c r="N16" s="4">
        <f t="shared" si="0"/>
        <v>104</v>
      </c>
    </row>
    <row r="17" spans="1:14">
      <c r="A17" s="4">
        <f t="shared" si="1"/>
        <v>105</v>
      </c>
      <c r="B17" s="482" t="s">
        <v>812</v>
      </c>
      <c r="C17" s="713">
        <f>('9-WholesaleRevenues Corrected'!C87*'15-LossFactors'!$C$23/'15-LossFactors'!$C$21)+'9-WholesaleRevenues Corrected'!D35</f>
        <v>81123.004269958998</v>
      </c>
      <c r="D17" s="713">
        <f>'9-WholesaleRevenues Corrected'!C71</f>
        <v>54153.929175064673</v>
      </c>
      <c r="E17" s="346">
        <f>'9-WholesaleRevenues Corrected'!C35</f>
        <v>5381</v>
      </c>
      <c r="F17" s="346">
        <f>('9-WholesaleRevenues Corrected'!D87*'15-LossFactors'!$C$23/'15-LossFactors'!$C$21)+'9-WholesaleRevenues Corrected'!E35</f>
        <v>1240.7496601932708</v>
      </c>
      <c r="G17" s="355">
        <f>'9-WholesaleRevenues Corrected'!D71</f>
        <v>697</v>
      </c>
      <c r="H17" s="346">
        <f>'9-WholesaleRevenues Corrected'!F35</f>
        <v>3869</v>
      </c>
      <c r="I17" s="346">
        <f>'9-WholesaleRevenues Corrected'!G35</f>
        <v>687</v>
      </c>
      <c r="J17" s="713">
        <f>('9-WholesaleRevenues Corrected'!E87*'15-LossFactors'!$C$23/'15-LossFactors'!$C$21)+'9-WholesaleRevenues Corrected'!H35</f>
        <v>146199.26096645577</v>
      </c>
      <c r="K17" s="715">
        <f>'9-WholesaleRevenues Corrected'!E71</f>
        <v>58583.987319999993</v>
      </c>
      <c r="L17" s="346">
        <f>'9-WholesaleRevenues Corrected'!I35</f>
        <v>57</v>
      </c>
      <c r="M17" s="346"/>
      <c r="N17" s="4">
        <f t="shared" si="0"/>
        <v>105</v>
      </c>
    </row>
    <row r="18" spans="1:14">
      <c r="A18" s="4">
        <f t="shared" si="1"/>
        <v>106</v>
      </c>
      <c r="B18" s="482" t="s">
        <v>528</v>
      </c>
      <c r="C18" s="713">
        <f>('9-WholesaleRevenues Corrected'!C88*'15-LossFactors'!$C$23/'15-LossFactors'!$C$21)+'9-WholesaleRevenues Corrected'!D36</f>
        <v>76825.021583381007</v>
      </c>
      <c r="D18" s="713">
        <f>'9-WholesaleRevenues Corrected'!C72</f>
        <v>52794.81975319497</v>
      </c>
      <c r="E18" s="346">
        <f>'9-WholesaleRevenues Corrected'!C36</f>
        <v>5278</v>
      </c>
      <c r="F18" s="346">
        <f>('9-WholesaleRevenues Corrected'!D88*'15-LossFactors'!$C$23/'15-LossFactors'!$C$21)+'9-WholesaleRevenues Corrected'!E36</f>
        <v>1048.2622749362281</v>
      </c>
      <c r="G18" s="355">
        <f>'9-WholesaleRevenues Corrected'!D72</f>
        <v>572</v>
      </c>
      <c r="H18" s="346">
        <f>'9-WholesaleRevenues Corrected'!F36</f>
        <v>4036</v>
      </c>
      <c r="I18" s="346">
        <f>'9-WholesaleRevenues Corrected'!G36</f>
        <v>730</v>
      </c>
      <c r="J18" s="713">
        <f>('9-WholesaleRevenues Corrected'!E88*'15-LossFactors'!$C$23/'15-LossFactors'!$C$21)+'9-WholesaleRevenues Corrected'!H36</f>
        <v>143730.5419941922</v>
      </c>
      <c r="K18" s="715">
        <f>'9-WholesaleRevenues Corrected'!E72</f>
        <v>56480.87739999999</v>
      </c>
      <c r="L18" s="346">
        <f>'9-WholesaleRevenues Corrected'!I36</f>
        <v>62</v>
      </c>
      <c r="M18" s="346"/>
      <c r="N18" s="4">
        <f t="shared" si="0"/>
        <v>106</v>
      </c>
    </row>
    <row r="19" spans="1:14">
      <c r="A19" s="4">
        <f t="shared" si="1"/>
        <v>107</v>
      </c>
      <c r="B19" s="482" t="s">
        <v>529</v>
      </c>
      <c r="C19" s="713">
        <f>('9-WholesaleRevenues Corrected'!C89*'15-LossFactors'!$C$23/'15-LossFactors'!$C$21)+'9-WholesaleRevenues Corrected'!D37</f>
        <v>84415.819434476434</v>
      </c>
      <c r="D19" s="713">
        <f>'9-WholesaleRevenues Corrected'!C73</f>
        <v>57665.804431317578</v>
      </c>
      <c r="E19" s="346">
        <f>'9-WholesaleRevenues Corrected'!C37</f>
        <v>5444</v>
      </c>
      <c r="F19" s="346">
        <f>('9-WholesaleRevenues Corrected'!D89*'15-LossFactors'!$C$23/'15-LossFactors'!$C$21)+'9-WholesaleRevenues Corrected'!E37</f>
        <v>887.43377958180486</v>
      </c>
      <c r="G19" s="355">
        <f>'9-WholesaleRevenues Corrected'!D73</f>
        <v>458</v>
      </c>
      <c r="H19" s="346">
        <f>'9-WholesaleRevenues Corrected'!F37</f>
        <v>4034</v>
      </c>
      <c r="I19" s="346">
        <f>'9-WholesaleRevenues Corrected'!G37</f>
        <v>676</v>
      </c>
      <c r="J19" s="713">
        <f>('9-WholesaleRevenues Corrected'!E89*'15-LossFactors'!$C$23/'15-LossFactors'!$C$21)+'9-WholesaleRevenues Corrected'!H37</f>
        <v>131169.06614684564</v>
      </c>
      <c r="K19" s="715">
        <f>'9-WholesaleRevenues Corrected'!E73</f>
        <v>53247.566280000006</v>
      </c>
      <c r="L19" s="346">
        <f>'9-WholesaleRevenues Corrected'!I37</f>
        <v>65</v>
      </c>
      <c r="M19" s="346"/>
      <c r="N19" s="4">
        <f t="shared" si="0"/>
        <v>107</v>
      </c>
    </row>
    <row r="20" spans="1:14">
      <c r="A20" s="4">
        <f t="shared" si="1"/>
        <v>108</v>
      </c>
      <c r="B20" s="482" t="s">
        <v>530</v>
      </c>
      <c r="C20" s="713">
        <f>('9-WholesaleRevenues Corrected'!C90*'15-LossFactors'!$C$23/'15-LossFactors'!$C$21)+'9-WholesaleRevenues Corrected'!D38</f>
        <v>86519.858881972395</v>
      </c>
      <c r="D20" s="713">
        <f>'9-WholesaleRevenues Corrected'!C74</f>
        <v>59583.443556686572</v>
      </c>
      <c r="E20" s="346">
        <f>'9-WholesaleRevenues Corrected'!C38</f>
        <v>5589</v>
      </c>
      <c r="F20" s="346">
        <f>('9-WholesaleRevenues Corrected'!D90*'15-LossFactors'!$C$23/'15-LossFactors'!$C$21)+'9-WholesaleRevenues Corrected'!E38</f>
        <v>440.32597240583164</v>
      </c>
      <c r="G20" s="355">
        <f>'9-WholesaleRevenues Corrected'!D74</f>
        <v>139</v>
      </c>
      <c r="H20" s="346">
        <f>'9-WholesaleRevenues Corrected'!F38</f>
        <v>3141</v>
      </c>
      <c r="I20" s="346">
        <f>'9-WholesaleRevenues Corrected'!G38</f>
        <v>702</v>
      </c>
      <c r="J20" s="713">
        <f>('9-WholesaleRevenues Corrected'!E90*'15-LossFactors'!$C$23/'15-LossFactors'!$C$21)+'9-WholesaleRevenues Corrected'!H38</f>
        <v>109744.2478455769</v>
      </c>
      <c r="K20" s="715">
        <f>'9-WholesaleRevenues Corrected'!E74</f>
        <v>51188.062080000003</v>
      </c>
      <c r="L20" s="346">
        <f>'9-WholesaleRevenues Corrected'!I38</f>
        <v>51</v>
      </c>
      <c r="M20" s="346"/>
      <c r="N20" s="4">
        <f t="shared" si="0"/>
        <v>108</v>
      </c>
    </row>
    <row r="21" spans="1:14">
      <c r="A21" s="4">
        <f t="shared" si="1"/>
        <v>109</v>
      </c>
      <c r="B21" s="482" t="s">
        <v>531</v>
      </c>
      <c r="C21" s="713">
        <f>('9-WholesaleRevenues Corrected'!C91*'15-LossFactors'!$C$23/'15-LossFactors'!$C$21)+'9-WholesaleRevenues Corrected'!D39</f>
        <v>106680.25451122319</v>
      </c>
      <c r="D21" s="713">
        <f>'9-WholesaleRevenues Corrected'!C75</f>
        <v>62311.616086285772</v>
      </c>
      <c r="E21" s="346">
        <f>'9-WholesaleRevenues Corrected'!C39</f>
        <v>5525</v>
      </c>
      <c r="F21" s="346">
        <f>('9-WholesaleRevenues Corrected'!D91*'15-LossFactors'!$C$23/'15-LossFactors'!$C$21)+'9-WholesaleRevenues Corrected'!E39</f>
        <v>390.20617424171894</v>
      </c>
      <c r="G21" s="355">
        <f>'9-WholesaleRevenues Corrected'!D75</f>
        <v>137</v>
      </c>
      <c r="H21" s="346">
        <f>'9-WholesaleRevenues Corrected'!F39</f>
        <v>2957</v>
      </c>
      <c r="I21" s="346">
        <f>'9-WholesaleRevenues Corrected'!G39</f>
        <v>675</v>
      </c>
      <c r="J21" s="713">
        <f>('9-WholesaleRevenues Corrected'!E91*'15-LossFactors'!$C$23/'15-LossFactors'!$C$21)+'9-WholesaleRevenues Corrected'!H39</f>
        <v>95650.135525707999</v>
      </c>
      <c r="K21" s="715">
        <f>'9-WholesaleRevenues Corrected'!E75</f>
        <v>43994.04127999999</v>
      </c>
      <c r="L21" s="346">
        <f>'9-WholesaleRevenues Corrected'!I39</f>
        <v>54</v>
      </c>
      <c r="M21" s="346"/>
      <c r="N21" s="4">
        <f t="shared" si="0"/>
        <v>109</v>
      </c>
    </row>
    <row r="22" spans="1:14">
      <c r="A22" s="4">
        <f t="shared" si="1"/>
        <v>110</v>
      </c>
      <c r="B22" s="482" t="s">
        <v>532</v>
      </c>
      <c r="C22" s="713">
        <f>('9-WholesaleRevenues Corrected'!C92*'15-LossFactors'!$C$23/'15-LossFactors'!$C$21)+'9-WholesaleRevenues Corrected'!D40</f>
        <v>94883.012455908829</v>
      </c>
      <c r="D22" s="713">
        <f>'9-WholesaleRevenues Corrected'!C76</f>
        <v>61333.689176848748</v>
      </c>
      <c r="E22" s="346">
        <f>'9-WholesaleRevenues Corrected'!C40</f>
        <v>5198</v>
      </c>
      <c r="F22" s="346">
        <f>('9-WholesaleRevenues Corrected'!D92*'15-LossFactors'!$C$23/'15-LossFactors'!$C$21)+'9-WholesaleRevenues Corrected'!E40</f>
        <v>548.68346770439598</v>
      </c>
      <c r="G22" s="355">
        <f>'9-WholesaleRevenues Corrected'!D76</f>
        <v>362</v>
      </c>
      <c r="H22" s="346">
        <f>'9-WholesaleRevenues Corrected'!F40</f>
        <v>1921</v>
      </c>
      <c r="I22" s="346">
        <f>'9-WholesaleRevenues Corrected'!G40</f>
        <v>766</v>
      </c>
      <c r="J22" s="713">
        <f>('9-WholesaleRevenues Corrected'!E92*'15-LossFactors'!$C$23/'15-LossFactors'!$C$21)+'9-WholesaleRevenues Corrected'!H40</f>
        <v>54075.056202157619</v>
      </c>
      <c r="K22" s="715">
        <f>'9-WholesaleRevenues Corrected'!E76</f>
        <v>36891.132120000002</v>
      </c>
      <c r="L22" s="346">
        <f>'9-WholesaleRevenues Corrected'!I40</f>
        <v>65</v>
      </c>
      <c r="M22" s="346"/>
      <c r="N22" s="4">
        <f t="shared" si="0"/>
        <v>110</v>
      </c>
    </row>
    <row r="23" spans="1:14">
      <c r="A23" s="4">
        <f t="shared" si="1"/>
        <v>111</v>
      </c>
      <c r="B23" s="483" t="s">
        <v>520</v>
      </c>
      <c r="C23" s="714">
        <f>('9-WholesaleRevenues Corrected'!C93*'15-LossFactors'!$C$23/'15-LossFactors'!$C$21)+'9-WholesaleRevenues Corrected'!D41</f>
        <v>96807.50477690206</v>
      </c>
      <c r="D23" s="714">
        <f>'9-WholesaleRevenues Corrected'!C77</f>
        <v>64338.200147213152</v>
      </c>
      <c r="E23" s="347">
        <f>'9-WholesaleRevenues Corrected'!C41</f>
        <v>5654</v>
      </c>
      <c r="F23" s="347">
        <f>('9-WholesaleRevenues Corrected'!D93*'15-LossFactors'!$C$23/'15-LossFactors'!$C$21)+'9-WholesaleRevenues Corrected'!E41</f>
        <v>0</v>
      </c>
      <c r="G23" s="356">
        <f>'9-WholesaleRevenues Corrected'!D77</f>
        <v>0</v>
      </c>
      <c r="H23" s="347">
        <f>'9-WholesaleRevenues Corrected'!F41</f>
        <v>1827</v>
      </c>
      <c r="I23" s="347">
        <f>'9-WholesaleRevenues Corrected'!G41</f>
        <v>811</v>
      </c>
      <c r="J23" s="714">
        <f>('9-WholesaleRevenues Corrected'!E93*'15-LossFactors'!$C$23/'15-LossFactors'!$C$21)+'9-WholesaleRevenues Corrected'!H41</f>
        <v>51563.105906930563</v>
      </c>
      <c r="K23" s="716">
        <f>'9-WholesaleRevenues Corrected'!E77</f>
        <v>37644.938039999994</v>
      </c>
      <c r="L23" s="347">
        <f>'9-WholesaleRevenues Corrected'!I41</f>
        <v>89</v>
      </c>
      <c r="M23" s="347"/>
      <c r="N23" s="4">
        <f t="shared" si="0"/>
        <v>111</v>
      </c>
    </row>
    <row r="24" spans="1:14">
      <c r="A24" s="4">
        <f t="shared" si="1"/>
        <v>112</v>
      </c>
      <c r="B24" s="6" t="s">
        <v>534</v>
      </c>
      <c r="C24" s="644">
        <f>SUM(C12:C23)</f>
        <v>1018985.2325595298</v>
      </c>
      <c r="D24" s="644">
        <f t="shared" ref="D24:M24" si="2">SUM(D12:D23)</f>
        <v>692982.46038429474</v>
      </c>
      <c r="E24" s="469">
        <f t="shared" si="2"/>
        <v>64115</v>
      </c>
      <c r="F24" s="469">
        <f t="shared" si="2"/>
        <v>10009.366116148733</v>
      </c>
      <c r="G24" s="469">
        <f t="shared" si="2"/>
        <v>6044</v>
      </c>
      <c r="H24" s="469">
        <f t="shared" si="2"/>
        <v>34517</v>
      </c>
      <c r="I24" s="469">
        <f t="shared" si="2"/>
        <v>9287</v>
      </c>
      <c r="J24" s="644">
        <f t="shared" si="2"/>
        <v>1269220.0389274159</v>
      </c>
      <c r="K24" s="644">
        <f t="shared" si="2"/>
        <v>589835.12044000009</v>
      </c>
      <c r="L24" s="469">
        <f t="shared" si="2"/>
        <v>786</v>
      </c>
      <c r="M24" s="469">
        <f t="shared" si="2"/>
        <v>0</v>
      </c>
      <c r="N24" s="4">
        <f t="shared" si="0"/>
        <v>112</v>
      </c>
    </row>
    <row r="25" spans="1:14">
      <c r="A25" s="4"/>
      <c r="C25" s="128"/>
      <c r="D25" s="128"/>
      <c r="E25" s="128"/>
      <c r="F25" s="128"/>
      <c r="G25" s="128"/>
      <c r="H25" s="128"/>
      <c r="I25" s="128"/>
      <c r="J25" s="128"/>
      <c r="K25" s="128"/>
      <c r="L25" s="128"/>
      <c r="M25" s="128"/>
    </row>
    <row r="26" spans="1:14">
      <c r="A26" s="4">
        <f>A24+1</f>
        <v>113</v>
      </c>
      <c r="B26" s="6" t="s">
        <v>914</v>
      </c>
      <c r="C26" s="469">
        <f>MAX(C12:C23)</f>
        <v>106680.25451122319</v>
      </c>
      <c r="D26" s="644">
        <f t="shared" ref="D26:M26" si="3">MAX(D12:D23)</f>
        <v>64338.200147213152</v>
      </c>
      <c r="E26" s="469">
        <f t="shared" si="3"/>
        <v>5654</v>
      </c>
      <c r="F26" s="469">
        <f t="shared" si="3"/>
        <v>1311.1935315694413</v>
      </c>
      <c r="G26" s="469">
        <f t="shared" si="3"/>
        <v>1059</v>
      </c>
      <c r="H26" s="469">
        <f t="shared" si="3"/>
        <v>4036</v>
      </c>
      <c r="I26" s="469">
        <f t="shared" si="3"/>
        <v>916</v>
      </c>
      <c r="J26" s="644">
        <f t="shared" si="3"/>
        <v>146199.26096645577</v>
      </c>
      <c r="K26" s="644">
        <f t="shared" si="3"/>
        <v>58583.987319999993</v>
      </c>
      <c r="L26" s="469">
        <f t="shared" si="3"/>
        <v>89</v>
      </c>
      <c r="M26" s="469">
        <f t="shared" si="3"/>
        <v>0</v>
      </c>
      <c r="N26" s="4">
        <f t="shared" si="0"/>
        <v>113</v>
      </c>
    </row>
    <row r="27" spans="1:14">
      <c r="A27" s="21"/>
    </row>
    <row r="28" spans="1:14">
      <c r="B28" s="41" t="s">
        <v>915</v>
      </c>
      <c r="C28" s="41"/>
      <c r="D28" s="41"/>
      <c r="E28" s="41"/>
      <c r="F28" s="41"/>
      <c r="G28" s="41"/>
      <c r="H28" s="41"/>
      <c r="I28" s="41"/>
      <c r="J28" s="41"/>
      <c r="K28" s="41"/>
      <c r="L28" s="41"/>
      <c r="M28" s="41"/>
    </row>
    <row r="29" spans="1:14">
      <c r="B29" s="2"/>
    </row>
    <row r="30" spans="1:14" ht="29">
      <c r="C30" s="666" t="s">
        <v>916</v>
      </c>
      <c r="D30" s="666" t="s">
        <v>917</v>
      </c>
      <c r="E30" s="633" t="s">
        <v>918</v>
      </c>
      <c r="F30" s="666" t="s">
        <v>919</v>
      </c>
      <c r="G30" s="666" t="s">
        <v>920</v>
      </c>
      <c r="H30" s="666" t="s">
        <v>921</v>
      </c>
      <c r="I30" s="666" t="s">
        <v>922</v>
      </c>
      <c r="J30" s="666" t="s">
        <v>923</v>
      </c>
      <c r="K30" s="666" t="s">
        <v>924</v>
      </c>
      <c r="L30" s="666" t="s">
        <v>925</v>
      </c>
      <c r="M30" s="666"/>
      <c r="N30" s="109"/>
    </row>
    <row r="31" spans="1:14">
      <c r="A31" s="4" t="s">
        <v>90</v>
      </c>
      <c r="B31" s="290" t="s">
        <v>926</v>
      </c>
      <c r="C31" s="666" t="s">
        <v>888</v>
      </c>
      <c r="D31" s="666" t="s">
        <v>927</v>
      </c>
      <c r="E31" s="666" t="s">
        <v>928</v>
      </c>
      <c r="F31" s="633" t="s">
        <v>929</v>
      </c>
      <c r="G31" s="633" t="s">
        <v>930</v>
      </c>
      <c r="H31" s="633" t="s">
        <v>931</v>
      </c>
      <c r="I31" s="633" t="s">
        <v>932</v>
      </c>
      <c r="J31" s="633" t="s">
        <v>933</v>
      </c>
      <c r="K31" s="633" t="s">
        <v>934</v>
      </c>
      <c r="L31" s="633" t="s">
        <v>935</v>
      </c>
      <c r="M31" s="633" t="s">
        <v>117</v>
      </c>
      <c r="N31" s="109" t="s">
        <v>90</v>
      </c>
    </row>
    <row r="32" spans="1:14">
      <c r="A32" s="4">
        <f>A12+100</f>
        <v>200</v>
      </c>
      <c r="B32" s="667" t="s">
        <v>936</v>
      </c>
      <c r="C32" s="345">
        <f t="shared" ref="C32:C41" si="4">SUM(D32:E32)</f>
        <v>192124458</v>
      </c>
      <c r="D32" s="668">
        <v>192124458</v>
      </c>
      <c r="E32" s="348">
        <f t="shared" ref="E32:E41" si="5">SUM(F32:L32)</f>
        <v>0</v>
      </c>
      <c r="F32" s="669">
        <v>0</v>
      </c>
      <c r="G32" s="351">
        <v>0</v>
      </c>
      <c r="H32" s="669">
        <v>0</v>
      </c>
      <c r="I32" s="351">
        <v>0</v>
      </c>
      <c r="J32" s="669">
        <v>0</v>
      </c>
      <c r="K32" s="351">
        <v>0</v>
      </c>
      <c r="L32" s="669">
        <v>0</v>
      </c>
      <c r="M32" s="351"/>
      <c r="N32" s="4">
        <f>A32</f>
        <v>200</v>
      </c>
    </row>
    <row r="33" spans="1:15">
      <c r="A33" s="4">
        <f>A32+1</f>
        <v>201</v>
      </c>
      <c r="B33" s="565" t="s">
        <v>937</v>
      </c>
      <c r="C33" s="346">
        <f t="shared" si="4"/>
        <v>184113777</v>
      </c>
      <c r="D33" s="341">
        <v>184113777</v>
      </c>
      <c r="E33" s="349">
        <f t="shared" si="5"/>
        <v>0</v>
      </c>
      <c r="F33" s="342">
        <v>0</v>
      </c>
      <c r="G33" s="352">
        <v>0</v>
      </c>
      <c r="H33" s="342">
        <v>0</v>
      </c>
      <c r="I33" s="352">
        <v>0</v>
      </c>
      <c r="J33" s="342">
        <v>0</v>
      </c>
      <c r="K33" s="352">
        <v>0</v>
      </c>
      <c r="L33" s="342">
        <v>0</v>
      </c>
      <c r="M33" s="352"/>
      <c r="N33" s="4">
        <f t="shared" ref="N33:N41" si="6">A33</f>
        <v>201</v>
      </c>
    </row>
    <row r="34" spans="1:15">
      <c r="A34" s="4">
        <f t="shared" ref="A34:A41" si="7">A33+1</f>
        <v>202</v>
      </c>
      <c r="B34" s="565" t="s">
        <v>938</v>
      </c>
      <c r="C34" s="346">
        <f t="shared" si="4"/>
        <v>184113777</v>
      </c>
      <c r="D34" s="341">
        <v>184113777</v>
      </c>
      <c r="E34" s="349">
        <f t="shared" si="5"/>
        <v>0</v>
      </c>
      <c r="F34" s="342">
        <v>0</v>
      </c>
      <c r="G34" s="352">
        <v>0</v>
      </c>
      <c r="H34" s="342">
        <v>0</v>
      </c>
      <c r="I34" s="352">
        <v>0</v>
      </c>
      <c r="J34" s="342">
        <v>0</v>
      </c>
      <c r="K34" s="352">
        <v>0</v>
      </c>
      <c r="L34" s="342">
        <v>0</v>
      </c>
      <c r="M34" s="352"/>
      <c r="N34" s="4">
        <f t="shared" si="6"/>
        <v>202</v>
      </c>
    </row>
    <row r="35" spans="1:15">
      <c r="A35" s="4">
        <f t="shared" si="7"/>
        <v>203</v>
      </c>
      <c r="B35" s="565" t="s">
        <v>939</v>
      </c>
      <c r="C35" s="346">
        <f t="shared" si="4"/>
        <v>21100205.709009249</v>
      </c>
      <c r="D35" s="341">
        <v>20835320</v>
      </c>
      <c r="E35" s="717">
        <f t="shared" si="5"/>
        <v>264885.70900924841</v>
      </c>
      <c r="F35" s="342">
        <f>$C$26</f>
        <v>106680.25451122319</v>
      </c>
      <c r="G35" s="352">
        <f>$E$26</f>
        <v>5654</v>
      </c>
      <c r="H35" s="342">
        <f>$F$26</f>
        <v>1311.1935315694413</v>
      </c>
      <c r="I35" s="352">
        <f>$H$26</f>
        <v>4036</v>
      </c>
      <c r="J35" s="342">
        <f>$I$26</f>
        <v>916</v>
      </c>
      <c r="K35" s="721">
        <f>$J$26</f>
        <v>146199.26096645577</v>
      </c>
      <c r="L35" s="342">
        <f>$L$26</f>
        <v>89</v>
      </c>
      <c r="M35" s="352"/>
      <c r="N35" s="4">
        <f t="shared" si="6"/>
        <v>203</v>
      </c>
    </row>
    <row r="36" spans="1:15">
      <c r="A36" s="4">
        <f t="shared" si="7"/>
        <v>204</v>
      </c>
      <c r="B36" s="565" t="s">
        <v>940</v>
      </c>
      <c r="C36" s="346">
        <f t="shared" si="4"/>
        <v>21100205.709009249</v>
      </c>
      <c r="D36" s="341">
        <v>20835320</v>
      </c>
      <c r="E36" s="717">
        <f t="shared" si="5"/>
        <v>264885.70900924841</v>
      </c>
      <c r="F36" s="342">
        <f>$C$26</f>
        <v>106680.25451122319</v>
      </c>
      <c r="G36" s="352">
        <f>$E$26</f>
        <v>5654</v>
      </c>
      <c r="H36" s="342">
        <f>$F$26</f>
        <v>1311.1935315694413</v>
      </c>
      <c r="I36" s="352">
        <f>$H$26</f>
        <v>4036</v>
      </c>
      <c r="J36" s="342">
        <f>$I$26</f>
        <v>916</v>
      </c>
      <c r="K36" s="721">
        <f>$J$26</f>
        <v>146199.26096645577</v>
      </c>
      <c r="L36" s="342">
        <f>$L$26</f>
        <v>89</v>
      </c>
      <c r="M36" s="352"/>
      <c r="N36" s="4">
        <f t="shared" si="6"/>
        <v>204</v>
      </c>
    </row>
    <row r="37" spans="1:15">
      <c r="A37" s="4">
        <f t="shared" si="7"/>
        <v>205</v>
      </c>
      <c r="B37" s="565" t="s">
        <v>941</v>
      </c>
      <c r="C37" s="346">
        <f t="shared" si="4"/>
        <v>21100205.709009249</v>
      </c>
      <c r="D37" s="341">
        <v>20835320</v>
      </c>
      <c r="E37" s="717">
        <f t="shared" si="5"/>
        <v>264885.70900924841</v>
      </c>
      <c r="F37" s="342">
        <f>$C$26</f>
        <v>106680.25451122319</v>
      </c>
      <c r="G37" s="352">
        <f>$E$26</f>
        <v>5654</v>
      </c>
      <c r="H37" s="342">
        <f>$F$26</f>
        <v>1311.1935315694413</v>
      </c>
      <c r="I37" s="352">
        <f>$H$26</f>
        <v>4036</v>
      </c>
      <c r="J37" s="342">
        <f>$I$26</f>
        <v>916</v>
      </c>
      <c r="K37" s="721">
        <f>$J$26</f>
        <v>146199.26096645577</v>
      </c>
      <c r="L37" s="342">
        <f>$L$26</f>
        <v>89</v>
      </c>
      <c r="M37" s="352"/>
      <c r="N37" s="4">
        <f t="shared" si="6"/>
        <v>205</v>
      </c>
    </row>
    <row r="38" spans="1:15">
      <c r="A38" s="4">
        <f t="shared" si="7"/>
        <v>206</v>
      </c>
      <c r="B38" s="565" t="s">
        <v>942</v>
      </c>
      <c r="C38" s="346">
        <f t="shared" si="4"/>
        <v>39350081.18746721</v>
      </c>
      <c r="D38" s="341">
        <v>39226100</v>
      </c>
      <c r="E38" s="717">
        <f t="shared" si="5"/>
        <v>123981.18746721314</v>
      </c>
      <c r="F38" s="719">
        <f>$D$26</f>
        <v>64338.200147213152</v>
      </c>
      <c r="G38" s="352">
        <v>0</v>
      </c>
      <c r="H38" s="342">
        <f>$G$26</f>
        <v>1059</v>
      </c>
      <c r="I38" s="352">
        <v>0</v>
      </c>
      <c r="J38" s="342">
        <v>0</v>
      </c>
      <c r="K38" s="721">
        <f>$K$26</f>
        <v>58583.987319999993</v>
      </c>
      <c r="L38" s="342">
        <v>0</v>
      </c>
      <c r="M38" s="352"/>
      <c r="N38" s="4">
        <f t="shared" si="6"/>
        <v>206</v>
      </c>
    </row>
    <row r="39" spans="1:15">
      <c r="A39" s="4">
        <f t="shared" si="7"/>
        <v>207</v>
      </c>
      <c r="B39" s="565" t="s">
        <v>943</v>
      </c>
      <c r="C39" s="346">
        <f t="shared" si="4"/>
        <v>39350081.18746721</v>
      </c>
      <c r="D39" s="341">
        <v>39226100</v>
      </c>
      <c r="E39" s="717">
        <f t="shared" si="5"/>
        <v>123981.18746721314</v>
      </c>
      <c r="F39" s="719">
        <f>$D$26</f>
        <v>64338.200147213152</v>
      </c>
      <c r="G39" s="352">
        <v>0</v>
      </c>
      <c r="H39" s="342">
        <f>$G$26</f>
        <v>1059</v>
      </c>
      <c r="I39" s="352">
        <v>0</v>
      </c>
      <c r="J39" s="342">
        <v>0</v>
      </c>
      <c r="K39" s="721">
        <f>$K$26</f>
        <v>58583.987319999993</v>
      </c>
      <c r="L39" s="342">
        <v>0</v>
      </c>
      <c r="M39" s="352"/>
      <c r="N39" s="4">
        <f t="shared" si="6"/>
        <v>207</v>
      </c>
    </row>
    <row r="40" spans="1:15">
      <c r="A40" s="4">
        <f t="shared" si="7"/>
        <v>208</v>
      </c>
      <c r="B40" s="565" t="s">
        <v>944</v>
      </c>
      <c r="C40" s="346">
        <f t="shared" si="4"/>
        <v>39350081.18746721</v>
      </c>
      <c r="D40" s="341">
        <v>39226100</v>
      </c>
      <c r="E40" s="717">
        <f t="shared" si="5"/>
        <v>123981.18746721314</v>
      </c>
      <c r="F40" s="719">
        <f>$D$26</f>
        <v>64338.200147213152</v>
      </c>
      <c r="G40" s="352">
        <v>0</v>
      </c>
      <c r="H40" s="342">
        <f>$G$26</f>
        <v>1059</v>
      </c>
      <c r="I40" s="352">
        <v>0</v>
      </c>
      <c r="J40" s="342">
        <v>0</v>
      </c>
      <c r="K40" s="721">
        <f>$K$26</f>
        <v>58583.987319999993</v>
      </c>
      <c r="L40" s="342">
        <v>0</v>
      </c>
      <c r="M40" s="352"/>
      <c r="N40" s="4">
        <f t="shared" si="6"/>
        <v>208</v>
      </c>
    </row>
    <row r="41" spans="1:15">
      <c r="A41" s="4">
        <f t="shared" si="7"/>
        <v>209</v>
      </c>
      <c r="B41" s="566" t="s">
        <v>945</v>
      </c>
      <c r="C41" s="347">
        <f t="shared" si="4"/>
        <v>39350081.18746721</v>
      </c>
      <c r="D41" s="343">
        <v>39226100</v>
      </c>
      <c r="E41" s="718">
        <f t="shared" si="5"/>
        <v>123981.18746721314</v>
      </c>
      <c r="F41" s="720">
        <f>$D$26</f>
        <v>64338.200147213152</v>
      </c>
      <c r="G41" s="353">
        <v>0</v>
      </c>
      <c r="H41" s="344">
        <f>$G$26</f>
        <v>1059</v>
      </c>
      <c r="I41" s="353">
        <v>0</v>
      </c>
      <c r="J41" s="344">
        <v>0</v>
      </c>
      <c r="K41" s="722">
        <f>$K$26</f>
        <v>58583.987319999993</v>
      </c>
      <c r="L41" s="344">
        <v>0</v>
      </c>
      <c r="M41" s="353"/>
      <c r="N41" s="4">
        <f t="shared" si="6"/>
        <v>209</v>
      </c>
    </row>
    <row r="42" spans="1:15">
      <c r="O42" s="21"/>
    </row>
    <row r="43" spans="1:15">
      <c r="B43" s="567" t="s">
        <v>946</v>
      </c>
    </row>
    <row r="44" spans="1:15">
      <c r="B44" s="746" t="s">
        <v>947</v>
      </c>
      <c r="C44" s="746"/>
      <c r="D44" s="746"/>
      <c r="E44" s="746"/>
      <c r="F44" s="746"/>
      <c r="G44" s="746"/>
      <c r="H44" s="746"/>
      <c r="I44" s="746"/>
      <c r="J44" s="746"/>
      <c r="K44" s="746"/>
      <c r="L44" s="746"/>
      <c r="M44" s="746"/>
    </row>
    <row r="45" spans="1:15">
      <c r="B45" s="746"/>
      <c r="C45" s="746"/>
      <c r="D45" s="746"/>
      <c r="E45" s="746"/>
      <c r="F45" s="746"/>
      <c r="G45" s="746"/>
      <c r="H45" s="746"/>
      <c r="I45" s="746"/>
      <c r="J45" s="746"/>
      <c r="K45" s="746"/>
      <c r="L45" s="746"/>
      <c r="M45" s="746"/>
    </row>
    <row r="46" spans="1:15">
      <c r="B46" s="567" t="s">
        <v>948</v>
      </c>
    </row>
    <row r="47" spans="1:15">
      <c r="B47" s="330" t="s">
        <v>949</v>
      </c>
    </row>
    <row r="48" spans="1:15">
      <c r="B48" s="743"/>
      <c r="C48" s="743"/>
      <c r="D48" s="743"/>
      <c r="E48" s="743"/>
      <c r="F48" s="743"/>
      <c r="G48" s="743"/>
      <c r="H48" s="743"/>
      <c r="I48" s="743"/>
      <c r="J48" s="743"/>
      <c r="K48" s="743"/>
      <c r="L48" s="743"/>
      <c r="M48" s="743"/>
    </row>
    <row r="49" spans="2:13">
      <c r="B49" s="743"/>
      <c r="C49" s="743"/>
      <c r="D49" s="743"/>
      <c r="E49" s="743"/>
      <c r="F49" s="743"/>
      <c r="G49" s="743"/>
      <c r="H49" s="743"/>
      <c r="I49" s="743"/>
      <c r="J49" s="743"/>
      <c r="K49" s="743"/>
      <c r="L49" s="743"/>
      <c r="M49" s="743"/>
    </row>
  </sheetData>
  <mergeCells count="7">
    <mergeCell ref="B5:M6"/>
    <mergeCell ref="B7:M8"/>
    <mergeCell ref="B48:M49"/>
    <mergeCell ref="C10:D10"/>
    <mergeCell ref="F10:G10"/>
    <mergeCell ref="J10:K10"/>
    <mergeCell ref="B44:M45"/>
  </mergeCells>
  <phoneticPr fontId="104" type="noConversion"/>
  <printOptions horizontalCentered="1"/>
  <pageMargins left="1" right="1" top="1" bottom="1" header="0.5" footer="0.5"/>
  <pageSetup scale="53" orientation="landscape" r:id="rId1"/>
  <headerFooter>
    <oddHeader>&amp;RDocket No. ER20-2878-000, et al.- Annual Update RY2024
&amp;F</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DAD95-F99D-4290-8BA4-2496B8E5EBB6}">
  <sheetPr>
    <tabColor rgb="FFFF0000"/>
    <pageSetUpPr fitToPage="1"/>
  </sheetPr>
  <dimension ref="A1:O49"/>
  <sheetViews>
    <sheetView view="pageBreakPreview" topLeftCell="A3" zoomScale="40" zoomScaleNormal="100" zoomScaleSheetLayoutView="40" workbookViewId="0">
      <selection activeCell="W98" sqref="W98"/>
    </sheetView>
  </sheetViews>
  <sheetFormatPr defaultRowHeight="14.5"/>
  <cols>
    <col min="1" max="1" width="4.7265625" bestFit="1" customWidth="1"/>
    <col min="2" max="2" width="43" customWidth="1"/>
    <col min="3" max="3" width="15.54296875" customWidth="1"/>
    <col min="4" max="4" width="14.453125" bestFit="1" customWidth="1"/>
    <col min="5" max="5" width="15.54296875" bestFit="1" customWidth="1"/>
    <col min="6" max="6" width="15.26953125" customWidth="1"/>
    <col min="7" max="7" width="14.81640625" bestFit="1" customWidth="1"/>
    <col min="8" max="9" width="14.453125" bestFit="1" customWidth="1"/>
    <col min="10" max="10" width="16.26953125" customWidth="1"/>
    <col min="11" max="12" width="14.453125" bestFit="1" customWidth="1"/>
    <col min="13" max="13" width="9.26953125" customWidth="1"/>
    <col min="15" max="15" width="4.7265625" bestFit="1" customWidth="1"/>
  </cols>
  <sheetData>
    <row r="1" spans="1:15">
      <c r="B1" s="2" t="s">
        <v>903</v>
      </c>
      <c r="M1" s="6" t="s">
        <v>384</v>
      </c>
    </row>
    <row r="2" spans="1:15">
      <c r="B2" s="35" t="s">
        <v>120</v>
      </c>
    </row>
    <row r="4" spans="1:15">
      <c r="B4" s="41" t="s">
        <v>904</v>
      </c>
      <c r="C4" s="41"/>
      <c r="D4" s="41"/>
      <c r="E4" s="41"/>
      <c r="F4" s="41"/>
      <c r="G4" s="41"/>
      <c r="H4" s="41"/>
      <c r="I4" s="41"/>
      <c r="J4" s="41"/>
      <c r="K4" s="41"/>
      <c r="L4" s="41"/>
      <c r="M4" s="41"/>
      <c r="O4" s="21"/>
    </row>
    <row r="5" spans="1:15">
      <c r="B5" s="742" t="s">
        <v>905</v>
      </c>
      <c r="C5" s="742"/>
      <c r="D5" s="742"/>
      <c r="E5" s="742"/>
      <c r="F5" s="742"/>
      <c r="G5" s="742"/>
      <c r="H5" s="742"/>
      <c r="I5" s="742"/>
      <c r="J5" s="742"/>
      <c r="K5" s="742"/>
      <c r="L5" s="742"/>
      <c r="M5" s="742"/>
      <c r="O5" s="21"/>
    </row>
    <row r="6" spans="1:15">
      <c r="B6" s="742"/>
      <c r="C6" s="742"/>
      <c r="D6" s="742"/>
      <c r="E6" s="742"/>
      <c r="F6" s="742"/>
      <c r="G6" s="742"/>
      <c r="H6" s="742"/>
      <c r="I6" s="742"/>
      <c r="J6" s="742"/>
      <c r="K6" s="742"/>
      <c r="L6" s="742"/>
      <c r="M6" s="742"/>
      <c r="O6" s="21"/>
    </row>
    <row r="7" spans="1:15">
      <c r="B7" s="742" t="s">
        <v>906</v>
      </c>
      <c r="C7" s="742"/>
      <c r="D7" s="742"/>
      <c r="E7" s="742"/>
      <c r="F7" s="742"/>
      <c r="G7" s="742"/>
      <c r="H7" s="742"/>
      <c r="I7" s="742"/>
      <c r="J7" s="742"/>
      <c r="K7" s="742"/>
      <c r="L7" s="742"/>
      <c r="M7" s="742"/>
      <c r="O7" s="21"/>
    </row>
    <row r="8" spans="1:15">
      <c r="B8" s="742"/>
      <c r="C8" s="742"/>
      <c r="D8" s="742"/>
      <c r="E8" s="742"/>
      <c r="F8" s="742"/>
      <c r="G8" s="742"/>
      <c r="H8" s="742"/>
      <c r="I8" s="742"/>
      <c r="J8" s="742"/>
      <c r="K8" s="742"/>
      <c r="L8" s="742"/>
      <c r="M8" s="742"/>
      <c r="O8" s="21"/>
    </row>
    <row r="9" spans="1:15">
      <c r="B9" s="330" t="s">
        <v>907</v>
      </c>
    </row>
    <row r="10" spans="1:15" ht="29">
      <c r="C10" s="744" t="s">
        <v>425</v>
      </c>
      <c r="D10" s="745"/>
      <c r="E10" s="633" t="s">
        <v>908</v>
      </c>
      <c r="F10" s="744" t="s">
        <v>909</v>
      </c>
      <c r="G10" s="745"/>
      <c r="H10" s="633" t="s">
        <v>427</v>
      </c>
      <c r="I10" s="633" t="s">
        <v>910</v>
      </c>
      <c r="J10" s="744" t="s">
        <v>429</v>
      </c>
      <c r="K10" s="745"/>
      <c r="L10" s="633" t="s">
        <v>430</v>
      </c>
      <c r="M10" s="665" t="s">
        <v>117</v>
      </c>
    </row>
    <row r="11" spans="1:15" ht="65.25" customHeight="1">
      <c r="A11" s="4" t="s">
        <v>90</v>
      </c>
      <c r="B11" s="129" t="s">
        <v>511</v>
      </c>
      <c r="C11" s="634" t="s">
        <v>911</v>
      </c>
      <c r="D11" s="542" t="s">
        <v>912</v>
      </c>
      <c r="E11" s="634" t="s">
        <v>913</v>
      </c>
      <c r="F11" s="634" t="s">
        <v>911</v>
      </c>
      <c r="G11" s="542" t="s">
        <v>912</v>
      </c>
      <c r="H11" s="634" t="s">
        <v>913</v>
      </c>
      <c r="I11" s="634" t="s">
        <v>913</v>
      </c>
      <c r="J11" s="634" t="s">
        <v>911</v>
      </c>
      <c r="K11" s="542" t="s">
        <v>912</v>
      </c>
      <c r="L11" s="634" t="s">
        <v>913</v>
      </c>
      <c r="M11" s="634"/>
      <c r="N11" s="109" t="s">
        <v>90</v>
      </c>
    </row>
    <row r="12" spans="1:15">
      <c r="A12" s="4">
        <v>100</v>
      </c>
      <c r="B12" s="481" t="s">
        <v>522</v>
      </c>
      <c r="C12" s="346">
        <v>78378.146971723065</v>
      </c>
      <c r="D12" s="345">
        <v>62993.097468757886</v>
      </c>
      <c r="E12" s="346">
        <v>5314</v>
      </c>
      <c r="F12" s="346">
        <v>984.96592622935555</v>
      </c>
      <c r="G12" s="355">
        <v>947</v>
      </c>
      <c r="H12" s="346">
        <v>1997</v>
      </c>
      <c r="I12" s="346">
        <v>916</v>
      </c>
      <c r="J12" s="346">
        <v>74489.278063379446</v>
      </c>
      <c r="K12" s="355">
        <v>46523.22436</v>
      </c>
      <c r="L12" s="346">
        <v>72</v>
      </c>
      <c r="M12" s="346"/>
      <c r="N12" s="4">
        <v>100</v>
      </c>
    </row>
    <row r="13" spans="1:15">
      <c r="A13" s="4">
        <v>101</v>
      </c>
      <c r="B13" s="482" t="s">
        <v>523</v>
      </c>
      <c r="C13" s="346">
        <v>76504.304024946701</v>
      </c>
      <c r="D13" s="346">
        <v>53535.032153222346</v>
      </c>
      <c r="E13" s="346">
        <v>5159</v>
      </c>
      <c r="F13" s="346">
        <v>1311.1935315694413</v>
      </c>
      <c r="G13" s="355">
        <v>1059</v>
      </c>
      <c r="H13" s="346">
        <v>2254</v>
      </c>
      <c r="I13" s="346">
        <v>894</v>
      </c>
      <c r="J13" s="346">
        <v>92079.283465404515</v>
      </c>
      <c r="K13" s="355">
        <v>47853.89352000002</v>
      </c>
      <c r="L13" s="346">
        <v>69</v>
      </c>
      <c r="M13" s="346"/>
      <c r="N13" s="4">
        <v>101</v>
      </c>
    </row>
    <row r="14" spans="1:15">
      <c r="A14" s="4">
        <v>102</v>
      </c>
      <c r="B14" s="482" t="s">
        <v>524</v>
      </c>
      <c r="C14" s="346">
        <v>105288.6561089888</v>
      </c>
      <c r="D14" s="346">
        <v>83883.034416807684</v>
      </c>
      <c r="E14" s="346">
        <v>5269</v>
      </c>
      <c r="F14" s="346">
        <v>1026.2521831418621</v>
      </c>
      <c r="G14" s="355">
        <v>416</v>
      </c>
      <c r="H14" s="346">
        <v>2238</v>
      </c>
      <c r="I14" s="346">
        <v>882</v>
      </c>
      <c r="J14" s="346">
        <v>104457.15046300556</v>
      </c>
      <c r="K14" s="355">
        <v>62370.631799999981</v>
      </c>
      <c r="L14" s="346">
        <v>74</v>
      </c>
      <c r="M14" s="346"/>
      <c r="N14" s="4">
        <v>102</v>
      </c>
    </row>
    <row r="15" spans="1:15">
      <c r="A15" s="4">
        <v>103</v>
      </c>
      <c r="B15" s="482" t="s">
        <v>525</v>
      </c>
      <c r="C15" s="346">
        <v>78049.681526856642</v>
      </c>
      <c r="D15" s="346">
        <v>54924.744330569869</v>
      </c>
      <c r="E15" s="346">
        <v>5166</v>
      </c>
      <c r="F15" s="346">
        <v>868.8114584691009</v>
      </c>
      <c r="G15" s="355">
        <v>481</v>
      </c>
      <c r="H15" s="346">
        <v>2828</v>
      </c>
      <c r="I15" s="346">
        <v>790</v>
      </c>
      <c r="J15" s="346">
        <v>125483.66758435809</v>
      </c>
      <c r="K15" s="355">
        <v>57439.274640000003</v>
      </c>
      <c r="L15" s="346">
        <v>55</v>
      </c>
      <c r="M15" s="346"/>
      <c r="N15" s="4">
        <v>103</v>
      </c>
    </row>
    <row r="16" spans="1:15">
      <c r="A16" s="4">
        <v>104</v>
      </c>
      <c r="B16" s="482" t="s">
        <v>526</v>
      </c>
      <c r="C16" s="346">
        <v>83132.54020202352</v>
      </c>
      <c r="D16" s="346">
        <v>55319.179288325409</v>
      </c>
      <c r="E16" s="346">
        <v>5138</v>
      </c>
      <c r="F16" s="346">
        <v>1262.4816876757218</v>
      </c>
      <c r="G16" s="355">
        <v>776</v>
      </c>
      <c r="H16" s="346">
        <v>3415</v>
      </c>
      <c r="I16" s="346">
        <v>758</v>
      </c>
      <c r="J16" s="346">
        <v>139605.90645323106</v>
      </c>
      <c r="K16" s="355">
        <v>59454.491599999994</v>
      </c>
      <c r="L16" s="346">
        <v>73</v>
      </c>
      <c r="M16" s="346"/>
      <c r="N16" s="4">
        <v>104</v>
      </c>
    </row>
    <row r="17" spans="1:14">
      <c r="A17" s="4">
        <v>105</v>
      </c>
      <c r="B17" s="482" t="s">
        <v>812</v>
      </c>
      <c r="C17" s="346">
        <v>81123.004269958998</v>
      </c>
      <c r="D17" s="346">
        <v>54153.929175064673</v>
      </c>
      <c r="E17" s="346">
        <v>5381</v>
      </c>
      <c r="F17" s="346">
        <v>1240.7496601932708</v>
      </c>
      <c r="G17" s="355">
        <v>697</v>
      </c>
      <c r="H17" s="346">
        <v>3869</v>
      </c>
      <c r="I17" s="346">
        <v>687</v>
      </c>
      <c r="J17" s="346">
        <v>146587.81253329062</v>
      </c>
      <c r="K17" s="355">
        <v>64202.987319999993</v>
      </c>
      <c r="L17" s="346">
        <v>57</v>
      </c>
      <c r="M17" s="346"/>
      <c r="N17" s="4">
        <v>105</v>
      </c>
    </row>
    <row r="18" spans="1:14">
      <c r="A18" s="4">
        <v>106</v>
      </c>
      <c r="B18" s="482" t="s">
        <v>528</v>
      </c>
      <c r="C18" s="346">
        <v>76825.021583381007</v>
      </c>
      <c r="D18" s="346">
        <v>52794.81975319497</v>
      </c>
      <c r="E18" s="346">
        <v>5278</v>
      </c>
      <c r="F18" s="346">
        <v>1048.2622749362281</v>
      </c>
      <c r="G18" s="355">
        <v>572</v>
      </c>
      <c r="H18" s="346">
        <v>4036</v>
      </c>
      <c r="I18" s="346">
        <v>730</v>
      </c>
      <c r="J18" s="346">
        <v>143989.68246005324</v>
      </c>
      <c r="K18" s="355">
        <v>62311.87739999999</v>
      </c>
      <c r="L18" s="346">
        <v>62</v>
      </c>
      <c r="M18" s="346"/>
      <c r="N18" s="4">
        <v>106</v>
      </c>
    </row>
    <row r="19" spans="1:14">
      <c r="A19" s="4">
        <v>107</v>
      </c>
      <c r="B19" s="482" t="s">
        <v>529</v>
      </c>
      <c r="C19" s="346">
        <v>84415.819434476434</v>
      </c>
      <c r="D19" s="346">
        <v>57665.804431317578</v>
      </c>
      <c r="E19" s="346">
        <v>5444</v>
      </c>
      <c r="F19" s="346">
        <v>887.43377958180486</v>
      </c>
      <c r="G19" s="355">
        <v>458</v>
      </c>
      <c r="H19" s="346">
        <v>4034</v>
      </c>
      <c r="I19" s="346">
        <v>676</v>
      </c>
      <c r="J19" s="346">
        <v>131371.88378700431</v>
      </c>
      <c r="K19" s="355">
        <v>58365.566280000006</v>
      </c>
      <c r="L19" s="346">
        <v>65</v>
      </c>
      <c r="M19" s="346"/>
      <c r="N19" s="4">
        <v>107</v>
      </c>
    </row>
    <row r="20" spans="1:14">
      <c r="A20" s="4">
        <v>108</v>
      </c>
      <c r="B20" s="482" t="s">
        <v>530</v>
      </c>
      <c r="C20" s="346">
        <v>86519.858881972395</v>
      </c>
      <c r="D20" s="346">
        <v>59583.443556686572</v>
      </c>
      <c r="E20" s="346">
        <v>5589</v>
      </c>
      <c r="F20" s="346">
        <v>440.32597240583164</v>
      </c>
      <c r="G20" s="355">
        <v>139</v>
      </c>
      <c r="H20" s="346">
        <v>3141</v>
      </c>
      <c r="I20" s="346">
        <v>702</v>
      </c>
      <c r="J20" s="346">
        <v>110090.1556602007</v>
      </c>
      <c r="K20" s="355">
        <v>56273.062080000003</v>
      </c>
      <c r="L20" s="346">
        <v>51</v>
      </c>
      <c r="M20" s="346"/>
      <c r="N20" s="4">
        <v>108</v>
      </c>
    </row>
    <row r="21" spans="1:14">
      <c r="A21" s="4">
        <v>109</v>
      </c>
      <c r="B21" s="482" t="s">
        <v>531</v>
      </c>
      <c r="C21" s="346">
        <v>106680.25451122319</v>
      </c>
      <c r="D21" s="346">
        <v>62311.616086285772</v>
      </c>
      <c r="E21" s="346">
        <v>5525</v>
      </c>
      <c r="F21" s="346">
        <v>390.20617424171894</v>
      </c>
      <c r="G21" s="355">
        <v>137</v>
      </c>
      <c r="H21" s="346">
        <v>2957</v>
      </c>
      <c r="I21" s="346">
        <v>675</v>
      </c>
      <c r="J21" s="346">
        <v>96157.490514964535</v>
      </c>
      <c r="K21" s="355">
        <v>48906.04127999999</v>
      </c>
      <c r="L21" s="346">
        <v>54</v>
      </c>
      <c r="M21" s="346"/>
      <c r="N21" s="4">
        <v>109</v>
      </c>
    </row>
    <row r="22" spans="1:14">
      <c r="A22" s="4">
        <v>110</v>
      </c>
      <c r="B22" s="482" t="s">
        <v>532</v>
      </c>
      <c r="C22" s="346">
        <v>94883.012455908829</v>
      </c>
      <c r="D22" s="346">
        <v>61333.689176848748</v>
      </c>
      <c r="E22" s="346">
        <v>5198</v>
      </c>
      <c r="F22" s="346">
        <v>548.68346770439598</v>
      </c>
      <c r="G22" s="355">
        <v>362</v>
      </c>
      <c r="H22" s="346">
        <v>1921</v>
      </c>
      <c r="I22" s="346">
        <v>766</v>
      </c>
      <c r="J22" s="346">
        <v>54843.202895637442</v>
      </c>
      <c r="K22" s="355">
        <v>39271.132120000002</v>
      </c>
      <c r="L22" s="346">
        <v>65</v>
      </c>
      <c r="M22" s="346"/>
      <c r="N22" s="4">
        <v>110</v>
      </c>
    </row>
    <row r="23" spans="1:14">
      <c r="A23" s="4">
        <v>111</v>
      </c>
      <c r="B23" s="483" t="s">
        <v>520</v>
      </c>
      <c r="C23" s="347">
        <v>96807.50477690206</v>
      </c>
      <c r="D23" s="347">
        <v>64338.200147213152</v>
      </c>
      <c r="E23" s="347">
        <v>5654</v>
      </c>
      <c r="F23" s="347">
        <v>0</v>
      </c>
      <c r="G23" s="356">
        <v>0</v>
      </c>
      <c r="H23" s="347">
        <v>1827</v>
      </c>
      <c r="I23" s="347">
        <v>811</v>
      </c>
      <c r="J23" s="347">
        <v>51587.097062645829</v>
      </c>
      <c r="K23" s="356">
        <v>39771.938039999994</v>
      </c>
      <c r="L23" s="347">
        <v>89</v>
      </c>
      <c r="M23" s="347"/>
      <c r="N23" s="4">
        <v>111</v>
      </c>
    </row>
    <row r="24" spans="1:14">
      <c r="A24" s="4">
        <v>112</v>
      </c>
      <c r="B24" s="6" t="s">
        <v>534</v>
      </c>
      <c r="C24" s="469">
        <v>1048607.8047483617</v>
      </c>
      <c r="D24" s="469">
        <v>722836.58998429461</v>
      </c>
      <c r="E24" s="469">
        <v>64115</v>
      </c>
      <c r="F24" s="469">
        <v>10009.366116148733</v>
      </c>
      <c r="G24" s="469">
        <v>6044</v>
      </c>
      <c r="H24" s="469">
        <v>34517</v>
      </c>
      <c r="I24" s="469">
        <v>9287</v>
      </c>
      <c r="J24" s="469">
        <v>1270742.6109431754</v>
      </c>
      <c r="K24" s="469">
        <v>642744.12044000009</v>
      </c>
      <c r="L24" s="469">
        <v>786</v>
      </c>
      <c r="M24" s="469">
        <v>0</v>
      </c>
      <c r="N24" s="4">
        <v>112</v>
      </c>
    </row>
    <row r="25" spans="1:14">
      <c r="A25" s="4"/>
      <c r="C25" s="128"/>
      <c r="D25" s="128"/>
      <c r="E25" s="128"/>
      <c r="F25" s="128"/>
      <c r="G25" s="128"/>
      <c r="H25" s="128"/>
      <c r="I25" s="128"/>
      <c r="J25" s="128"/>
      <c r="K25" s="128"/>
      <c r="L25" s="128"/>
      <c r="M25" s="128"/>
    </row>
    <row r="26" spans="1:14">
      <c r="A26" s="4">
        <v>113</v>
      </c>
      <c r="B26" s="6" t="s">
        <v>914</v>
      </c>
      <c r="C26" s="469">
        <v>106680.25451122319</v>
      </c>
      <c r="D26" s="469">
        <v>83883.034416807684</v>
      </c>
      <c r="E26" s="469">
        <v>5654</v>
      </c>
      <c r="F26" s="469">
        <v>1311.1935315694413</v>
      </c>
      <c r="G26" s="469">
        <v>1059</v>
      </c>
      <c r="H26" s="469">
        <v>4036</v>
      </c>
      <c r="I26" s="469">
        <v>916</v>
      </c>
      <c r="J26" s="469">
        <v>146587.81253329062</v>
      </c>
      <c r="K26" s="469">
        <v>64202.987319999993</v>
      </c>
      <c r="L26" s="469">
        <v>89</v>
      </c>
      <c r="M26" s="469">
        <v>0</v>
      </c>
      <c r="N26" s="4">
        <v>113</v>
      </c>
    </row>
    <row r="27" spans="1:14">
      <c r="A27" s="21"/>
    </row>
    <row r="28" spans="1:14">
      <c r="B28" s="41" t="s">
        <v>915</v>
      </c>
      <c r="C28" s="41"/>
      <c r="D28" s="41"/>
      <c r="E28" s="41"/>
      <c r="F28" s="41"/>
      <c r="G28" s="41"/>
      <c r="H28" s="41"/>
      <c r="I28" s="41"/>
      <c r="J28" s="41"/>
      <c r="K28" s="41"/>
      <c r="L28" s="41"/>
      <c r="M28" s="41"/>
    </row>
    <row r="29" spans="1:14">
      <c r="B29" s="2"/>
    </row>
    <row r="30" spans="1:14" ht="29">
      <c r="C30" s="666" t="s">
        <v>916</v>
      </c>
      <c r="D30" s="666" t="s">
        <v>917</v>
      </c>
      <c r="E30" s="633" t="s">
        <v>918</v>
      </c>
      <c r="F30" s="666" t="s">
        <v>919</v>
      </c>
      <c r="G30" s="666" t="s">
        <v>920</v>
      </c>
      <c r="H30" s="666" t="s">
        <v>921</v>
      </c>
      <c r="I30" s="666" t="s">
        <v>922</v>
      </c>
      <c r="J30" s="666" t="s">
        <v>923</v>
      </c>
      <c r="K30" s="666" t="s">
        <v>924</v>
      </c>
      <c r="L30" s="666" t="s">
        <v>925</v>
      </c>
      <c r="M30" s="666"/>
      <c r="N30" s="109"/>
    </row>
    <row r="31" spans="1:14">
      <c r="A31" s="4" t="s">
        <v>90</v>
      </c>
      <c r="B31" s="290" t="s">
        <v>926</v>
      </c>
      <c r="C31" s="666" t="s">
        <v>888</v>
      </c>
      <c r="D31" s="666" t="s">
        <v>927</v>
      </c>
      <c r="E31" s="666" t="s">
        <v>928</v>
      </c>
      <c r="F31" s="633" t="s">
        <v>929</v>
      </c>
      <c r="G31" s="633" t="s">
        <v>930</v>
      </c>
      <c r="H31" s="633" t="s">
        <v>931</v>
      </c>
      <c r="I31" s="633" t="s">
        <v>932</v>
      </c>
      <c r="J31" s="633" t="s">
        <v>933</v>
      </c>
      <c r="K31" s="633" t="s">
        <v>934</v>
      </c>
      <c r="L31" s="633" t="s">
        <v>935</v>
      </c>
      <c r="M31" s="633" t="s">
        <v>117</v>
      </c>
      <c r="N31" s="109" t="s">
        <v>90</v>
      </c>
    </row>
    <row r="32" spans="1:14">
      <c r="A32" s="4">
        <v>200</v>
      </c>
      <c r="B32" s="667" t="s">
        <v>936</v>
      </c>
      <c r="C32" s="345">
        <v>192124458</v>
      </c>
      <c r="D32" s="668">
        <v>192124458</v>
      </c>
      <c r="E32" s="348">
        <v>0</v>
      </c>
      <c r="F32" s="669">
        <v>0</v>
      </c>
      <c r="G32" s="351">
        <v>0</v>
      </c>
      <c r="H32" s="669">
        <v>0</v>
      </c>
      <c r="I32" s="351">
        <v>0</v>
      </c>
      <c r="J32" s="669">
        <v>0</v>
      </c>
      <c r="K32" s="351">
        <v>0</v>
      </c>
      <c r="L32" s="669">
        <v>0</v>
      </c>
      <c r="M32" s="351"/>
      <c r="N32" s="4">
        <v>200</v>
      </c>
    </row>
    <row r="33" spans="1:15">
      <c r="A33" s="4">
        <v>201</v>
      </c>
      <c r="B33" s="565" t="s">
        <v>937</v>
      </c>
      <c r="C33" s="346">
        <v>184113777</v>
      </c>
      <c r="D33" s="341">
        <v>184113777</v>
      </c>
      <c r="E33" s="349">
        <v>0</v>
      </c>
      <c r="F33" s="342">
        <v>0</v>
      </c>
      <c r="G33" s="352">
        <v>0</v>
      </c>
      <c r="H33" s="342">
        <v>0</v>
      </c>
      <c r="I33" s="352">
        <v>0</v>
      </c>
      <c r="J33" s="342">
        <v>0</v>
      </c>
      <c r="K33" s="352">
        <v>0</v>
      </c>
      <c r="L33" s="342">
        <v>0</v>
      </c>
      <c r="M33" s="352"/>
      <c r="N33" s="4">
        <v>201</v>
      </c>
    </row>
    <row r="34" spans="1:15">
      <c r="A34" s="4">
        <v>202</v>
      </c>
      <c r="B34" s="565" t="s">
        <v>938</v>
      </c>
      <c r="C34" s="346">
        <v>184113777</v>
      </c>
      <c r="D34" s="341">
        <v>184113777</v>
      </c>
      <c r="E34" s="349">
        <v>0</v>
      </c>
      <c r="F34" s="342">
        <v>0</v>
      </c>
      <c r="G34" s="352">
        <v>0</v>
      </c>
      <c r="H34" s="342">
        <v>0</v>
      </c>
      <c r="I34" s="352">
        <v>0</v>
      </c>
      <c r="J34" s="342">
        <v>0</v>
      </c>
      <c r="K34" s="352">
        <v>0</v>
      </c>
      <c r="L34" s="342">
        <v>0</v>
      </c>
      <c r="M34" s="352"/>
      <c r="N34" s="4">
        <v>202</v>
      </c>
    </row>
    <row r="35" spans="1:15">
      <c r="A35" s="4">
        <v>203</v>
      </c>
      <c r="B35" s="565" t="s">
        <v>939</v>
      </c>
      <c r="C35" s="346">
        <v>21100594.260576084</v>
      </c>
      <c r="D35" s="341">
        <v>20835320</v>
      </c>
      <c r="E35" s="349">
        <v>265274.26057608327</v>
      </c>
      <c r="F35" s="342">
        <v>106680.25451122319</v>
      </c>
      <c r="G35" s="352">
        <v>5654</v>
      </c>
      <c r="H35" s="342">
        <v>1311.1935315694413</v>
      </c>
      <c r="I35" s="352">
        <v>4036</v>
      </c>
      <c r="J35" s="342">
        <v>916</v>
      </c>
      <c r="K35" s="352">
        <v>146587.81253329062</v>
      </c>
      <c r="L35" s="342">
        <v>89</v>
      </c>
      <c r="M35" s="352"/>
      <c r="N35" s="4">
        <v>203</v>
      </c>
    </row>
    <row r="36" spans="1:15">
      <c r="A36" s="4">
        <v>204</v>
      </c>
      <c r="B36" s="565" t="s">
        <v>940</v>
      </c>
      <c r="C36" s="346">
        <v>21100594.260576084</v>
      </c>
      <c r="D36" s="341">
        <v>20835320</v>
      </c>
      <c r="E36" s="349">
        <v>265274.26057608327</v>
      </c>
      <c r="F36" s="342">
        <v>106680.25451122319</v>
      </c>
      <c r="G36" s="352">
        <v>5654</v>
      </c>
      <c r="H36" s="342">
        <v>1311.1935315694413</v>
      </c>
      <c r="I36" s="352">
        <v>4036</v>
      </c>
      <c r="J36" s="342">
        <v>916</v>
      </c>
      <c r="K36" s="352">
        <v>146587.81253329062</v>
      </c>
      <c r="L36" s="342">
        <v>89</v>
      </c>
      <c r="M36" s="352"/>
      <c r="N36" s="4">
        <v>204</v>
      </c>
    </row>
    <row r="37" spans="1:15">
      <c r="A37" s="4">
        <v>205</v>
      </c>
      <c r="B37" s="565" t="s">
        <v>941</v>
      </c>
      <c r="C37" s="346">
        <v>21100594.260576084</v>
      </c>
      <c r="D37" s="341">
        <v>20835320</v>
      </c>
      <c r="E37" s="349">
        <v>265274.26057608327</v>
      </c>
      <c r="F37" s="342">
        <v>106680.25451122319</v>
      </c>
      <c r="G37" s="352">
        <v>5654</v>
      </c>
      <c r="H37" s="342">
        <v>1311.1935315694413</v>
      </c>
      <c r="I37" s="352">
        <v>4036</v>
      </c>
      <c r="J37" s="342">
        <v>916</v>
      </c>
      <c r="K37" s="552">
        <v>146587.81253329062</v>
      </c>
      <c r="L37" s="342">
        <v>89</v>
      </c>
      <c r="M37" s="352"/>
      <c r="N37" s="4">
        <v>205</v>
      </c>
    </row>
    <row r="38" spans="1:15">
      <c r="A38" s="4">
        <v>206</v>
      </c>
      <c r="B38" s="565" t="s">
        <v>942</v>
      </c>
      <c r="C38" s="346">
        <v>39375245.021736808</v>
      </c>
      <c r="D38" s="341">
        <v>39226100</v>
      </c>
      <c r="E38" s="349">
        <v>149145.02173680768</v>
      </c>
      <c r="F38" s="342">
        <v>83883.034416807684</v>
      </c>
      <c r="G38" s="352">
        <v>0</v>
      </c>
      <c r="H38" s="342">
        <v>1059</v>
      </c>
      <c r="I38" s="352">
        <v>0</v>
      </c>
      <c r="J38" s="342">
        <v>0</v>
      </c>
      <c r="K38" s="352">
        <v>64202.987319999993</v>
      </c>
      <c r="L38" s="342">
        <v>0</v>
      </c>
      <c r="M38" s="352"/>
      <c r="N38" s="4">
        <v>206</v>
      </c>
    </row>
    <row r="39" spans="1:15">
      <c r="A39" s="4">
        <v>207</v>
      </c>
      <c r="B39" s="565" t="s">
        <v>943</v>
      </c>
      <c r="C39" s="346">
        <v>39375245.021736808</v>
      </c>
      <c r="D39" s="341">
        <v>39226100</v>
      </c>
      <c r="E39" s="349">
        <v>149145.02173680768</v>
      </c>
      <c r="F39" s="342">
        <v>83883.034416807684</v>
      </c>
      <c r="G39" s="352">
        <v>0</v>
      </c>
      <c r="H39" s="342">
        <v>1059</v>
      </c>
      <c r="I39" s="352">
        <v>0</v>
      </c>
      <c r="J39" s="342">
        <v>0</v>
      </c>
      <c r="K39" s="352">
        <v>64202.987319999993</v>
      </c>
      <c r="L39" s="342">
        <v>0</v>
      </c>
      <c r="M39" s="352"/>
      <c r="N39" s="4">
        <v>207</v>
      </c>
    </row>
    <row r="40" spans="1:15">
      <c r="A40" s="4">
        <v>208</v>
      </c>
      <c r="B40" s="565" t="s">
        <v>944</v>
      </c>
      <c r="C40" s="346">
        <v>39375245.021736808</v>
      </c>
      <c r="D40" s="341">
        <v>39226100</v>
      </c>
      <c r="E40" s="349">
        <v>149145.02173680768</v>
      </c>
      <c r="F40" s="342">
        <v>83883.034416807684</v>
      </c>
      <c r="G40" s="352">
        <v>0</v>
      </c>
      <c r="H40" s="342">
        <v>1059</v>
      </c>
      <c r="I40" s="352">
        <v>0</v>
      </c>
      <c r="J40" s="342">
        <v>0</v>
      </c>
      <c r="K40" s="352">
        <v>64202.987319999993</v>
      </c>
      <c r="L40" s="342">
        <v>0</v>
      </c>
      <c r="M40" s="352"/>
      <c r="N40" s="4">
        <v>208</v>
      </c>
    </row>
    <row r="41" spans="1:15">
      <c r="A41" s="4">
        <v>209</v>
      </c>
      <c r="B41" s="566" t="s">
        <v>945</v>
      </c>
      <c r="C41" s="347">
        <v>39375245.021736808</v>
      </c>
      <c r="D41" s="343">
        <v>39226100</v>
      </c>
      <c r="E41" s="350">
        <v>149145.02173680768</v>
      </c>
      <c r="F41" s="344">
        <v>83883.034416807684</v>
      </c>
      <c r="G41" s="353">
        <v>0</v>
      </c>
      <c r="H41" s="344">
        <v>1059</v>
      </c>
      <c r="I41" s="353">
        <v>0</v>
      </c>
      <c r="J41" s="344">
        <v>0</v>
      </c>
      <c r="K41" s="353">
        <v>64202.987319999993</v>
      </c>
      <c r="L41" s="344">
        <v>0</v>
      </c>
      <c r="M41" s="353"/>
      <c r="N41" s="4">
        <v>209</v>
      </c>
    </row>
    <row r="42" spans="1:15">
      <c r="O42" s="21"/>
    </row>
    <row r="43" spans="1:15">
      <c r="B43" s="567" t="s">
        <v>946</v>
      </c>
    </row>
    <row r="44" spans="1:15">
      <c r="B44" s="746" t="s">
        <v>947</v>
      </c>
      <c r="C44" s="746"/>
      <c r="D44" s="746"/>
      <c r="E44" s="746"/>
      <c r="F44" s="746"/>
      <c r="G44" s="746"/>
      <c r="H44" s="746"/>
      <c r="I44" s="746"/>
      <c r="J44" s="746"/>
      <c r="K44" s="746"/>
      <c r="L44" s="746"/>
      <c r="M44" s="746"/>
    </row>
    <row r="45" spans="1:15">
      <c r="B45" s="746"/>
      <c r="C45" s="746"/>
      <c r="D45" s="746"/>
      <c r="E45" s="746"/>
      <c r="F45" s="746"/>
      <c r="G45" s="746"/>
      <c r="H45" s="746"/>
      <c r="I45" s="746"/>
      <c r="J45" s="746"/>
      <c r="K45" s="746"/>
      <c r="L45" s="746"/>
      <c r="M45" s="746"/>
    </row>
    <row r="46" spans="1:15">
      <c r="B46" s="567" t="s">
        <v>948</v>
      </c>
    </row>
    <row r="47" spans="1:15">
      <c r="B47" s="330" t="s">
        <v>949</v>
      </c>
    </row>
    <row r="48" spans="1:15">
      <c r="B48" s="743"/>
      <c r="C48" s="743"/>
      <c r="D48" s="743"/>
      <c r="E48" s="743"/>
      <c r="F48" s="743"/>
      <c r="G48" s="743"/>
      <c r="H48" s="743"/>
      <c r="I48" s="743"/>
      <c r="J48" s="743"/>
      <c r="K48" s="743"/>
      <c r="L48" s="743"/>
      <c r="M48" s="743"/>
    </row>
    <row r="49" spans="2:13">
      <c r="B49" s="743"/>
      <c r="C49" s="743"/>
      <c r="D49" s="743"/>
      <c r="E49" s="743"/>
      <c r="F49" s="743"/>
      <c r="G49" s="743"/>
      <c r="H49" s="743"/>
      <c r="I49" s="743"/>
      <c r="J49" s="743"/>
      <c r="K49" s="743"/>
      <c r="L49" s="743"/>
      <c r="M49" s="743"/>
    </row>
  </sheetData>
  <mergeCells count="7">
    <mergeCell ref="B48:M49"/>
    <mergeCell ref="B5:M6"/>
    <mergeCell ref="B7:M8"/>
    <mergeCell ref="C10:D10"/>
    <mergeCell ref="F10:G10"/>
    <mergeCell ref="J10:K10"/>
    <mergeCell ref="B44:M45"/>
  </mergeCells>
  <printOptions horizontalCentered="1"/>
  <pageMargins left="1" right="1" top="1" bottom="1" header="0.5" footer="0.5"/>
  <pageSetup scale="53" orientation="landscape" r:id="rId1"/>
  <headerFooter>
    <oddHeader>&amp;RDocket No. ER20-2878-000, et al.- Annual Update RY2024
&amp;F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8B042-7DCF-4CE4-AB19-6AB19413777E}">
  <sheetPr codeName="Sheet15">
    <tabColor rgb="FF92D050"/>
    <pageSetUpPr fitToPage="1"/>
  </sheetPr>
  <dimension ref="A1:O115"/>
  <sheetViews>
    <sheetView view="pageBreakPreview" topLeftCell="A86" zoomScaleNormal="100" zoomScaleSheetLayoutView="100" workbookViewId="0">
      <selection activeCell="W98" sqref="W98"/>
    </sheetView>
  </sheetViews>
  <sheetFormatPr defaultRowHeight="14.5"/>
  <cols>
    <col min="1" max="1" width="4.7265625" style="4" bestFit="1" customWidth="1"/>
    <col min="2" max="2" width="25" bestFit="1" customWidth="1"/>
    <col min="3" max="3" width="15.1796875" bestFit="1" customWidth="1"/>
    <col min="4" max="4" width="14.54296875" bestFit="1" customWidth="1"/>
    <col min="5" max="5" width="13.54296875" bestFit="1" customWidth="1"/>
    <col min="6" max="6" width="18.1796875" bestFit="1" customWidth="1"/>
    <col min="7" max="7" width="12.26953125" bestFit="1" customWidth="1"/>
    <col min="8" max="8" width="13.54296875" bestFit="1" customWidth="1"/>
    <col min="9" max="9" width="10.7265625" bestFit="1" customWidth="1"/>
    <col min="11" max="11" width="4.7265625" style="4" bestFit="1" customWidth="1"/>
    <col min="12" max="12" width="11.54296875" bestFit="1" customWidth="1"/>
  </cols>
  <sheetData>
    <row r="1" spans="1:15">
      <c r="B1" s="2" t="s">
        <v>31</v>
      </c>
      <c r="C1" s="2"/>
      <c r="D1" s="2"/>
      <c r="J1" s="6" t="str">
        <f>CONCATENATE("Prior Year: ",'1-DRR Corrected'!$K$2)</f>
        <v>Prior Year: 2021</v>
      </c>
    </row>
    <row r="2" spans="1:15">
      <c r="B2" s="35" t="s">
        <v>120</v>
      </c>
      <c r="C2" s="2"/>
      <c r="D2" s="2"/>
    </row>
    <row r="4" spans="1:15">
      <c r="B4" s="41" t="s">
        <v>950</v>
      </c>
      <c r="C4" s="41"/>
      <c r="D4" s="41"/>
      <c r="E4" s="41"/>
      <c r="F4" s="41"/>
      <c r="G4" s="41"/>
      <c r="H4" s="41"/>
      <c r="I4" s="41"/>
      <c r="J4" s="41"/>
    </row>
    <row r="5" spans="1:15">
      <c r="B5" s="5" t="s">
        <v>951</v>
      </c>
      <c r="C5" s="5"/>
      <c r="D5" s="5"/>
      <c r="E5" s="5"/>
      <c r="F5" s="5"/>
      <c r="G5" s="5"/>
      <c r="H5" s="5"/>
      <c r="I5" s="5"/>
      <c r="J5" s="5"/>
    </row>
    <row r="6" spans="1:15" ht="15" customHeight="1">
      <c r="A6"/>
      <c r="B6" s="742" t="s">
        <v>905</v>
      </c>
      <c r="C6" s="742"/>
      <c r="D6" s="742"/>
      <c r="E6" s="742"/>
      <c r="F6" s="742"/>
      <c r="G6" s="742"/>
      <c r="H6" s="742"/>
      <c r="I6" s="742"/>
      <c r="J6" s="742"/>
      <c r="K6" s="544"/>
      <c r="L6" s="544"/>
      <c r="M6" s="544"/>
      <c r="O6" s="21"/>
    </row>
    <row r="7" spans="1:15" ht="15" customHeight="1">
      <c r="A7"/>
      <c r="B7" s="742"/>
      <c r="C7" s="742"/>
      <c r="D7" s="742"/>
      <c r="E7" s="742"/>
      <c r="F7" s="742"/>
      <c r="G7" s="742"/>
      <c r="H7" s="742"/>
      <c r="I7" s="742"/>
      <c r="J7" s="742"/>
      <c r="K7" s="544"/>
      <c r="L7" s="544"/>
      <c r="M7" s="544"/>
      <c r="O7" s="21"/>
    </row>
    <row r="8" spans="1:15">
      <c r="A8"/>
      <c r="B8" s="742"/>
      <c r="C8" s="742"/>
      <c r="D8" s="742"/>
      <c r="E8" s="742"/>
      <c r="F8" s="742"/>
      <c r="G8" s="742"/>
      <c r="H8" s="742"/>
      <c r="I8" s="742"/>
      <c r="J8" s="742"/>
      <c r="K8" s="544"/>
      <c r="L8" s="544"/>
      <c r="M8" s="544"/>
      <c r="O8" s="21"/>
    </row>
    <row r="9" spans="1:15" ht="15" customHeight="1">
      <c r="A9"/>
      <c r="B9" s="742" t="s">
        <v>906</v>
      </c>
      <c r="C9" s="742"/>
      <c r="D9" s="742"/>
      <c r="E9" s="742"/>
      <c r="F9" s="742"/>
      <c r="G9" s="742"/>
      <c r="H9" s="742"/>
      <c r="I9" s="742"/>
      <c r="J9" s="742"/>
      <c r="K9" s="544"/>
      <c r="L9" s="544"/>
      <c r="M9" s="544"/>
      <c r="O9" s="21"/>
    </row>
    <row r="10" spans="1:15">
      <c r="A10"/>
      <c r="B10" s="742"/>
      <c r="C10" s="742"/>
      <c r="D10" s="742"/>
      <c r="E10" s="742"/>
      <c r="F10" s="742"/>
      <c r="G10" s="742"/>
      <c r="H10" s="742"/>
      <c r="I10" s="742"/>
      <c r="J10" s="742"/>
      <c r="K10" s="544"/>
      <c r="L10" s="544"/>
      <c r="M10" s="544"/>
      <c r="O10" s="21"/>
    </row>
    <row r="11" spans="1:15">
      <c r="B11" s="564"/>
      <c r="C11" s="564"/>
      <c r="D11" s="564"/>
      <c r="E11" s="564"/>
      <c r="F11" s="564"/>
      <c r="G11" s="564"/>
      <c r="H11" s="564"/>
      <c r="I11" s="564"/>
      <c r="J11" s="564"/>
    </row>
    <row r="12" spans="1:15">
      <c r="B12" s="105" t="s">
        <v>952</v>
      </c>
      <c r="C12" s="8"/>
      <c r="D12" s="8"/>
      <c r="E12" s="8"/>
      <c r="F12" s="8"/>
      <c r="G12" s="8"/>
      <c r="H12" s="8"/>
      <c r="I12" s="8"/>
      <c r="J12" s="8"/>
    </row>
    <row r="13" spans="1:15" ht="29">
      <c r="A13" s="3" t="s">
        <v>90</v>
      </c>
      <c r="B13" s="666" t="s">
        <v>511</v>
      </c>
      <c r="C13" s="633" t="s">
        <v>908</v>
      </c>
      <c r="D13" s="633" t="s">
        <v>425</v>
      </c>
      <c r="E13" s="633" t="s">
        <v>426</v>
      </c>
      <c r="F13" s="633" t="s">
        <v>427</v>
      </c>
      <c r="G13" s="633" t="s">
        <v>910</v>
      </c>
      <c r="H13" s="633" t="s">
        <v>429</v>
      </c>
      <c r="I13" s="633" t="s">
        <v>430</v>
      </c>
      <c r="J13" s="633" t="s">
        <v>117</v>
      </c>
      <c r="K13" s="3" t="s">
        <v>90</v>
      </c>
    </row>
    <row r="14" spans="1:15">
      <c r="A14" s="4">
        <v>100</v>
      </c>
      <c r="B14" s="241" t="s">
        <v>522</v>
      </c>
      <c r="C14" s="367">
        <v>5822</v>
      </c>
      <c r="D14" s="367">
        <v>62309.84</v>
      </c>
      <c r="E14" s="368">
        <v>207</v>
      </c>
      <c r="F14" s="369">
        <v>2308</v>
      </c>
      <c r="G14" s="370">
        <v>916</v>
      </c>
      <c r="H14" s="723">
        <v>82201.036000000007</v>
      </c>
      <c r="I14" s="367">
        <v>72</v>
      </c>
      <c r="J14" s="367"/>
      <c r="K14" s="4">
        <f>A14</f>
        <v>100</v>
      </c>
    </row>
    <row r="15" spans="1:15">
      <c r="A15" s="4">
        <f>A14+1</f>
        <v>101</v>
      </c>
      <c r="B15" s="239" t="s">
        <v>523</v>
      </c>
      <c r="C15" s="367">
        <v>5628</v>
      </c>
      <c r="D15" s="367">
        <v>62532.88</v>
      </c>
      <c r="E15" s="367">
        <v>193</v>
      </c>
      <c r="F15" s="369">
        <v>2909</v>
      </c>
      <c r="G15" s="371">
        <v>894</v>
      </c>
      <c r="H15" s="723">
        <v>106559.008</v>
      </c>
      <c r="I15" s="367">
        <v>69</v>
      </c>
      <c r="J15" s="367"/>
      <c r="K15" s="4">
        <f t="shared" ref="K15:K25" si="0">A15</f>
        <v>101</v>
      </c>
    </row>
    <row r="16" spans="1:15">
      <c r="A16" s="4">
        <f t="shared" ref="A16:A26" si="1">A15+1</f>
        <v>102</v>
      </c>
      <c r="B16" s="239" t="s">
        <v>524</v>
      </c>
      <c r="C16" s="367">
        <v>5790</v>
      </c>
      <c r="D16" s="367">
        <v>64398.92</v>
      </c>
      <c r="E16" s="367">
        <v>314</v>
      </c>
      <c r="F16" s="369">
        <v>2430</v>
      </c>
      <c r="G16" s="371">
        <v>882</v>
      </c>
      <c r="H16" s="723">
        <v>115918.70000000001</v>
      </c>
      <c r="I16" s="367">
        <v>74</v>
      </c>
      <c r="J16" s="367"/>
      <c r="K16" s="4">
        <f t="shared" si="0"/>
        <v>102</v>
      </c>
    </row>
    <row r="17" spans="1:12">
      <c r="A17" s="4">
        <f t="shared" si="1"/>
        <v>103</v>
      </c>
      <c r="B17" s="239" t="s">
        <v>525</v>
      </c>
      <c r="C17" s="367">
        <v>5748</v>
      </c>
      <c r="D17" s="367">
        <v>60724.959999999999</v>
      </c>
      <c r="E17" s="367">
        <v>359</v>
      </c>
      <c r="F17" s="369">
        <v>2990</v>
      </c>
      <c r="G17" s="371">
        <v>790</v>
      </c>
      <c r="H17" s="723">
        <v>138250.33600000001</v>
      </c>
      <c r="I17" s="367">
        <v>55</v>
      </c>
      <c r="J17" s="367"/>
      <c r="K17" s="4">
        <f t="shared" si="0"/>
        <v>103</v>
      </c>
    </row>
    <row r="18" spans="1:12">
      <c r="A18" s="4">
        <f t="shared" si="1"/>
        <v>104</v>
      </c>
      <c r="B18" s="239" t="s">
        <v>526</v>
      </c>
      <c r="C18" s="367">
        <v>5760</v>
      </c>
      <c r="D18" s="367">
        <v>62478.76</v>
      </c>
      <c r="E18" s="367">
        <v>440</v>
      </c>
      <c r="F18" s="369">
        <v>3770</v>
      </c>
      <c r="G18" s="371">
        <v>758</v>
      </c>
      <c r="H18" s="723">
        <v>149381.016</v>
      </c>
      <c r="I18" s="367">
        <v>73</v>
      </c>
      <c r="J18" s="367"/>
      <c r="K18" s="4">
        <f t="shared" si="0"/>
        <v>104</v>
      </c>
    </row>
    <row r="19" spans="1:12">
      <c r="A19" s="4">
        <f t="shared" si="1"/>
        <v>105</v>
      </c>
      <c r="B19" s="239" t="s">
        <v>812</v>
      </c>
      <c r="C19" s="367">
        <v>5700</v>
      </c>
      <c r="D19" s="367">
        <v>64663.72</v>
      </c>
      <c r="E19" s="367">
        <v>502</v>
      </c>
      <c r="F19" s="369">
        <v>4641</v>
      </c>
      <c r="G19" s="371">
        <v>687</v>
      </c>
      <c r="H19" s="723">
        <v>158807.38399999999</v>
      </c>
      <c r="I19" s="367">
        <v>57</v>
      </c>
      <c r="J19" s="367"/>
      <c r="K19" s="4">
        <f t="shared" si="0"/>
        <v>105</v>
      </c>
    </row>
    <row r="20" spans="1:12">
      <c r="A20" s="4">
        <f t="shared" si="1"/>
        <v>106</v>
      </c>
      <c r="B20" s="239" t="s">
        <v>528</v>
      </c>
      <c r="C20" s="367">
        <v>5645</v>
      </c>
      <c r="D20" s="367">
        <v>61040.415999999997</v>
      </c>
      <c r="E20" s="367">
        <v>442</v>
      </c>
      <c r="F20" s="369">
        <v>4361</v>
      </c>
      <c r="G20" s="371">
        <v>730</v>
      </c>
      <c r="H20" s="723">
        <v>155838.32</v>
      </c>
      <c r="I20" s="367">
        <v>62</v>
      </c>
      <c r="J20" s="367"/>
      <c r="K20" s="4">
        <f t="shared" si="0"/>
        <v>106</v>
      </c>
    </row>
    <row r="21" spans="1:12">
      <c r="A21" s="4">
        <f t="shared" si="1"/>
        <v>107</v>
      </c>
      <c r="B21" s="239" t="s">
        <v>529</v>
      </c>
      <c r="C21" s="367">
        <v>5991</v>
      </c>
      <c r="D21" s="367">
        <v>64241.887999999999</v>
      </c>
      <c r="E21" s="367">
        <v>402</v>
      </c>
      <c r="F21" s="369">
        <v>4647</v>
      </c>
      <c r="G21" s="371">
        <v>676</v>
      </c>
      <c r="H21" s="723">
        <v>144748.44399999999</v>
      </c>
      <c r="I21" s="367">
        <v>65</v>
      </c>
      <c r="J21" s="367"/>
      <c r="K21" s="4">
        <f t="shared" si="0"/>
        <v>107</v>
      </c>
    </row>
    <row r="22" spans="1:12">
      <c r="A22" s="4">
        <f t="shared" si="1"/>
        <v>108</v>
      </c>
      <c r="B22" s="239" t="s">
        <v>530</v>
      </c>
      <c r="C22" s="367">
        <v>5840</v>
      </c>
      <c r="D22" s="367">
        <v>65910.915999999997</v>
      </c>
      <c r="E22" s="367">
        <v>293</v>
      </c>
      <c r="F22" s="369">
        <v>3321</v>
      </c>
      <c r="G22" s="371">
        <v>702</v>
      </c>
      <c r="H22" s="723">
        <v>131656.98800000001</v>
      </c>
      <c r="I22" s="367">
        <v>51</v>
      </c>
      <c r="J22" s="367"/>
      <c r="K22" s="4">
        <f t="shared" si="0"/>
        <v>108</v>
      </c>
    </row>
    <row r="23" spans="1:12">
      <c r="A23" s="4">
        <f t="shared" si="1"/>
        <v>109</v>
      </c>
      <c r="B23" s="239" t="s">
        <v>531</v>
      </c>
      <c r="C23" s="367">
        <v>5856</v>
      </c>
      <c r="D23" s="367">
        <v>79349.547999999995</v>
      </c>
      <c r="E23" s="367">
        <v>245</v>
      </c>
      <c r="F23" s="369">
        <v>3332</v>
      </c>
      <c r="G23" s="371">
        <v>675</v>
      </c>
      <c r="H23" s="723">
        <v>125178.04399999999</v>
      </c>
      <c r="I23" s="367">
        <v>54</v>
      </c>
      <c r="J23" s="367"/>
      <c r="K23" s="4">
        <f t="shared" si="0"/>
        <v>109</v>
      </c>
    </row>
    <row r="24" spans="1:12">
      <c r="A24" s="4">
        <f t="shared" si="1"/>
        <v>110</v>
      </c>
      <c r="B24" s="239" t="s">
        <v>532</v>
      </c>
      <c r="C24" s="367">
        <v>6679</v>
      </c>
      <c r="D24" s="367">
        <v>77047.164000000004</v>
      </c>
      <c r="E24" s="367">
        <v>165</v>
      </c>
      <c r="F24" s="369">
        <v>2631</v>
      </c>
      <c r="G24" s="371">
        <v>766</v>
      </c>
      <c r="H24" s="723">
        <v>72653.611999999994</v>
      </c>
      <c r="I24" s="367">
        <v>65</v>
      </c>
      <c r="J24" s="367"/>
      <c r="K24" s="4">
        <f t="shared" si="0"/>
        <v>110</v>
      </c>
    </row>
    <row r="25" spans="1:12">
      <c r="A25" s="4">
        <f t="shared" si="1"/>
        <v>111</v>
      </c>
      <c r="B25" s="239" t="s">
        <v>520</v>
      </c>
      <c r="C25" s="372">
        <v>6211</v>
      </c>
      <c r="D25" s="372">
        <v>79285.16</v>
      </c>
      <c r="E25" s="372">
        <v>0</v>
      </c>
      <c r="F25" s="369">
        <v>2301</v>
      </c>
      <c r="G25" s="373">
        <v>811</v>
      </c>
      <c r="H25" s="724">
        <v>67264.56</v>
      </c>
      <c r="I25" s="372">
        <v>89</v>
      </c>
      <c r="J25" s="372"/>
      <c r="K25" s="4">
        <f t="shared" si="0"/>
        <v>111</v>
      </c>
    </row>
    <row r="26" spans="1:12">
      <c r="A26" s="4">
        <f t="shared" si="1"/>
        <v>112</v>
      </c>
      <c r="B26" s="670" t="s">
        <v>534</v>
      </c>
      <c r="C26" s="671">
        <f>SUM(C14:C25)</f>
        <v>70670</v>
      </c>
      <c r="D26" s="671">
        <f>SUM(D14:D25)</f>
        <v>803984.1719999999</v>
      </c>
      <c r="E26" s="671">
        <f t="shared" ref="E26:J26" si="2">SUM(E14:E25)</f>
        <v>3562</v>
      </c>
      <c r="F26" s="671">
        <f t="shared" si="2"/>
        <v>39641</v>
      </c>
      <c r="G26" s="671">
        <f t="shared" si="2"/>
        <v>9287</v>
      </c>
      <c r="H26" s="725">
        <f t="shared" si="2"/>
        <v>1448457.4479999999</v>
      </c>
      <c r="I26" s="671">
        <f t="shared" si="2"/>
        <v>786</v>
      </c>
      <c r="J26" s="671">
        <f t="shared" si="2"/>
        <v>0</v>
      </c>
      <c r="K26" s="4">
        <f>A26</f>
        <v>112</v>
      </c>
    </row>
    <row r="27" spans="1:12">
      <c r="B27" s="6"/>
      <c r="C27" s="479"/>
      <c r="D27" s="479"/>
      <c r="E27" s="479"/>
      <c r="F27" s="479"/>
      <c r="G27" s="479"/>
      <c r="H27" s="479"/>
      <c r="I27" s="479"/>
      <c r="J27" s="479"/>
    </row>
    <row r="28" spans="1:12" s="540" customFormat="1">
      <c r="A28" s="539"/>
      <c r="B28" s="568" t="s">
        <v>953</v>
      </c>
      <c r="K28" s="539"/>
    </row>
    <row r="29" spans="1:12" s="540" customFormat="1" ht="29">
      <c r="A29" s="569" t="s">
        <v>90</v>
      </c>
      <c r="B29" s="672" t="s">
        <v>511</v>
      </c>
      <c r="C29" s="672" t="str">
        <f>C13</f>
        <v>Port Of Oakland
(SA No. 3)</v>
      </c>
      <c r="D29" s="672" t="str">
        <f t="shared" ref="D29:J29" si="3">D13</f>
        <v>CCSF
(SA No. 275)</v>
      </c>
      <c r="E29" s="672" t="str">
        <f t="shared" si="3"/>
        <v>PWRPA 1 
(SA No. 30)</v>
      </c>
      <c r="F29" s="672" t="str">
        <f t="shared" si="3"/>
        <v>PWRPA 2
(SA No. 56)</v>
      </c>
      <c r="G29" s="672" t="str">
        <f t="shared" si="3"/>
        <v>Shelter Cove
(SA No. 382)</v>
      </c>
      <c r="H29" s="672" t="str">
        <f t="shared" si="3"/>
        <v>WAPA
(SA No. 17)</v>
      </c>
      <c r="I29" s="672" t="str">
        <f t="shared" si="3"/>
        <v>Westside
(SA No. 15)</v>
      </c>
      <c r="J29" s="672" t="str">
        <f t="shared" si="3"/>
        <v>…</v>
      </c>
      <c r="K29" s="569" t="s">
        <v>90</v>
      </c>
    </row>
    <row r="30" spans="1:12" s="540" customFormat="1">
      <c r="A30" s="570">
        <f>A26+1</f>
        <v>113</v>
      </c>
      <c r="B30" s="571" t="s">
        <v>522</v>
      </c>
      <c r="C30" s="572">
        <v>5314</v>
      </c>
      <c r="D30" s="572">
        <v>42571.24</v>
      </c>
      <c r="E30" s="573">
        <v>207</v>
      </c>
      <c r="F30" s="574">
        <v>1997</v>
      </c>
      <c r="G30" s="575">
        <v>916</v>
      </c>
      <c r="H30" s="572">
        <v>48338.411999999997</v>
      </c>
      <c r="I30" s="572">
        <v>72</v>
      </c>
      <c r="J30" s="572"/>
      <c r="K30" s="570">
        <f>A30</f>
        <v>113</v>
      </c>
      <c r="L30" s="645"/>
    </row>
    <row r="31" spans="1:12" s="540" customFormat="1">
      <c r="A31" s="570">
        <f>A30+1</f>
        <v>114</v>
      </c>
      <c r="B31" s="576" t="s">
        <v>523</v>
      </c>
      <c r="C31" s="572">
        <v>5159</v>
      </c>
      <c r="D31" s="572">
        <v>41975.76</v>
      </c>
      <c r="E31" s="572">
        <v>193</v>
      </c>
      <c r="F31" s="574">
        <v>2254</v>
      </c>
      <c r="G31" s="577">
        <v>894</v>
      </c>
      <c r="H31" s="572">
        <v>64718.756000000001</v>
      </c>
      <c r="I31" s="572">
        <v>69</v>
      </c>
      <c r="J31" s="572"/>
      <c r="K31" s="570">
        <f t="shared" ref="K31:K41" si="4">A31</f>
        <v>114</v>
      </c>
      <c r="L31" s="645"/>
    </row>
    <row r="32" spans="1:12" s="540" customFormat="1">
      <c r="A32" s="570">
        <f t="shared" ref="A32:A42" si="5">A31+1</f>
        <v>115</v>
      </c>
      <c r="B32" s="576" t="s">
        <v>524</v>
      </c>
      <c r="C32" s="572">
        <v>5269</v>
      </c>
      <c r="D32" s="572">
        <v>42165.120000000003</v>
      </c>
      <c r="E32" s="572">
        <v>314</v>
      </c>
      <c r="F32" s="574">
        <v>2238</v>
      </c>
      <c r="G32" s="577">
        <v>882</v>
      </c>
      <c r="H32" s="572">
        <v>75756.267999999996</v>
      </c>
      <c r="I32" s="572">
        <v>74</v>
      </c>
      <c r="J32" s="572"/>
      <c r="K32" s="570">
        <f t="shared" si="4"/>
        <v>115</v>
      </c>
      <c r="L32" s="645"/>
    </row>
    <row r="33" spans="1:12" s="540" customFormat="1">
      <c r="A33" s="570">
        <f t="shared" si="5"/>
        <v>116</v>
      </c>
      <c r="B33" s="576" t="s">
        <v>525</v>
      </c>
      <c r="C33" s="572">
        <v>5166</v>
      </c>
      <c r="D33" s="572">
        <v>43456.479999999996</v>
      </c>
      <c r="E33" s="572">
        <v>359</v>
      </c>
      <c r="F33" s="574">
        <v>2828</v>
      </c>
      <c r="G33" s="577">
        <v>790</v>
      </c>
      <c r="H33" s="572">
        <v>91514.82</v>
      </c>
      <c r="I33" s="572">
        <v>55</v>
      </c>
      <c r="J33" s="572"/>
      <c r="K33" s="570">
        <f t="shared" si="4"/>
        <v>116</v>
      </c>
      <c r="L33" s="645"/>
    </row>
    <row r="34" spans="1:12" s="540" customFormat="1">
      <c r="A34" s="570">
        <f t="shared" si="5"/>
        <v>117</v>
      </c>
      <c r="B34" s="576" t="s">
        <v>526</v>
      </c>
      <c r="C34" s="572">
        <v>5138</v>
      </c>
      <c r="D34" s="572">
        <v>47380.88</v>
      </c>
      <c r="E34" s="572">
        <v>440</v>
      </c>
      <c r="F34" s="574">
        <v>3415</v>
      </c>
      <c r="G34" s="577">
        <v>758</v>
      </c>
      <c r="H34" s="572">
        <v>101632.692</v>
      </c>
      <c r="I34" s="572">
        <v>73</v>
      </c>
      <c r="J34" s="572"/>
      <c r="K34" s="570">
        <f t="shared" si="4"/>
        <v>117</v>
      </c>
      <c r="L34" s="645"/>
    </row>
    <row r="35" spans="1:12" s="540" customFormat="1">
      <c r="A35" s="570">
        <f t="shared" si="5"/>
        <v>118</v>
      </c>
      <c r="B35" s="576" t="s">
        <v>812</v>
      </c>
      <c r="C35" s="572">
        <v>5381</v>
      </c>
      <c r="D35" s="572">
        <v>45128.56</v>
      </c>
      <c r="E35" s="572">
        <v>502</v>
      </c>
      <c r="F35" s="574">
        <v>3869</v>
      </c>
      <c r="G35" s="577">
        <v>687</v>
      </c>
      <c r="H35" s="572">
        <v>103400.73999999999</v>
      </c>
      <c r="I35" s="572">
        <v>57</v>
      </c>
      <c r="J35" s="572"/>
      <c r="K35" s="570">
        <f t="shared" si="4"/>
        <v>118</v>
      </c>
      <c r="L35" s="645"/>
    </row>
    <row r="36" spans="1:12" s="540" customFormat="1">
      <c r="A36" s="570">
        <f t="shared" si="5"/>
        <v>119</v>
      </c>
      <c r="B36" s="576" t="s">
        <v>528</v>
      </c>
      <c r="C36" s="572">
        <v>5278</v>
      </c>
      <c r="D36" s="572">
        <v>42742.267999999996</v>
      </c>
      <c r="E36" s="572">
        <v>442</v>
      </c>
      <c r="F36" s="574">
        <v>4036</v>
      </c>
      <c r="G36" s="577">
        <v>730</v>
      </c>
      <c r="H36" s="572">
        <v>101877.52800000001</v>
      </c>
      <c r="I36" s="572">
        <v>62</v>
      </c>
      <c r="J36" s="572"/>
      <c r="K36" s="570">
        <f t="shared" si="4"/>
        <v>119</v>
      </c>
      <c r="L36" s="645"/>
    </row>
    <row r="37" spans="1:12" s="540" customFormat="1">
      <c r="A37" s="570">
        <f t="shared" si="5"/>
        <v>120</v>
      </c>
      <c r="B37" s="576" t="s">
        <v>529</v>
      </c>
      <c r="C37" s="572">
        <v>5444</v>
      </c>
      <c r="D37" s="572">
        <v>46471.644</v>
      </c>
      <c r="E37" s="572">
        <v>402</v>
      </c>
      <c r="F37" s="574">
        <v>4034</v>
      </c>
      <c r="G37" s="577">
        <v>676</v>
      </c>
      <c r="H37" s="572">
        <v>93309.62</v>
      </c>
      <c r="I37" s="572">
        <v>65</v>
      </c>
      <c r="J37" s="572"/>
      <c r="K37" s="570">
        <f t="shared" si="4"/>
        <v>120</v>
      </c>
      <c r="L37" s="645"/>
    </row>
    <row r="38" spans="1:12" s="540" customFormat="1">
      <c r="A38" s="570">
        <f t="shared" si="5"/>
        <v>121</v>
      </c>
      <c r="B38" s="576" t="s">
        <v>530</v>
      </c>
      <c r="C38" s="572">
        <v>5589</v>
      </c>
      <c r="D38" s="572">
        <v>46914.191999999995</v>
      </c>
      <c r="E38" s="572">
        <v>293</v>
      </c>
      <c r="F38" s="574">
        <v>3141</v>
      </c>
      <c r="G38" s="577">
        <v>702</v>
      </c>
      <c r="H38" s="572">
        <v>77857.035999999993</v>
      </c>
      <c r="I38" s="572">
        <v>51</v>
      </c>
      <c r="J38" s="572"/>
      <c r="K38" s="570">
        <f t="shared" si="4"/>
        <v>121</v>
      </c>
      <c r="L38" s="645"/>
    </row>
    <row r="39" spans="1:12" s="540" customFormat="1">
      <c r="A39" s="570">
        <f t="shared" si="5"/>
        <v>122</v>
      </c>
      <c r="B39" s="576" t="s">
        <v>531</v>
      </c>
      <c r="C39" s="572">
        <v>5525</v>
      </c>
      <c r="D39" s="572">
        <v>66747.600000000006</v>
      </c>
      <c r="E39" s="572">
        <v>245</v>
      </c>
      <c r="F39" s="574">
        <v>2957</v>
      </c>
      <c r="G39" s="577">
        <v>675</v>
      </c>
      <c r="H39" s="572">
        <v>72045.135999999999</v>
      </c>
      <c r="I39" s="572">
        <v>54</v>
      </c>
      <c r="J39" s="572"/>
      <c r="K39" s="570">
        <f t="shared" si="4"/>
        <v>122</v>
      </c>
      <c r="L39" s="645"/>
    </row>
    <row r="40" spans="1:12" s="540" customFormat="1">
      <c r="A40" s="570">
        <f t="shared" si="5"/>
        <v>123</v>
      </c>
      <c r="B40" s="576" t="s">
        <v>532</v>
      </c>
      <c r="C40" s="572">
        <v>5198</v>
      </c>
      <c r="D40" s="572">
        <v>55475.452000000005</v>
      </c>
      <c r="E40" s="572">
        <v>165</v>
      </c>
      <c r="F40" s="574">
        <v>1921</v>
      </c>
      <c r="G40" s="577">
        <v>766</v>
      </c>
      <c r="H40" s="572">
        <v>37781.547999999995</v>
      </c>
      <c r="I40" s="572">
        <v>65</v>
      </c>
      <c r="J40" s="572"/>
      <c r="K40" s="570">
        <f t="shared" si="4"/>
        <v>123</v>
      </c>
      <c r="L40" s="645"/>
    </row>
    <row r="41" spans="1:12" s="540" customFormat="1">
      <c r="A41" s="570">
        <f t="shared" si="5"/>
        <v>124</v>
      </c>
      <c r="B41" s="576" t="s">
        <v>520</v>
      </c>
      <c r="C41" s="578">
        <v>5654</v>
      </c>
      <c r="D41" s="578">
        <v>56589.207999999999</v>
      </c>
      <c r="E41" s="578">
        <v>0</v>
      </c>
      <c r="F41" s="574">
        <v>1827</v>
      </c>
      <c r="G41" s="579">
        <v>811</v>
      </c>
      <c r="H41" s="578">
        <v>28499.624</v>
      </c>
      <c r="I41" s="578">
        <v>89</v>
      </c>
      <c r="J41" s="578"/>
      <c r="K41" s="570">
        <f t="shared" si="4"/>
        <v>124</v>
      </c>
      <c r="L41" s="645"/>
    </row>
    <row r="42" spans="1:12" s="540" customFormat="1">
      <c r="A42" s="570">
        <f t="shared" si="5"/>
        <v>125</v>
      </c>
      <c r="B42" s="673" t="s">
        <v>534</v>
      </c>
      <c r="C42" s="674">
        <f>SUM(C30:C41)</f>
        <v>64115</v>
      </c>
      <c r="D42" s="674">
        <f>SUM(D30:D41)</f>
        <v>577618.40399999998</v>
      </c>
      <c r="E42" s="674">
        <f t="shared" ref="E42:J42" si="6">SUM(E30:E41)</f>
        <v>3562</v>
      </c>
      <c r="F42" s="674">
        <f t="shared" si="6"/>
        <v>34517</v>
      </c>
      <c r="G42" s="674">
        <f t="shared" si="6"/>
        <v>9287</v>
      </c>
      <c r="H42" s="674">
        <f t="shared" si="6"/>
        <v>896732.17999999982</v>
      </c>
      <c r="I42" s="674">
        <f t="shared" si="6"/>
        <v>786</v>
      </c>
      <c r="J42" s="674">
        <f t="shared" si="6"/>
        <v>0</v>
      </c>
      <c r="K42" s="570">
        <f>A42</f>
        <v>125</v>
      </c>
    </row>
    <row r="43" spans="1:12" s="519" customFormat="1">
      <c r="A43" s="518"/>
      <c r="B43" s="520"/>
      <c r="C43" s="521"/>
      <c r="D43" s="521"/>
      <c r="E43" s="521"/>
      <c r="F43" s="521"/>
      <c r="G43" s="521"/>
      <c r="H43" s="521"/>
      <c r="I43" s="521"/>
      <c r="J43" s="521"/>
      <c r="K43" s="518"/>
    </row>
    <row r="44" spans="1:12">
      <c r="B44" s="41" t="s">
        <v>954</v>
      </c>
      <c r="C44" s="41"/>
      <c r="D44" s="41"/>
      <c r="E44" s="41"/>
      <c r="F44" s="41"/>
      <c r="G44" s="41"/>
      <c r="H44" s="41"/>
      <c r="I44" s="41"/>
      <c r="J44" s="41"/>
    </row>
    <row r="45" spans="1:12">
      <c r="B45" s="5" t="s">
        <v>951</v>
      </c>
    </row>
    <row r="46" spans="1:12">
      <c r="B46" s="5"/>
    </row>
    <row r="47" spans="1:12" ht="29">
      <c r="A47" s="3" t="s">
        <v>90</v>
      </c>
      <c r="B47" s="675" t="s">
        <v>511</v>
      </c>
      <c r="C47" s="666" t="str">
        <f>C13</f>
        <v>Port Of Oakland
(SA No. 3)</v>
      </c>
      <c r="D47" s="666" t="str">
        <f t="shared" ref="D47:J47" si="7">D13</f>
        <v>CCSF
(SA No. 275)</v>
      </c>
      <c r="E47" s="666" t="str">
        <f t="shared" si="7"/>
        <v>PWRPA 1 
(SA No. 30)</v>
      </c>
      <c r="F47" s="666" t="str">
        <f t="shared" si="7"/>
        <v>PWRPA 2
(SA No. 56)</v>
      </c>
      <c r="G47" s="666" t="str">
        <f t="shared" si="7"/>
        <v>Shelter Cove
(SA No. 382)</v>
      </c>
      <c r="H47" s="666" t="str">
        <f t="shared" si="7"/>
        <v>WAPA
(SA No. 17)</v>
      </c>
      <c r="I47" s="666" t="str">
        <f t="shared" si="7"/>
        <v>Westside
(SA No. 15)</v>
      </c>
      <c r="J47" s="666" t="str">
        <f t="shared" si="7"/>
        <v>…</v>
      </c>
      <c r="K47" s="3" t="s">
        <v>90</v>
      </c>
    </row>
    <row r="48" spans="1:12">
      <c r="A48" s="4">
        <v>200</v>
      </c>
      <c r="B48" s="241" t="s">
        <v>522</v>
      </c>
      <c r="C48" s="374" t="s">
        <v>521</v>
      </c>
      <c r="D48" s="374" t="s">
        <v>521</v>
      </c>
      <c r="E48" s="374" t="s">
        <v>521</v>
      </c>
      <c r="F48" s="374" t="s">
        <v>521</v>
      </c>
      <c r="G48" s="374" t="s">
        <v>521</v>
      </c>
      <c r="H48" s="374" t="s">
        <v>521</v>
      </c>
      <c r="I48" s="374" t="s">
        <v>521</v>
      </c>
      <c r="J48" s="374"/>
      <c r="K48" s="4">
        <f t="shared" ref="K48:K60" si="8">A48</f>
        <v>200</v>
      </c>
    </row>
    <row r="49" spans="1:11">
      <c r="A49" s="4">
        <f>A48+1</f>
        <v>201</v>
      </c>
      <c r="B49" s="239" t="s">
        <v>523</v>
      </c>
      <c r="C49" s="374" t="s">
        <v>521</v>
      </c>
      <c r="D49" s="374" t="s">
        <v>521</v>
      </c>
      <c r="E49" s="374" t="s">
        <v>521</v>
      </c>
      <c r="F49" s="374" t="s">
        <v>521</v>
      </c>
      <c r="G49" s="374" t="s">
        <v>521</v>
      </c>
      <c r="H49" s="374" t="s">
        <v>521</v>
      </c>
      <c r="I49" s="374" t="s">
        <v>521</v>
      </c>
      <c r="J49" s="374"/>
      <c r="K49" s="4">
        <f t="shared" si="8"/>
        <v>201</v>
      </c>
    </row>
    <row r="50" spans="1:11">
      <c r="A50" s="4">
        <f t="shared" ref="A50:A59" si="9">A49+1</f>
        <v>202</v>
      </c>
      <c r="B50" s="239" t="s">
        <v>524</v>
      </c>
      <c r="C50" s="374" t="s">
        <v>521</v>
      </c>
      <c r="D50" s="374" t="s">
        <v>521</v>
      </c>
      <c r="E50" s="374" t="s">
        <v>521</v>
      </c>
      <c r="F50" s="374" t="s">
        <v>521</v>
      </c>
      <c r="G50" s="374" t="s">
        <v>521</v>
      </c>
      <c r="H50" s="374" t="s">
        <v>521</v>
      </c>
      <c r="I50" s="374" t="s">
        <v>521</v>
      </c>
      <c r="J50" s="374"/>
      <c r="K50" s="4">
        <f t="shared" si="8"/>
        <v>202</v>
      </c>
    </row>
    <row r="51" spans="1:11">
      <c r="A51" s="4">
        <f t="shared" si="9"/>
        <v>203</v>
      </c>
      <c r="B51" s="239" t="s">
        <v>525</v>
      </c>
      <c r="C51" s="374" t="s">
        <v>521</v>
      </c>
      <c r="D51" s="374" t="s">
        <v>521</v>
      </c>
      <c r="E51" s="374" t="s">
        <v>521</v>
      </c>
      <c r="F51" s="374" t="s">
        <v>521</v>
      </c>
      <c r="G51" s="374" t="s">
        <v>521</v>
      </c>
      <c r="H51" s="374" t="s">
        <v>521</v>
      </c>
      <c r="I51" s="374" t="s">
        <v>521</v>
      </c>
      <c r="J51" s="374"/>
      <c r="K51" s="4">
        <f t="shared" si="8"/>
        <v>203</v>
      </c>
    </row>
    <row r="52" spans="1:11">
      <c r="A52" s="4">
        <f t="shared" si="9"/>
        <v>204</v>
      </c>
      <c r="B52" s="239" t="s">
        <v>526</v>
      </c>
      <c r="C52" s="374" t="s">
        <v>521</v>
      </c>
      <c r="D52" s="374" t="s">
        <v>521</v>
      </c>
      <c r="E52" s="374" t="s">
        <v>521</v>
      </c>
      <c r="F52" s="374" t="s">
        <v>521</v>
      </c>
      <c r="G52" s="374" t="s">
        <v>521</v>
      </c>
      <c r="H52" s="374" t="s">
        <v>521</v>
      </c>
      <c r="I52" s="374" t="s">
        <v>521</v>
      </c>
      <c r="J52" s="374"/>
      <c r="K52" s="4">
        <f t="shared" si="8"/>
        <v>204</v>
      </c>
    </row>
    <row r="53" spans="1:11">
      <c r="A53" s="4">
        <f t="shared" si="9"/>
        <v>205</v>
      </c>
      <c r="B53" s="239" t="s">
        <v>812</v>
      </c>
      <c r="C53" s="374">
        <v>34291.25</v>
      </c>
      <c r="D53" s="374">
        <v>869493.94000000006</v>
      </c>
      <c r="E53" s="374">
        <v>5612.7199999999993</v>
      </c>
      <c r="F53" s="374">
        <v>37639.89</v>
      </c>
      <c r="G53" s="374">
        <v>8060.8000000000011</v>
      </c>
      <c r="H53" s="374">
        <v>1010885.31</v>
      </c>
      <c r="I53" s="374">
        <v>917.09999999999991</v>
      </c>
      <c r="J53" s="374"/>
      <c r="K53" s="4">
        <f t="shared" si="8"/>
        <v>205</v>
      </c>
    </row>
    <row r="54" spans="1:11">
      <c r="A54" s="4">
        <f t="shared" si="9"/>
        <v>206</v>
      </c>
      <c r="B54" s="239" t="s">
        <v>528</v>
      </c>
      <c r="C54" s="374">
        <v>34291.25</v>
      </c>
      <c r="D54" s="374">
        <v>869493.94000000006</v>
      </c>
      <c r="E54" s="374">
        <v>5612.7199999999993</v>
      </c>
      <c r="F54" s="374">
        <v>37639.89</v>
      </c>
      <c r="G54" s="374">
        <v>8060.8000000000011</v>
      </c>
      <c r="H54" s="374">
        <v>748409.81</v>
      </c>
      <c r="I54" s="374">
        <v>917.09999999999991</v>
      </c>
      <c r="J54" s="374"/>
      <c r="K54" s="4">
        <f t="shared" si="8"/>
        <v>206</v>
      </c>
    </row>
    <row r="55" spans="1:11">
      <c r="A55" s="4">
        <f t="shared" si="9"/>
        <v>207</v>
      </c>
      <c r="B55" s="239" t="s">
        <v>529</v>
      </c>
      <c r="C55" s="374">
        <v>34291.25</v>
      </c>
      <c r="D55" s="374">
        <v>869493.94000000006</v>
      </c>
      <c r="E55" s="374">
        <v>5612.7199999999993</v>
      </c>
      <c r="F55" s="374">
        <v>37639.89</v>
      </c>
      <c r="G55" s="374">
        <v>8060.8000000000011</v>
      </c>
      <c r="H55" s="374">
        <v>879647.56</v>
      </c>
      <c r="I55" s="374">
        <v>917.09999999999991</v>
      </c>
      <c r="J55" s="374"/>
      <c r="K55" s="4">
        <f t="shared" si="8"/>
        <v>207</v>
      </c>
    </row>
    <row r="56" spans="1:11">
      <c r="A56" s="4">
        <f t="shared" si="9"/>
        <v>208</v>
      </c>
      <c r="B56" s="239" t="s">
        <v>530</v>
      </c>
      <c r="C56" s="374">
        <v>34291.25</v>
      </c>
      <c r="D56" s="374">
        <v>869493.94000000006</v>
      </c>
      <c r="E56" s="374">
        <v>5612.7199999999993</v>
      </c>
      <c r="F56" s="374">
        <v>37639.89</v>
      </c>
      <c r="G56" s="374">
        <v>8060.8000000000011</v>
      </c>
      <c r="H56" s="374">
        <v>879647.56</v>
      </c>
      <c r="I56" s="374">
        <v>917.09999999999991</v>
      </c>
      <c r="J56" s="374"/>
      <c r="K56" s="4">
        <f t="shared" si="8"/>
        <v>208</v>
      </c>
    </row>
    <row r="57" spans="1:11">
      <c r="A57" s="4">
        <f t="shared" si="9"/>
        <v>209</v>
      </c>
      <c r="B57" s="239" t="s">
        <v>531</v>
      </c>
      <c r="C57" s="374">
        <v>34291.25</v>
      </c>
      <c r="D57" s="374">
        <v>627983.43999999959</v>
      </c>
      <c r="E57" s="374">
        <v>5612.7199999999993</v>
      </c>
      <c r="F57" s="374">
        <v>37639.89</v>
      </c>
      <c r="G57" s="374">
        <v>8060.8000000000011</v>
      </c>
      <c r="H57" s="374">
        <v>879647.50999999989</v>
      </c>
      <c r="I57" s="374">
        <v>917.09999999999991</v>
      </c>
      <c r="J57" s="374"/>
      <c r="K57" s="4">
        <f t="shared" si="8"/>
        <v>209</v>
      </c>
    </row>
    <row r="58" spans="1:11">
      <c r="A58" s="4">
        <f t="shared" si="9"/>
        <v>210</v>
      </c>
      <c r="B58" s="239" t="s">
        <v>532</v>
      </c>
      <c r="C58" s="374">
        <v>34291.25</v>
      </c>
      <c r="D58" s="374">
        <v>821191.84</v>
      </c>
      <c r="E58" s="374">
        <v>5612.7199999999993</v>
      </c>
      <c r="F58" s="374">
        <v>37639.89</v>
      </c>
      <c r="G58" s="374">
        <v>8060.8000000000011</v>
      </c>
      <c r="H58" s="374">
        <v>879647.55</v>
      </c>
      <c r="I58" s="374">
        <v>917.09999999999991</v>
      </c>
      <c r="J58" s="374"/>
      <c r="K58" s="4">
        <f t="shared" si="8"/>
        <v>210</v>
      </c>
    </row>
    <row r="59" spans="1:11">
      <c r="A59" s="4">
        <f t="shared" si="9"/>
        <v>211</v>
      </c>
      <c r="B59" s="239" t="s">
        <v>520</v>
      </c>
      <c r="C59" s="375">
        <v>34291.25</v>
      </c>
      <c r="D59" s="375">
        <v>821191.84</v>
      </c>
      <c r="E59" s="375">
        <v>0</v>
      </c>
      <c r="F59" s="375">
        <v>37639.89</v>
      </c>
      <c r="G59" s="375">
        <v>8060.8000000000011</v>
      </c>
      <c r="H59" s="375">
        <v>886159.53</v>
      </c>
      <c r="I59" s="375">
        <v>917.09999999999991</v>
      </c>
      <c r="J59" s="375"/>
      <c r="K59" s="4">
        <f t="shared" si="8"/>
        <v>211</v>
      </c>
    </row>
    <row r="60" spans="1:11">
      <c r="A60" s="4">
        <f>A59+1</f>
        <v>212</v>
      </c>
      <c r="B60" s="670" t="s">
        <v>534</v>
      </c>
      <c r="C60" s="676">
        <f t="shared" ref="C60" si="10">SUM(C48:C59)</f>
        <v>240038.75</v>
      </c>
      <c r="D60" s="676">
        <f>SUM(D48:D59)</f>
        <v>5748342.8799999999</v>
      </c>
      <c r="E60" s="676">
        <f t="shared" ref="E60" si="11">SUM(E48:E59)</f>
        <v>33676.32</v>
      </c>
      <c r="F60" s="676">
        <f t="shared" ref="F60" si="12">SUM(F48:F59)</f>
        <v>263479.23000000004</v>
      </c>
      <c r="G60" s="676">
        <f t="shared" ref="G60" si="13">SUM(G48:G59)</f>
        <v>56425.600000000013</v>
      </c>
      <c r="H60" s="676">
        <f t="shared" ref="H60" si="14">SUM(H48:H59)</f>
        <v>6164044.8300000001</v>
      </c>
      <c r="I60" s="676">
        <f t="shared" ref="I60:J60" si="15">SUM(I48:I59)</f>
        <v>6419.7000000000007</v>
      </c>
      <c r="J60" s="676">
        <f t="shared" si="15"/>
        <v>0</v>
      </c>
      <c r="K60" s="4">
        <f t="shared" si="8"/>
        <v>212</v>
      </c>
    </row>
    <row r="62" spans="1:11">
      <c r="B62" s="41" t="s">
        <v>955</v>
      </c>
      <c r="C62" s="41"/>
      <c r="D62" s="41"/>
      <c r="E62" s="41"/>
      <c r="F62" s="41"/>
      <c r="G62" s="41"/>
      <c r="H62" s="41"/>
      <c r="I62" s="41"/>
      <c r="J62" s="41"/>
    </row>
    <row r="63" spans="1:11">
      <c r="B63" s="5"/>
      <c r="C63" s="5"/>
      <c r="D63" s="5"/>
      <c r="E63" s="5"/>
      <c r="F63" s="5"/>
      <c r="G63" s="5"/>
      <c r="H63" s="5"/>
      <c r="I63" s="5"/>
      <c r="J63" s="5"/>
    </row>
    <row r="64" spans="1:11">
      <c r="B64" s="105" t="s">
        <v>952</v>
      </c>
      <c r="K64"/>
    </row>
    <row r="65" spans="1:11" ht="29">
      <c r="A65" s="3" t="s">
        <v>90</v>
      </c>
      <c r="B65" s="675" t="s">
        <v>511</v>
      </c>
      <c r="C65" s="633" t="s">
        <v>425</v>
      </c>
      <c r="D65" s="633" t="s">
        <v>426</v>
      </c>
      <c r="E65" s="633" t="s">
        <v>429</v>
      </c>
      <c r="K65" s="3" t="s">
        <v>90</v>
      </c>
    </row>
    <row r="66" spans="1:11">
      <c r="A66" s="4">
        <v>300</v>
      </c>
      <c r="B66" s="241" t="s">
        <v>522</v>
      </c>
      <c r="C66" s="723">
        <v>62993.097468757886</v>
      </c>
      <c r="D66" s="369">
        <v>947</v>
      </c>
      <c r="E66" s="723">
        <v>44227.22436</v>
      </c>
      <c r="K66" s="4">
        <f t="shared" ref="K66:K78" si="16">A66</f>
        <v>300</v>
      </c>
    </row>
    <row r="67" spans="1:11">
      <c r="A67" s="4">
        <f>A66+1</f>
        <v>301</v>
      </c>
      <c r="B67" s="239" t="s">
        <v>523</v>
      </c>
      <c r="C67" s="723">
        <v>53535.032153222346</v>
      </c>
      <c r="D67" s="369">
        <v>1059</v>
      </c>
      <c r="E67" s="723">
        <v>45352.89352000002</v>
      </c>
      <c r="K67" s="4">
        <f t="shared" si="16"/>
        <v>301</v>
      </c>
    </row>
    <row r="68" spans="1:11">
      <c r="A68" s="4">
        <f t="shared" ref="A68:A78" si="17">A67+1</f>
        <v>302</v>
      </c>
      <c r="B68" s="239" t="s">
        <v>524</v>
      </c>
      <c r="C68" s="723">
        <v>54028.904816807713</v>
      </c>
      <c r="D68" s="369">
        <v>416</v>
      </c>
      <c r="E68" s="723">
        <v>57429.631799999981</v>
      </c>
      <c r="K68" s="4">
        <f t="shared" si="16"/>
        <v>302</v>
      </c>
    </row>
    <row r="69" spans="1:11">
      <c r="A69" s="4">
        <f t="shared" si="17"/>
        <v>303</v>
      </c>
      <c r="B69" s="239" t="s">
        <v>525</v>
      </c>
      <c r="C69" s="723">
        <v>54924.744330569869</v>
      </c>
      <c r="D69" s="369">
        <v>481</v>
      </c>
      <c r="E69" s="723">
        <v>51301.274640000003</v>
      </c>
      <c r="K69" s="4">
        <f t="shared" si="16"/>
        <v>303</v>
      </c>
    </row>
    <row r="70" spans="1:11">
      <c r="A70" s="4">
        <f t="shared" si="17"/>
        <v>304</v>
      </c>
      <c r="B70" s="239" t="s">
        <v>526</v>
      </c>
      <c r="C70" s="723">
        <v>55319.179288325409</v>
      </c>
      <c r="D70" s="369">
        <v>776</v>
      </c>
      <c r="E70" s="723">
        <v>53493.491599999994</v>
      </c>
      <c r="K70" s="4">
        <f t="shared" si="16"/>
        <v>304</v>
      </c>
    </row>
    <row r="71" spans="1:11">
      <c r="A71" s="4">
        <f t="shared" si="17"/>
        <v>305</v>
      </c>
      <c r="B71" s="239" t="s">
        <v>812</v>
      </c>
      <c r="C71" s="723">
        <v>54153.929175064673</v>
      </c>
      <c r="D71" s="369">
        <v>697</v>
      </c>
      <c r="E71" s="723">
        <v>58583.987319999993</v>
      </c>
      <c r="K71" s="4">
        <f t="shared" si="16"/>
        <v>305</v>
      </c>
    </row>
    <row r="72" spans="1:11">
      <c r="A72" s="4">
        <f t="shared" si="17"/>
        <v>306</v>
      </c>
      <c r="B72" s="239" t="s">
        <v>528</v>
      </c>
      <c r="C72" s="723">
        <v>52794.81975319497</v>
      </c>
      <c r="D72" s="369">
        <v>572</v>
      </c>
      <c r="E72" s="723">
        <v>56480.87739999999</v>
      </c>
      <c r="K72" s="4">
        <f t="shared" si="16"/>
        <v>306</v>
      </c>
    </row>
    <row r="73" spans="1:11">
      <c r="A73" s="4">
        <f t="shared" si="17"/>
        <v>307</v>
      </c>
      <c r="B73" s="239" t="s">
        <v>529</v>
      </c>
      <c r="C73" s="723">
        <v>57665.804431317578</v>
      </c>
      <c r="D73" s="369">
        <v>458</v>
      </c>
      <c r="E73" s="723">
        <v>53247.566280000006</v>
      </c>
      <c r="K73" s="4">
        <f t="shared" si="16"/>
        <v>307</v>
      </c>
    </row>
    <row r="74" spans="1:11">
      <c r="A74" s="4">
        <f t="shared" si="17"/>
        <v>308</v>
      </c>
      <c r="B74" s="239" t="s">
        <v>530</v>
      </c>
      <c r="C74" s="723">
        <v>59583.443556686572</v>
      </c>
      <c r="D74" s="369">
        <v>139</v>
      </c>
      <c r="E74" s="723">
        <v>51188.062080000003</v>
      </c>
      <c r="K74" s="4">
        <f t="shared" si="16"/>
        <v>308</v>
      </c>
    </row>
    <row r="75" spans="1:11">
      <c r="A75" s="4">
        <f t="shared" si="17"/>
        <v>309</v>
      </c>
      <c r="B75" s="239" t="s">
        <v>531</v>
      </c>
      <c r="C75" s="723">
        <v>62311.616086285772</v>
      </c>
      <c r="D75" s="369">
        <v>137</v>
      </c>
      <c r="E75" s="723">
        <v>43994.04127999999</v>
      </c>
      <c r="K75" s="4">
        <f t="shared" si="16"/>
        <v>309</v>
      </c>
    </row>
    <row r="76" spans="1:11">
      <c r="A76" s="4">
        <f t="shared" si="17"/>
        <v>310</v>
      </c>
      <c r="B76" s="239" t="s">
        <v>532</v>
      </c>
      <c r="C76" s="723">
        <v>61333.689176848748</v>
      </c>
      <c r="D76" s="369">
        <v>362</v>
      </c>
      <c r="E76" s="723">
        <v>36891.132120000002</v>
      </c>
      <c r="K76" s="4">
        <f t="shared" si="16"/>
        <v>310</v>
      </c>
    </row>
    <row r="77" spans="1:11">
      <c r="A77" s="4">
        <f t="shared" si="17"/>
        <v>311</v>
      </c>
      <c r="B77" s="239" t="s">
        <v>520</v>
      </c>
      <c r="C77" s="724">
        <v>64338.200147213152</v>
      </c>
      <c r="D77" s="369">
        <v>0</v>
      </c>
      <c r="E77" s="724">
        <v>37644.938039999994</v>
      </c>
      <c r="K77" s="4">
        <f t="shared" si="16"/>
        <v>311</v>
      </c>
    </row>
    <row r="78" spans="1:11">
      <c r="A78" s="4">
        <f t="shared" si="17"/>
        <v>312</v>
      </c>
      <c r="B78" s="670" t="s">
        <v>534</v>
      </c>
      <c r="C78" s="725">
        <f>SUM(C66:C77)</f>
        <v>692982.46038429474</v>
      </c>
      <c r="D78" s="671">
        <f>SUM(D66:D77)</f>
        <v>6044</v>
      </c>
      <c r="E78" s="725">
        <f>SUM(E66:E77)</f>
        <v>589835.12044000009</v>
      </c>
      <c r="K78" s="4">
        <f t="shared" si="16"/>
        <v>312</v>
      </c>
    </row>
    <row r="80" spans="1:11" s="540" customFormat="1">
      <c r="A80" s="539"/>
      <c r="B80" s="568" t="s">
        <v>953</v>
      </c>
      <c r="K80" s="539"/>
    </row>
    <row r="81" spans="1:15" s="540" customFormat="1" ht="29">
      <c r="A81" s="569" t="s">
        <v>90</v>
      </c>
      <c r="B81" s="677" t="s">
        <v>511</v>
      </c>
      <c r="C81" s="672" t="str">
        <f>C65</f>
        <v>CCSF
(SA No. 275)</v>
      </c>
      <c r="D81" s="672" t="str">
        <f t="shared" ref="D81:E81" si="18">D65</f>
        <v>PWRPA 1 
(SA No. 30)</v>
      </c>
      <c r="E81" s="672" t="str">
        <f t="shared" si="18"/>
        <v>WAPA
(SA No. 17)</v>
      </c>
      <c r="K81" s="569" t="s">
        <v>90</v>
      </c>
    </row>
    <row r="82" spans="1:15" s="540" customFormat="1">
      <c r="A82" s="570">
        <f>A78+1</f>
        <v>313</v>
      </c>
      <c r="B82" s="571" t="s">
        <v>522</v>
      </c>
      <c r="C82" s="726">
        <v>33783.317277955364</v>
      </c>
      <c r="D82" s="369">
        <v>734</v>
      </c>
      <c r="E82" s="726">
        <v>24796.038080000002</v>
      </c>
      <c r="F82" s="647"/>
      <c r="K82" s="570">
        <f t="shared" ref="K82:K94" si="19">A82</f>
        <v>313</v>
      </c>
    </row>
    <row r="83" spans="1:15" s="540" customFormat="1">
      <c r="A83" s="570">
        <f>A82+1</f>
        <v>314</v>
      </c>
      <c r="B83" s="576" t="s">
        <v>523</v>
      </c>
      <c r="C83" s="726">
        <v>32577.199668818306</v>
      </c>
      <c r="D83" s="369">
        <v>1055</v>
      </c>
      <c r="E83" s="726">
        <v>25796.316520000008</v>
      </c>
      <c r="F83" s="647"/>
      <c r="K83" s="570">
        <f t="shared" si="19"/>
        <v>314</v>
      </c>
    </row>
    <row r="84" spans="1:15" s="540" customFormat="1">
      <c r="A84" s="570">
        <f t="shared" ref="A84:A94" si="20">A83+1</f>
        <v>315</v>
      </c>
      <c r="B84" s="576" t="s">
        <v>524</v>
      </c>
      <c r="C84" s="726">
        <v>31607.692173070722</v>
      </c>
      <c r="D84" s="369">
        <v>672</v>
      </c>
      <c r="E84" s="726">
        <v>28093.416279999998</v>
      </c>
      <c r="F84" s="647"/>
      <c r="K84" s="570">
        <f t="shared" si="19"/>
        <v>315</v>
      </c>
      <c r="O84" s="541"/>
    </row>
    <row r="85" spans="1:15" s="540" customFormat="1">
      <c r="A85" s="570">
        <f t="shared" si="20"/>
        <v>316</v>
      </c>
      <c r="B85" s="576" t="s">
        <v>525</v>
      </c>
      <c r="C85" s="726">
        <v>32638.20312000018</v>
      </c>
      <c r="D85" s="369">
        <v>481</v>
      </c>
      <c r="E85" s="726">
        <v>32211.380879999997</v>
      </c>
      <c r="F85" s="647"/>
      <c r="K85" s="570">
        <f t="shared" si="19"/>
        <v>316</v>
      </c>
    </row>
    <row r="86" spans="1:15" s="540" customFormat="1">
      <c r="A86" s="570">
        <f t="shared" si="20"/>
        <v>317</v>
      </c>
      <c r="B86" s="576" t="s">
        <v>526</v>
      </c>
      <c r="C86" s="726">
        <v>33731.192721349122</v>
      </c>
      <c r="D86" s="369">
        <v>776</v>
      </c>
      <c r="E86" s="726">
        <v>35463.647080000002</v>
      </c>
      <c r="F86" s="647"/>
      <c r="K86" s="570">
        <f t="shared" si="19"/>
        <v>317</v>
      </c>
    </row>
    <row r="87" spans="1:15" s="540" customFormat="1">
      <c r="A87" s="570">
        <f t="shared" si="20"/>
        <v>318</v>
      </c>
      <c r="B87" s="576" t="s">
        <v>812</v>
      </c>
      <c r="C87" s="726">
        <v>33960.256102991509</v>
      </c>
      <c r="D87" s="369">
        <v>697</v>
      </c>
      <c r="E87" s="726">
        <v>40379.807560000001</v>
      </c>
      <c r="F87" s="647"/>
      <c r="K87" s="570">
        <f t="shared" si="19"/>
        <v>318</v>
      </c>
    </row>
    <row r="88" spans="1:15" s="540" customFormat="1">
      <c r="A88" s="570">
        <f t="shared" si="20"/>
        <v>319</v>
      </c>
      <c r="B88" s="576" t="s">
        <v>528</v>
      </c>
      <c r="C88" s="726">
        <v>32156.602605274471</v>
      </c>
      <c r="D88" s="369">
        <v>572</v>
      </c>
      <c r="E88" s="726">
        <v>39487.734920000003</v>
      </c>
      <c r="F88" s="647"/>
      <c r="K88" s="570">
        <f t="shared" si="19"/>
        <v>319</v>
      </c>
    </row>
    <row r="89" spans="1:15" s="540" customFormat="1">
      <c r="A89" s="570">
        <f t="shared" si="20"/>
        <v>320</v>
      </c>
      <c r="B89" s="576" t="s">
        <v>529</v>
      </c>
      <c r="C89" s="726">
        <v>35799.800261039745</v>
      </c>
      <c r="D89" s="369">
        <v>458</v>
      </c>
      <c r="E89" s="726">
        <v>35719.859360000002</v>
      </c>
      <c r="F89" s="647"/>
      <c r="K89" s="570">
        <f t="shared" si="19"/>
        <v>320</v>
      </c>
    </row>
    <row r="90" spans="1:15" s="540" customFormat="1">
      <c r="A90" s="570">
        <f t="shared" si="20"/>
        <v>321</v>
      </c>
      <c r="B90" s="576" t="s">
        <v>530</v>
      </c>
      <c r="C90" s="726">
        <v>37367.394266567564</v>
      </c>
      <c r="D90" s="369">
        <v>139</v>
      </c>
      <c r="E90" s="726">
        <v>30085.139599999995</v>
      </c>
      <c r="F90" s="647"/>
      <c r="K90" s="570">
        <f t="shared" si="19"/>
        <v>321</v>
      </c>
    </row>
    <row r="91" spans="1:15" s="540" customFormat="1">
      <c r="A91" s="570">
        <f t="shared" si="20"/>
        <v>322</v>
      </c>
      <c r="B91" s="576" t="s">
        <v>531</v>
      </c>
      <c r="C91" s="726">
        <v>37675.902533804081</v>
      </c>
      <c r="D91" s="369">
        <v>137</v>
      </c>
      <c r="E91" s="726">
        <v>22270.987799999999</v>
      </c>
      <c r="F91" s="647"/>
      <c r="K91" s="570">
        <f t="shared" si="19"/>
        <v>322</v>
      </c>
    </row>
    <row r="92" spans="1:15" s="540" customFormat="1">
      <c r="A92" s="570">
        <f t="shared" si="20"/>
        <v>323</v>
      </c>
      <c r="B92" s="576" t="s">
        <v>532</v>
      </c>
      <c r="C92" s="726">
        <v>37180.483616848702</v>
      </c>
      <c r="D92" s="369">
        <v>362</v>
      </c>
      <c r="E92" s="726">
        <v>15372.697719999996</v>
      </c>
      <c r="F92" s="647"/>
      <c r="K92" s="570">
        <f t="shared" si="19"/>
        <v>323</v>
      </c>
    </row>
    <row r="93" spans="1:15" s="540" customFormat="1">
      <c r="A93" s="570">
        <f t="shared" si="20"/>
        <v>324</v>
      </c>
      <c r="B93" s="576" t="s">
        <v>520</v>
      </c>
      <c r="C93" s="727">
        <v>37945.402027213124</v>
      </c>
      <c r="D93" s="369">
        <v>0</v>
      </c>
      <c r="E93" s="727">
        <v>21760.073479999999</v>
      </c>
      <c r="F93" s="647"/>
      <c r="K93" s="570">
        <f t="shared" si="19"/>
        <v>324</v>
      </c>
    </row>
    <row r="94" spans="1:15" s="540" customFormat="1">
      <c r="A94" s="570">
        <f t="shared" si="20"/>
        <v>325</v>
      </c>
      <c r="B94" s="673" t="s">
        <v>534</v>
      </c>
      <c r="C94" s="728">
        <f>SUM(C82:C93)</f>
        <v>416423.44637493289</v>
      </c>
      <c r="D94" s="674">
        <f>SUM(D82:D93)</f>
        <v>6083</v>
      </c>
      <c r="E94" s="728">
        <f>SUM(E82:E93)</f>
        <v>351437.09928000002</v>
      </c>
      <c r="K94" s="570">
        <f t="shared" si="19"/>
        <v>325</v>
      </c>
    </row>
    <row r="95" spans="1:15" s="519" customFormat="1">
      <c r="A95" s="518"/>
      <c r="K95" s="518"/>
    </row>
    <row r="96" spans="1:15">
      <c r="B96" s="580" t="s">
        <v>956</v>
      </c>
      <c r="C96" s="41"/>
      <c r="D96" s="41"/>
      <c r="E96" s="41"/>
      <c r="F96" s="41"/>
      <c r="G96" s="41"/>
      <c r="H96" s="41"/>
      <c r="I96" s="41"/>
      <c r="J96" s="41"/>
    </row>
    <row r="97" spans="1:11">
      <c r="B97" s="5"/>
      <c r="C97" s="5"/>
      <c r="D97" s="5"/>
      <c r="E97" s="5"/>
      <c r="F97" s="5"/>
      <c r="G97" s="5"/>
      <c r="H97" s="5"/>
      <c r="I97" s="5"/>
      <c r="J97" s="5"/>
    </row>
    <row r="98" spans="1:11" ht="29">
      <c r="A98" s="3" t="s">
        <v>90</v>
      </c>
      <c r="B98" s="675" t="s">
        <v>511</v>
      </c>
      <c r="C98" s="666" t="str">
        <f>C65</f>
        <v>CCSF
(SA No. 275)</v>
      </c>
      <c r="D98" s="666" t="str">
        <f t="shared" ref="D98:E98" si="21">D65</f>
        <v>PWRPA 1 
(SA No. 30)</v>
      </c>
      <c r="E98" s="666" t="str">
        <f t="shared" si="21"/>
        <v>WAPA
(SA No. 17)</v>
      </c>
      <c r="K98" s="3" t="s">
        <v>90</v>
      </c>
    </row>
    <row r="99" spans="1:11">
      <c r="A99" s="4">
        <v>400</v>
      </c>
      <c r="B99" s="241" t="s">
        <v>522</v>
      </c>
      <c r="C99" s="374" t="s">
        <v>521</v>
      </c>
      <c r="D99" s="374" t="s">
        <v>521</v>
      </c>
      <c r="E99" s="374" t="s">
        <v>521</v>
      </c>
      <c r="K99" s="4">
        <f t="shared" ref="K99:K111" si="22">A99</f>
        <v>400</v>
      </c>
    </row>
    <row r="100" spans="1:11">
      <c r="A100" s="4">
        <f>A99+1</f>
        <v>401</v>
      </c>
      <c r="B100" s="239" t="s">
        <v>523</v>
      </c>
      <c r="C100" s="374" t="s">
        <v>521</v>
      </c>
      <c r="D100" s="374" t="s">
        <v>521</v>
      </c>
      <c r="E100" s="374" t="s">
        <v>521</v>
      </c>
      <c r="K100" s="4">
        <f t="shared" si="22"/>
        <v>401</v>
      </c>
    </row>
    <row r="101" spans="1:11">
      <c r="A101" s="4">
        <f t="shared" ref="A101:A111" si="23">A100+1</f>
        <v>402</v>
      </c>
      <c r="B101" s="239" t="s">
        <v>524</v>
      </c>
      <c r="C101" s="374" t="s">
        <v>521</v>
      </c>
      <c r="D101" s="374" t="s">
        <v>521</v>
      </c>
      <c r="E101" s="374" t="s">
        <v>521</v>
      </c>
      <c r="K101" s="4">
        <f t="shared" si="22"/>
        <v>402</v>
      </c>
    </row>
    <row r="102" spans="1:11">
      <c r="A102" s="4">
        <f t="shared" si="23"/>
        <v>403</v>
      </c>
      <c r="B102" s="239" t="s">
        <v>525</v>
      </c>
      <c r="C102" s="374" t="s">
        <v>521</v>
      </c>
      <c r="D102" s="374" t="s">
        <v>521</v>
      </c>
      <c r="E102" s="374" t="s">
        <v>521</v>
      </c>
      <c r="K102" s="4">
        <f t="shared" si="22"/>
        <v>403</v>
      </c>
    </row>
    <row r="103" spans="1:11">
      <c r="A103" s="4">
        <f t="shared" si="23"/>
        <v>404</v>
      </c>
      <c r="B103" s="239" t="s">
        <v>526</v>
      </c>
      <c r="C103" s="374" t="s">
        <v>521</v>
      </c>
      <c r="D103" s="374" t="s">
        <v>521</v>
      </c>
      <c r="E103" s="374" t="s">
        <v>521</v>
      </c>
      <c r="K103" s="4">
        <f t="shared" si="22"/>
        <v>404</v>
      </c>
    </row>
    <row r="104" spans="1:11">
      <c r="A104" s="4">
        <f t="shared" si="23"/>
        <v>405</v>
      </c>
      <c r="B104" s="239" t="s">
        <v>812</v>
      </c>
      <c r="C104" s="374">
        <v>821484.41000000015</v>
      </c>
      <c r="D104" s="374">
        <v>8751.8340000000007</v>
      </c>
      <c r="E104" s="374">
        <v>572779.28</v>
      </c>
      <c r="K104" s="4">
        <f t="shared" si="22"/>
        <v>405</v>
      </c>
    </row>
    <row r="105" spans="1:11">
      <c r="A105" s="4">
        <f t="shared" si="23"/>
        <v>406</v>
      </c>
      <c r="B105" s="239" t="s">
        <v>528</v>
      </c>
      <c r="C105" s="374">
        <v>821491.66000000015</v>
      </c>
      <c r="D105" s="374">
        <v>8751.8340000000007</v>
      </c>
      <c r="E105" s="374">
        <v>463514.42000000004</v>
      </c>
      <c r="K105" s="4">
        <f t="shared" si="22"/>
        <v>406</v>
      </c>
    </row>
    <row r="106" spans="1:11">
      <c r="A106" s="4">
        <f t="shared" si="23"/>
        <v>407</v>
      </c>
      <c r="B106" s="239" t="s">
        <v>529</v>
      </c>
      <c r="C106" s="374">
        <v>820717.92</v>
      </c>
      <c r="D106" s="374">
        <v>8751.8340000000007</v>
      </c>
      <c r="E106" s="374">
        <v>518146.85000000003</v>
      </c>
      <c r="K106" s="4">
        <f t="shared" si="22"/>
        <v>407</v>
      </c>
    </row>
    <row r="107" spans="1:11">
      <c r="A107" s="4">
        <f t="shared" si="23"/>
        <v>408</v>
      </c>
      <c r="B107" s="239" t="s">
        <v>530</v>
      </c>
      <c r="C107" s="374">
        <v>905647.46000000008</v>
      </c>
      <c r="D107" s="374">
        <v>8751.8340000000007</v>
      </c>
      <c r="E107" s="374">
        <v>517906.53</v>
      </c>
      <c r="K107" s="4">
        <f t="shared" si="22"/>
        <v>408</v>
      </c>
    </row>
    <row r="108" spans="1:11">
      <c r="A108" s="4">
        <f t="shared" si="23"/>
        <v>409</v>
      </c>
      <c r="B108" s="239" t="s">
        <v>531</v>
      </c>
      <c r="C108" s="374">
        <v>757649.72</v>
      </c>
      <c r="D108" s="374">
        <v>8751.8340000000007</v>
      </c>
      <c r="E108" s="374">
        <v>519651.77000000014</v>
      </c>
      <c r="K108" s="4">
        <f t="shared" si="22"/>
        <v>409</v>
      </c>
    </row>
    <row r="109" spans="1:11">
      <c r="A109" s="4">
        <f t="shared" si="23"/>
        <v>410</v>
      </c>
      <c r="B109" s="239" t="s">
        <v>532</v>
      </c>
      <c r="C109" s="374">
        <v>825251.91999999993</v>
      </c>
      <c r="D109" s="374">
        <v>8751.8340000000007</v>
      </c>
      <c r="E109" s="374">
        <v>518399.77</v>
      </c>
      <c r="K109" s="4">
        <f t="shared" si="22"/>
        <v>410</v>
      </c>
    </row>
    <row r="110" spans="1:11">
      <c r="A110" s="4">
        <f t="shared" si="23"/>
        <v>411</v>
      </c>
      <c r="B110" s="239" t="s">
        <v>520</v>
      </c>
      <c r="C110" s="375">
        <v>823322.31999999983</v>
      </c>
      <c r="D110" s="375">
        <v>0</v>
      </c>
      <c r="E110" s="375">
        <v>518399.77</v>
      </c>
      <c r="K110" s="4">
        <f t="shared" si="22"/>
        <v>411</v>
      </c>
    </row>
    <row r="111" spans="1:11">
      <c r="A111" s="4">
        <f t="shared" si="23"/>
        <v>412</v>
      </c>
      <c r="B111" s="670" t="s">
        <v>534</v>
      </c>
      <c r="C111" s="676">
        <f t="shared" ref="C111" si="24">SUM(C99:C110)</f>
        <v>5775565.4100000001</v>
      </c>
      <c r="D111" s="676">
        <f>SUM(D99:D110)</f>
        <v>52511.004000000008</v>
      </c>
      <c r="E111" s="676">
        <f t="shared" ref="E111" si="25">SUM(E99:E110)</f>
        <v>3628798.39</v>
      </c>
      <c r="K111" s="4">
        <f t="shared" si="22"/>
        <v>412</v>
      </c>
    </row>
    <row r="112" spans="1:11">
      <c r="K112"/>
    </row>
    <row r="113" spans="2:10">
      <c r="B113" s="739" t="s">
        <v>957</v>
      </c>
      <c r="C113" s="739"/>
      <c r="D113" s="739"/>
      <c r="E113" s="739"/>
      <c r="F113" s="739"/>
      <c r="G113" s="739"/>
      <c r="H113" s="739"/>
      <c r="I113" s="739"/>
      <c r="J113" s="739"/>
    </row>
    <row r="114" spans="2:10">
      <c r="B114" s="739"/>
      <c r="C114" s="739"/>
      <c r="D114" s="739"/>
      <c r="E114" s="739"/>
      <c r="F114" s="739"/>
      <c r="G114" s="739"/>
      <c r="H114" s="739"/>
      <c r="I114" s="739"/>
      <c r="J114" s="739"/>
    </row>
    <row r="115" spans="2:10">
      <c r="B115" s="8" t="s">
        <v>958</v>
      </c>
    </row>
  </sheetData>
  <mergeCells count="3">
    <mergeCell ref="B113:J114"/>
    <mergeCell ref="B6:J8"/>
    <mergeCell ref="B9:J10"/>
  </mergeCells>
  <phoneticPr fontId="104" type="noConversion"/>
  <printOptions horizontalCentered="1"/>
  <pageMargins left="1" right="1" top="1" bottom="1" header="0.5" footer="0.5"/>
  <pageSetup scale="26" orientation="landscape" r:id="rId1"/>
  <headerFooter>
    <oddHeader>&amp;RDocket No. ER20-2878-000, et al.- Annual Update RY2024
&amp;F</oddHeader>
  </headerFooter>
  <rowBreaks count="1" manualBreakCount="1">
    <brk id="61" max="10" man="1"/>
  </rowBreaks>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B37"/>
  <sheetViews>
    <sheetView view="pageBreakPreview" zoomScale="55" zoomScaleNormal="100" zoomScaleSheetLayoutView="55" workbookViewId="0">
      <selection activeCell="W98" sqref="W98"/>
    </sheetView>
  </sheetViews>
  <sheetFormatPr defaultRowHeight="14.5"/>
  <cols>
    <col min="1" max="1" width="30.26953125" bestFit="1" customWidth="1"/>
    <col min="2" max="2" width="100.54296875" bestFit="1" customWidth="1"/>
  </cols>
  <sheetData>
    <row r="1" spans="1:2">
      <c r="A1" s="732" t="s">
        <v>0</v>
      </c>
      <c r="B1" s="732"/>
    </row>
    <row r="2" spans="1:2">
      <c r="A2" s="732" t="s">
        <v>1</v>
      </c>
      <c r="B2" s="732"/>
    </row>
    <row r="3" spans="1:2">
      <c r="A3" s="732" t="s">
        <v>4</v>
      </c>
      <c r="B3" s="732"/>
    </row>
    <row r="4" spans="1:2">
      <c r="A4" s="732" t="s">
        <v>3</v>
      </c>
      <c r="B4" s="732"/>
    </row>
    <row r="6" spans="1:2">
      <c r="A6" s="732" t="s">
        <v>5</v>
      </c>
      <c r="B6" s="732"/>
    </row>
    <row r="8" spans="1:2">
      <c r="A8" s="5" t="s">
        <v>6</v>
      </c>
      <c r="B8" s="5" t="s">
        <v>7</v>
      </c>
    </row>
    <row r="9" spans="1:2">
      <c r="A9" t="s">
        <v>8</v>
      </c>
      <c r="B9" t="s">
        <v>9</v>
      </c>
    </row>
    <row r="10" spans="1:2">
      <c r="A10" t="s">
        <v>10</v>
      </c>
      <c r="B10" t="s">
        <v>11</v>
      </c>
    </row>
    <row r="11" spans="1:2">
      <c r="A11" t="s">
        <v>12</v>
      </c>
      <c r="B11" t="s">
        <v>13</v>
      </c>
    </row>
    <row r="12" spans="1:2">
      <c r="A12" t="s">
        <v>14</v>
      </c>
      <c r="B12" t="s">
        <v>15</v>
      </c>
    </row>
    <row r="13" spans="1:2">
      <c r="A13" t="s">
        <v>16</v>
      </c>
      <c r="B13" t="s">
        <v>17</v>
      </c>
    </row>
    <row r="14" spans="1:2">
      <c r="A14" t="s">
        <v>18</v>
      </c>
      <c r="B14" t="s">
        <v>19</v>
      </c>
    </row>
    <row r="15" spans="1:2">
      <c r="A15" t="s">
        <v>20</v>
      </c>
      <c r="B15" t="s">
        <v>21</v>
      </c>
    </row>
    <row r="16" spans="1:2">
      <c r="A16" t="s">
        <v>22</v>
      </c>
      <c r="B16" t="s">
        <v>23</v>
      </c>
    </row>
    <row r="17" spans="1:2">
      <c r="A17" t="s">
        <v>24</v>
      </c>
      <c r="B17" t="s">
        <v>25</v>
      </c>
    </row>
    <row r="18" spans="1:2">
      <c r="A18" t="s">
        <v>26</v>
      </c>
      <c r="B18" t="s">
        <v>27</v>
      </c>
    </row>
    <row r="19" spans="1:2">
      <c r="A19" t="s">
        <v>28</v>
      </c>
      <c r="B19" t="s">
        <v>29</v>
      </c>
    </row>
    <row r="20" spans="1:2">
      <c r="A20" t="s">
        <v>30</v>
      </c>
      <c r="B20" t="s">
        <v>31</v>
      </c>
    </row>
    <row r="21" spans="1:2">
      <c r="A21" t="s">
        <v>32</v>
      </c>
      <c r="B21" t="s">
        <v>33</v>
      </c>
    </row>
    <row r="22" spans="1:2">
      <c r="A22" t="s">
        <v>34</v>
      </c>
      <c r="B22" t="s">
        <v>35</v>
      </c>
    </row>
    <row r="23" spans="1:2">
      <c r="A23" t="s">
        <v>36</v>
      </c>
      <c r="B23" t="s">
        <v>37</v>
      </c>
    </row>
    <row r="24" spans="1:2">
      <c r="A24" t="s">
        <v>38</v>
      </c>
      <c r="B24" t="s">
        <v>39</v>
      </c>
    </row>
    <row r="25" spans="1:2">
      <c r="A25" t="s">
        <v>40</v>
      </c>
      <c r="B25" t="s">
        <v>41</v>
      </c>
    </row>
    <row r="26" spans="1:2">
      <c r="A26" t="s">
        <v>42</v>
      </c>
      <c r="B26" t="s">
        <v>43</v>
      </c>
    </row>
    <row r="27" spans="1:2">
      <c r="A27" t="s">
        <v>44</v>
      </c>
      <c r="B27" t="s">
        <v>45</v>
      </c>
    </row>
    <row r="28" spans="1:2">
      <c r="A28" t="s">
        <v>46</v>
      </c>
      <c r="B28" t="s">
        <v>47</v>
      </c>
    </row>
    <row r="29" spans="1:2">
      <c r="A29" t="s">
        <v>48</v>
      </c>
      <c r="B29" t="s">
        <v>49</v>
      </c>
    </row>
    <row r="30" spans="1:2">
      <c r="A30" t="s">
        <v>50</v>
      </c>
      <c r="B30" t="s">
        <v>51</v>
      </c>
    </row>
    <row r="31" spans="1:2">
      <c r="A31" t="s">
        <v>52</v>
      </c>
      <c r="B31" t="s">
        <v>53</v>
      </c>
    </row>
    <row r="32" spans="1:2">
      <c r="A32" t="s">
        <v>54</v>
      </c>
      <c r="B32" t="s">
        <v>55</v>
      </c>
    </row>
    <row r="33" spans="1:2">
      <c r="A33" t="s">
        <v>56</v>
      </c>
      <c r="B33" t="s">
        <v>57</v>
      </c>
    </row>
    <row r="34" spans="1:2">
      <c r="A34" t="s">
        <v>58</v>
      </c>
      <c r="B34" t="s">
        <v>59</v>
      </c>
    </row>
    <row r="35" spans="1:2">
      <c r="A35" t="s">
        <v>60</v>
      </c>
      <c r="B35" t="s">
        <v>61</v>
      </c>
    </row>
    <row r="36" spans="1:2">
      <c r="A36" t="s">
        <v>62</v>
      </c>
      <c r="B36" t="s">
        <v>63</v>
      </c>
    </row>
    <row r="37" spans="1:2">
      <c r="A37" t="s">
        <v>64</v>
      </c>
      <c r="B37" t="s">
        <v>65</v>
      </c>
    </row>
  </sheetData>
  <mergeCells count="5">
    <mergeCell ref="A6:B6"/>
    <mergeCell ref="A1:B1"/>
    <mergeCell ref="A2:B2"/>
    <mergeCell ref="A3:B3"/>
    <mergeCell ref="A4:B4"/>
  </mergeCells>
  <printOptions horizontalCentered="1"/>
  <pageMargins left="1" right="1" top="1" bottom="1" header="0.5" footer="0.5"/>
  <pageSetup scale="88" fitToHeight="0" orientation="landscape"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473BE-9BBB-4B8B-B540-7C7F1B726A20}">
  <sheetPr>
    <tabColor rgb="FFFF0000"/>
    <pageSetUpPr fitToPage="1"/>
  </sheetPr>
  <dimension ref="A1:O115"/>
  <sheetViews>
    <sheetView view="pageBreakPreview" topLeftCell="A66" zoomScale="40" zoomScaleNormal="100" zoomScaleSheetLayoutView="40" workbookViewId="0">
      <selection activeCell="W98" sqref="W98"/>
    </sheetView>
  </sheetViews>
  <sheetFormatPr defaultRowHeight="14.5"/>
  <cols>
    <col min="1" max="1" width="4.7265625" style="4" bestFit="1" customWidth="1"/>
    <col min="2" max="2" width="25" bestFit="1" customWidth="1"/>
    <col min="3" max="3" width="15.1796875" bestFit="1" customWidth="1"/>
    <col min="4" max="4" width="14.54296875" bestFit="1" customWidth="1"/>
    <col min="5" max="5" width="13.54296875" bestFit="1" customWidth="1"/>
    <col min="6" max="6" width="18.1796875" bestFit="1" customWidth="1"/>
    <col min="7" max="7" width="12.26953125" bestFit="1" customWidth="1"/>
    <col min="8" max="8" width="13.54296875" bestFit="1" customWidth="1"/>
    <col min="9" max="9" width="10.7265625" bestFit="1" customWidth="1"/>
    <col min="11" max="11" width="4.7265625" style="4" bestFit="1" customWidth="1"/>
    <col min="12" max="12" width="11.54296875" bestFit="1" customWidth="1"/>
  </cols>
  <sheetData>
    <row r="1" spans="1:15">
      <c r="B1" s="2" t="s">
        <v>31</v>
      </c>
      <c r="C1" s="2"/>
      <c r="D1" s="2"/>
      <c r="J1" s="6" t="s">
        <v>384</v>
      </c>
    </row>
    <row r="2" spans="1:15">
      <c r="B2" s="35" t="s">
        <v>120</v>
      </c>
      <c r="C2" s="2"/>
      <c r="D2" s="2"/>
    </row>
    <row r="4" spans="1:15">
      <c r="B4" s="41" t="s">
        <v>950</v>
      </c>
      <c r="C4" s="41"/>
      <c r="D4" s="41"/>
      <c r="E4" s="41"/>
      <c r="F4" s="41"/>
      <c r="G4" s="41"/>
      <c r="H4" s="41"/>
      <c r="I4" s="41"/>
      <c r="J4" s="41"/>
    </row>
    <row r="5" spans="1:15">
      <c r="B5" s="5" t="s">
        <v>951</v>
      </c>
      <c r="C5" s="5"/>
      <c r="D5" s="5"/>
      <c r="E5" s="5"/>
      <c r="F5" s="5"/>
      <c r="G5" s="5"/>
      <c r="H5" s="5"/>
      <c r="I5" s="5"/>
      <c r="J5" s="5"/>
    </row>
    <row r="6" spans="1:15" ht="15" customHeight="1">
      <c r="A6"/>
      <c r="B6" s="742" t="s">
        <v>905</v>
      </c>
      <c r="C6" s="742"/>
      <c r="D6" s="742"/>
      <c r="E6" s="742"/>
      <c r="F6" s="742"/>
      <c r="G6" s="742"/>
      <c r="H6" s="742"/>
      <c r="I6" s="742"/>
      <c r="J6" s="742"/>
      <c r="K6" s="544"/>
      <c r="L6" s="544"/>
      <c r="M6" s="544"/>
      <c r="O6" s="21"/>
    </row>
    <row r="7" spans="1:15" ht="15" customHeight="1">
      <c r="A7"/>
      <c r="B7" s="742"/>
      <c r="C7" s="742"/>
      <c r="D7" s="742"/>
      <c r="E7" s="742"/>
      <c r="F7" s="742"/>
      <c r="G7" s="742"/>
      <c r="H7" s="742"/>
      <c r="I7" s="742"/>
      <c r="J7" s="742"/>
      <c r="K7" s="544"/>
      <c r="L7" s="544"/>
      <c r="M7" s="544"/>
      <c r="O7" s="21"/>
    </row>
    <row r="8" spans="1:15">
      <c r="A8"/>
      <c r="B8" s="742"/>
      <c r="C8" s="742"/>
      <c r="D8" s="742"/>
      <c r="E8" s="742"/>
      <c r="F8" s="742"/>
      <c r="G8" s="742"/>
      <c r="H8" s="742"/>
      <c r="I8" s="742"/>
      <c r="J8" s="742"/>
      <c r="K8" s="544"/>
      <c r="L8" s="544"/>
      <c r="M8" s="544"/>
      <c r="O8" s="21"/>
    </row>
    <row r="9" spans="1:15" ht="15" customHeight="1">
      <c r="A9"/>
      <c r="B9" s="742" t="s">
        <v>906</v>
      </c>
      <c r="C9" s="742"/>
      <c r="D9" s="742"/>
      <c r="E9" s="742"/>
      <c r="F9" s="742"/>
      <c r="G9" s="742"/>
      <c r="H9" s="742"/>
      <c r="I9" s="742"/>
      <c r="J9" s="742"/>
      <c r="K9" s="544"/>
      <c r="L9" s="544"/>
      <c r="M9" s="544"/>
      <c r="O9" s="21"/>
    </row>
    <row r="10" spans="1:15">
      <c r="A10"/>
      <c r="B10" s="742"/>
      <c r="C10" s="742"/>
      <c r="D10" s="742"/>
      <c r="E10" s="742"/>
      <c r="F10" s="742"/>
      <c r="G10" s="742"/>
      <c r="H10" s="742"/>
      <c r="I10" s="742"/>
      <c r="J10" s="742"/>
      <c r="K10" s="544"/>
      <c r="L10" s="544"/>
      <c r="M10" s="544"/>
      <c r="O10" s="21"/>
    </row>
    <row r="11" spans="1:15">
      <c r="B11" s="564"/>
      <c r="C11" s="564"/>
      <c r="D11" s="564"/>
      <c r="E11" s="564"/>
      <c r="F11" s="564"/>
      <c r="G11" s="564"/>
      <c r="H11" s="564"/>
      <c r="I11" s="564"/>
      <c r="J11" s="564"/>
    </row>
    <row r="12" spans="1:15">
      <c r="B12" s="105" t="s">
        <v>952</v>
      </c>
      <c r="C12" s="8"/>
      <c r="D12" s="8"/>
      <c r="E12" s="8"/>
      <c r="F12" s="8"/>
      <c r="G12" s="8"/>
      <c r="H12" s="8"/>
      <c r="I12" s="8"/>
      <c r="J12" s="8"/>
    </row>
    <row r="13" spans="1:15" ht="29">
      <c r="A13" s="3" t="s">
        <v>90</v>
      </c>
      <c r="B13" s="666" t="s">
        <v>511</v>
      </c>
      <c r="C13" s="633" t="s">
        <v>908</v>
      </c>
      <c r="D13" s="633" t="s">
        <v>425</v>
      </c>
      <c r="E13" s="633" t="s">
        <v>426</v>
      </c>
      <c r="F13" s="633" t="s">
        <v>427</v>
      </c>
      <c r="G13" s="633" t="s">
        <v>910</v>
      </c>
      <c r="H13" s="633" t="s">
        <v>429</v>
      </c>
      <c r="I13" s="633" t="s">
        <v>430</v>
      </c>
      <c r="J13" s="633" t="s">
        <v>117</v>
      </c>
      <c r="K13" s="3" t="s">
        <v>90</v>
      </c>
    </row>
    <row r="14" spans="1:15">
      <c r="A14" s="4">
        <v>100</v>
      </c>
      <c r="B14" s="241" t="s">
        <v>522</v>
      </c>
      <c r="C14" s="367">
        <v>5822</v>
      </c>
      <c r="D14" s="367">
        <v>62309.84</v>
      </c>
      <c r="E14" s="368">
        <v>207</v>
      </c>
      <c r="F14" s="369">
        <v>2308</v>
      </c>
      <c r="G14" s="370">
        <v>916</v>
      </c>
      <c r="H14" s="367">
        <v>80207.516000000003</v>
      </c>
      <c r="I14" s="367">
        <v>72</v>
      </c>
      <c r="J14" s="367"/>
      <c r="K14" s="4">
        <v>100</v>
      </c>
    </row>
    <row r="15" spans="1:15">
      <c r="A15" s="4">
        <v>101</v>
      </c>
      <c r="B15" s="239" t="s">
        <v>523</v>
      </c>
      <c r="C15" s="367">
        <v>5628</v>
      </c>
      <c r="D15" s="367">
        <v>62532.88</v>
      </c>
      <c r="E15" s="367">
        <v>193</v>
      </c>
      <c r="F15" s="369">
        <v>2909</v>
      </c>
      <c r="G15" s="371">
        <v>894</v>
      </c>
      <c r="H15" s="367">
        <v>104398.788</v>
      </c>
      <c r="I15" s="367">
        <v>69</v>
      </c>
      <c r="J15" s="367"/>
      <c r="K15" s="4">
        <v>101</v>
      </c>
    </row>
    <row r="16" spans="1:15">
      <c r="A16" s="4">
        <v>102</v>
      </c>
      <c r="B16" s="239" t="s">
        <v>524</v>
      </c>
      <c r="C16" s="367">
        <v>5790</v>
      </c>
      <c r="D16" s="367">
        <v>64398.92</v>
      </c>
      <c r="E16" s="367">
        <v>314</v>
      </c>
      <c r="F16" s="369">
        <v>2430</v>
      </c>
      <c r="G16" s="371">
        <v>882</v>
      </c>
      <c r="H16" s="367">
        <v>111335.45999999999</v>
      </c>
      <c r="I16" s="367">
        <v>74</v>
      </c>
      <c r="J16" s="367"/>
      <c r="K16" s="4">
        <v>102</v>
      </c>
    </row>
    <row r="17" spans="1:12">
      <c r="A17" s="4">
        <v>103</v>
      </c>
      <c r="B17" s="239" t="s">
        <v>525</v>
      </c>
      <c r="C17" s="367">
        <v>5748</v>
      </c>
      <c r="D17" s="367">
        <v>60724.959999999999</v>
      </c>
      <c r="E17" s="367">
        <v>359</v>
      </c>
      <c r="F17" s="369">
        <v>2990</v>
      </c>
      <c r="G17" s="371">
        <v>790</v>
      </c>
      <c r="H17" s="367">
        <v>132506.636</v>
      </c>
      <c r="I17" s="367">
        <v>55</v>
      </c>
      <c r="J17" s="367"/>
      <c r="K17" s="4">
        <v>103</v>
      </c>
    </row>
    <row r="18" spans="1:12">
      <c r="A18" s="4">
        <v>104</v>
      </c>
      <c r="B18" s="239" t="s">
        <v>526</v>
      </c>
      <c r="C18" s="367">
        <v>5760</v>
      </c>
      <c r="D18" s="367">
        <v>62478.76</v>
      </c>
      <c r="E18" s="367">
        <v>440</v>
      </c>
      <c r="F18" s="369">
        <v>3770</v>
      </c>
      <c r="G18" s="371">
        <v>758</v>
      </c>
      <c r="H18" s="367">
        <v>143853.03599999999</v>
      </c>
      <c r="I18" s="367">
        <v>73</v>
      </c>
      <c r="J18" s="367"/>
      <c r="K18" s="4">
        <v>104</v>
      </c>
    </row>
    <row r="19" spans="1:12">
      <c r="A19" s="4">
        <v>105</v>
      </c>
      <c r="B19" s="239" t="s">
        <v>812</v>
      </c>
      <c r="C19" s="367">
        <v>5700</v>
      </c>
      <c r="D19" s="367">
        <v>64663.72</v>
      </c>
      <c r="E19" s="367">
        <v>502</v>
      </c>
      <c r="F19" s="369">
        <v>4641</v>
      </c>
      <c r="G19" s="371">
        <v>687</v>
      </c>
      <c r="H19" s="367">
        <v>153662.32399999999</v>
      </c>
      <c r="I19" s="367">
        <v>57</v>
      </c>
      <c r="J19" s="367"/>
      <c r="K19" s="4">
        <v>105</v>
      </c>
    </row>
    <row r="20" spans="1:12">
      <c r="A20" s="4">
        <v>106</v>
      </c>
      <c r="B20" s="239" t="s">
        <v>528</v>
      </c>
      <c r="C20" s="367">
        <v>5645</v>
      </c>
      <c r="D20" s="367">
        <v>61040.415999999997</v>
      </c>
      <c r="E20" s="367">
        <v>442</v>
      </c>
      <c r="F20" s="369">
        <v>4361</v>
      </c>
      <c r="G20" s="371">
        <v>730</v>
      </c>
      <c r="H20" s="367">
        <v>150448.62000000002</v>
      </c>
      <c r="I20" s="367">
        <v>62</v>
      </c>
      <c r="J20" s="367"/>
      <c r="K20" s="4">
        <v>106</v>
      </c>
    </row>
    <row r="21" spans="1:12">
      <c r="A21" s="4">
        <v>107</v>
      </c>
      <c r="B21" s="239" t="s">
        <v>529</v>
      </c>
      <c r="C21" s="367">
        <v>5991</v>
      </c>
      <c r="D21" s="367">
        <v>64241.887999999999</v>
      </c>
      <c r="E21" s="367">
        <v>402</v>
      </c>
      <c r="F21" s="369">
        <v>4647</v>
      </c>
      <c r="G21" s="371">
        <v>676</v>
      </c>
      <c r="H21" s="367">
        <v>140035.86399999997</v>
      </c>
      <c r="I21" s="367">
        <v>65</v>
      </c>
      <c r="J21" s="367"/>
      <c r="K21" s="4">
        <v>107</v>
      </c>
    </row>
    <row r="22" spans="1:12">
      <c r="A22" s="4">
        <v>108</v>
      </c>
      <c r="B22" s="239" t="s">
        <v>530</v>
      </c>
      <c r="C22" s="367">
        <v>5840</v>
      </c>
      <c r="D22" s="367">
        <v>65910.915999999997</v>
      </c>
      <c r="E22" s="367">
        <v>293</v>
      </c>
      <c r="F22" s="369">
        <v>3321</v>
      </c>
      <c r="G22" s="371">
        <v>702</v>
      </c>
      <c r="H22" s="367">
        <v>126946.36799999997</v>
      </c>
      <c r="I22" s="367">
        <v>51</v>
      </c>
      <c r="J22" s="367"/>
      <c r="K22" s="4">
        <v>108</v>
      </c>
    </row>
    <row r="23" spans="1:12">
      <c r="A23" s="4">
        <v>109</v>
      </c>
      <c r="B23" s="239" t="s">
        <v>531</v>
      </c>
      <c r="C23" s="367">
        <v>5856</v>
      </c>
      <c r="D23" s="367">
        <v>79349.547999999995</v>
      </c>
      <c r="E23" s="367">
        <v>245</v>
      </c>
      <c r="F23" s="369">
        <v>3332</v>
      </c>
      <c r="G23" s="371">
        <v>675</v>
      </c>
      <c r="H23" s="367">
        <v>120593.284</v>
      </c>
      <c r="I23" s="367">
        <v>54</v>
      </c>
      <c r="J23" s="367"/>
      <c r="K23" s="4">
        <v>109</v>
      </c>
    </row>
    <row r="24" spans="1:12">
      <c r="A24" s="4">
        <v>110</v>
      </c>
      <c r="B24" s="239" t="s">
        <v>532</v>
      </c>
      <c r="C24" s="367">
        <v>6679</v>
      </c>
      <c r="D24" s="367">
        <v>77047.164000000004</v>
      </c>
      <c r="E24" s="367">
        <v>165</v>
      </c>
      <c r="F24" s="369">
        <v>2631</v>
      </c>
      <c r="G24" s="371">
        <v>766</v>
      </c>
      <c r="H24" s="367">
        <v>70501.592000000004</v>
      </c>
      <c r="I24" s="367">
        <v>65</v>
      </c>
      <c r="J24" s="367"/>
      <c r="K24" s="4">
        <v>110</v>
      </c>
    </row>
    <row r="25" spans="1:12">
      <c r="A25" s="4">
        <v>111</v>
      </c>
      <c r="B25" s="239" t="s">
        <v>520</v>
      </c>
      <c r="C25" s="372">
        <v>6211</v>
      </c>
      <c r="D25" s="372">
        <v>79285.16</v>
      </c>
      <c r="E25" s="372">
        <v>0</v>
      </c>
      <c r="F25" s="369">
        <v>2301</v>
      </c>
      <c r="G25" s="373">
        <v>811</v>
      </c>
      <c r="H25" s="372">
        <v>65347.640000000007</v>
      </c>
      <c r="I25" s="372">
        <v>89</v>
      </c>
      <c r="J25" s="372"/>
      <c r="K25" s="4">
        <v>111</v>
      </c>
    </row>
    <row r="26" spans="1:12">
      <c r="A26" s="4">
        <v>112</v>
      </c>
      <c r="B26" s="670" t="s">
        <v>534</v>
      </c>
      <c r="C26" s="671">
        <v>70670</v>
      </c>
      <c r="D26" s="671">
        <v>803984.1719999999</v>
      </c>
      <c r="E26" s="671">
        <v>3562</v>
      </c>
      <c r="F26" s="671">
        <v>39641</v>
      </c>
      <c r="G26" s="671">
        <v>9287</v>
      </c>
      <c r="H26" s="671">
        <v>1399837.1279999998</v>
      </c>
      <c r="I26" s="671">
        <v>786</v>
      </c>
      <c r="J26" s="671">
        <v>0</v>
      </c>
      <c r="K26" s="4">
        <v>112</v>
      </c>
    </row>
    <row r="27" spans="1:12">
      <c r="B27" s="6"/>
      <c r="C27" s="479"/>
      <c r="D27" s="479"/>
      <c r="E27" s="479"/>
      <c r="F27" s="479"/>
      <c r="G27" s="479"/>
      <c r="H27" s="479"/>
      <c r="I27" s="479"/>
      <c r="J27" s="479"/>
    </row>
    <row r="28" spans="1:12" s="540" customFormat="1">
      <c r="A28" s="539"/>
      <c r="B28" s="568" t="s">
        <v>953</v>
      </c>
      <c r="K28" s="539"/>
    </row>
    <row r="29" spans="1:12" s="540" customFormat="1" ht="29">
      <c r="A29" s="569" t="s">
        <v>90</v>
      </c>
      <c r="B29" s="672" t="s">
        <v>511</v>
      </c>
      <c r="C29" s="672" t="s">
        <v>908</v>
      </c>
      <c r="D29" s="672" t="s">
        <v>425</v>
      </c>
      <c r="E29" s="672" t="s">
        <v>426</v>
      </c>
      <c r="F29" s="672" t="s">
        <v>427</v>
      </c>
      <c r="G29" s="672" t="s">
        <v>910</v>
      </c>
      <c r="H29" s="672" t="s">
        <v>429</v>
      </c>
      <c r="I29" s="672" t="s">
        <v>430</v>
      </c>
      <c r="J29" s="672" t="s">
        <v>117</v>
      </c>
      <c r="K29" s="569" t="s">
        <v>90</v>
      </c>
    </row>
    <row r="30" spans="1:12" s="540" customFormat="1">
      <c r="A30" s="570">
        <v>113</v>
      </c>
      <c r="B30" s="571" t="s">
        <v>522</v>
      </c>
      <c r="C30" s="572">
        <v>5314</v>
      </c>
      <c r="D30" s="572">
        <v>42571.24</v>
      </c>
      <c r="E30" s="573">
        <v>207</v>
      </c>
      <c r="F30" s="574">
        <v>1997</v>
      </c>
      <c r="G30" s="575">
        <v>916</v>
      </c>
      <c r="H30" s="572">
        <v>47242.411999999997</v>
      </c>
      <c r="I30" s="572">
        <v>72</v>
      </c>
      <c r="J30" s="572"/>
      <c r="K30" s="570">
        <v>113</v>
      </c>
      <c r="L30" s="645"/>
    </row>
    <row r="31" spans="1:12" s="540" customFormat="1">
      <c r="A31" s="570">
        <v>114</v>
      </c>
      <c r="B31" s="576" t="s">
        <v>523</v>
      </c>
      <c r="C31" s="572">
        <v>5159</v>
      </c>
      <c r="D31" s="572">
        <v>41975.76</v>
      </c>
      <c r="E31" s="572">
        <v>193</v>
      </c>
      <c r="F31" s="574">
        <v>2254</v>
      </c>
      <c r="G31" s="577">
        <v>894</v>
      </c>
      <c r="H31" s="572">
        <v>63427.756000000001</v>
      </c>
      <c r="I31" s="572">
        <v>69</v>
      </c>
      <c r="J31" s="572"/>
      <c r="K31" s="570">
        <v>114</v>
      </c>
      <c r="L31" s="645"/>
    </row>
    <row r="32" spans="1:12" s="540" customFormat="1">
      <c r="A32" s="570">
        <v>115</v>
      </c>
      <c r="B32" s="576" t="s">
        <v>524</v>
      </c>
      <c r="C32" s="572">
        <v>5269</v>
      </c>
      <c r="D32" s="572">
        <v>42165.120000000003</v>
      </c>
      <c r="E32" s="572">
        <v>314</v>
      </c>
      <c r="F32" s="574">
        <v>2238</v>
      </c>
      <c r="G32" s="577">
        <v>882</v>
      </c>
      <c r="H32" s="572">
        <v>73038.267999999996</v>
      </c>
      <c r="I32" s="572">
        <v>74</v>
      </c>
      <c r="J32" s="572"/>
      <c r="K32" s="570">
        <v>115</v>
      </c>
      <c r="L32" s="645"/>
    </row>
    <row r="33" spans="1:12" s="540" customFormat="1">
      <c r="A33" s="570">
        <v>116</v>
      </c>
      <c r="B33" s="576" t="s">
        <v>525</v>
      </c>
      <c r="C33" s="572">
        <v>5166</v>
      </c>
      <c r="D33" s="572">
        <v>43456.479999999996</v>
      </c>
      <c r="E33" s="572">
        <v>359</v>
      </c>
      <c r="F33" s="574">
        <v>2828</v>
      </c>
      <c r="G33" s="577">
        <v>790</v>
      </c>
      <c r="H33" s="572">
        <v>87714.82</v>
      </c>
      <c r="I33" s="572">
        <v>55</v>
      </c>
      <c r="J33" s="572"/>
      <c r="K33" s="570">
        <v>116</v>
      </c>
      <c r="L33" s="645"/>
    </row>
    <row r="34" spans="1:12" s="540" customFormat="1">
      <c r="A34" s="570">
        <v>117</v>
      </c>
      <c r="B34" s="576" t="s">
        <v>526</v>
      </c>
      <c r="C34" s="572">
        <v>5138</v>
      </c>
      <c r="D34" s="572">
        <v>47380.88</v>
      </c>
      <c r="E34" s="572">
        <v>440</v>
      </c>
      <c r="F34" s="574">
        <v>3415</v>
      </c>
      <c r="G34" s="577">
        <v>758</v>
      </c>
      <c r="H34" s="572">
        <v>97499.308000000005</v>
      </c>
      <c r="I34" s="572">
        <v>73</v>
      </c>
      <c r="J34" s="572"/>
      <c r="K34" s="570">
        <v>117</v>
      </c>
      <c r="L34" s="645"/>
    </row>
    <row r="35" spans="1:12" s="540" customFormat="1">
      <c r="A35" s="570">
        <v>118</v>
      </c>
      <c r="B35" s="576" t="s">
        <v>812</v>
      </c>
      <c r="C35" s="572">
        <v>5381</v>
      </c>
      <c r="D35" s="572">
        <v>45128.56</v>
      </c>
      <c r="E35" s="572">
        <v>502</v>
      </c>
      <c r="F35" s="574">
        <v>3869</v>
      </c>
      <c r="G35" s="577">
        <v>687</v>
      </c>
      <c r="H35" s="572">
        <v>99709.739999999991</v>
      </c>
      <c r="I35" s="572">
        <v>57</v>
      </c>
      <c r="J35" s="572"/>
      <c r="K35" s="570">
        <v>118</v>
      </c>
      <c r="L35" s="645"/>
    </row>
    <row r="36" spans="1:12" s="540" customFormat="1">
      <c r="A36" s="570">
        <v>119</v>
      </c>
      <c r="B36" s="576" t="s">
        <v>528</v>
      </c>
      <c r="C36" s="572">
        <v>5278</v>
      </c>
      <c r="D36" s="572">
        <v>42742.267999999996</v>
      </c>
      <c r="E36" s="572">
        <v>442</v>
      </c>
      <c r="F36" s="574">
        <v>4036</v>
      </c>
      <c r="G36" s="577">
        <v>730</v>
      </c>
      <c r="H36" s="572">
        <v>97940.528000000006</v>
      </c>
      <c r="I36" s="572">
        <v>62</v>
      </c>
      <c r="J36" s="572"/>
      <c r="K36" s="570">
        <v>119</v>
      </c>
      <c r="L36" s="645"/>
    </row>
    <row r="37" spans="1:12" s="540" customFormat="1">
      <c r="A37" s="570">
        <v>120</v>
      </c>
      <c r="B37" s="576" t="s">
        <v>529</v>
      </c>
      <c r="C37" s="572">
        <v>5444</v>
      </c>
      <c r="D37" s="572">
        <v>46471.644</v>
      </c>
      <c r="E37" s="572">
        <v>402</v>
      </c>
      <c r="F37" s="574">
        <v>4034</v>
      </c>
      <c r="G37" s="577">
        <v>676</v>
      </c>
      <c r="H37" s="572">
        <v>89286.62</v>
      </c>
      <c r="I37" s="572">
        <v>65</v>
      </c>
      <c r="J37" s="572"/>
      <c r="K37" s="570">
        <v>120</v>
      </c>
      <c r="L37" s="645"/>
    </row>
    <row r="38" spans="1:12" s="540" customFormat="1">
      <c r="A38" s="570">
        <v>121</v>
      </c>
      <c r="B38" s="576" t="s">
        <v>530</v>
      </c>
      <c r="C38" s="572">
        <v>5589</v>
      </c>
      <c r="D38" s="572">
        <v>46914.191999999995</v>
      </c>
      <c r="E38" s="572">
        <v>293</v>
      </c>
      <c r="F38" s="574">
        <v>3141</v>
      </c>
      <c r="G38" s="577">
        <v>702</v>
      </c>
      <c r="H38" s="572">
        <v>74294.035999999993</v>
      </c>
      <c r="I38" s="572">
        <v>51</v>
      </c>
      <c r="J38" s="572"/>
      <c r="K38" s="570">
        <v>121</v>
      </c>
      <c r="L38" s="645"/>
    </row>
    <row r="39" spans="1:12" s="540" customFormat="1">
      <c r="A39" s="570">
        <v>122</v>
      </c>
      <c r="B39" s="576" t="s">
        <v>531</v>
      </c>
      <c r="C39" s="572">
        <v>5525</v>
      </c>
      <c r="D39" s="572">
        <v>66747.600000000006</v>
      </c>
      <c r="E39" s="572">
        <v>245</v>
      </c>
      <c r="F39" s="574">
        <v>2957</v>
      </c>
      <c r="G39" s="577">
        <v>675</v>
      </c>
      <c r="H39" s="572">
        <v>69307.08</v>
      </c>
      <c r="I39" s="572">
        <v>54</v>
      </c>
      <c r="J39" s="572"/>
      <c r="K39" s="570">
        <v>122</v>
      </c>
      <c r="L39" s="645"/>
    </row>
    <row r="40" spans="1:12" s="540" customFormat="1">
      <c r="A40" s="570">
        <v>123</v>
      </c>
      <c r="B40" s="576" t="s">
        <v>532</v>
      </c>
      <c r="C40" s="572">
        <v>5198</v>
      </c>
      <c r="D40" s="572">
        <v>55475.452000000005</v>
      </c>
      <c r="E40" s="572">
        <v>165</v>
      </c>
      <c r="F40" s="574">
        <v>1921</v>
      </c>
      <c r="G40" s="577">
        <v>766</v>
      </c>
      <c r="H40" s="572">
        <v>36712.547999999995</v>
      </c>
      <c r="I40" s="572">
        <v>65</v>
      </c>
      <c r="J40" s="572"/>
      <c r="K40" s="570">
        <v>123</v>
      </c>
      <c r="L40" s="645"/>
    </row>
    <row r="41" spans="1:12" s="540" customFormat="1">
      <c r="A41" s="570">
        <v>124</v>
      </c>
      <c r="B41" s="576" t="s">
        <v>520</v>
      </c>
      <c r="C41" s="578">
        <v>5654</v>
      </c>
      <c r="D41" s="578">
        <v>56589.207999999999</v>
      </c>
      <c r="E41" s="578">
        <v>0</v>
      </c>
      <c r="F41" s="574">
        <v>1827</v>
      </c>
      <c r="G41" s="579">
        <v>811</v>
      </c>
      <c r="H41" s="578">
        <v>28010.624</v>
      </c>
      <c r="I41" s="578">
        <v>89</v>
      </c>
      <c r="J41" s="578"/>
      <c r="K41" s="570">
        <v>124</v>
      </c>
      <c r="L41" s="645"/>
    </row>
    <row r="42" spans="1:12" s="540" customFormat="1">
      <c r="A42" s="570">
        <v>125</v>
      </c>
      <c r="B42" s="673" t="s">
        <v>534</v>
      </c>
      <c r="C42" s="674">
        <v>64115</v>
      </c>
      <c r="D42" s="674">
        <v>577618.40399999998</v>
      </c>
      <c r="E42" s="674">
        <v>3562</v>
      </c>
      <c r="F42" s="674">
        <v>34517</v>
      </c>
      <c r="G42" s="674">
        <v>9287</v>
      </c>
      <c r="H42" s="674">
        <v>864183.73999999987</v>
      </c>
      <c r="I42" s="674">
        <v>786</v>
      </c>
      <c r="J42" s="674">
        <v>0</v>
      </c>
      <c r="K42" s="570">
        <v>125</v>
      </c>
    </row>
    <row r="43" spans="1:12" s="519" customFormat="1">
      <c r="A43" s="518"/>
      <c r="B43" s="520"/>
      <c r="C43" s="521"/>
      <c r="D43" s="521"/>
      <c r="E43" s="521"/>
      <c r="F43" s="521"/>
      <c r="G43" s="521"/>
      <c r="H43" s="521"/>
      <c r="I43" s="521"/>
      <c r="J43" s="521"/>
      <c r="K43" s="518"/>
    </row>
    <row r="44" spans="1:12">
      <c r="B44" s="41" t="s">
        <v>954</v>
      </c>
      <c r="C44" s="41"/>
      <c r="D44" s="41"/>
      <c r="E44" s="41"/>
      <c r="F44" s="41"/>
      <c r="G44" s="41"/>
      <c r="H44" s="41"/>
      <c r="I44" s="41"/>
      <c r="J44" s="41"/>
    </row>
    <row r="45" spans="1:12">
      <c r="B45" s="5" t="s">
        <v>951</v>
      </c>
    </row>
    <row r="46" spans="1:12">
      <c r="B46" s="5"/>
    </row>
    <row r="47" spans="1:12" ht="29">
      <c r="A47" s="3" t="s">
        <v>90</v>
      </c>
      <c r="B47" s="675" t="s">
        <v>511</v>
      </c>
      <c r="C47" s="666" t="s">
        <v>908</v>
      </c>
      <c r="D47" s="666" t="s">
        <v>425</v>
      </c>
      <c r="E47" s="666" t="s">
        <v>426</v>
      </c>
      <c r="F47" s="666" t="s">
        <v>427</v>
      </c>
      <c r="G47" s="666" t="s">
        <v>910</v>
      </c>
      <c r="H47" s="666" t="s">
        <v>429</v>
      </c>
      <c r="I47" s="666" t="s">
        <v>430</v>
      </c>
      <c r="J47" s="666" t="s">
        <v>117</v>
      </c>
      <c r="K47" s="3" t="s">
        <v>90</v>
      </c>
    </row>
    <row r="48" spans="1:12">
      <c r="A48" s="4">
        <v>200</v>
      </c>
      <c r="B48" s="241" t="s">
        <v>522</v>
      </c>
      <c r="C48" s="374" t="s">
        <v>521</v>
      </c>
      <c r="D48" s="374" t="s">
        <v>521</v>
      </c>
      <c r="E48" s="374" t="s">
        <v>521</v>
      </c>
      <c r="F48" s="374" t="s">
        <v>521</v>
      </c>
      <c r="G48" s="374" t="s">
        <v>521</v>
      </c>
      <c r="H48" s="374" t="s">
        <v>521</v>
      </c>
      <c r="I48" s="374" t="s">
        <v>521</v>
      </c>
      <c r="J48" s="374"/>
      <c r="K48" s="4">
        <v>200</v>
      </c>
    </row>
    <row r="49" spans="1:11">
      <c r="A49" s="4">
        <v>201</v>
      </c>
      <c r="B49" s="239" t="s">
        <v>523</v>
      </c>
      <c r="C49" s="374" t="s">
        <v>521</v>
      </c>
      <c r="D49" s="374" t="s">
        <v>521</v>
      </c>
      <c r="E49" s="374" t="s">
        <v>521</v>
      </c>
      <c r="F49" s="374" t="s">
        <v>521</v>
      </c>
      <c r="G49" s="374" t="s">
        <v>521</v>
      </c>
      <c r="H49" s="374" t="s">
        <v>521</v>
      </c>
      <c r="I49" s="374" t="s">
        <v>521</v>
      </c>
      <c r="J49" s="374"/>
      <c r="K49" s="4">
        <v>201</v>
      </c>
    </row>
    <row r="50" spans="1:11">
      <c r="A50" s="4">
        <v>202</v>
      </c>
      <c r="B50" s="239" t="s">
        <v>524</v>
      </c>
      <c r="C50" s="374" t="s">
        <v>521</v>
      </c>
      <c r="D50" s="374" t="s">
        <v>521</v>
      </c>
      <c r="E50" s="374" t="s">
        <v>521</v>
      </c>
      <c r="F50" s="374" t="s">
        <v>521</v>
      </c>
      <c r="G50" s="374" t="s">
        <v>521</v>
      </c>
      <c r="H50" s="374" t="s">
        <v>521</v>
      </c>
      <c r="I50" s="374" t="s">
        <v>521</v>
      </c>
      <c r="J50" s="374"/>
      <c r="K50" s="4">
        <v>202</v>
      </c>
    </row>
    <row r="51" spans="1:11">
      <c r="A51" s="4">
        <v>203</v>
      </c>
      <c r="B51" s="239" t="s">
        <v>525</v>
      </c>
      <c r="C51" s="374" t="s">
        <v>521</v>
      </c>
      <c r="D51" s="374" t="s">
        <v>521</v>
      </c>
      <c r="E51" s="374" t="s">
        <v>521</v>
      </c>
      <c r="F51" s="374" t="s">
        <v>521</v>
      </c>
      <c r="G51" s="374" t="s">
        <v>521</v>
      </c>
      <c r="H51" s="374" t="s">
        <v>521</v>
      </c>
      <c r="I51" s="374" t="s">
        <v>521</v>
      </c>
      <c r="J51" s="374"/>
      <c r="K51" s="4">
        <v>203</v>
      </c>
    </row>
    <row r="52" spans="1:11">
      <c r="A52" s="4">
        <v>204</v>
      </c>
      <c r="B52" s="239" t="s">
        <v>526</v>
      </c>
      <c r="C52" s="374" t="s">
        <v>521</v>
      </c>
      <c r="D52" s="374" t="s">
        <v>521</v>
      </c>
      <c r="E52" s="374" t="s">
        <v>521</v>
      </c>
      <c r="F52" s="374" t="s">
        <v>521</v>
      </c>
      <c r="G52" s="374" t="s">
        <v>521</v>
      </c>
      <c r="H52" s="374" t="s">
        <v>521</v>
      </c>
      <c r="I52" s="374" t="s">
        <v>521</v>
      </c>
      <c r="J52" s="374"/>
      <c r="K52" s="4">
        <v>204</v>
      </c>
    </row>
    <row r="53" spans="1:11">
      <c r="A53" s="4">
        <v>205</v>
      </c>
      <c r="B53" s="239" t="s">
        <v>812</v>
      </c>
      <c r="C53" s="374">
        <v>34291.25</v>
      </c>
      <c r="D53" s="374">
        <v>869493.94000000006</v>
      </c>
      <c r="E53" s="374">
        <v>5612.7199999999993</v>
      </c>
      <c r="F53" s="374">
        <v>37639.89</v>
      </c>
      <c r="G53" s="374">
        <v>8060.8000000000011</v>
      </c>
      <c r="H53" s="374">
        <v>1010885.31</v>
      </c>
      <c r="I53" s="374">
        <v>917.09999999999991</v>
      </c>
      <c r="J53" s="374"/>
      <c r="K53" s="4">
        <v>205</v>
      </c>
    </row>
    <row r="54" spans="1:11">
      <c r="A54" s="4">
        <v>206</v>
      </c>
      <c r="B54" s="239" t="s">
        <v>528</v>
      </c>
      <c r="C54" s="374">
        <v>34291.25</v>
      </c>
      <c r="D54" s="374">
        <v>869493.94000000006</v>
      </c>
      <c r="E54" s="374">
        <v>5612.7199999999993</v>
      </c>
      <c r="F54" s="374">
        <v>37639.89</v>
      </c>
      <c r="G54" s="374">
        <v>8060.8000000000011</v>
      </c>
      <c r="H54" s="374">
        <v>748409.81</v>
      </c>
      <c r="I54" s="374">
        <v>917.09999999999991</v>
      </c>
      <c r="J54" s="374"/>
      <c r="K54" s="4">
        <v>206</v>
      </c>
    </row>
    <row r="55" spans="1:11">
      <c r="A55" s="4">
        <v>207</v>
      </c>
      <c r="B55" s="239" t="s">
        <v>529</v>
      </c>
      <c r="C55" s="374">
        <v>34291.25</v>
      </c>
      <c r="D55" s="374">
        <v>869493.94000000006</v>
      </c>
      <c r="E55" s="374">
        <v>5612.7199999999993</v>
      </c>
      <c r="F55" s="374">
        <v>37639.89</v>
      </c>
      <c r="G55" s="374">
        <v>8060.8000000000011</v>
      </c>
      <c r="H55" s="374">
        <v>879647.56</v>
      </c>
      <c r="I55" s="374">
        <v>917.09999999999991</v>
      </c>
      <c r="J55" s="374"/>
      <c r="K55" s="4">
        <v>207</v>
      </c>
    </row>
    <row r="56" spans="1:11">
      <c r="A56" s="4">
        <v>208</v>
      </c>
      <c r="B56" s="239" t="s">
        <v>530</v>
      </c>
      <c r="C56" s="374">
        <v>34291.25</v>
      </c>
      <c r="D56" s="374">
        <v>869493.94000000006</v>
      </c>
      <c r="E56" s="374">
        <v>5612.7199999999993</v>
      </c>
      <c r="F56" s="374">
        <v>37639.89</v>
      </c>
      <c r="G56" s="374">
        <v>8060.8000000000011</v>
      </c>
      <c r="H56" s="374">
        <v>879647.56</v>
      </c>
      <c r="I56" s="374">
        <v>917.09999999999991</v>
      </c>
      <c r="J56" s="374"/>
      <c r="K56" s="4">
        <v>208</v>
      </c>
    </row>
    <row r="57" spans="1:11">
      <c r="A57" s="4">
        <v>209</v>
      </c>
      <c r="B57" s="239" t="s">
        <v>531</v>
      </c>
      <c r="C57" s="374">
        <v>34291.25</v>
      </c>
      <c r="D57" s="374">
        <v>627983.43999999959</v>
      </c>
      <c r="E57" s="374">
        <v>5612.7199999999993</v>
      </c>
      <c r="F57" s="374">
        <v>37639.89</v>
      </c>
      <c r="G57" s="374">
        <v>8060.8000000000011</v>
      </c>
      <c r="H57" s="374">
        <v>879647.50999999989</v>
      </c>
      <c r="I57" s="374">
        <v>917.09999999999991</v>
      </c>
      <c r="J57" s="374"/>
      <c r="K57" s="4">
        <v>209</v>
      </c>
    </row>
    <row r="58" spans="1:11">
      <c r="A58" s="4">
        <v>210</v>
      </c>
      <c r="B58" s="239" t="s">
        <v>532</v>
      </c>
      <c r="C58" s="374">
        <v>34291.25</v>
      </c>
      <c r="D58" s="374">
        <v>821191.84</v>
      </c>
      <c r="E58" s="374">
        <v>5612.7199999999993</v>
      </c>
      <c r="F58" s="374">
        <v>37639.89</v>
      </c>
      <c r="G58" s="374">
        <v>8060.8000000000011</v>
      </c>
      <c r="H58" s="374">
        <v>879647.55</v>
      </c>
      <c r="I58" s="374">
        <v>917.09999999999991</v>
      </c>
      <c r="J58" s="374"/>
      <c r="K58" s="4">
        <v>210</v>
      </c>
    </row>
    <row r="59" spans="1:11">
      <c r="A59" s="4">
        <v>211</v>
      </c>
      <c r="B59" s="239" t="s">
        <v>520</v>
      </c>
      <c r="C59" s="375">
        <v>34291.25</v>
      </c>
      <c r="D59" s="375">
        <v>821191.84</v>
      </c>
      <c r="E59" s="375">
        <v>0</v>
      </c>
      <c r="F59" s="375">
        <v>37639.89</v>
      </c>
      <c r="G59" s="375">
        <v>8060.8000000000011</v>
      </c>
      <c r="H59" s="375">
        <v>886159.53</v>
      </c>
      <c r="I59" s="375">
        <v>917.09999999999991</v>
      </c>
      <c r="J59" s="375"/>
      <c r="K59" s="4">
        <v>211</v>
      </c>
    </row>
    <row r="60" spans="1:11">
      <c r="A60" s="4">
        <v>212</v>
      </c>
      <c r="B60" s="670" t="s">
        <v>534</v>
      </c>
      <c r="C60" s="676">
        <v>240038.75</v>
      </c>
      <c r="D60" s="676">
        <v>5748342.8799999999</v>
      </c>
      <c r="E60" s="676">
        <v>33676.32</v>
      </c>
      <c r="F60" s="676">
        <v>263479.23000000004</v>
      </c>
      <c r="G60" s="676">
        <v>56425.600000000013</v>
      </c>
      <c r="H60" s="676">
        <v>6164044.8300000001</v>
      </c>
      <c r="I60" s="676">
        <v>6419.7000000000007</v>
      </c>
      <c r="J60" s="676">
        <v>0</v>
      </c>
      <c r="K60" s="4">
        <v>212</v>
      </c>
    </row>
    <row r="62" spans="1:11">
      <c r="B62" s="41" t="s">
        <v>955</v>
      </c>
      <c r="C62" s="41"/>
      <c r="D62" s="41"/>
      <c r="E62" s="41"/>
      <c r="F62" s="41"/>
      <c r="G62" s="41"/>
      <c r="H62" s="41"/>
      <c r="I62" s="41"/>
      <c r="J62" s="41"/>
    </row>
    <row r="63" spans="1:11">
      <c r="B63" s="5"/>
      <c r="C63" s="5"/>
      <c r="D63" s="5"/>
      <c r="E63" s="5"/>
      <c r="F63" s="5"/>
      <c r="G63" s="5"/>
      <c r="H63" s="5"/>
      <c r="I63" s="5"/>
      <c r="J63" s="5"/>
    </row>
    <row r="64" spans="1:11">
      <c r="B64" s="105" t="s">
        <v>952</v>
      </c>
      <c r="K64"/>
    </row>
    <row r="65" spans="1:11" ht="29">
      <c r="A65" s="3" t="s">
        <v>90</v>
      </c>
      <c r="B65" s="675" t="s">
        <v>511</v>
      </c>
      <c r="C65" s="633" t="s">
        <v>425</v>
      </c>
      <c r="D65" s="633" t="s">
        <v>426</v>
      </c>
      <c r="E65" s="633" t="s">
        <v>429</v>
      </c>
      <c r="K65" s="3" t="s">
        <v>90</v>
      </c>
    </row>
    <row r="66" spans="1:11">
      <c r="A66" s="4">
        <v>300</v>
      </c>
      <c r="B66" s="241" t="s">
        <v>522</v>
      </c>
      <c r="C66" s="367">
        <v>62993.097468757886</v>
      </c>
      <c r="D66" s="369">
        <v>947</v>
      </c>
      <c r="E66" s="367">
        <v>46523.22436</v>
      </c>
      <c r="K66" s="4">
        <v>300</v>
      </c>
    </row>
    <row r="67" spans="1:11">
      <c r="A67" s="4">
        <v>301</v>
      </c>
      <c r="B67" s="239" t="s">
        <v>523</v>
      </c>
      <c r="C67" s="367">
        <v>53535.032153222346</v>
      </c>
      <c r="D67" s="369">
        <v>1059</v>
      </c>
      <c r="E67" s="367">
        <v>47853.89352000002</v>
      </c>
      <c r="K67" s="4">
        <v>301</v>
      </c>
    </row>
    <row r="68" spans="1:11">
      <c r="A68" s="4">
        <v>302</v>
      </c>
      <c r="B68" s="239" t="s">
        <v>524</v>
      </c>
      <c r="C68" s="367">
        <v>83883.034416807684</v>
      </c>
      <c r="D68" s="369">
        <v>416</v>
      </c>
      <c r="E68" s="367">
        <v>62370.631799999981</v>
      </c>
      <c r="K68" s="4">
        <v>302</v>
      </c>
    </row>
    <row r="69" spans="1:11">
      <c r="A69" s="4">
        <v>303</v>
      </c>
      <c r="B69" s="239" t="s">
        <v>525</v>
      </c>
      <c r="C69" s="367">
        <v>54924.744330569869</v>
      </c>
      <c r="D69" s="369">
        <v>481</v>
      </c>
      <c r="E69" s="367">
        <v>57439.274640000003</v>
      </c>
      <c r="K69" s="4">
        <v>303</v>
      </c>
    </row>
    <row r="70" spans="1:11">
      <c r="A70" s="4">
        <v>304</v>
      </c>
      <c r="B70" s="239" t="s">
        <v>526</v>
      </c>
      <c r="C70" s="367">
        <v>55319.179288325409</v>
      </c>
      <c r="D70" s="369">
        <v>776</v>
      </c>
      <c r="E70" s="367">
        <v>59454.491599999994</v>
      </c>
      <c r="K70" s="4">
        <v>304</v>
      </c>
    </row>
    <row r="71" spans="1:11">
      <c r="A71" s="4">
        <v>305</v>
      </c>
      <c r="B71" s="239" t="s">
        <v>812</v>
      </c>
      <c r="C71" s="367">
        <v>54153.929175064673</v>
      </c>
      <c r="D71" s="369">
        <v>697</v>
      </c>
      <c r="E71" s="367">
        <v>64202.987319999993</v>
      </c>
      <c r="K71" s="4">
        <v>305</v>
      </c>
    </row>
    <row r="72" spans="1:11">
      <c r="A72" s="4">
        <v>306</v>
      </c>
      <c r="B72" s="239" t="s">
        <v>528</v>
      </c>
      <c r="C72" s="367">
        <v>52794.81975319497</v>
      </c>
      <c r="D72" s="369">
        <v>572</v>
      </c>
      <c r="E72" s="367">
        <v>62311.87739999999</v>
      </c>
      <c r="K72" s="4">
        <v>306</v>
      </c>
    </row>
    <row r="73" spans="1:11">
      <c r="A73" s="4">
        <v>307</v>
      </c>
      <c r="B73" s="239" t="s">
        <v>529</v>
      </c>
      <c r="C73" s="367">
        <v>57665.804431317578</v>
      </c>
      <c r="D73" s="369">
        <v>458</v>
      </c>
      <c r="E73" s="367">
        <v>58365.566280000006</v>
      </c>
      <c r="K73" s="4">
        <v>307</v>
      </c>
    </row>
    <row r="74" spans="1:11">
      <c r="A74" s="4">
        <v>308</v>
      </c>
      <c r="B74" s="239" t="s">
        <v>530</v>
      </c>
      <c r="C74" s="367">
        <v>59583.443556686572</v>
      </c>
      <c r="D74" s="369">
        <v>139</v>
      </c>
      <c r="E74" s="367">
        <v>56273.062080000003</v>
      </c>
      <c r="K74" s="4">
        <v>308</v>
      </c>
    </row>
    <row r="75" spans="1:11">
      <c r="A75" s="4">
        <v>309</v>
      </c>
      <c r="B75" s="239" t="s">
        <v>531</v>
      </c>
      <c r="C75" s="367">
        <v>62311.616086285772</v>
      </c>
      <c r="D75" s="369">
        <v>137</v>
      </c>
      <c r="E75" s="367">
        <v>48906.04127999999</v>
      </c>
      <c r="K75" s="4">
        <v>309</v>
      </c>
    </row>
    <row r="76" spans="1:11">
      <c r="A76" s="4">
        <v>310</v>
      </c>
      <c r="B76" s="239" t="s">
        <v>532</v>
      </c>
      <c r="C76" s="367">
        <v>61333.689176848748</v>
      </c>
      <c r="D76" s="369">
        <v>362</v>
      </c>
      <c r="E76" s="367">
        <v>39271.132120000002</v>
      </c>
      <c r="K76" s="4">
        <v>310</v>
      </c>
    </row>
    <row r="77" spans="1:11">
      <c r="A77" s="4">
        <v>311</v>
      </c>
      <c r="B77" s="239" t="s">
        <v>520</v>
      </c>
      <c r="C77" s="372">
        <v>64338.200147213152</v>
      </c>
      <c r="D77" s="369">
        <v>0</v>
      </c>
      <c r="E77" s="372">
        <v>39771.938039999994</v>
      </c>
      <c r="K77" s="4">
        <v>311</v>
      </c>
    </row>
    <row r="78" spans="1:11">
      <c r="A78" s="4">
        <v>312</v>
      </c>
      <c r="B78" s="670" t="s">
        <v>534</v>
      </c>
      <c r="C78" s="671">
        <v>722836.58998429461</v>
      </c>
      <c r="D78" s="671">
        <v>6044</v>
      </c>
      <c r="E78" s="671">
        <v>642744.12044000009</v>
      </c>
      <c r="K78" s="4">
        <v>312</v>
      </c>
    </row>
    <row r="80" spans="1:11" s="540" customFormat="1">
      <c r="A80" s="539"/>
      <c r="B80" s="568" t="s">
        <v>953</v>
      </c>
      <c r="K80" s="539"/>
    </row>
    <row r="81" spans="1:15" s="540" customFormat="1" ht="29">
      <c r="A81" s="569" t="s">
        <v>90</v>
      </c>
      <c r="B81" s="677" t="s">
        <v>511</v>
      </c>
      <c r="C81" s="672" t="s">
        <v>425</v>
      </c>
      <c r="D81" s="672" t="s">
        <v>426</v>
      </c>
      <c r="E81" s="672" t="s">
        <v>429</v>
      </c>
      <c r="K81" s="569" t="s">
        <v>90</v>
      </c>
    </row>
    <row r="82" spans="1:15" s="540" customFormat="1">
      <c r="A82" s="570">
        <v>313</v>
      </c>
      <c r="B82" s="571" t="s">
        <v>522</v>
      </c>
      <c r="C82" s="572">
        <v>33783.317277955364</v>
      </c>
      <c r="D82" s="369">
        <v>734</v>
      </c>
      <c r="E82" s="572">
        <v>25707.038080000002</v>
      </c>
      <c r="F82" s="647"/>
      <c r="K82" s="570">
        <v>313</v>
      </c>
    </row>
    <row r="83" spans="1:15" s="540" customFormat="1">
      <c r="A83" s="570">
        <v>314</v>
      </c>
      <c r="B83" s="576" t="s">
        <v>523</v>
      </c>
      <c r="C83" s="572">
        <v>32577.199668818306</v>
      </c>
      <c r="D83" s="369">
        <v>1055</v>
      </c>
      <c r="E83" s="572">
        <v>27032.316520000008</v>
      </c>
      <c r="F83" s="647"/>
      <c r="K83" s="570">
        <v>314</v>
      </c>
    </row>
    <row r="84" spans="1:15" s="540" customFormat="1">
      <c r="A84" s="570">
        <v>315</v>
      </c>
      <c r="B84" s="576" t="s">
        <v>524</v>
      </c>
      <c r="C84" s="572">
        <v>59556.175845082253</v>
      </c>
      <c r="D84" s="369">
        <v>672</v>
      </c>
      <c r="E84" s="572">
        <v>29643.277359999989</v>
      </c>
      <c r="F84" s="647"/>
      <c r="K84" s="570">
        <v>315</v>
      </c>
      <c r="O84" s="541"/>
    </row>
    <row r="85" spans="1:15" s="540" customFormat="1">
      <c r="A85" s="570">
        <v>316</v>
      </c>
      <c r="B85" s="576" t="s">
        <v>525</v>
      </c>
      <c r="C85" s="572">
        <v>32638.20312000018</v>
      </c>
      <c r="D85" s="369">
        <v>481</v>
      </c>
      <c r="E85" s="572">
        <v>35634.380879999997</v>
      </c>
      <c r="F85" s="647"/>
      <c r="K85" s="570">
        <v>316</v>
      </c>
    </row>
    <row r="86" spans="1:15" s="540" customFormat="1">
      <c r="A86" s="570">
        <v>317</v>
      </c>
      <c r="B86" s="576" t="s">
        <v>526</v>
      </c>
      <c r="C86" s="572">
        <v>33731.192721349122</v>
      </c>
      <c r="D86" s="369">
        <v>776</v>
      </c>
      <c r="E86" s="572">
        <v>39726.988319999997</v>
      </c>
      <c r="F86" s="647"/>
      <c r="K86" s="570">
        <v>317</v>
      </c>
    </row>
    <row r="87" spans="1:15" s="540" customFormat="1">
      <c r="A87" s="570">
        <v>318</v>
      </c>
      <c r="B87" s="576" t="s">
        <v>812</v>
      </c>
      <c r="C87" s="572">
        <v>33960.256102991509</v>
      </c>
      <c r="D87" s="369">
        <v>697</v>
      </c>
      <c r="E87" s="572">
        <v>44228.807560000001</v>
      </c>
      <c r="F87" s="647"/>
      <c r="K87" s="570">
        <v>318</v>
      </c>
    </row>
    <row r="88" spans="1:15" s="540" customFormat="1">
      <c r="A88" s="570">
        <v>319</v>
      </c>
      <c r="B88" s="576" t="s">
        <v>528</v>
      </c>
      <c r="C88" s="572">
        <v>32156.602605274471</v>
      </c>
      <c r="D88" s="369">
        <v>572</v>
      </c>
      <c r="E88" s="572">
        <v>43446.734920000003</v>
      </c>
      <c r="F88" s="647"/>
      <c r="K88" s="570">
        <v>319</v>
      </c>
    </row>
    <row r="89" spans="1:15" s="540" customFormat="1">
      <c r="A89" s="570">
        <v>320</v>
      </c>
      <c r="B89" s="576" t="s">
        <v>529</v>
      </c>
      <c r="C89" s="572">
        <v>35799.800261039745</v>
      </c>
      <c r="D89" s="369">
        <v>458</v>
      </c>
      <c r="E89" s="572">
        <v>39706.859360000002</v>
      </c>
      <c r="F89" s="647"/>
      <c r="K89" s="570">
        <v>320</v>
      </c>
    </row>
    <row r="90" spans="1:15" s="540" customFormat="1">
      <c r="A90" s="570">
        <v>321</v>
      </c>
      <c r="B90" s="576" t="s">
        <v>530</v>
      </c>
      <c r="C90" s="572">
        <v>37367.394266567564</v>
      </c>
      <c r="D90" s="369">
        <v>139</v>
      </c>
      <c r="E90" s="572">
        <v>33773.139599999995</v>
      </c>
      <c r="F90" s="647"/>
      <c r="K90" s="570">
        <v>321</v>
      </c>
    </row>
    <row r="91" spans="1:15" s="540" customFormat="1">
      <c r="A91" s="570">
        <v>322</v>
      </c>
      <c r="B91" s="576" t="s">
        <v>531</v>
      </c>
      <c r="C91" s="572">
        <v>37675.902533804081</v>
      </c>
      <c r="D91" s="369">
        <v>137</v>
      </c>
      <c r="E91" s="572">
        <v>25332.987799999999</v>
      </c>
      <c r="F91" s="647"/>
      <c r="K91" s="570">
        <v>322</v>
      </c>
    </row>
    <row r="92" spans="1:15" s="540" customFormat="1">
      <c r="A92" s="570">
        <v>323</v>
      </c>
      <c r="B92" s="576" t="s">
        <v>532</v>
      </c>
      <c r="C92" s="572">
        <v>37180.483616848702</v>
      </c>
      <c r="D92" s="369">
        <v>362</v>
      </c>
      <c r="E92" s="572">
        <v>17106.020000000004</v>
      </c>
      <c r="F92" s="647"/>
      <c r="K92" s="570">
        <v>323</v>
      </c>
    </row>
    <row r="93" spans="1:15" s="540" customFormat="1">
      <c r="A93" s="570">
        <v>324</v>
      </c>
      <c r="B93" s="576" t="s">
        <v>520</v>
      </c>
      <c r="C93" s="578">
        <v>37945.402027213124</v>
      </c>
      <c r="D93" s="369">
        <v>0</v>
      </c>
      <c r="E93" s="578">
        <v>22244.073479999999</v>
      </c>
      <c r="F93" s="647"/>
      <c r="K93" s="570">
        <v>324</v>
      </c>
    </row>
    <row r="94" spans="1:15" s="540" customFormat="1">
      <c r="A94" s="570">
        <v>325</v>
      </c>
      <c r="B94" s="673" t="s">
        <v>534</v>
      </c>
      <c r="C94" s="674">
        <v>444371.93004694441</v>
      </c>
      <c r="D94" s="674">
        <v>6083</v>
      </c>
      <c r="E94" s="674">
        <v>383582.62388000003</v>
      </c>
      <c r="K94" s="570">
        <v>325</v>
      </c>
    </row>
    <row r="95" spans="1:15" s="519" customFormat="1">
      <c r="A95" s="518"/>
      <c r="K95" s="518"/>
    </row>
    <row r="96" spans="1:15">
      <c r="B96" s="580" t="s">
        <v>956</v>
      </c>
      <c r="C96" s="41"/>
      <c r="D96" s="41"/>
      <c r="E96" s="41"/>
      <c r="F96" s="41"/>
      <c r="G96" s="41"/>
      <c r="H96" s="41"/>
      <c r="I96" s="41"/>
      <c r="J96" s="41"/>
    </row>
    <row r="97" spans="1:11">
      <c r="B97" s="5"/>
      <c r="C97" s="5"/>
      <c r="D97" s="5"/>
      <c r="E97" s="5"/>
      <c r="F97" s="5"/>
      <c r="G97" s="5"/>
      <c r="H97" s="5"/>
      <c r="I97" s="5"/>
      <c r="J97" s="5"/>
    </row>
    <row r="98" spans="1:11" ht="29">
      <c r="A98" s="3" t="s">
        <v>90</v>
      </c>
      <c r="B98" s="675" t="s">
        <v>511</v>
      </c>
      <c r="C98" s="666" t="s">
        <v>425</v>
      </c>
      <c r="D98" s="666" t="s">
        <v>426</v>
      </c>
      <c r="E98" s="666" t="s">
        <v>429</v>
      </c>
      <c r="K98" s="3" t="s">
        <v>90</v>
      </c>
    </row>
    <row r="99" spans="1:11">
      <c r="A99" s="4">
        <v>400</v>
      </c>
      <c r="B99" s="241" t="s">
        <v>522</v>
      </c>
      <c r="C99" s="374" t="s">
        <v>521</v>
      </c>
      <c r="D99" s="374" t="s">
        <v>521</v>
      </c>
      <c r="E99" s="374" t="s">
        <v>521</v>
      </c>
      <c r="K99" s="4">
        <v>400</v>
      </c>
    </row>
    <row r="100" spans="1:11">
      <c r="A100" s="4">
        <v>401</v>
      </c>
      <c r="B100" s="239" t="s">
        <v>523</v>
      </c>
      <c r="C100" s="374" t="s">
        <v>521</v>
      </c>
      <c r="D100" s="374" t="s">
        <v>521</v>
      </c>
      <c r="E100" s="374" t="s">
        <v>521</v>
      </c>
      <c r="K100" s="4">
        <v>401</v>
      </c>
    </row>
    <row r="101" spans="1:11">
      <c r="A101" s="4">
        <v>402</v>
      </c>
      <c r="B101" s="239" t="s">
        <v>524</v>
      </c>
      <c r="C101" s="374" t="s">
        <v>521</v>
      </c>
      <c r="D101" s="374" t="s">
        <v>521</v>
      </c>
      <c r="E101" s="374" t="s">
        <v>521</v>
      </c>
      <c r="K101" s="4">
        <v>402</v>
      </c>
    </row>
    <row r="102" spans="1:11">
      <c r="A102" s="4">
        <v>403</v>
      </c>
      <c r="B102" s="239" t="s">
        <v>525</v>
      </c>
      <c r="C102" s="374" t="s">
        <v>521</v>
      </c>
      <c r="D102" s="374" t="s">
        <v>521</v>
      </c>
      <c r="E102" s="374" t="s">
        <v>521</v>
      </c>
      <c r="K102" s="4">
        <v>403</v>
      </c>
    </row>
    <row r="103" spans="1:11">
      <c r="A103" s="4">
        <v>404</v>
      </c>
      <c r="B103" s="239" t="s">
        <v>526</v>
      </c>
      <c r="C103" s="374" t="s">
        <v>521</v>
      </c>
      <c r="D103" s="374" t="s">
        <v>521</v>
      </c>
      <c r="E103" s="374" t="s">
        <v>521</v>
      </c>
      <c r="K103" s="4">
        <v>404</v>
      </c>
    </row>
    <row r="104" spans="1:11">
      <c r="A104" s="4">
        <v>405</v>
      </c>
      <c r="B104" s="239" t="s">
        <v>812</v>
      </c>
      <c r="C104" s="374">
        <v>821484.41000000015</v>
      </c>
      <c r="D104" s="374">
        <v>8751.8340000000007</v>
      </c>
      <c r="E104" s="374">
        <v>572779.28</v>
      </c>
      <c r="K104" s="4">
        <v>405</v>
      </c>
    </row>
    <row r="105" spans="1:11">
      <c r="A105" s="4">
        <v>406</v>
      </c>
      <c r="B105" s="239" t="s">
        <v>528</v>
      </c>
      <c r="C105" s="374">
        <v>821491.66000000015</v>
      </c>
      <c r="D105" s="374">
        <v>8751.8340000000007</v>
      </c>
      <c r="E105" s="374">
        <v>463514.42000000004</v>
      </c>
      <c r="K105" s="4">
        <v>406</v>
      </c>
    </row>
    <row r="106" spans="1:11">
      <c r="A106" s="4">
        <v>407</v>
      </c>
      <c r="B106" s="239" t="s">
        <v>529</v>
      </c>
      <c r="C106" s="374">
        <v>820717.92</v>
      </c>
      <c r="D106" s="374">
        <v>8751.8340000000007</v>
      </c>
      <c r="E106" s="374">
        <v>518146.85000000003</v>
      </c>
      <c r="K106" s="4">
        <v>407</v>
      </c>
    </row>
    <row r="107" spans="1:11">
      <c r="A107" s="4">
        <v>408</v>
      </c>
      <c r="B107" s="239" t="s">
        <v>530</v>
      </c>
      <c r="C107" s="374">
        <v>905647.46000000008</v>
      </c>
      <c r="D107" s="374">
        <v>8751.8340000000007</v>
      </c>
      <c r="E107" s="374">
        <v>517906.53</v>
      </c>
      <c r="K107" s="4">
        <v>408</v>
      </c>
    </row>
    <row r="108" spans="1:11">
      <c r="A108" s="4">
        <v>409</v>
      </c>
      <c r="B108" s="239" t="s">
        <v>531</v>
      </c>
      <c r="C108" s="374">
        <v>757649.72</v>
      </c>
      <c r="D108" s="374">
        <v>8751.8340000000007</v>
      </c>
      <c r="E108" s="374">
        <v>519651.77000000014</v>
      </c>
      <c r="K108" s="4">
        <v>409</v>
      </c>
    </row>
    <row r="109" spans="1:11">
      <c r="A109" s="4">
        <v>410</v>
      </c>
      <c r="B109" s="239" t="s">
        <v>532</v>
      </c>
      <c r="C109" s="374">
        <v>825251.91999999993</v>
      </c>
      <c r="D109" s="374">
        <v>8751.8340000000007</v>
      </c>
      <c r="E109" s="374">
        <v>518399.77</v>
      </c>
      <c r="K109" s="4">
        <v>410</v>
      </c>
    </row>
    <row r="110" spans="1:11">
      <c r="A110" s="4">
        <v>411</v>
      </c>
      <c r="B110" s="239" t="s">
        <v>520</v>
      </c>
      <c r="C110" s="375">
        <v>823322.31999999983</v>
      </c>
      <c r="D110" s="375">
        <v>0</v>
      </c>
      <c r="E110" s="375">
        <v>518399.77</v>
      </c>
      <c r="K110" s="4">
        <v>411</v>
      </c>
    </row>
    <row r="111" spans="1:11">
      <c r="A111" s="4">
        <v>412</v>
      </c>
      <c r="B111" s="670" t="s">
        <v>534</v>
      </c>
      <c r="C111" s="676">
        <v>5775565.4100000001</v>
      </c>
      <c r="D111" s="676">
        <v>52511.004000000008</v>
      </c>
      <c r="E111" s="676">
        <v>3628798.39</v>
      </c>
      <c r="K111" s="4">
        <v>412</v>
      </c>
    </row>
    <row r="112" spans="1:11">
      <c r="K112"/>
    </row>
    <row r="113" spans="2:10">
      <c r="B113" s="739" t="s">
        <v>957</v>
      </c>
      <c r="C113" s="739"/>
      <c r="D113" s="739"/>
      <c r="E113" s="739"/>
      <c r="F113" s="739"/>
      <c r="G113" s="739"/>
      <c r="H113" s="739"/>
      <c r="I113" s="739"/>
      <c r="J113" s="739"/>
    </row>
    <row r="114" spans="2:10">
      <c r="B114" s="739"/>
      <c r="C114" s="739"/>
      <c r="D114" s="739"/>
      <c r="E114" s="739"/>
      <c r="F114" s="739"/>
      <c r="G114" s="739"/>
      <c r="H114" s="739"/>
      <c r="I114" s="739"/>
      <c r="J114" s="739"/>
    </row>
    <row r="115" spans="2:10">
      <c r="B115" s="8" t="s">
        <v>958</v>
      </c>
    </row>
  </sheetData>
  <mergeCells count="3">
    <mergeCell ref="B6:J8"/>
    <mergeCell ref="B9:J10"/>
    <mergeCell ref="B113:J114"/>
  </mergeCells>
  <printOptions horizontalCentered="1"/>
  <pageMargins left="1" right="1" top="1" bottom="1" header="0.5" footer="0.5"/>
  <pageSetup scale="26" orientation="landscape" r:id="rId1"/>
  <headerFooter>
    <oddHeader>&amp;RDocket No. ER20-2878-000, et al.- Annual Update RY2024
&amp;F</oddHeader>
  </headerFooter>
  <rowBreaks count="1" manualBreakCount="1">
    <brk id="61" max="1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12939-E0C6-4D87-88FE-80CA996E1C56}">
  <sheetPr codeName="Sheet16">
    <tabColor rgb="FF92D050"/>
    <pageSetUpPr fitToPage="1"/>
  </sheetPr>
  <dimension ref="A1:AG138"/>
  <sheetViews>
    <sheetView view="pageBreakPreview" topLeftCell="A58" zoomScale="25" zoomScaleNormal="90" zoomScaleSheetLayoutView="25" zoomScalePageLayoutView="70" workbookViewId="0">
      <selection activeCell="W98" sqref="W98"/>
    </sheetView>
  </sheetViews>
  <sheetFormatPr defaultColWidth="8.81640625" defaultRowHeight="14.5"/>
  <cols>
    <col min="1" max="1" width="4.7265625" style="21" bestFit="1" customWidth="1"/>
    <col min="2" max="2" width="14" customWidth="1"/>
    <col min="3" max="3" width="14.453125" customWidth="1"/>
    <col min="4" max="4" width="17.81640625" customWidth="1"/>
    <col min="5" max="5" width="23" customWidth="1"/>
    <col min="6" max="6" width="20.453125" customWidth="1"/>
    <col min="7" max="7" width="21.1796875" customWidth="1"/>
    <col min="8" max="9" width="22" customWidth="1"/>
    <col min="10" max="29" width="17.81640625" customWidth="1"/>
    <col min="30" max="30" width="4.7265625" style="21" bestFit="1" customWidth="1"/>
    <col min="32" max="32" width="18.81640625" bestFit="1" customWidth="1"/>
    <col min="33" max="33" width="12.1796875" bestFit="1" customWidth="1"/>
  </cols>
  <sheetData>
    <row r="1" spans="1:33">
      <c r="B1" s="2" t="s">
        <v>959</v>
      </c>
      <c r="C1" s="2"/>
      <c r="H1" s="101"/>
      <c r="N1" s="8"/>
      <c r="AC1" s="6" t="str">
        <f>CONCATENATE("Prior Year: ",'1-DRR Corrected'!$K$2)</f>
        <v>Prior Year: 2021</v>
      </c>
    </row>
    <row r="2" spans="1:33">
      <c r="B2" s="78" t="s">
        <v>120</v>
      </c>
      <c r="C2" s="38"/>
      <c r="N2" s="8"/>
      <c r="AC2" s="4"/>
    </row>
    <row r="3" spans="1:33">
      <c r="A3" s="80"/>
      <c r="B3" s="105"/>
      <c r="AD3" s="80"/>
    </row>
    <row r="4" spans="1:33">
      <c r="B4" s="45" t="s">
        <v>960</v>
      </c>
      <c r="C4" s="45"/>
      <c r="D4" s="43"/>
      <c r="E4" s="43"/>
      <c r="F4" s="43"/>
      <c r="G4" s="43"/>
      <c r="H4" s="43"/>
      <c r="I4" s="43"/>
      <c r="J4" s="43"/>
      <c r="K4" s="43"/>
      <c r="L4" s="43"/>
      <c r="M4" s="43"/>
      <c r="N4" s="43"/>
      <c r="O4" s="43"/>
      <c r="P4" s="43"/>
      <c r="Q4" s="43"/>
      <c r="R4" s="43"/>
      <c r="S4" s="43"/>
      <c r="T4" s="43"/>
      <c r="U4" s="43"/>
      <c r="V4" s="43"/>
      <c r="W4" s="43"/>
      <c r="X4" s="43"/>
      <c r="Y4" s="43"/>
      <c r="Z4" s="43"/>
      <c r="AA4" s="43"/>
      <c r="AB4" s="43"/>
      <c r="AC4" s="43"/>
    </row>
    <row r="5" spans="1:33">
      <c r="A5" s="4"/>
      <c r="B5" s="378" t="s">
        <v>961</v>
      </c>
      <c r="C5" s="8"/>
      <c r="M5" s="8"/>
      <c r="N5" s="21"/>
      <c r="O5" s="379"/>
    </row>
    <row r="6" spans="1:33">
      <c r="A6" s="4"/>
      <c r="B6" s="378" t="s">
        <v>962</v>
      </c>
      <c r="C6" s="8"/>
      <c r="M6" s="8"/>
      <c r="N6" s="21"/>
      <c r="O6" s="379"/>
    </row>
    <row r="7" spans="1:33">
      <c r="A7" s="4"/>
      <c r="B7" s="378"/>
      <c r="C7" s="8"/>
      <c r="M7" s="8"/>
      <c r="N7" s="21"/>
      <c r="O7" s="379"/>
    </row>
    <row r="8" spans="1:33">
      <c r="A8" s="4"/>
      <c r="D8" s="83" t="s">
        <v>122</v>
      </c>
      <c r="E8" s="83" t="s">
        <v>123</v>
      </c>
      <c r="F8" s="83" t="s">
        <v>124</v>
      </c>
      <c r="G8" s="83" t="s">
        <v>125</v>
      </c>
      <c r="H8" s="83" t="s">
        <v>490</v>
      </c>
      <c r="I8" s="83" t="s">
        <v>491</v>
      </c>
      <c r="J8" s="83" t="s">
        <v>492</v>
      </c>
      <c r="K8" s="83" t="s">
        <v>493</v>
      </c>
      <c r="L8" s="83" t="s">
        <v>494</v>
      </c>
      <c r="M8" s="83" t="s">
        <v>768</v>
      </c>
      <c r="N8" s="83" t="s">
        <v>769</v>
      </c>
      <c r="O8" s="83" t="s">
        <v>770</v>
      </c>
      <c r="P8" s="83" t="s">
        <v>771</v>
      </c>
      <c r="Q8" s="83" t="s">
        <v>772</v>
      </c>
      <c r="R8" s="83" t="s">
        <v>773</v>
      </c>
      <c r="S8" s="83" t="s">
        <v>774</v>
      </c>
      <c r="T8" s="83" t="s">
        <v>775</v>
      </c>
      <c r="U8" s="83" t="s">
        <v>776</v>
      </c>
      <c r="V8" s="83" t="s">
        <v>777</v>
      </c>
      <c r="W8" s="83" t="s">
        <v>778</v>
      </c>
      <c r="X8" s="83" t="s">
        <v>779</v>
      </c>
      <c r="Y8" s="83" t="s">
        <v>780</v>
      </c>
      <c r="Z8" s="83" t="s">
        <v>781</v>
      </c>
      <c r="AA8" s="83" t="s">
        <v>782</v>
      </c>
      <c r="AB8" s="83" t="s">
        <v>783</v>
      </c>
      <c r="AC8" s="83" t="s">
        <v>784</v>
      </c>
    </row>
    <row r="9" spans="1:33">
      <c r="B9" s="4"/>
      <c r="C9" s="4"/>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133" t="s">
        <v>785</v>
      </c>
    </row>
    <row r="10" spans="1:33">
      <c r="B10" s="4"/>
      <c r="C10" s="4"/>
      <c r="L10" s="107"/>
      <c r="R10" s="21"/>
      <c r="S10" s="21"/>
      <c r="T10" s="21"/>
      <c r="AC10" s="21"/>
    </row>
    <row r="11" spans="1:33">
      <c r="C11" s="90" t="s">
        <v>786</v>
      </c>
      <c r="D11" s="84">
        <v>360</v>
      </c>
      <c r="E11" s="84">
        <v>360</v>
      </c>
      <c r="F11" s="84">
        <v>361</v>
      </c>
      <c r="G11" s="84">
        <v>361</v>
      </c>
      <c r="H11" s="84">
        <v>362</v>
      </c>
      <c r="I11" s="84">
        <v>363</v>
      </c>
      <c r="J11" s="84">
        <v>363</v>
      </c>
      <c r="K11" s="84">
        <v>364</v>
      </c>
      <c r="L11" s="84">
        <v>365</v>
      </c>
      <c r="M11" s="84">
        <v>366</v>
      </c>
      <c r="N11" s="84">
        <v>367</v>
      </c>
      <c r="O11" s="84">
        <v>368</v>
      </c>
      <c r="P11" s="84">
        <v>368</v>
      </c>
      <c r="Q11" s="84">
        <v>369</v>
      </c>
      <c r="R11" s="84">
        <v>369</v>
      </c>
      <c r="S11" s="84">
        <v>370</v>
      </c>
      <c r="T11" s="84">
        <v>370</v>
      </c>
      <c r="U11" s="84">
        <v>371</v>
      </c>
      <c r="V11" s="84">
        <v>371</v>
      </c>
      <c r="W11" s="84">
        <v>371</v>
      </c>
      <c r="X11" s="84">
        <v>372</v>
      </c>
      <c r="Y11" s="84">
        <v>373</v>
      </c>
      <c r="Z11" s="84">
        <v>373</v>
      </c>
      <c r="AA11" s="84">
        <v>373</v>
      </c>
      <c r="AB11" s="84">
        <v>373</v>
      </c>
    </row>
    <row r="12" spans="1:33">
      <c r="A12" s="80" t="s">
        <v>90</v>
      </c>
      <c r="B12" s="80" t="s">
        <v>511</v>
      </c>
      <c r="C12" s="80" t="s">
        <v>512</v>
      </c>
      <c r="D12" s="83" t="s">
        <v>787</v>
      </c>
      <c r="E12" s="83" t="s">
        <v>788</v>
      </c>
      <c r="F12" s="83" t="s">
        <v>789</v>
      </c>
      <c r="G12" s="83" t="s">
        <v>790</v>
      </c>
      <c r="H12" s="83" t="s">
        <v>791</v>
      </c>
      <c r="I12" s="83" t="s">
        <v>792</v>
      </c>
      <c r="J12" s="83" t="s">
        <v>793</v>
      </c>
      <c r="K12" s="83" t="s">
        <v>794</v>
      </c>
      <c r="L12" s="83" t="s">
        <v>795</v>
      </c>
      <c r="M12" s="83" t="s">
        <v>796</v>
      </c>
      <c r="N12" s="83" t="s">
        <v>797</v>
      </c>
      <c r="O12" s="83" t="s">
        <v>798</v>
      </c>
      <c r="P12" s="83" t="s">
        <v>799</v>
      </c>
      <c r="Q12" s="83" t="s">
        <v>800</v>
      </c>
      <c r="R12" s="83" t="s">
        <v>801</v>
      </c>
      <c r="S12" s="83" t="s">
        <v>802</v>
      </c>
      <c r="T12" s="83" t="s">
        <v>803</v>
      </c>
      <c r="U12" s="83" t="s">
        <v>804</v>
      </c>
      <c r="V12" s="83" t="s">
        <v>805</v>
      </c>
      <c r="W12" s="83" t="s">
        <v>806</v>
      </c>
      <c r="X12" s="83" t="s">
        <v>807</v>
      </c>
      <c r="Y12" s="83" t="s">
        <v>808</v>
      </c>
      <c r="Z12" s="83" t="s">
        <v>809</v>
      </c>
      <c r="AA12" s="83" t="s">
        <v>810</v>
      </c>
      <c r="AB12" s="83" t="s">
        <v>811</v>
      </c>
      <c r="AC12" s="80" t="s">
        <v>534</v>
      </c>
      <c r="AD12" s="80" t="str">
        <f t="shared" ref="AD12:AD26" si="0">A12</f>
        <v>Line</v>
      </c>
    </row>
    <row r="13" spans="1:33">
      <c r="A13" s="91">
        <v>100</v>
      </c>
      <c r="B13" s="378" t="s">
        <v>520</v>
      </c>
      <c r="C13" s="140">
        <f>'1-DRR Corrected'!$K$2-1</f>
        <v>2020</v>
      </c>
      <c r="D13" s="272">
        <v>12.978658112499978</v>
      </c>
      <c r="E13" s="272">
        <v>14432815.708112346</v>
      </c>
      <c r="F13" s="272">
        <v>108131395.33413897</v>
      </c>
      <c r="G13" s="650">
        <v>10605800.563249271</v>
      </c>
      <c r="H13" s="272">
        <v>1131343505.1308358</v>
      </c>
      <c r="I13" s="272">
        <v>629292.68000000005</v>
      </c>
      <c r="J13" s="272">
        <v>14827148.080000002</v>
      </c>
      <c r="K13" s="650">
        <v>2696275164.3599668</v>
      </c>
      <c r="L13" s="650">
        <v>2782146553.2666235</v>
      </c>
      <c r="M13" s="272">
        <v>1232746769.2360809</v>
      </c>
      <c r="N13" s="272">
        <v>2892785773.5853782</v>
      </c>
      <c r="O13" s="272">
        <v>1005621370.1859957</v>
      </c>
      <c r="P13" s="272">
        <v>356273171.3300001</v>
      </c>
      <c r="Q13" s="272">
        <v>750254633.83322597</v>
      </c>
      <c r="R13" s="272">
        <v>1613180891.3235052</v>
      </c>
      <c r="S13" s="271">
        <v>-46299098.614209548</v>
      </c>
      <c r="T13" s="271">
        <v>413940256.84000003</v>
      </c>
      <c r="U13" s="271">
        <v>31965922.410000004</v>
      </c>
      <c r="V13" s="271">
        <v>910.61000000000024</v>
      </c>
      <c r="W13" s="271">
        <v>125608.05999999998</v>
      </c>
      <c r="X13" s="271">
        <v>970063.41</v>
      </c>
      <c r="Y13" s="271">
        <v>12069702.553009102</v>
      </c>
      <c r="Z13" s="271">
        <v>27214052.666641463</v>
      </c>
      <c r="AA13" s="271">
        <v>92342069.163227811</v>
      </c>
      <c r="AB13" s="271">
        <v>37418253.180000015</v>
      </c>
      <c r="AC13" s="24">
        <f t="shared" ref="AC13:AC25" si="1">SUM(D13:AB13)</f>
        <v>15179002037.874437</v>
      </c>
      <c r="AD13" s="91">
        <f t="shared" si="0"/>
        <v>100</v>
      </c>
      <c r="AG13" s="24"/>
    </row>
    <row r="14" spans="1:33">
      <c r="A14" s="91">
        <f>A13+1</f>
        <v>101</v>
      </c>
      <c r="B14" s="378" t="s">
        <v>522</v>
      </c>
      <c r="C14" s="140">
        <f>'1-DRR Corrected'!$K$2</f>
        <v>2021</v>
      </c>
      <c r="D14" s="272">
        <v>238.3999215390416</v>
      </c>
      <c r="E14" s="272">
        <v>14747546.785228448</v>
      </c>
      <c r="F14" s="272">
        <v>108409032.94594009</v>
      </c>
      <c r="G14" s="650">
        <v>10590141.041051148</v>
      </c>
      <c r="H14" s="272">
        <v>1129806002.8534284</v>
      </c>
      <c r="I14" s="272">
        <v>635537.76999999979</v>
      </c>
      <c r="J14" s="272">
        <v>15006811.799999999</v>
      </c>
      <c r="K14" s="650">
        <v>2720481202.4964552</v>
      </c>
      <c r="L14" s="650">
        <v>2792732894.5524592</v>
      </c>
      <c r="M14" s="272">
        <v>1238206415.1316433</v>
      </c>
      <c r="N14" s="272">
        <v>2904499973.4118891</v>
      </c>
      <c r="O14" s="272">
        <v>1011141673.1597584</v>
      </c>
      <c r="P14" s="272">
        <v>359446480.3300001</v>
      </c>
      <c r="Q14" s="272">
        <v>753233216.53203499</v>
      </c>
      <c r="R14" s="272">
        <v>1619122284.306536</v>
      </c>
      <c r="S14" s="271">
        <v>-46098999.382523119</v>
      </c>
      <c r="T14" s="271">
        <v>406377212.11000013</v>
      </c>
      <c r="U14" s="271">
        <v>31965922.52</v>
      </c>
      <c r="V14" s="271">
        <v>954.1</v>
      </c>
      <c r="W14" s="271">
        <v>131514.64000000001</v>
      </c>
      <c r="X14" s="271">
        <v>970063.38</v>
      </c>
      <c r="Y14" s="271">
        <v>12101108.638310345</v>
      </c>
      <c r="Z14" s="271">
        <v>27345603.045312647</v>
      </c>
      <c r="AA14" s="271">
        <v>92652791.874350876</v>
      </c>
      <c r="AB14" s="271">
        <v>37590715.900000013</v>
      </c>
      <c r="AC14" s="24">
        <f t="shared" si="1"/>
        <v>15241096338.341795</v>
      </c>
      <c r="AD14" s="91">
        <f t="shared" si="0"/>
        <v>101</v>
      </c>
    </row>
    <row r="15" spans="1:33">
      <c r="A15" s="91">
        <f t="shared" ref="A15:A26" si="2">A14+1</f>
        <v>102</v>
      </c>
      <c r="B15" s="378" t="s">
        <v>523</v>
      </c>
      <c r="C15" s="140">
        <f>'1-DRR Corrected'!$K$2</f>
        <v>2021</v>
      </c>
      <c r="D15" s="272">
        <v>463.7711849655833</v>
      </c>
      <c r="E15" s="272">
        <v>15062310.802344527</v>
      </c>
      <c r="F15" s="272">
        <v>108648332.74774107</v>
      </c>
      <c r="G15" s="650">
        <v>10642373.678853028</v>
      </c>
      <c r="H15" s="272">
        <v>1135939903.4560206</v>
      </c>
      <c r="I15" s="272">
        <v>642539.53000000014</v>
      </c>
      <c r="J15" s="272">
        <v>15172622.4</v>
      </c>
      <c r="K15" s="650">
        <v>2743369292.4029417</v>
      </c>
      <c r="L15" s="650">
        <v>2802283298.268302</v>
      </c>
      <c r="M15" s="272">
        <v>1244652902.2972035</v>
      </c>
      <c r="N15" s="272">
        <v>2918378273.0583973</v>
      </c>
      <c r="O15" s="272">
        <v>1017873604.6535215</v>
      </c>
      <c r="P15" s="272">
        <v>362424553.52999991</v>
      </c>
      <c r="Q15" s="272">
        <v>756217005.33084381</v>
      </c>
      <c r="R15" s="272">
        <v>1623178306.1995697</v>
      </c>
      <c r="S15" s="271">
        <v>-45878267.830836713</v>
      </c>
      <c r="T15" s="271">
        <v>411738504.32000017</v>
      </c>
      <c r="U15" s="271">
        <v>31965922.350000001</v>
      </c>
      <c r="V15" s="271">
        <v>997.59</v>
      </c>
      <c r="W15" s="271">
        <v>137492.47000000003</v>
      </c>
      <c r="X15" s="271">
        <v>970063.37000000011</v>
      </c>
      <c r="Y15" s="271">
        <v>12139653.193611611</v>
      </c>
      <c r="Z15" s="271">
        <v>27468433.283983815</v>
      </c>
      <c r="AA15" s="271">
        <v>92957439.685473949</v>
      </c>
      <c r="AB15" s="271">
        <v>37784439.379999988</v>
      </c>
      <c r="AC15" s="24">
        <f t="shared" si="1"/>
        <v>15323770459.939154</v>
      </c>
      <c r="AD15" s="91">
        <f t="shared" si="0"/>
        <v>102</v>
      </c>
    </row>
    <row r="16" spans="1:33">
      <c r="A16" s="91">
        <f t="shared" si="2"/>
        <v>103</v>
      </c>
      <c r="B16" s="378" t="s">
        <v>524</v>
      </c>
      <c r="C16" s="140">
        <f>'1-DRR Corrected'!$K$2</f>
        <v>2021</v>
      </c>
      <c r="D16" s="272">
        <v>689.00244839212496</v>
      </c>
      <c r="E16" s="272">
        <v>15377144.719460621</v>
      </c>
      <c r="F16" s="272">
        <v>108917769.34954214</v>
      </c>
      <c r="G16" s="650">
        <v>10577582.136654912</v>
      </c>
      <c r="H16" s="272">
        <v>1143391974.1386189</v>
      </c>
      <c r="I16" s="272">
        <v>649614.03</v>
      </c>
      <c r="J16" s="272">
        <v>15338434.4</v>
      </c>
      <c r="K16" s="650">
        <v>2758450561.0194345</v>
      </c>
      <c r="L16" s="650">
        <v>2806063551.8341446</v>
      </c>
      <c r="M16" s="272">
        <v>1250666882.9327638</v>
      </c>
      <c r="N16" s="272">
        <v>2937250915.9749093</v>
      </c>
      <c r="O16" s="272">
        <v>1022104791.2672851</v>
      </c>
      <c r="P16" s="272">
        <v>365035614.32999986</v>
      </c>
      <c r="Q16" s="272">
        <v>758755780.64965343</v>
      </c>
      <c r="R16" s="272">
        <v>1629138156.3926003</v>
      </c>
      <c r="S16" s="271">
        <v>-45669300.359150298</v>
      </c>
      <c r="T16" s="271">
        <v>416958766.37</v>
      </c>
      <c r="U16" s="271">
        <v>31965922.169999998</v>
      </c>
      <c r="V16" s="271">
        <v>1041.08</v>
      </c>
      <c r="W16" s="271">
        <v>143591.85999999999</v>
      </c>
      <c r="X16" s="271">
        <v>970063.53</v>
      </c>
      <c r="Y16" s="271">
        <v>12177024.798912857</v>
      </c>
      <c r="Z16" s="271">
        <v>27536770.812655006</v>
      </c>
      <c r="AA16" s="271">
        <v>93265679.546596974</v>
      </c>
      <c r="AB16" s="271">
        <v>37959576.910000011</v>
      </c>
      <c r="AC16" s="24">
        <f t="shared" si="1"/>
        <v>15397028598.896532</v>
      </c>
      <c r="AD16" s="91">
        <f t="shared" si="0"/>
        <v>103</v>
      </c>
    </row>
    <row r="17" spans="1:33">
      <c r="A17" s="91">
        <f t="shared" si="2"/>
        <v>104</v>
      </c>
      <c r="B17" s="378" t="s">
        <v>525</v>
      </c>
      <c r="C17" s="140">
        <f>'1-DRR Corrected'!$K$2</f>
        <v>2021</v>
      </c>
      <c r="D17" s="272">
        <v>914.5037118186666</v>
      </c>
      <c r="E17" s="272">
        <v>15691978.656576714</v>
      </c>
      <c r="F17" s="272">
        <v>109169326.52134342</v>
      </c>
      <c r="G17" s="650">
        <v>10633868.274456799</v>
      </c>
      <c r="H17" s="272">
        <v>1148133824.6312127</v>
      </c>
      <c r="I17" s="272">
        <v>656795</v>
      </c>
      <c r="J17" s="272">
        <v>15504245.060000001</v>
      </c>
      <c r="K17" s="650">
        <v>2778456239.8659282</v>
      </c>
      <c r="L17" s="650">
        <v>2811362073.1599832</v>
      </c>
      <c r="M17" s="272">
        <v>1256831012.4383264</v>
      </c>
      <c r="N17" s="272">
        <v>2949037962.4114246</v>
      </c>
      <c r="O17" s="272">
        <v>1027240832.1510485</v>
      </c>
      <c r="P17" s="272">
        <v>367755618.94000012</v>
      </c>
      <c r="Q17" s="272">
        <v>761571670.06846428</v>
      </c>
      <c r="R17" s="272">
        <v>1634911943.6756299</v>
      </c>
      <c r="S17" s="271">
        <v>-45485352.477463864</v>
      </c>
      <c r="T17" s="271">
        <v>422630103.51000023</v>
      </c>
      <c r="U17" s="271">
        <v>31965922.379999999</v>
      </c>
      <c r="V17" s="271">
        <v>1126.31</v>
      </c>
      <c r="W17" s="271">
        <v>154191.34</v>
      </c>
      <c r="X17" s="271">
        <v>970063.42000000016</v>
      </c>
      <c r="Y17" s="271">
        <v>12209735.084214106</v>
      </c>
      <c r="Z17" s="271">
        <v>27647156.681326173</v>
      </c>
      <c r="AA17" s="271">
        <v>93579845.867720097</v>
      </c>
      <c r="AB17" s="271">
        <v>38127817.019999988</v>
      </c>
      <c r="AC17" s="24">
        <f t="shared" si="1"/>
        <v>15468758914.4939</v>
      </c>
      <c r="AD17" s="91">
        <f t="shared" si="0"/>
        <v>104</v>
      </c>
    </row>
    <row r="18" spans="1:33">
      <c r="A18" s="91">
        <f t="shared" si="2"/>
        <v>105</v>
      </c>
      <c r="B18" s="378" t="s">
        <v>526</v>
      </c>
      <c r="C18" s="140">
        <f>'1-DRR Corrected'!$K$2</f>
        <v>2021</v>
      </c>
      <c r="D18" s="272">
        <v>-46599.875024754787</v>
      </c>
      <c r="E18" s="272">
        <v>16006808.193692811</v>
      </c>
      <c r="F18" s="272">
        <v>109466981.26314448</v>
      </c>
      <c r="G18" s="650">
        <v>10689630.592258679</v>
      </c>
      <c r="H18" s="272">
        <v>1153900982.9638069</v>
      </c>
      <c r="I18" s="272">
        <v>664001.86</v>
      </c>
      <c r="J18" s="272">
        <v>15671076.77</v>
      </c>
      <c r="K18" s="650">
        <v>2798780484.9824123</v>
      </c>
      <c r="L18" s="650">
        <v>2816082381.4058237</v>
      </c>
      <c r="M18" s="272">
        <v>1262564940.5638862</v>
      </c>
      <c r="N18" s="272">
        <v>2960198304.3079357</v>
      </c>
      <c r="O18" s="272">
        <v>1031167886.0348121</v>
      </c>
      <c r="P18" s="272">
        <v>370707821.55000013</v>
      </c>
      <c r="Q18" s="272">
        <v>764299802.1172719</v>
      </c>
      <c r="R18" s="272">
        <v>1640152030.1286607</v>
      </c>
      <c r="S18" s="271">
        <v>-45265091.825777471</v>
      </c>
      <c r="T18" s="271">
        <v>428373090.06999975</v>
      </c>
      <c r="U18" s="271">
        <v>31965922.800000001</v>
      </c>
      <c r="V18" s="271">
        <v>1211.54</v>
      </c>
      <c r="W18" s="271">
        <v>164825.39000000001</v>
      </c>
      <c r="X18" s="271">
        <v>970063.4</v>
      </c>
      <c r="Y18" s="271">
        <v>12243719.349515362</v>
      </c>
      <c r="Z18" s="271">
        <v>27776618.669997349</v>
      </c>
      <c r="AA18" s="271">
        <v>93890645.128843144</v>
      </c>
      <c r="AB18" s="271">
        <v>38306529.789999984</v>
      </c>
      <c r="AC18" s="24">
        <f t="shared" si="1"/>
        <v>15538734067.171261</v>
      </c>
      <c r="AD18" s="91">
        <f t="shared" si="0"/>
        <v>105</v>
      </c>
    </row>
    <row r="19" spans="1:33">
      <c r="A19" s="91">
        <f t="shared" si="2"/>
        <v>106</v>
      </c>
      <c r="B19" s="378" t="s">
        <v>812</v>
      </c>
      <c r="C19" s="140">
        <f>'1-DRR Corrected'!$K$2</f>
        <v>2021</v>
      </c>
      <c r="D19" s="272">
        <v>-52025.323761328254</v>
      </c>
      <c r="E19" s="272">
        <v>16321636.890808905</v>
      </c>
      <c r="F19" s="272">
        <v>109378755.9249454</v>
      </c>
      <c r="G19" s="650">
        <v>10745918.720060572</v>
      </c>
      <c r="H19" s="272">
        <v>1161099359.5664027</v>
      </c>
      <c r="I19" s="272">
        <v>671250.0199999999</v>
      </c>
      <c r="J19" s="272">
        <v>15838005.710000001</v>
      </c>
      <c r="K19" s="650">
        <v>2816817333.3689117</v>
      </c>
      <c r="L19" s="650">
        <v>2821887098.4716625</v>
      </c>
      <c r="M19" s="272">
        <v>1268713172.3594489</v>
      </c>
      <c r="N19" s="272">
        <v>2973334762.3844485</v>
      </c>
      <c r="O19" s="272">
        <v>1036099232.5885764</v>
      </c>
      <c r="P19" s="272">
        <v>373509545.00000024</v>
      </c>
      <c r="Q19" s="272">
        <v>766831486.05608118</v>
      </c>
      <c r="R19" s="272">
        <v>1646158444.8416958</v>
      </c>
      <c r="S19" s="271">
        <v>-45073515.53409104</v>
      </c>
      <c r="T19" s="271">
        <v>430599079.46999991</v>
      </c>
      <c r="U19" s="271">
        <v>31965922.609999999</v>
      </c>
      <c r="V19" s="271">
        <v>1296.77</v>
      </c>
      <c r="W19" s="271">
        <v>175452.72000000003</v>
      </c>
      <c r="X19" s="271">
        <v>970063.49999999988</v>
      </c>
      <c r="Y19" s="271">
        <v>12285226.904816613</v>
      </c>
      <c r="Z19" s="271">
        <v>27897242.04866853</v>
      </c>
      <c r="AA19" s="271">
        <v>94204700.059966207</v>
      </c>
      <c r="AB19" s="271">
        <v>38511146.249999993</v>
      </c>
      <c r="AC19" s="24">
        <f t="shared" si="1"/>
        <v>15608890591.378641</v>
      </c>
      <c r="AD19" s="91">
        <f t="shared" si="0"/>
        <v>106</v>
      </c>
    </row>
    <row r="20" spans="1:33">
      <c r="A20" s="91">
        <f t="shared" si="2"/>
        <v>107</v>
      </c>
      <c r="B20" s="378" t="s">
        <v>528</v>
      </c>
      <c r="C20" s="140">
        <f>'1-DRR Corrected'!$K$2</f>
        <v>2021</v>
      </c>
      <c r="D20" s="272">
        <v>-55187.542497901719</v>
      </c>
      <c r="E20" s="272">
        <v>16636465.427924991</v>
      </c>
      <c r="F20" s="272">
        <v>109924227.18674666</v>
      </c>
      <c r="G20" s="650">
        <v>10802095.257862458</v>
      </c>
      <c r="H20" s="272">
        <v>1166054208.6489961</v>
      </c>
      <c r="I20" s="272">
        <v>678556.02999999991</v>
      </c>
      <c r="J20" s="272">
        <v>16005178.970000001</v>
      </c>
      <c r="K20" s="650">
        <v>2835133753.7354016</v>
      </c>
      <c r="L20" s="650">
        <v>2829433958.037508</v>
      </c>
      <c r="M20" s="272">
        <v>1274207035.8350103</v>
      </c>
      <c r="N20" s="272">
        <v>2985123067.4309645</v>
      </c>
      <c r="O20" s="272">
        <v>1041784649.4423388</v>
      </c>
      <c r="P20" s="272">
        <v>376373298.28999978</v>
      </c>
      <c r="Q20" s="272">
        <v>769158009.62489188</v>
      </c>
      <c r="R20" s="272">
        <v>1651300147.2347238</v>
      </c>
      <c r="S20" s="271">
        <v>-44811916.102404639</v>
      </c>
      <c r="T20" s="271">
        <v>435778639.76999998</v>
      </c>
      <c r="U20" s="271">
        <v>31965922.41</v>
      </c>
      <c r="V20" s="271">
        <v>1382</v>
      </c>
      <c r="W20" s="271">
        <v>186400.03000000003</v>
      </c>
      <c r="X20" s="271">
        <v>970063.49</v>
      </c>
      <c r="Y20" s="271">
        <v>12325762.780117871</v>
      </c>
      <c r="Z20" s="271">
        <v>28009042.007339723</v>
      </c>
      <c r="AA20" s="271">
        <v>94576158.751089215</v>
      </c>
      <c r="AB20" s="271">
        <v>38746936.979999997</v>
      </c>
      <c r="AC20" s="24">
        <f t="shared" si="1"/>
        <v>15680307855.726011</v>
      </c>
      <c r="AD20" s="91">
        <f t="shared" si="0"/>
        <v>107</v>
      </c>
    </row>
    <row r="21" spans="1:33">
      <c r="A21" s="91">
        <f t="shared" si="2"/>
        <v>108</v>
      </c>
      <c r="B21" s="378" t="s">
        <v>529</v>
      </c>
      <c r="C21" s="140">
        <f>'1-DRR Corrected'!$K$2</f>
        <v>2021</v>
      </c>
      <c r="D21" s="272">
        <v>-75886.561234475244</v>
      </c>
      <c r="E21" s="272">
        <v>16951226.415041082</v>
      </c>
      <c r="F21" s="272">
        <v>110226684.43854772</v>
      </c>
      <c r="G21" s="650">
        <v>10855721.265664322</v>
      </c>
      <c r="H21" s="272">
        <v>1174132346.171593</v>
      </c>
      <c r="I21" s="272">
        <v>686029.79</v>
      </c>
      <c r="J21" s="272">
        <v>16172223.880000001</v>
      </c>
      <c r="K21" s="650">
        <v>2853597168.6418905</v>
      </c>
      <c r="L21" s="650">
        <v>2838148405.8433447</v>
      </c>
      <c r="M21" s="272">
        <v>1281671589.3305719</v>
      </c>
      <c r="N21" s="272">
        <v>2998230844.1174788</v>
      </c>
      <c r="O21" s="272">
        <v>1047959223.8261036</v>
      </c>
      <c r="P21" s="272">
        <v>379335383.86000013</v>
      </c>
      <c r="Q21" s="272">
        <v>771850512.79370093</v>
      </c>
      <c r="R21" s="272">
        <v>1656401571.6977551</v>
      </c>
      <c r="S21" s="271">
        <v>-44528996.080718189</v>
      </c>
      <c r="T21" s="271">
        <v>441834129.52000022</v>
      </c>
      <c r="U21" s="271">
        <v>31965922.219999995</v>
      </c>
      <c r="V21" s="271">
        <v>1467.23</v>
      </c>
      <c r="W21" s="271">
        <v>197345.57000000004</v>
      </c>
      <c r="X21" s="271">
        <v>970063.35999999987</v>
      </c>
      <c r="Y21" s="271">
        <v>12366929.51541912</v>
      </c>
      <c r="Z21" s="271">
        <v>28125920.226010919</v>
      </c>
      <c r="AA21" s="271">
        <v>94953411.252212256</v>
      </c>
      <c r="AB21" s="271">
        <v>38925908.279999979</v>
      </c>
      <c r="AC21" s="24">
        <f t="shared" si="1"/>
        <v>15760955146.603382</v>
      </c>
      <c r="AD21" s="91">
        <f t="shared" si="0"/>
        <v>108</v>
      </c>
    </row>
    <row r="22" spans="1:33">
      <c r="A22" s="91">
        <f t="shared" si="2"/>
        <v>109</v>
      </c>
      <c r="B22" s="378" t="s">
        <v>530</v>
      </c>
      <c r="C22" s="140">
        <f>'1-DRR Corrected'!$K$2</f>
        <v>2021</v>
      </c>
      <c r="D22" s="272">
        <v>-85913.759971048697</v>
      </c>
      <c r="E22" s="272">
        <v>17265986.272157181</v>
      </c>
      <c r="F22" s="272">
        <v>110437795.08034886</v>
      </c>
      <c r="G22" s="650">
        <v>10902968.723466223</v>
      </c>
      <c r="H22" s="272">
        <v>1177438450.884186</v>
      </c>
      <c r="I22" s="272">
        <v>598456.54</v>
      </c>
      <c r="J22" s="272">
        <v>16338548.65</v>
      </c>
      <c r="K22" s="650">
        <v>2871232304.2383809</v>
      </c>
      <c r="L22" s="650">
        <v>2845040680.2691851</v>
      </c>
      <c r="M22" s="272">
        <v>1286058559.1761322</v>
      </c>
      <c r="N22" s="272">
        <v>3008182004.8239884</v>
      </c>
      <c r="O22" s="272">
        <v>1054232703.8398662</v>
      </c>
      <c r="P22" s="272">
        <v>382036487.25000018</v>
      </c>
      <c r="Q22" s="272">
        <v>774963073.74250984</v>
      </c>
      <c r="R22" s="272">
        <v>1662599661.5007892</v>
      </c>
      <c r="S22" s="271">
        <v>-44110965.669031799</v>
      </c>
      <c r="T22" s="271">
        <v>447307046.2899999</v>
      </c>
      <c r="U22" s="271">
        <v>31965922.020000003</v>
      </c>
      <c r="V22" s="271">
        <v>1552.46</v>
      </c>
      <c r="W22" s="271">
        <v>208298.96000000002</v>
      </c>
      <c r="X22" s="271">
        <v>970063.41</v>
      </c>
      <c r="Y22" s="271">
        <v>12409235.430720376</v>
      </c>
      <c r="Z22" s="271">
        <v>28255062.924682107</v>
      </c>
      <c r="AA22" s="271">
        <v>95346242.773335338</v>
      </c>
      <c r="AB22" s="271">
        <v>39079729.470000014</v>
      </c>
      <c r="AC22" s="24">
        <f t="shared" si="1"/>
        <v>15828673955.300743</v>
      </c>
      <c r="AD22" s="91">
        <f t="shared" si="0"/>
        <v>109</v>
      </c>
    </row>
    <row r="23" spans="1:33">
      <c r="A23" s="91">
        <f t="shared" si="2"/>
        <v>110</v>
      </c>
      <c r="B23" s="378" t="s">
        <v>531</v>
      </c>
      <c r="C23" s="140">
        <f>'1-DRR Corrected'!$K$2</f>
        <v>2021</v>
      </c>
      <c r="D23" s="272">
        <v>-86991.688707622117</v>
      </c>
      <c r="E23" s="272">
        <v>17580745.839273285</v>
      </c>
      <c r="F23" s="272">
        <v>110709483.4021499</v>
      </c>
      <c r="G23" s="650">
        <v>10956259.3312681</v>
      </c>
      <c r="H23" s="272">
        <v>1185450196.9767816</v>
      </c>
      <c r="I23" s="272">
        <v>601079.39000000013</v>
      </c>
      <c r="J23" s="272">
        <v>16505478.929999998</v>
      </c>
      <c r="K23" s="650">
        <v>2882913329.5148721</v>
      </c>
      <c r="L23" s="650">
        <v>2850019023.1750221</v>
      </c>
      <c r="M23" s="272">
        <v>1293612650.7216926</v>
      </c>
      <c r="N23" s="272">
        <v>3023387515.7605009</v>
      </c>
      <c r="O23" s="272">
        <v>1058860213.3036308</v>
      </c>
      <c r="P23" s="272">
        <v>385313040.61999977</v>
      </c>
      <c r="Q23" s="272">
        <v>776793729.11131918</v>
      </c>
      <c r="R23" s="272">
        <v>1667685513.7538199</v>
      </c>
      <c r="S23" s="271">
        <v>-43905516.15734534</v>
      </c>
      <c r="T23" s="271">
        <v>452567789.73000002</v>
      </c>
      <c r="U23" s="271">
        <v>31965922.809999999</v>
      </c>
      <c r="V23" s="271">
        <v>1637.69</v>
      </c>
      <c r="W23" s="271">
        <v>219261.89</v>
      </c>
      <c r="X23" s="271">
        <v>970063.44</v>
      </c>
      <c r="Y23" s="271">
        <v>12438461.536021633</v>
      </c>
      <c r="Z23" s="271">
        <v>28387747.71335328</v>
      </c>
      <c r="AA23" s="271">
        <v>95764602.67445837</v>
      </c>
      <c r="AB23" s="271">
        <v>39247566.059999995</v>
      </c>
      <c r="AC23" s="24">
        <f t="shared" si="1"/>
        <v>15897958805.528109</v>
      </c>
      <c r="AD23" s="91">
        <f t="shared" si="0"/>
        <v>110</v>
      </c>
    </row>
    <row r="24" spans="1:33">
      <c r="A24" s="91">
        <f t="shared" si="2"/>
        <v>111</v>
      </c>
      <c r="B24" s="378" t="s">
        <v>532</v>
      </c>
      <c r="C24" s="140">
        <f>'1-DRR Corrected'!$K$2</f>
        <v>2021</v>
      </c>
      <c r="D24" s="272">
        <v>-88597.957444195592</v>
      </c>
      <c r="E24" s="272">
        <v>17895506.786389366</v>
      </c>
      <c r="F24" s="272">
        <v>111069028.82395108</v>
      </c>
      <c r="G24" s="650">
        <v>11052057.406871865</v>
      </c>
      <c r="H24" s="272">
        <v>1187449145.7493782</v>
      </c>
      <c r="I24" s="272">
        <v>603724.80000000028</v>
      </c>
      <c r="J24" s="272">
        <v>16671290.410000002</v>
      </c>
      <c r="K24" s="650">
        <v>2901220735.4390244</v>
      </c>
      <c r="L24" s="650">
        <v>2858226961.6255746</v>
      </c>
      <c r="M24" s="272">
        <v>1299382129.1572516</v>
      </c>
      <c r="N24" s="272">
        <v>3035024205.4570141</v>
      </c>
      <c r="O24" s="272">
        <v>1067840144.3273935</v>
      </c>
      <c r="P24" s="272">
        <v>387348409.40999997</v>
      </c>
      <c r="Q24" s="272">
        <v>779457342.92012906</v>
      </c>
      <c r="R24" s="272">
        <v>1673591520.4868498</v>
      </c>
      <c r="S24" s="271">
        <v>-43787719.875658944</v>
      </c>
      <c r="T24" s="271">
        <v>457431402.41000003</v>
      </c>
      <c r="U24" s="271">
        <v>31965922.41</v>
      </c>
      <c r="V24" s="271">
        <v>1722.92</v>
      </c>
      <c r="W24" s="271">
        <v>230216.77000000002</v>
      </c>
      <c r="X24" s="271">
        <v>970063.41999999993</v>
      </c>
      <c r="Y24" s="271">
        <v>12476835.981322875</v>
      </c>
      <c r="Z24" s="271">
        <v>28306331.942024466</v>
      </c>
      <c r="AA24" s="271">
        <v>96153220.845581427</v>
      </c>
      <c r="AB24" s="271">
        <v>39440739.62999998</v>
      </c>
      <c r="AC24" s="24">
        <f t="shared" si="1"/>
        <v>15969932341.295654</v>
      </c>
      <c r="AD24" s="91">
        <f t="shared" si="0"/>
        <v>111</v>
      </c>
      <c r="AE24" s="354"/>
    </row>
    <row r="25" spans="1:33">
      <c r="A25" s="91">
        <f t="shared" si="2"/>
        <v>112</v>
      </c>
      <c r="B25" s="378" t="s">
        <v>520</v>
      </c>
      <c r="C25" s="140">
        <f>'1-DRR Corrected'!$K$2</f>
        <v>2021</v>
      </c>
      <c r="D25" s="272">
        <v>-152152.89618076908</v>
      </c>
      <c r="E25" s="272">
        <v>18211521.293505471</v>
      </c>
      <c r="F25" s="272">
        <v>111221907.94575228</v>
      </c>
      <c r="G25" s="650">
        <v>11057063.48687187</v>
      </c>
      <c r="H25" s="272">
        <v>1194487029.7819712</v>
      </c>
      <c r="I25" s="272">
        <v>585947.57000000007</v>
      </c>
      <c r="J25" s="272">
        <v>16837101.329999998</v>
      </c>
      <c r="K25" s="650">
        <v>2924113866.8678555</v>
      </c>
      <c r="L25" s="650">
        <v>2867955402.8067098</v>
      </c>
      <c r="M25" s="272">
        <v>1305708532.3528161</v>
      </c>
      <c r="N25" s="272">
        <v>3041402015.5435271</v>
      </c>
      <c r="O25" s="272">
        <v>1074160760.2011585</v>
      </c>
      <c r="P25" s="272">
        <v>390265109.80999994</v>
      </c>
      <c r="Q25" s="272">
        <v>782100773.78893912</v>
      </c>
      <c r="R25" s="272">
        <v>1679359707.0498812</v>
      </c>
      <c r="S25" s="271">
        <v>-43993488.693972535</v>
      </c>
      <c r="T25" s="271">
        <v>474060807.31999999</v>
      </c>
      <c r="U25" s="271">
        <v>31965922.330000002</v>
      </c>
      <c r="V25" s="271">
        <v>1808.15</v>
      </c>
      <c r="W25" s="271">
        <v>241046.47000000003</v>
      </c>
      <c r="X25" s="271">
        <v>970063.41</v>
      </c>
      <c r="Y25" s="271">
        <v>12518826.876624137</v>
      </c>
      <c r="Z25" s="271">
        <v>28427768.100695651</v>
      </c>
      <c r="AA25" s="271">
        <v>96549568.946704537</v>
      </c>
      <c r="AB25" s="271">
        <v>39578288.850000009</v>
      </c>
      <c r="AC25" s="24">
        <f t="shared" si="1"/>
        <v>16057635198.69286</v>
      </c>
      <c r="AD25" s="91">
        <f t="shared" si="0"/>
        <v>112</v>
      </c>
      <c r="AE25" s="354"/>
      <c r="AF25" s="12"/>
      <c r="AG25" s="12"/>
    </row>
    <row r="26" spans="1:33">
      <c r="A26" s="91">
        <f t="shared" si="2"/>
        <v>113</v>
      </c>
      <c r="B26" s="664" t="s">
        <v>813</v>
      </c>
      <c r="C26" s="488"/>
      <c r="D26" s="661">
        <f>SUM(D13:D25)/13</f>
        <v>-49310.534530559038</v>
      </c>
      <c r="E26" s="661">
        <f t="shared" ref="E26:Q26" si="3">SUM(E13:E25)/13</f>
        <v>16321668.753116596</v>
      </c>
      <c r="F26" s="661">
        <f t="shared" si="3"/>
        <v>109670055.4587917</v>
      </c>
      <c r="G26" s="661">
        <f t="shared" si="3"/>
        <v>10777806.190660713</v>
      </c>
      <c r="H26" s="661">
        <f t="shared" si="3"/>
        <v>1160663610.0733254</v>
      </c>
      <c r="I26" s="661">
        <f t="shared" si="3"/>
        <v>638678.84692307701</v>
      </c>
      <c r="J26" s="661">
        <f t="shared" si="3"/>
        <v>15837551.260769229</v>
      </c>
      <c r="K26" s="661">
        <f t="shared" si="3"/>
        <v>2813910879.7641139</v>
      </c>
      <c r="L26" s="661">
        <f t="shared" si="3"/>
        <v>2824721714.0551038</v>
      </c>
      <c r="M26" s="661">
        <f t="shared" si="3"/>
        <v>1268847891.6563716</v>
      </c>
      <c r="N26" s="661">
        <f t="shared" si="3"/>
        <v>2971295047.5590658</v>
      </c>
      <c r="O26" s="661">
        <f t="shared" si="3"/>
        <v>1038160544.998576</v>
      </c>
      <c r="P26" s="661">
        <f t="shared" si="3"/>
        <v>373524964.17307693</v>
      </c>
      <c r="Q26" s="661">
        <f t="shared" si="3"/>
        <v>766575925.8899281</v>
      </c>
      <c r="R26" s="661">
        <f>SUM(R13:R25)/13</f>
        <v>1645906167.5840013</v>
      </c>
      <c r="S26" s="661">
        <f t="shared" ref="S26:AC26" si="4">SUM(S13:S25)/13</f>
        <v>-44992940.661783352</v>
      </c>
      <c r="T26" s="661">
        <f t="shared" si="4"/>
        <v>433815140.59461534</v>
      </c>
      <c r="U26" s="661">
        <f t="shared" si="4"/>
        <v>31965922.418461539</v>
      </c>
      <c r="V26" s="661">
        <f t="shared" si="4"/>
        <v>1316.0346153846153</v>
      </c>
      <c r="W26" s="661">
        <f t="shared" si="4"/>
        <v>178095.85923076927</v>
      </c>
      <c r="X26" s="661">
        <f t="shared" si="4"/>
        <v>970063.4261538462</v>
      </c>
      <c r="Y26" s="661">
        <f t="shared" si="4"/>
        <v>12289401.741739692</v>
      </c>
      <c r="Z26" s="661">
        <f t="shared" si="4"/>
        <v>27876750.009437781</v>
      </c>
      <c r="AA26" s="661">
        <f t="shared" si="4"/>
        <v>94325875.120735422</v>
      </c>
      <c r="AB26" s="661">
        <f t="shared" si="4"/>
        <v>38516742.13076923</v>
      </c>
      <c r="AC26" s="661">
        <f t="shared" si="4"/>
        <v>15611749562.403271</v>
      </c>
      <c r="AD26" s="91">
        <f t="shared" si="0"/>
        <v>113</v>
      </c>
      <c r="AE26" s="354"/>
    </row>
    <row r="27" spans="1:33">
      <c r="A27" s="18"/>
      <c r="B27" s="8"/>
      <c r="C27" s="8"/>
      <c r="D27" s="8"/>
      <c r="E27" s="8"/>
      <c r="F27" s="8"/>
      <c r="G27" s="8"/>
      <c r="H27" s="8"/>
      <c r="I27" s="8"/>
      <c r="J27" s="8"/>
      <c r="K27" s="8"/>
      <c r="L27" s="8"/>
      <c r="M27" s="8"/>
      <c r="N27" s="8"/>
      <c r="O27" s="8"/>
      <c r="P27" s="8"/>
      <c r="Q27" s="8"/>
      <c r="AD27" s="91"/>
    </row>
    <row r="28" spans="1:33">
      <c r="A28" s="18"/>
      <c r="B28" s="8"/>
      <c r="C28" s="8"/>
      <c r="D28" s="8"/>
      <c r="E28" s="8"/>
      <c r="F28" s="8"/>
      <c r="G28" s="242"/>
      <c r="H28" s="8"/>
      <c r="I28" s="8"/>
      <c r="J28" s="8"/>
      <c r="K28" s="242"/>
      <c r="L28" s="242"/>
      <c r="M28" s="8"/>
      <c r="N28" s="8"/>
      <c r="O28" s="8"/>
      <c r="P28" s="8"/>
      <c r="Q28" s="8"/>
      <c r="V28" s="19"/>
      <c r="W28" s="19"/>
      <c r="AD28" s="91"/>
    </row>
    <row r="29" spans="1:33">
      <c r="B29" s="45" t="s">
        <v>963</v>
      </c>
      <c r="C29" s="45"/>
      <c r="D29" s="103"/>
      <c r="E29" s="103"/>
      <c r="F29" s="43"/>
      <c r="G29" s="43"/>
      <c r="H29" s="43"/>
      <c r="I29" s="103"/>
      <c r="J29" s="103"/>
      <c r="K29" s="103"/>
      <c r="L29" s="103"/>
      <c r="M29" s="103"/>
      <c r="N29" s="103"/>
      <c r="O29" s="103"/>
      <c r="P29" s="103"/>
      <c r="Q29" s="103"/>
      <c r="R29" s="43"/>
      <c r="S29" s="43"/>
      <c r="T29" s="43"/>
      <c r="U29" s="43"/>
      <c r="V29" s="43"/>
      <c r="W29" s="43"/>
      <c r="X29" s="43"/>
      <c r="Y29" s="43"/>
      <c r="Z29" s="43"/>
      <c r="AA29" s="43"/>
      <c r="AB29" s="43"/>
      <c r="AC29" s="43"/>
    </row>
    <row r="30" spans="1:33">
      <c r="B30" s="378" t="s">
        <v>964</v>
      </c>
      <c r="C30" s="2"/>
      <c r="D30" s="8"/>
      <c r="E30" s="8"/>
      <c r="I30" s="8"/>
      <c r="J30" s="8"/>
      <c r="K30" s="8"/>
      <c r="L30" s="8"/>
      <c r="M30" s="8"/>
      <c r="N30" s="8"/>
      <c r="O30" s="8"/>
      <c r="P30" s="8"/>
      <c r="Q30" s="8"/>
    </row>
    <row r="31" spans="1:33">
      <c r="C31" s="2"/>
      <c r="D31" s="8"/>
      <c r="E31" s="8"/>
      <c r="I31" s="8"/>
      <c r="J31" s="8"/>
      <c r="K31" s="8"/>
      <c r="L31" s="8"/>
      <c r="M31" s="8"/>
      <c r="N31" s="8"/>
      <c r="O31" s="8"/>
      <c r="P31" s="8"/>
      <c r="Q31" s="8"/>
    </row>
    <row r="32" spans="1:33">
      <c r="C32" s="2"/>
      <c r="D32" s="8"/>
      <c r="E32" s="8"/>
      <c r="I32" s="8"/>
      <c r="J32" s="8"/>
      <c r="K32" s="8"/>
      <c r="L32" s="8"/>
      <c r="M32" s="8"/>
      <c r="N32" s="8"/>
      <c r="O32" s="8"/>
      <c r="P32" s="8"/>
      <c r="Q32" s="8"/>
    </row>
    <row r="33" spans="1:30">
      <c r="A33" s="4"/>
      <c r="D33" s="83" t="s">
        <v>122</v>
      </c>
      <c r="E33" s="83" t="s">
        <v>123</v>
      </c>
      <c r="F33" s="83" t="s">
        <v>124</v>
      </c>
      <c r="G33" s="83" t="s">
        <v>125</v>
      </c>
      <c r="H33" s="83" t="s">
        <v>490</v>
      </c>
      <c r="I33" s="83" t="s">
        <v>491</v>
      </c>
      <c r="J33" s="83" t="s">
        <v>492</v>
      </c>
      <c r="K33" s="83" t="s">
        <v>493</v>
      </c>
      <c r="L33" s="83" t="s">
        <v>494</v>
      </c>
      <c r="M33" s="83" t="s">
        <v>768</v>
      </c>
      <c r="N33" s="83" t="s">
        <v>769</v>
      </c>
      <c r="O33" s="83" t="s">
        <v>770</v>
      </c>
      <c r="P33" s="83" t="s">
        <v>771</v>
      </c>
      <c r="Q33" s="83" t="s">
        <v>772</v>
      </c>
      <c r="R33" s="83" t="s">
        <v>773</v>
      </c>
      <c r="S33" s="83" t="s">
        <v>774</v>
      </c>
      <c r="T33" s="83" t="s">
        <v>775</v>
      </c>
      <c r="U33" s="83" t="s">
        <v>776</v>
      </c>
      <c r="V33" s="83" t="s">
        <v>777</v>
      </c>
      <c r="W33" s="83" t="s">
        <v>778</v>
      </c>
      <c r="X33" s="83" t="s">
        <v>779</v>
      </c>
      <c r="Y33" s="83" t="s">
        <v>780</v>
      </c>
      <c r="Z33" s="83" t="s">
        <v>781</v>
      </c>
      <c r="AA33" s="83" t="s">
        <v>782</v>
      </c>
      <c r="AB33" s="83" t="s">
        <v>783</v>
      </c>
      <c r="AC33" s="83" t="s">
        <v>784</v>
      </c>
    </row>
    <row r="34" spans="1:30" ht="43.5">
      <c r="D34" s="380" t="s">
        <v>816</v>
      </c>
      <c r="E34" s="380" t="s">
        <v>817</v>
      </c>
      <c r="F34" s="380" t="s">
        <v>818</v>
      </c>
      <c r="G34" s="380" t="s">
        <v>819</v>
      </c>
      <c r="H34" s="380" t="s">
        <v>820</v>
      </c>
      <c r="I34" s="380" t="s">
        <v>821</v>
      </c>
      <c r="J34" s="380" t="s">
        <v>822</v>
      </c>
      <c r="K34" s="380" t="s">
        <v>823</v>
      </c>
      <c r="L34" s="380" t="s">
        <v>824</v>
      </c>
      <c r="M34" s="380" t="s">
        <v>825</v>
      </c>
      <c r="N34" s="380" t="s">
        <v>826</v>
      </c>
      <c r="O34" s="380" t="s">
        <v>827</v>
      </c>
      <c r="P34" s="380" t="s">
        <v>828</v>
      </c>
      <c r="Q34" s="380" t="s">
        <v>829</v>
      </c>
      <c r="R34" s="380" t="s">
        <v>830</v>
      </c>
      <c r="S34" s="380" t="s">
        <v>831</v>
      </c>
      <c r="T34" s="380" t="s">
        <v>832</v>
      </c>
      <c r="U34" s="380" t="s">
        <v>833</v>
      </c>
      <c r="V34" s="380" t="s">
        <v>834</v>
      </c>
      <c r="W34" s="380" t="s">
        <v>835</v>
      </c>
      <c r="X34" s="380" t="s">
        <v>836</v>
      </c>
      <c r="Y34" s="380" t="s">
        <v>837</v>
      </c>
      <c r="Z34" s="380" t="s">
        <v>838</v>
      </c>
      <c r="AA34" s="380" t="s">
        <v>839</v>
      </c>
      <c r="AB34" s="380" t="s">
        <v>840</v>
      </c>
      <c r="AC34" s="133" t="s">
        <v>785</v>
      </c>
    </row>
    <row r="35" spans="1:30">
      <c r="B35" s="4"/>
      <c r="C35" s="4"/>
      <c r="L35" s="107"/>
      <c r="R35" s="21"/>
      <c r="S35" s="21"/>
      <c r="T35" s="21"/>
      <c r="AC35" s="21"/>
    </row>
    <row r="36" spans="1:30">
      <c r="A36" s="91"/>
      <c r="B36" s="91"/>
      <c r="C36" s="90" t="s">
        <v>786</v>
      </c>
      <c r="D36" s="84">
        <v>360</v>
      </c>
      <c r="E36" s="84">
        <v>360</v>
      </c>
      <c r="F36" s="84">
        <v>361</v>
      </c>
      <c r="G36" s="84">
        <v>361</v>
      </c>
      <c r="H36" s="84">
        <v>362</v>
      </c>
      <c r="I36" s="84">
        <v>363</v>
      </c>
      <c r="J36" s="84">
        <v>363</v>
      </c>
      <c r="K36" s="84">
        <v>364</v>
      </c>
      <c r="L36" s="84">
        <v>365</v>
      </c>
      <c r="M36" s="84">
        <v>366</v>
      </c>
      <c r="N36" s="84">
        <v>367</v>
      </c>
      <c r="O36" s="84">
        <v>368</v>
      </c>
      <c r="P36" s="84">
        <v>368</v>
      </c>
      <c r="Q36" s="84">
        <v>369</v>
      </c>
      <c r="R36" s="84">
        <v>369</v>
      </c>
      <c r="S36" s="84">
        <v>370</v>
      </c>
      <c r="T36" s="84">
        <v>370</v>
      </c>
      <c r="U36" s="84">
        <v>371</v>
      </c>
      <c r="V36" s="84">
        <v>371</v>
      </c>
      <c r="W36" s="84">
        <v>371</v>
      </c>
      <c r="X36" s="84">
        <v>372</v>
      </c>
      <c r="Y36" s="84">
        <v>373</v>
      </c>
      <c r="Z36" s="84">
        <v>373</v>
      </c>
      <c r="AA36" s="84">
        <v>373</v>
      </c>
      <c r="AB36" s="84">
        <v>373</v>
      </c>
    </row>
    <row r="37" spans="1:30">
      <c r="A37" s="80" t="s">
        <v>90</v>
      </c>
      <c r="B37" s="80" t="s">
        <v>511</v>
      </c>
      <c r="C37" s="80" t="s">
        <v>512</v>
      </c>
      <c r="D37" s="83" t="s">
        <v>787</v>
      </c>
      <c r="E37" s="83" t="s">
        <v>788</v>
      </c>
      <c r="F37" s="83" t="s">
        <v>789</v>
      </c>
      <c r="G37" s="83" t="s">
        <v>790</v>
      </c>
      <c r="H37" s="83" t="s">
        <v>791</v>
      </c>
      <c r="I37" s="83" t="s">
        <v>792</v>
      </c>
      <c r="J37" s="83" t="s">
        <v>793</v>
      </c>
      <c r="K37" s="83" t="s">
        <v>794</v>
      </c>
      <c r="L37" s="83" t="s">
        <v>795</v>
      </c>
      <c r="M37" s="83" t="s">
        <v>796</v>
      </c>
      <c r="N37" s="83" t="s">
        <v>797</v>
      </c>
      <c r="O37" s="83" t="s">
        <v>798</v>
      </c>
      <c r="P37" s="83" t="s">
        <v>799</v>
      </c>
      <c r="Q37" s="83" t="s">
        <v>800</v>
      </c>
      <c r="R37" s="83" t="s">
        <v>801</v>
      </c>
      <c r="S37" s="83" t="s">
        <v>802</v>
      </c>
      <c r="T37" s="83" t="s">
        <v>803</v>
      </c>
      <c r="U37" s="83" t="s">
        <v>804</v>
      </c>
      <c r="V37" s="83" t="s">
        <v>805</v>
      </c>
      <c r="W37" s="83" t="s">
        <v>806</v>
      </c>
      <c r="X37" s="83" t="s">
        <v>807</v>
      </c>
      <c r="Y37" s="83" t="s">
        <v>808</v>
      </c>
      <c r="Z37" s="83" t="s">
        <v>809</v>
      </c>
      <c r="AA37" s="83" t="s">
        <v>810</v>
      </c>
      <c r="AB37" s="83" t="s">
        <v>811</v>
      </c>
      <c r="AC37" s="80" t="s">
        <v>534</v>
      </c>
      <c r="AD37" s="80" t="str">
        <f t="shared" ref="AD37:AD51" si="5">A37</f>
        <v>Line</v>
      </c>
    </row>
    <row r="38" spans="1:30">
      <c r="A38" s="91">
        <v>200</v>
      </c>
      <c r="B38" s="378" t="s">
        <v>520</v>
      </c>
      <c r="C38" s="140">
        <f>'1-DRR Corrected'!$K$2-1</f>
        <v>2020</v>
      </c>
      <c r="D38" s="275">
        <f>D$13*'6-PlantJurisdiction'!$E$37</f>
        <v>6.6232224789472181</v>
      </c>
      <c r="E38" s="275">
        <f>E$13*'6-PlantJurisdiction'!$E$37</f>
        <v>7365302.9923337046</v>
      </c>
      <c r="F38" s="275">
        <f>F$13*'6-PlantJurisdiction'!$E$38</f>
        <v>108131395.33413897</v>
      </c>
      <c r="G38" s="275">
        <f>G$13*'6-PlantJurisdiction'!$E$38</f>
        <v>10605800.563249271</v>
      </c>
      <c r="H38" s="275">
        <f>H$13*'6-PlantJurisdiction'!$E$39</f>
        <v>1131343505.1308358</v>
      </c>
      <c r="I38" s="275">
        <f>I$13*'6-PlantJurisdiction'!$E$40</f>
        <v>629292.68000000005</v>
      </c>
      <c r="J38" s="275">
        <f>J$13*'6-PlantJurisdiction'!$E$40</f>
        <v>14827148.080000002</v>
      </c>
      <c r="K38" s="275">
        <f>K$13*'6-PlantJurisdiction'!$E$41</f>
        <v>2152080938.1074624</v>
      </c>
      <c r="L38" s="275">
        <f>L$13*'6-PlantJurisdiction'!$E$42</f>
        <v>2220620745.0372558</v>
      </c>
      <c r="M38" s="275">
        <f>M$13*'6-PlantJurisdiction'!$E$43</f>
        <v>481369289.46005815</v>
      </c>
      <c r="N38" s="275">
        <f>N$13*'6-PlantJurisdiction'!$E$44</f>
        <v>1129589845.3287964</v>
      </c>
      <c r="O38" s="275">
        <f>O$13*'6-PlantJurisdiction'!$E$45</f>
        <v>0</v>
      </c>
      <c r="P38" s="275">
        <f>P$13*'6-PlantJurisdiction'!$E$45</f>
        <v>0</v>
      </c>
      <c r="Q38" s="275">
        <f>Q$13*'6-PlantJurisdiction'!$E$46</f>
        <v>0</v>
      </c>
      <c r="R38" s="275">
        <f>R$13*'6-PlantJurisdiction'!$E$46</f>
        <v>0</v>
      </c>
      <c r="S38" s="275">
        <f>S$13*'6-PlantJurisdiction'!$E$47</f>
        <v>0</v>
      </c>
      <c r="T38" s="275">
        <f>T$13*'6-PlantJurisdiction'!$E$47</f>
        <v>0</v>
      </c>
      <c r="U38" s="275">
        <f>U$13*'6-PlantJurisdiction'!$E$48</f>
        <v>0</v>
      </c>
      <c r="V38" s="275">
        <f>V$13*'6-PlantJurisdiction'!$E$48</f>
        <v>0</v>
      </c>
      <c r="W38" s="275">
        <f>W$13*'6-PlantJurisdiction'!$E$48</f>
        <v>0</v>
      </c>
      <c r="X38" s="275">
        <f>X$13*'6-PlantJurisdiction'!$E$49</f>
        <v>0</v>
      </c>
      <c r="Y38" s="275">
        <f>Y$13*'6-PlantJurisdiction'!$E$50</f>
        <v>0</v>
      </c>
      <c r="Z38" s="275">
        <f>Z$13*'6-PlantJurisdiction'!$E$50</f>
        <v>0</v>
      </c>
      <c r="AA38" s="275">
        <f>AA$13*'6-PlantJurisdiction'!$E$50</f>
        <v>0</v>
      </c>
      <c r="AB38" s="275">
        <f>AB$13*'6-PlantJurisdiction'!$E$50</f>
        <v>0</v>
      </c>
      <c r="AC38" s="24">
        <f t="shared" ref="AC38:AC50" si="6">SUM(D38:AB38)</f>
        <v>7256563269.3373528</v>
      </c>
      <c r="AD38" s="91">
        <f t="shared" si="5"/>
        <v>200</v>
      </c>
    </row>
    <row r="39" spans="1:30">
      <c r="A39" s="91">
        <f>A38+1</f>
        <v>201</v>
      </c>
      <c r="B39" s="378" t="s">
        <v>522</v>
      </c>
      <c r="C39" s="140">
        <f>'1-DRR Corrected'!$K$2</f>
        <v>2021</v>
      </c>
      <c r="D39" s="275">
        <f>D$14*'6-PlantJurisdiction'!$E$37</f>
        <v>121.6593969599903</v>
      </c>
      <c r="E39" s="275">
        <f>E$14*'6-PlantJurisdiction'!$E$37</f>
        <v>7525915.4321337007</v>
      </c>
      <c r="F39" s="275">
        <f>F$14*'6-PlantJurisdiction'!$E$38</f>
        <v>108409032.94594009</v>
      </c>
      <c r="G39" s="275">
        <f>G$14*'6-PlantJurisdiction'!$E$38</f>
        <v>10590141.041051148</v>
      </c>
      <c r="H39" s="275">
        <f>H$14*'6-PlantJurisdiction'!$E$39</f>
        <v>1129806002.8534284</v>
      </c>
      <c r="I39" s="275">
        <f>I$14*'6-PlantJurisdiction'!$E$40</f>
        <v>635537.76999999979</v>
      </c>
      <c r="J39" s="275">
        <f>J$14*'6-PlantJurisdiction'!$E$40</f>
        <v>15006811.799999999</v>
      </c>
      <c r="K39" s="275">
        <f>K$14*'6-PlantJurisdiction'!$E$41</f>
        <v>2171401426.5906935</v>
      </c>
      <c r="L39" s="275">
        <f>L$14*'6-PlantJurisdiction'!$E$42</f>
        <v>2229070425.3913584</v>
      </c>
      <c r="M39" s="275">
        <f>M$14*'6-PlantJurisdiction'!$E$43</f>
        <v>483501200.0284217</v>
      </c>
      <c r="N39" s="275">
        <f>N$14*'6-PlantJurisdiction'!$E$44</f>
        <v>1134164066.2375846</v>
      </c>
      <c r="O39" s="275">
        <f>O$14*'6-PlantJurisdiction'!$E$45</f>
        <v>0</v>
      </c>
      <c r="P39" s="275">
        <f>P$14*'6-PlantJurisdiction'!$E$45</f>
        <v>0</v>
      </c>
      <c r="Q39" s="275">
        <f>Q$14*'6-PlantJurisdiction'!$E$46</f>
        <v>0</v>
      </c>
      <c r="R39" s="275">
        <f>R$14*'6-PlantJurisdiction'!$E$46</f>
        <v>0</v>
      </c>
      <c r="S39" s="275">
        <f>S$14*'6-PlantJurisdiction'!$E$47</f>
        <v>0</v>
      </c>
      <c r="T39" s="275">
        <f>T$14*'6-PlantJurisdiction'!$E$47</f>
        <v>0</v>
      </c>
      <c r="U39" s="275">
        <f>U$14*'6-PlantJurisdiction'!$E$48</f>
        <v>0</v>
      </c>
      <c r="V39" s="275">
        <f>V$14*'6-PlantJurisdiction'!$E$48</f>
        <v>0</v>
      </c>
      <c r="W39" s="275">
        <f>W$14*'6-PlantJurisdiction'!$E$48</f>
        <v>0</v>
      </c>
      <c r="X39" s="275">
        <f>X$14*'6-PlantJurisdiction'!$E$49</f>
        <v>0</v>
      </c>
      <c r="Y39" s="275">
        <f>Y$14*'6-PlantJurisdiction'!$E$50</f>
        <v>0</v>
      </c>
      <c r="Z39" s="275">
        <f>Z$14*'6-PlantJurisdiction'!$E$50</f>
        <v>0</v>
      </c>
      <c r="AA39" s="275">
        <f>AA$14*'6-PlantJurisdiction'!$E$50</f>
        <v>0</v>
      </c>
      <c r="AB39" s="275">
        <f>AB$14*'6-PlantJurisdiction'!$E$50</f>
        <v>0</v>
      </c>
      <c r="AC39" s="24">
        <f t="shared" si="6"/>
        <v>7290110681.7500076</v>
      </c>
      <c r="AD39" s="91">
        <f t="shared" si="5"/>
        <v>201</v>
      </c>
    </row>
    <row r="40" spans="1:30">
      <c r="A40" s="91">
        <f t="shared" ref="A40:A51" si="7">A39+1</f>
        <v>202</v>
      </c>
      <c r="B40" s="378" t="s">
        <v>523</v>
      </c>
      <c r="C40" s="140">
        <f>'1-DRR Corrected'!$K$2</f>
        <v>2021</v>
      </c>
      <c r="D40" s="275">
        <f>D$15*'6-PlantJurisdiction'!$E$37</f>
        <v>236.67005561951501</v>
      </c>
      <c r="E40" s="275">
        <f>E$15*'6-PlantJurisdiction'!$E$37</f>
        <v>7686544.6817569025</v>
      </c>
      <c r="F40" s="275">
        <f>F$15*'6-PlantJurisdiction'!$E$38</f>
        <v>108648332.74774107</v>
      </c>
      <c r="G40" s="275">
        <f>G$15*'6-PlantJurisdiction'!$E$38</f>
        <v>10642373.678853028</v>
      </c>
      <c r="H40" s="275">
        <f>H$15*'6-PlantJurisdiction'!$E$39</f>
        <v>1135939903.4560206</v>
      </c>
      <c r="I40" s="275">
        <f>I$15*'6-PlantJurisdiction'!$E$40</f>
        <v>642539.53000000014</v>
      </c>
      <c r="J40" s="275">
        <f>J$15*'6-PlantJurisdiction'!$E$40</f>
        <v>15172622.4</v>
      </c>
      <c r="K40" s="275">
        <f>K$15*'6-PlantJurisdiction'!$E$41</f>
        <v>2189669970.7840056</v>
      </c>
      <c r="L40" s="275">
        <f>L$15*'6-PlantJurisdiction'!$E$42</f>
        <v>2236693253.3800492</v>
      </c>
      <c r="M40" s="275">
        <f>M$15*'6-PlantJurisdiction'!$E$43</f>
        <v>486018457.44400758</v>
      </c>
      <c r="N40" s="275">
        <f>N$15*'6-PlantJurisdiction'!$E$44</f>
        <v>1139583335.9582372</v>
      </c>
      <c r="O40" s="275">
        <f>O$15*'6-PlantJurisdiction'!$E$45</f>
        <v>0</v>
      </c>
      <c r="P40" s="275">
        <f>P$15*'6-PlantJurisdiction'!$E$45</f>
        <v>0</v>
      </c>
      <c r="Q40" s="275">
        <f>Q$15*'6-PlantJurisdiction'!$E$46</f>
        <v>0</v>
      </c>
      <c r="R40" s="275">
        <f>R$15*'6-PlantJurisdiction'!$E$46</f>
        <v>0</v>
      </c>
      <c r="S40" s="275">
        <f>S$15*'6-PlantJurisdiction'!$E$47</f>
        <v>0</v>
      </c>
      <c r="T40" s="275">
        <f>T$15*'6-PlantJurisdiction'!$E$47</f>
        <v>0</v>
      </c>
      <c r="U40" s="275">
        <f>U$15*'6-PlantJurisdiction'!$E$48</f>
        <v>0</v>
      </c>
      <c r="V40" s="275">
        <f>V$15*'6-PlantJurisdiction'!$E$48</f>
        <v>0</v>
      </c>
      <c r="W40" s="275">
        <f>W$15*'6-PlantJurisdiction'!$E$48</f>
        <v>0</v>
      </c>
      <c r="X40" s="275">
        <f>X$15*'6-PlantJurisdiction'!$E$49</f>
        <v>0</v>
      </c>
      <c r="Y40" s="275">
        <f>Y$15*'6-PlantJurisdiction'!$E$50</f>
        <v>0</v>
      </c>
      <c r="Z40" s="275">
        <f>Z$15*'6-PlantJurisdiction'!$E$50</f>
        <v>0</v>
      </c>
      <c r="AA40" s="275">
        <f>AA$15*'6-PlantJurisdiction'!$E$50</f>
        <v>0</v>
      </c>
      <c r="AB40" s="275">
        <f>AB$15*'6-PlantJurisdiction'!$E$50</f>
        <v>0</v>
      </c>
      <c r="AC40" s="24">
        <f t="shared" si="6"/>
        <v>7330697570.7307262</v>
      </c>
      <c r="AD40" s="91">
        <f t="shared" si="5"/>
        <v>202</v>
      </c>
    </row>
    <row r="41" spans="1:30">
      <c r="A41" s="91">
        <f t="shared" si="7"/>
        <v>203</v>
      </c>
      <c r="B41" s="378" t="s">
        <v>524</v>
      </c>
      <c r="C41" s="140">
        <f>'1-DRR Corrected'!$K$2</f>
        <v>2021</v>
      </c>
      <c r="D41" s="275">
        <f>D$16*'6-PlantJurisdiction'!$E$37</f>
        <v>351.60926997878806</v>
      </c>
      <c r="E41" s="275">
        <f>E$16*'6-PlantJurisdiction'!$E$37</f>
        <v>7847209.6024985937</v>
      </c>
      <c r="F41" s="275">
        <f>F$16*'6-PlantJurisdiction'!$E$38</f>
        <v>108917769.34954214</v>
      </c>
      <c r="G41" s="275">
        <f>G$16*'6-PlantJurisdiction'!$E$38</f>
        <v>10577582.136654912</v>
      </c>
      <c r="H41" s="275">
        <f>H$16*'6-PlantJurisdiction'!$E$39</f>
        <v>1143391974.1386189</v>
      </c>
      <c r="I41" s="275">
        <f>I$16*'6-PlantJurisdiction'!$E$40</f>
        <v>649614.03</v>
      </c>
      <c r="J41" s="275">
        <f>J$16*'6-PlantJurisdiction'!$E$40</f>
        <v>15338434.4</v>
      </c>
      <c r="K41" s="275">
        <f>K$16*'6-PlantJurisdiction'!$E$41</f>
        <v>2201707358.9337926</v>
      </c>
      <c r="L41" s="275">
        <f>L$16*'6-PlantJurisdiction'!$E$42</f>
        <v>2239710531.3447757</v>
      </c>
      <c r="M41" s="275">
        <f>M$16*'6-PlantJurisdiction'!$E$43</f>
        <v>488366827.48853844</v>
      </c>
      <c r="N41" s="275">
        <f>N$16*'6-PlantJurisdiction'!$E$44</f>
        <v>1146952822.4883738</v>
      </c>
      <c r="O41" s="275">
        <f>O$16*'6-PlantJurisdiction'!$E$45</f>
        <v>0</v>
      </c>
      <c r="P41" s="275">
        <f>P$16*'6-PlantJurisdiction'!$E$45</f>
        <v>0</v>
      </c>
      <c r="Q41" s="275">
        <f>Q$16*'6-PlantJurisdiction'!$E$46</f>
        <v>0</v>
      </c>
      <c r="R41" s="275">
        <f>R$16*'6-PlantJurisdiction'!$E$46</f>
        <v>0</v>
      </c>
      <c r="S41" s="275">
        <f>S$16*'6-PlantJurisdiction'!$E$47</f>
        <v>0</v>
      </c>
      <c r="T41" s="275">
        <f>T$16*'6-PlantJurisdiction'!$E$47</f>
        <v>0</v>
      </c>
      <c r="U41" s="275">
        <f>U$16*'6-PlantJurisdiction'!$E$48</f>
        <v>0</v>
      </c>
      <c r="V41" s="275">
        <f>V$16*'6-PlantJurisdiction'!$E$48</f>
        <v>0</v>
      </c>
      <c r="W41" s="275">
        <f>W$16*'6-PlantJurisdiction'!$E$48</f>
        <v>0</v>
      </c>
      <c r="X41" s="275">
        <f>X$16*'6-PlantJurisdiction'!$E$49</f>
        <v>0</v>
      </c>
      <c r="Y41" s="275">
        <f>Y$16*'6-PlantJurisdiction'!$E$50</f>
        <v>0</v>
      </c>
      <c r="Z41" s="275">
        <f>Z$16*'6-PlantJurisdiction'!$E$50</f>
        <v>0</v>
      </c>
      <c r="AA41" s="275">
        <f>AA$16*'6-PlantJurisdiction'!$E$50</f>
        <v>0</v>
      </c>
      <c r="AB41" s="275">
        <f>AB$16*'6-PlantJurisdiction'!$E$50</f>
        <v>0</v>
      </c>
      <c r="AC41" s="24">
        <f t="shared" si="6"/>
        <v>7363460475.5220652</v>
      </c>
      <c r="AD41" s="91">
        <f t="shared" si="5"/>
        <v>203</v>
      </c>
    </row>
    <row r="42" spans="1:30">
      <c r="A42" s="91">
        <f t="shared" si="7"/>
        <v>204</v>
      </c>
      <c r="B42" s="378" t="s">
        <v>525</v>
      </c>
      <c r="C42" s="140">
        <f>'1-DRR Corrected'!$K$2</f>
        <v>2021</v>
      </c>
      <c r="D42" s="275">
        <f>D$17*'6-PlantJurisdiction'!$E$37</f>
        <v>466.68626977426067</v>
      </c>
      <c r="E42" s="275">
        <f>E$17*'6-PlantJurisdiction'!$E$37</f>
        <v>8007874.5334466128</v>
      </c>
      <c r="F42" s="275">
        <f>F$17*'6-PlantJurisdiction'!$E$38</f>
        <v>109169326.52134342</v>
      </c>
      <c r="G42" s="275">
        <f>G$17*'6-PlantJurisdiction'!$E$38</f>
        <v>10633868.274456799</v>
      </c>
      <c r="H42" s="275">
        <f>H$17*'6-PlantJurisdiction'!$E$39</f>
        <v>1148133824.6312127</v>
      </c>
      <c r="I42" s="275">
        <f>I$17*'6-PlantJurisdiction'!$E$40</f>
        <v>656795</v>
      </c>
      <c r="J42" s="275">
        <f>J$17*'6-PlantJurisdiction'!$E$40</f>
        <v>15504245.060000001</v>
      </c>
      <c r="K42" s="275">
        <f>K$17*'6-PlantJurisdiction'!$E$41</f>
        <v>2217675254.447031</v>
      </c>
      <c r="L42" s="275">
        <f>L$17*'6-PlantJurisdiction'!$E$42</f>
        <v>2243939642.2664719</v>
      </c>
      <c r="M42" s="275">
        <f>M$17*'6-PlantJurisdiction'!$E$43</f>
        <v>490773828.43494624</v>
      </c>
      <c r="N42" s="275">
        <f>N$17*'6-PlantJurisdiction'!$E$44</f>
        <v>1151555488.9155543</v>
      </c>
      <c r="O42" s="275">
        <f>O$17*'6-PlantJurisdiction'!$E$45</f>
        <v>0</v>
      </c>
      <c r="P42" s="275">
        <f>P$17*'6-PlantJurisdiction'!$E$45</f>
        <v>0</v>
      </c>
      <c r="Q42" s="275">
        <f>Q$17*'6-PlantJurisdiction'!$E$46</f>
        <v>0</v>
      </c>
      <c r="R42" s="275">
        <f>R$17*'6-PlantJurisdiction'!$E$46</f>
        <v>0</v>
      </c>
      <c r="S42" s="275">
        <f>S$17*'6-PlantJurisdiction'!$E$47</f>
        <v>0</v>
      </c>
      <c r="T42" s="275">
        <f>T$17*'6-PlantJurisdiction'!$E$47</f>
        <v>0</v>
      </c>
      <c r="U42" s="275">
        <f>U$17*'6-PlantJurisdiction'!$E$48</f>
        <v>0</v>
      </c>
      <c r="V42" s="275">
        <f>V$17*'6-PlantJurisdiction'!$E$48</f>
        <v>0</v>
      </c>
      <c r="W42" s="275">
        <f>W$17*'6-PlantJurisdiction'!$E$48</f>
        <v>0</v>
      </c>
      <c r="X42" s="275">
        <f>X$17*'6-PlantJurisdiction'!$E$49</f>
        <v>0</v>
      </c>
      <c r="Y42" s="275">
        <f>Y$17*'6-PlantJurisdiction'!$E$50</f>
        <v>0</v>
      </c>
      <c r="Z42" s="275">
        <f>Z$17*'6-PlantJurisdiction'!$E$50</f>
        <v>0</v>
      </c>
      <c r="AA42" s="275">
        <f>AA$17*'6-PlantJurisdiction'!$E$50</f>
        <v>0</v>
      </c>
      <c r="AB42" s="275">
        <f>AB$17*'6-PlantJurisdiction'!$E$50</f>
        <v>0</v>
      </c>
      <c r="AC42" s="24">
        <f t="shared" si="6"/>
        <v>7396050614.7707319</v>
      </c>
      <c r="AD42" s="91">
        <f t="shared" si="5"/>
        <v>204</v>
      </c>
    </row>
    <row r="43" spans="1:30">
      <c r="A43" s="91">
        <f t="shared" si="7"/>
        <v>205</v>
      </c>
      <c r="B43" s="378" t="s">
        <v>526</v>
      </c>
      <c r="C43" s="140">
        <f>'1-DRR Corrected'!$K$2</f>
        <v>2021</v>
      </c>
      <c r="D43" s="275">
        <f>D$18*'6-PlantJurisdiction'!$E$37</f>
        <v>-23780.68187826205</v>
      </c>
      <c r="E43" s="275">
        <f>E$18*'6-PlantJurisdiction'!$E$37</f>
        <v>8168537.2190023409</v>
      </c>
      <c r="F43" s="275">
        <f>F$18*'6-PlantJurisdiction'!$E$38</f>
        <v>109466981.26314448</v>
      </c>
      <c r="G43" s="275">
        <f>G$18*'6-PlantJurisdiction'!$E$38</f>
        <v>10689630.592258679</v>
      </c>
      <c r="H43" s="275">
        <f>H$18*'6-PlantJurisdiction'!$E$39</f>
        <v>1153900982.9638069</v>
      </c>
      <c r="I43" s="275">
        <f>I$18*'6-PlantJurisdiction'!$E$40</f>
        <v>664001.86</v>
      </c>
      <c r="J43" s="275">
        <f>J$18*'6-PlantJurisdiction'!$E$40</f>
        <v>15671076.77</v>
      </c>
      <c r="K43" s="275">
        <f>K$18*'6-PlantJurisdiction'!$E$41</f>
        <v>2233897419.4080734</v>
      </c>
      <c r="L43" s="275">
        <f>L$18*'6-PlantJurisdiction'!$E$42</f>
        <v>2247707241.9284582</v>
      </c>
      <c r="M43" s="275">
        <f>M$18*'6-PlantJurisdiction'!$E$43</f>
        <v>493012842.13710845</v>
      </c>
      <c r="N43" s="275">
        <f>N$18*'6-PlantJurisdiction'!$E$44</f>
        <v>1155913436.5353918</v>
      </c>
      <c r="O43" s="275">
        <f>O$18*'6-PlantJurisdiction'!$E$45</f>
        <v>0</v>
      </c>
      <c r="P43" s="275">
        <f>P$18*'6-PlantJurisdiction'!$E$45</f>
        <v>0</v>
      </c>
      <c r="Q43" s="275">
        <f>Q$18*'6-PlantJurisdiction'!$E$46</f>
        <v>0</v>
      </c>
      <c r="R43" s="275">
        <f>R$18*'6-PlantJurisdiction'!$E$46</f>
        <v>0</v>
      </c>
      <c r="S43" s="275">
        <f>S$18*'6-PlantJurisdiction'!$E$47</f>
        <v>0</v>
      </c>
      <c r="T43" s="275">
        <f>T$18*'6-PlantJurisdiction'!$E$47</f>
        <v>0</v>
      </c>
      <c r="U43" s="275">
        <f>U$18*'6-PlantJurisdiction'!$E$48</f>
        <v>0</v>
      </c>
      <c r="V43" s="275">
        <f>V$18*'6-PlantJurisdiction'!$E$48</f>
        <v>0</v>
      </c>
      <c r="W43" s="275">
        <f>W$18*'6-PlantJurisdiction'!$E$48</f>
        <v>0</v>
      </c>
      <c r="X43" s="275">
        <f>X$18*'6-PlantJurisdiction'!$E$49</f>
        <v>0</v>
      </c>
      <c r="Y43" s="275">
        <f>Y$18*'6-PlantJurisdiction'!$E$50</f>
        <v>0</v>
      </c>
      <c r="Z43" s="275">
        <f>Z$18*'6-PlantJurisdiction'!$E$50</f>
        <v>0</v>
      </c>
      <c r="AA43" s="275">
        <f>AA$18*'6-PlantJurisdiction'!$E$50</f>
        <v>0</v>
      </c>
      <c r="AB43" s="275">
        <f>AB$18*'6-PlantJurisdiction'!$E$50</f>
        <v>0</v>
      </c>
      <c r="AC43" s="24">
        <f t="shared" si="6"/>
        <v>7429068369.9953661</v>
      </c>
      <c r="AD43" s="91">
        <f t="shared" si="5"/>
        <v>205</v>
      </c>
    </row>
    <row r="44" spans="1:30">
      <c r="A44" s="91">
        <f t="shared" si="7"/>
        <v>206</v>
      </c>
      <c r="B44" s="378" t="s">
        <v>812</v>
      </c>
      <c r="C44" s="140">
        <f>'1-DRR Corrected'!$K$2</f>
        <v>2021</v>
      </c>
      <c r="D44" s="275">
        <f>D$19*'6-PlantJurisdiction'!$E$37</f>
        <v>-26549.377510658785</v>
      </c>
      <c r="E44" s="275">
        <f>E$19*'6-PlantJurisdiction'!$E$37</f>
        <v>8329199.4758922653</v>
      </c>
      <c r="F44" s="275">
        <f>F$19*'6-PlantJurisdiction'!$E$38</f>
        <v>109378755.9249454</v>
      </c>
      <c r="G44" s="275">
        <f>G$19*'6-PlantJurisdiction'!$E$38</f>
        <v>10745918.720060572</v>
      </c>
      <c r="H44" s="275">
        <f>H$19*'6-PlantJurisdiction'!$E$39</f>
        <v>1161099359.5664027</v>
      </c>
      <c r="I44" s="275">
        <f>I$19*'6-PlantJurisdiction'!$E$40</f>
        <v>671250.0199999999</v>
      </c>
      <c r="J44" s="275">
        <f>J$19*'6-PlantJurisdiction'!$E$40</f>
        <v>15838005.710000001</v>
      </c>
      <c r="K44" s="275">
        <f>K$19*'6-PlantJurisdiction'!$E$41</f>
        <v>2248293857.1712546</v>
      </c>
      <c r="L44" s="275">
        <f>L$19*'6-PlantJurisdiction'!$E$42</f>
        <v>2252340382.1634107</v>
      </c>
      <c r="M44" s="275">
        <f>M$19*'6-PlantJurisdiction'!$E$43</f>
        <v>495413635.2640698</v>
      </c>
      <c r="N44" s="275">
        <f>N$19*'6-PlantJurisdiction'!$E$44</f>
        <v>1161043028.1499224</v>
      </c>
      <c r="O44" s="275">
        <f>O$19*'6-PlantJurisdiction'!$E$45</f>
        <v>0</v>
      </c>
      <c r="P44" s="275">
        <f>P$19*'6-PlantJurisdiction'!$E$45</f>
        <v>0</v>
      </c>
      <c r="Q44" s="275">
        <f>Q$19*'6-PlantJurisdiction'!$E$46</f>
        <v>0</v>
      </c>
      <c r="R44" s="275">
        <f>R$19*'6-PlantJurisdiction'!$E$46</f>
        <v>0</v>
      </c>
      <c r="S44" s="275">
        <f>S$19*'6-PlantJurisdiction'!$E$47</f>
        <v>0</v>
      </c>
      <c r="T44" s="275">
        <f>T$19*'6-PlantJurisdiction'!$E$47</f>
        <v>0</v>
      </c>
      <c r="U44" s="275">
        <f>U$19*'6-PlantJurisdiction'!$E$48</f>
        <v>0</v>
      </c>
      <c r="V44" s="275">
        <f>V$19*'6-PlantJurisdiction'!$E$48</f>
        <v>0</v>
      </c>
      <c r="W44" s="275">
        <f>W$19*'6-PlantJurisdiction'!$E$48</f>
        <v>0</v>
      </c>
      <c r="X44" s="275">
        <f>X$19*'6-PlantJurisdiction'!$E$49</f>
        <v>0</v>
      </c>
      <c r="Y44" s="275">
        <f>Y$19*'6-PlantJurisdiction'!$E$50</f>
        <v>0</v>
      </c>
      <c r="Z44" s="275">
        <f>Z$19*'6-PlantJurisdiction'!$E$50</f>
        <v>0</v>
      </c>
      <c r="AA44" s="275">
        <f>AA$19*'6-PlantJurisdiction'!$E$50</f>
        <v>0</v>
      </c>
      <c r="AB44" s="275">
        <f>AB$19*'6-PlantJurisdiction'!$E$50</f>
        <v>0</v>
      </c>
      <c r="AC44" s="24">
        <f t="shared" si="6"/>
        <v>7463126842.7884474</v>
      </c>
      <c r="AD44" s="91">
        <f t="shared" si="5"/>
        <v>206</v>
      </c>
    </row>
    <row r="45" spans="1:30">
      <c r="A45" s="91">
        <f t="shared" si="7"/>
        <v>207</v>
      </c>
      <c r="B45" s="378" t="s">
        <v>528</v>
      </c>
      <c r="C45" s="140">
        <f>'1-DRR Corrected'!$K$2</f>
        <v>2021</v>
      </c>
      <c r="D45" s="275">
        <f>D20*'6-PlantJurisdiction'!$E$37</f>
        <v>-28163.109688352088</v>
      </c>
      <c r="E45" s="275">
        <f>E20*'6-PlantJurisdiction'!$E$37</f>
        <v>8489861.6511315573</v>
      </c>
      <c r="F45" s="275">
        <f>F$20*'6-PlantJurisdiction'!$E$38</f>
        <v>109924227.18674666</v>
      </c>
      <c r="G45" s="275">
        <f>G$20*'6-PlantJurisdiction'!$E$38</f>
        <v>10802095.257862458</v>
      </c>
      <c r="H45" s="275">
        <f>H$20*'6-PlantJurisdiction'!$E$39</f>
        <v>1166054208.6489961</v>
      </c>
      <c r="I45" s="275">
        <f>I$20*'6-PlantJurisdiction'!$E$40</f>
        <v>678556.02999999991</v>
      </c>
      <c r="J45" s="275">
        <f>J$20*'6-PlantJurisdiction'!$E$40</f>
        <v>16005178.970000001</v>
      </c>
      <c r="K45" s="275">
        <f>K$20*'6-PlantJurisdiction'!$E$41</f>
        <v>2262913440.3822446</v>
      </c>
      <c r="L45" s="275">
        <f>L$20*'6-PlantJurisdiction'!$E$42</f>
        <v>2258364045.0405955</v>
      </c>
      <c r="M45" s="275">
        <f>M$20*'6-PlantJurisdiction'!$E$43</f>
        <v>497558907.28880233</v>
      </c>
      <c r="N45" s="275">
        <f>N$20*'6-PlantJurisdiction'!$E$44</f>
        <v>1165646186.0455997</v>
      </c>
      <c r="O45" s="275">
        <f>O$20*'6-PlantJurisdiction'!$E$45</f>
        <v>0</v>
      </c>
      <c r="P45" s="275">
        <f>P$20*'6-PlantJurisdiction'!$E$45</f>
        <v>0</v>
      </c>
      <c r="Q45" s="275">
        <f>Q$20*'6-PlantJurisdiction'!$E$46</f>
        <v>0</v>
      </c>
      <c r="R45" s="275">
        <f>R$20*'6-PlantJurisdiction'!$E$46</f>
        <v>0</v>
      </c>
      <c r="S45" s="275">
        <f>S$20*'6-PlantJurisdiction'!$E$47</f>
        <v>0</v>
      </c>
      <c r="T45" s="275">
        <f>T$20*'6-PlantJurisdiction'!$E$47</f>
        <v>0</v>
      </c>
      <c r="U45" s="275">
        <f>U$20*'6-PlantJurisdiction'!$E$48</f>
        <v>0</v>
      </c>
      <c r="V45" s="275">
        <f>V$20*'6-PlantJurisdiction'!$E$48</f>
        <v>0</v>
      </c>
      <c r="W45" s="275">
        <f>W$20*'6-PlantJurisdiction'!$E$48</f>
        <v>0</v>
      </c>
      <c r="X45" s="275">
        <f>X$20*'6-PlantJurisdiction'!$E$49</f>
        <v>0</v>
      </c>
      <c r="Y45" s="275">
        <f>Y$20*'6-PlantJurisdiction'!$E$50</f>
        <v>0</v>
      </c>
      <c r="Z45" s="275">
        <f>Z$20*'6-PlantJurisdiction'!$E$50</f>
        <v>0</v>
      </c>
      <c r="AA45" s="275">
        <f>AA$20*'6-PlantJurisdiction'!$E$50</f>
        <v>0</v>
      </c>
      <c r="AB45" s="275">
        <f>AB$20*'6-PlantJurisdiction'!$E$50</f>
        <v>0</v>
      </c>
      <c r="AC45" s="24">
        <f t="shared" si="6"/>
        <v>7496408543.3922901</v>
      </c>
      <c r="AD45" s="91">
        <f t="shared" si="5"/>
        <v>207</v>
      </c>
    </row>
    <row r="46" spans="1:30">
      <c r="A46" s="91">
        <f t="shared" si="7"/>
        <v>208</v>
      </c>
      <c r="B46" s="378" t="s">
        <v>529</v>
      </c>
      <c r="C46" s="140">
        <f>'1-DRR Corrected'!$K$2</f>
        <v>2021</v>
      </c>
      <c r="D46" s="275">
        <f>D$21*'6-PlantJurisdiction'!$E$37</f>
        <v>-38726.159042135863</v>
      </c>
      <c r="E46" s="275">
        <f>E$21*'6-PlantJurisdiction'!$E$37</f>
        <v>8650489.3544959798</v>
      </c>
      <c r="F46" s="275">
        <f>F$21*'6-PlantJurisdiction'!$E$38</f>
        <v>110226684.43854772</v>
      </c>
      <c r="G46" s="275">
        <f>G$21*'6-PlantJurisdiction'!$E$38</f>
        <v>10855721.265664322</v>
      </c>
      <c r="H46" s="275">
        <f>H$21*'6-PlantJurisdiction'!$E$39</f>
        <v>1174132346.171593</v>
      </c>
      <c r="I46" s="275">
        <f>I$21*'6-PlantJurisdiction'!$E$40</f>
        <v>686029.79</v>
      </c>
      <c r="J46" s="275">
        <f>J$21*'6-PlantJurisdiction'!$E$40</f>
        <v>16172223.880000001</v>
      </c>
      <c r="K46" s="275">
        <f>K$21*'6-PlantJurisdiction'!$E$41</f>
        <v>2277650349.9521017</v>
      </c>
      <c r="L46" s="275">
        <f>L$21*'6-PlantJurisdiction'!$E$42</f>
        <v>2265319639.6538496</v>
      </c>
      <c r="M46" s="275">
        <f>M$21*'6-PlantJurisdiction'!$E$43</f>
        <v>500473704.4734031</v>
      </c>
      <c r="N46" s="275">
        <f>N$21*'6-PlantJurisdiction'!$E$44</f>
        <v>1170764578.0036645</v>
      </c>
      <c r="O46" s="275">
        <f>O$21*'6-PlantJurisdiction'!$E$45</f>
        <v>0</v>
      </c>
      <c r="P46" s="275">
        <f>P$21*'6-PlantJurisdiction'!$E$45</f>
        <v>0</v>
      </c>
      <c r="Q46" s="275">
        <f>Q$21*'6-PlantJurisdiction'!$E$46</f>
        <v>0</v>
      </c>
      <c r="R46" s="275">
        <f>R$21*'6-PlantJurisdiction'!$E$46</f>
        <v>0</v>
      </c>
      <c r="S46" s="275">
        <f>S$21*'6-PlantJurisdiction'!$E$47</f>
        <v>0</v>
      </c>
      <c r="T46" s="275">
        <f>T$21*'6-PlantJurisdiction'!$E$47</f>
        <v>0</v>
      </c>
      <c r="U46" s="275">
        <f>U$21*'6-PlantJurisdiction'!$E$48</f>
        <v>0</v>
      </c>
      <c r="V46" s="275">
        <f>V$21*'6-PlantJurisdiction'!$E$48</f>
        <v>0</v>
      </c>
      <c r="W46" s="275">
        <f>W$21*'6-PlantJurisdiction'!$E$48</f>
        <v>0</v>
      </c>
      <c r="X46" s="275">
        <f>X$21*'6-PlantJurisdiction'!$E$49</f>
        <v>0</v>
      </c>
      <c r="Y46" s="275">
        <f>Y$21*'6-PlantJurisdiction'!$E$50</f>
        <v>0</v>
      </c>
      <c r="Z46" s="275">
        <f>Z$21*'6-PlantJurisdiction'!$E$50</f>
        <v>0</v>
      </c>
      <c r="AA46" s="275">
        <f>AA$21*'6-PlantJurisdiction'!$E$50</f>
        <v>0</v>
      </c>
      <c r="AB46" s="275">
        <f>AB$21*'6-PlantJurisdiction'!$E$50</f>
        <v>0</v>
      </c>
      <c r="AC46" s="24">
        <f t="shared" si="6"/>
        <v>7534893040.8242779</v>
      </c>
      <c r="AD46" s="91">
        <f t="shared" si="5"/>
        <v>208</v>
      </c>
    </row>
    <row r="47" spans="1:30">
      <c r="A47" s="91">
        <f t="shared" si="7"/>
        <v>209</v>
      </c>
      <c r="B47" s="378" t="s">
        <v>530</v>
      </c>
      <c r="C47" s="140">
        <f>'1-DRR Corrected'!$K$2</f>
        <v>2021</v>
      </c>
      <c r="D47" s="275">
        <f>D$22*'6-PlantJurisdiction'!$E$37</f>
        <v>-43843.203307981923</v>
      </c>
      <c r="E47" s="275">
        <f>E$22*'6-PlantJurisdiction'!$E$37</f>
        <v>8811116.4812028408</v>
      </c>
      <c r="F47" s="275">
        <f>F$22*'6-PlantJurisdiction'!$E$38</f>
        <v>110437795.08034886</v>
      </c>
      <c r="G47" s="275">
        <f>G$22*'6-PlantJurisdiction'!$E$38</f>
        <v>10902968.723466223</v>
      </c>
      <c r="H47" s="275">
        <f>H$22*'6-PlantJurisdiction'!$E$39</f>
        <v>1177438450.884186</v>
      </c>
      <c r="I47" s="275">
        <f>I$22*'6-PlantJurisdiction'!$E$40</f>
        <v>598456.54</v>
      </c>
      <c r="J47" s="275">
        <f>J$22*'6-PlantJurisdiction'!$E$40</f>
        <v>16338548.65</v>
      </c>
      <c r="K47" s="275">
        <f>K$22*'6-PlantJurisdiction'!$E$41</f>
        <v>2291726153.3640862</v>
      </c>
      <c r="L47" s="275">
        <f>L$22*'6-PlantJurisdiction'!$E$42</f>
        <v>2270820833.5260921</v>
      </c>
      <c r="M47" s="275">
        <f>M$22*'6-PlantJurisdiction'!$E$43</f>
        <v>502186750.98882711</v>
      </c>
      <c r="N47" s="275">
        <f>N$22*'6-PlantJurisdiction'!$E$44</f>
        <v>1174650358.3424473</v>
      </c>
      <c r="O47" s="275">
        <f>O$22*'6-PlantJurisdiction'!$E$45</f>
        <v>0</v>
      </c>
      <c r="P47" s="275">
        <f>P$22*'6-PlantJurisdiction'!$E$45</f>
        <v>0</v>
      </c>
      <c r="Q47" s="275">
        <f>Q$22*'6-PlantJurisdiction'!$E$46</f>
        <v>0</v>
      </c>
      <c r="R47" s="275">
        <f>R$22*'6-PlantJurisdiction'!$E$46</f>
        <v>0</v>
      </c>
      <c r="S47" s="275">
        <f>S$22*'6-PlantJurisdiction'!$E$47</f>
        <v>0</v>
      </c>
      <c r="T47" s="275">
        <f>T$22*'6-PlantJurisdiction'!$E$47</f>
        <v>0</v>
      </c>
      <c r="U47" s="275">
        <f>U$22*'6-PlantJurisdiction'!$E$48</f>
        <v>0</v>
      </c>
      <c r="V47" s="275">
        <f>V$22*'6-PlantJurisdiction'!$E$48</f>
        <v>0</v>
      </c>
      <c r="W47" s="275">
        <f>W$22*'6-PlantJurisdiction'!$E$48</f>
        <v>0</v>
      </c>
      <c r="X47" s="275">
        <f>X$22*'6-PlantJurisdiction'!$E$49</f>
        <v>0</v>
      </c>
      <c r="Y47" s="275">
        <f>Y$22*'6-PlantJurisdiction'!$E$50</f>
        <v>0</v>
      </c>
      <c r="Z47" s="275">
        <f>Z$22*'6-PlantJurisdiction'!$E$50</f>
        <v>0</v>
      </c>
      <c r="AA47" s="275">
        <f>AA$22*'6-PlantJurisdiction'!$E$50</f>
        <v>0</v>
      </c>
      <c r="AB47" s="275">
        <f>AB$22*'6-PlantJurisdiction'!$E$50</f>
        <v>0</v>
      </c>
      <c r="AC47" s="24">
        <f t="shared" si="6"/>
        <v>7563867589.3773479</v>
      </c>
      <c r="AD47" s="91">
        <f t="shared" si="5"/>
        <v>209</v>
      </c>
    </row>
    <row r="48" spans="1:30">
      <c r="A48" s="91">
        <f t="shared" si="7"/>
        <v>210</v>
      </c>
      <c r="B48" s="378" t="s">
        <v>531</v>
      </c>
      <c r="C48" s="140">
        <f>'1-DRR Corrected'!$K$2</f>
        <v>2021</v>
      </c>
      <c r="D48" s="275">
        <f>D$23*'6-PlantJurisdiction'!$E$37</f>
        <v>-44393.288053021948</v>
      </c>
      <c r="E48" s="275">
        <f>E$23*'6-PlantJurisdiction'!$E$37</f>
        <v>8971743.4599179402</v>
      </c>
      <c r="F48" s="275">
        <f>F$23*'6-PlantJurisdiction'!$E$38</f>
        <v>110709483.4021499</v>
      </c>
      <c r="G48" s="275">
        <f>G$23*'6-PlantJurisdiction'!$E$38</f>
        <v>10956259.3312681</v>
      </c>
      <c r="H48" s="275">
        <f>H$23*'6-PlantJurisdiction'!$E$39</f>
        <v>1185450196.9767816</v>
      </c>
      <c r="I48" s="275">
        <f>I$23*'6-PlantJurisdiction'!$E$40</f>
        <v>601079.39000000013</v>
      </c>
      <c r="J48" s="275">
        <f>J$23*'6-PlantJurisdiction'!$E$40</f>
        <v>16505478.929999998</v>
      </c>
      <c r="K48" s="275">
        <f>K$23*'6-PlantJurisdiction'!$E$41</f>
        <v>2301049575.6050262</v>
      </c>
      <c r="L48" s="275">
        <f>L$23*'6-PlantJurisdiction'!$E$42</f>
        <v>2274794388.2332053</v>
      </c>
      <c r="M48" s="275">
        <f>M$23*'6-PlantJurisdiction'!$E$43</f>
        <v>505136511.45103139</v>
      </c>
      <c r="N48" s="275">
        <f>N$23*'6-PlantJurisdiction'!$E$44</f>
        <v>1180587884.3437703</v>
      </c>
      <c r="O48" s="275">
        <f>O$23*'6-PlantJurisdiction'!$E$45</f>
        <v>0</v>
      </c>
      <c r="P48" s="275">
        <f>P$23*'6-PlantJurisdiction'!$E$45</f>
        <v>0</v>
      </c>
      <c r="Q48" s="275">
        <f>Q$23*'6-PlantJurisdiction'!$E$46</f>
        <v>0</v>
      </c>
      <c r="R48" s="275">
        <f>R$23*'6-PlantJurisdiction'!$E$46</f>
        <v>0</v>
      </c>
      <c r="S48" s="275">
        <f>S$23*'6-PlantJurisdiction'!$E$47</f>
        <v>0</v>
      </c>
      <c r="T48" s="275">
        <f>T$23*'6-PlantJurisdiction'!$E$47</f>
        <v>0</v>
      </c>
      <c r="U48" s="275">
        <f>U$23*'6-PlantJurisdiction'!$E$48</f>
        <v>0</v>
      </c>
      <c r="V48" s="275">
        <f>V$23*'6-PlantJurisdiction'!$E$48</f>
        <v>0</v>
      </c>
      <c r="W48" s="275">
        <f>W$23*'6-PlantJurisdiction'!$E$48</f>
        <v>0</v>
      </c>
      <c r="X48" s="275">
        <f>X$23*'6-PlantJurisdiction'!$E$49</f>
        <v>0</v>
      </c>
      <c r="Y48" s="275">
        <f>Y$23*'6-PlantJurisdiction'!$E$50</f>
        <v>0</v>
      </c>
      <c r="Z48" s="275">
        <f>Z$23*'6-PlantJurisdiction'!$E$50</f>
        <v>0</v>
      </c>
      <c r="AA48" s="275">
        <f>AA$23*'6-PlantJurisdiction'!$E$50</f>
        <v>0</v>
      </c>
      <c r="AB48" s="275">
        <f>AB$23*'6-PlantJurisdiction'!$E$50</f>
        <v>0</v>
      </c>
      <c r="AC48" s="24">
        <f t="shared" si="6"/>
        <v>7594718207.8350983</v>
      </c>
      <c r="AD48" s="91">
        <f t="shared" si="5"/>
        <v>210</v>
      </c>
    </row>
    <row r="49" spans="1:30">
      <c r="A49" s="91">
        <f t="shared" si="7"/>
        <v>211</v>
      </c>
      <c r="B49" s="378" t="s">
        <v>532</v>
      </c>
      <c r="C49" s="140">
        <f>'1-DRR Corrected'!$K$2</f>
        <v>2021</v>
      </c>
      <c r="D49" s="275">
        <f>D$24*'6-PlantJurisdiction'!$E$37</f>
        <v>-45212.993380883025</v>
      </c>
      <c r="E49" s="275">
        <f>E$24*'6-PlantJurisdiction'!$E$37</f>
        <v>9132371.1428697016</v>
      </c>
      <c r="F49" s="275">
        <f>F$24*'6-PlantJurisdiction'!$E$38</f>
        <v>111069028.82395108</v>
      </c>
      <c r="G49" s="275">
        <f>G$24*'6-PlantJurisdiction'!$E$38</f>
        <v>11052057.406871865</v>
      </c>
      <c r="H49" s="275">
        <f>H$24*'6-PlantJurisdiction'!$E$39</f>
        <v>1187449145.7493782</v>
      </c>
      <c r="I49" s="275">
        <f>I$24*'6-PlantJurisdiction'!$E$40</f>
        <v>603724.80000000028</v>
      </c>
      <c r="J49" s="275">
        <f>J$24*'6-PlantJurisdiction'!$E$40</f>
        <v>16671290.410000002</v>
      </c>
      <c r="K49" s="275">
        <f>K$24*'6-PlantJurisdiction'!$E$41</f>
        <v>2315661963.7753248</v>
      </c>
      <c r="L49" s="275">
        <f>L$24*'6-PlantJurisdiction'!$E$42</f>
        <v>2281345703.2154751</v>
      </c>
      <c r="M49" s="275">
        <f>M$24*'6-PlantJurisdiction'!$E$43</f>
        <v>507389407.02081758</v>
      </c>
      <c r="N49" s="275">
        <f>N$24*'6-PlantJurisdiction'!$E$44</f>
        <v>1185131838.6989286</v>
      </c>
      <c r="O49" s="275">
        <f>O$24*'6-PlantJurisdiction'!$E$45</f>
        <v>0</v>
      </c>
      <c r="P49" s="275">
        <f>P$24*'6-PlantJurisdiction'!$E$45</f>
        <v>0</v>
      </c>
      <c r="Q49" s="275">
        <f>Q$24*'6-PlantJurisdiction'!$E$46</f>
        <v>0</v>
      </c>
      <c r="R49" s="275">
        <f>R$24*'6-PlantJurisdiction'!$E$46</f>
        <v>0</v>
      </c>
      <c r="S49" s="275">
        <f>S$24*'6-PlantJurisdiction'!$E$47</f>
        <v>0</v>
      </c>
      <c r="T49" s="275">
        <f>T$24*'6-PlantJurisdiction'!$E$47</f>
        <v>0</v>
      </c>
      <c r="U49" s="275">
        <f>U$24*'6-PlantJurisdiction'!$E$48</f>
        <v>0</v>
      </c>
      <c r="V49" s="275">
        <f>V$24*'6-PlantJurisdiction'!$E$48</f>
        <v>0</v>
      </c>
      <c r="W49" s="275">
        <f>W$24*'6-PlantJurisdiction'!$E$48</f>
        <v>0</v>
      </c>
      <c r="X49" s="275">
        <f>X$24*'6-PlantJurisdiction'!$E$49</f>
        <v>0</v>
      </c>
      <c r="Y49" s="275">
        <f>Y$24*'6-PlantJurisdiction'!$E$50</f>
        <v>0</v>
      </c>
      <c r="Z49" s="275">
        <f>Z$24*'6-PlantJurisdiction'!$E$50</f>
        <v>0</v>
      </c>
      <c r="AA49" s="275">
        <f>AA$24*'6-PlantJurisdiction'!$E$50</f>
        <v>0</v>
      </c>
      <c r="AB49" s="275">
        <f>AB$24*'6-PlantJurisdiction'!$E$50</f>
        <v>0</v>
      </c>
      <c r="AC49" s="24">
        <f t="shared" si="6"/>
        <v>7625461318.0502367</v>
      </c>
      <c r="AD49" s="91">
        <f t="shared" si="5"/>
        <v>211</v>
      </c>
    </row>
    <row r="50" spans="1:30">
      <c r="A50" s="91">
        <f t="shared" si="7"/>
        <v>212</v>
      </c>
      <c r="B50" s="378" t="s">
        <v>520</v>
      </c>
      <c r="C50" s="140">
        <f>'1-DRR Corrected'!$K$2</f>
        <v>2021</v>
      </c>
      <c r="D50" s="275">
        <f>D$25*'6-PlantJurisdiction'!$E$37</f>
        <v>-77646.122849234875</v>
      </c>
      <c r="E50" s="275">
        <f>E$25*'6-PlantJurisdiction'!$E$37</f>
        <v>9293638.5380859263</v>
      </c>
      <c r="F50" s="275">
        <f>F$25*'6-PlantJurisdiction'!$E$38</f>
        <v>111221907.94575228</v>
      </c>
      <c r="G50" s="275">
        <f>G$25*'6-PlantJurisdiction'!$E$38</f>
        <v>11057063.48687187</v>
      </c>
      <c r="H50" s="275">
        <f>H$25*'6-PlantJurisdiction'!$E$39</f>
        <v>1194487029.7819712</v>
      </c>
      <c r="I50" s="275">
        <f>I$25*'6-PlantJurisdiction'!$E$40</f>
        <v>585947.57000000007</v>
      </c>
      <c r="J50" s="275">
        <f>J$25*'6-PlantJurisdiction'!$E$40</f>
        <v>16837101.329999998</v>
      </c>
      <c r="K50" s="275">
        <f>K$25*'6-PlantJurisdiction'!$E$41</f>
        <v>2333934531.9511595</v>
      </c>
      <c r="L50" s="275">
        <f>L$25*'6-PlantJurisdiction'!$E$42</f>
        <v>2289110635.037035</v>
      </c>
      <c r="M50" s="275">
        <f>M$25*'6-PlantJurisdiction'!$E$43</f>
        <v>509859773.43108517</v>
      </c>
      <c r="N50" s="275">
        <f>N$25*'6-PlantJurisdiction'!$E$44</f>
        <v>1187622278.7359838</v>
      </c>
      <c r="O50" s="275">
        <f>O$25*'6-PlantJurisdiction'!$E$45</f>
        <v>0</v>
      </c>
      <c r="P50" s="275">
        <f>P$25*'6-PlantJurisdiction'!$E$45</f>
        <v>0</v>
      </c>
      <c r="Q50" s="275">
        <f>Q$25*'6-PlantJurisdiction'!$E$46</f>
        <v>0</v>
      </c>
      <c r="R50" s="275">
        <f>R$25*'6-PlantJurisdiction'!$E$46</f>
        <v>0</v>
      </c>
      <c r="S50" s="275">
        <f>S$25*'6-PlantJurisdiction'!$E$47</f>
        <v>0</v>
      </c>
      <c r="T50" s="275">
        <f>T$25*'6-PlantJurisdiction'!$E$47</f>
        <v>0</v>
      </c>
      <c r="U50" s="275">
        <f>U$25*'6-PlantJurisdiction'!$E$48</f>
        <v>0</v>
      </c>
      <c r="V50" s="275">
        <f>V$25*'6-PlantJurisdiction'!$E$48</f>
        <v>0</v>
      </c>
      <c r="W50" s="275">
        <f>W$25*'6-PlantJurisdiction'!$E$48</f>
        <v>0</v>
      </c>
      <c r="X50" s="275">
        <f>X$25*'6-PlantJurisdiction'!$E$49</f>
        <v>0</v>
      </c>
      <c r="Y50" s="275">
        <f>Y$25*'6-PlantJurisdiction'!$E$50</f>
        <v>0</v>
      </c>
      <c r="Z50" s="275">
        <f>Z$25*'6-PlantJurisdiction'!$E$50</f>
        <v>0</v>
      </c>
      <c r="AA50" s="275">
        <f>AA$25*'6-PlantJurisdiction'!$E$50</f>
        <v>0</v>
      </c>
      <c r="AB50" s="275">
        <f>AB$25*'6-PlantJurisdiction'!$E$50</f>
        <v>0</v>
      </c>
      <c r="AC50" s="24">
        <f t="shared" si="6"/>
        <v>7663932261.6850958</v>
      </c>
      <c r="AD50" s="91">
        <f t="shared" si="5"/>
        <v>212</v>
      </c>
    </row>
    <row r="51" spans="1:30">
      <c r="A51" s="91">
        <f t="shared" si="7"/>
        <v>213</v>
      </c>
      <c r="B51" s="664" t="s">
        <v>813</v>
      </c>
      <c r="C51" s="488"/>
      <c r="D51" s="661">
        <f>SUM(D38:D50)/13</f>
        <v>-25163.975961209158</v>
      </c>
      <c r="E51" s="661">
        <f t="shared" ref="E51:AC51" si="8">SUM(E38:E50)/13</f>
        <v>8329215.7357513886</v>
      </c>
      <c r="F51" s="661">
        <f t="shared" si="8"/>
        <v>109670055.4587917</v>
      </c>
      <c r="G51" s="661">
        <f t="shared" si="8"/>
        <v>10777806.190660713</v>
      </c>
      <c r="H51" s="661">
        <f t="shared" si="8"/>
        <v>1160663610.0733254</v>
      </c>
      <c r="I51" s="661">
        <f t="shared" si="8"/>
        <v>638678.84692307701</v>
      </c>
      <c r="J51" s="661">
        <f t="shared" si="8"/>
        <v>15837551.260769229</v>
      </c>
      <c r="K51" s="661">
        <f t="shared" si="8"/>
        <v>2245974018.4978662</v>
      </c>
      <c r="L51" s="661">
        <f t="shared" si="8"/>
        <v>2254602882.0167718</v>
      </c>
      <c r="M51" s="661">
        <f t="shared" si="8"/>
        <v>495466241.14700902</v>
      </c>
      <c r="N51" s="661">
        <f t="shared" si="8"/>
        <v>1160246549.8295581</v>
      </c>
      <c r="O51" s="661">
        <f t="shared" si="8"/>
        <v>0</v>
      </c>
      <c r="P51" s="661">
        <f t="shared" si="8"/>
        <v>0</v>
      </c>
      <c r="Q51" s="661">
        <f t="shared" si="8"/>
        <v>0</v>
      </c>
      <c r="R51" s="661">
        <f t="shared" si="8"/>
        <v>0</v>
      </c>
      <c r="S51" s="661">
        <f t="shared" si="8"/>
        <v>0</v>
      </c>
      <c r="T51" s="661">
        <f t="shared" si="8"/>
        <v>0</v>
      </c>
      <c r="U51" s="661">
        <f t="shared" si="8"/>
        <v>0</v>
      </c>
      <c r="V51" s="661">
        <f t="shared" si="8"/>
        <v>0</v>
      </c>
      <c r="W51" s="661">
        <f t="shared" si="8"/>
        <v>0</v>
      </c>
      <c r="X51" s="661">
        <f t="shared" si="8"/>
        <v>0</v>
      </c>
      <c r="Y51" s="661">
        <f t="shared" si="8"/>
        <v>0</v>
      </c>
      <c r="Z51" s="661">
        <f t="shared" si="8"/>
        <v>0</v>
      </c>
      <c r="AA51" s="661">
        <f t="shared" si="8"/>
        <v>0</v>
      </c>
      <c r="AB51" s="661">
        <f t="shared" si="8"/>
        <v>0</v>
      </c>
      <c r="AC51" s="661">
        <f t="shared" si="8"/>
        <v>7462181445.0814629</v>
      </c>
      <c r="AD51" s="91">
        <f t="shared" si="5"/>
        <v>213</v>
      </c>
    </row>
    <row r="52" spans="1:30">
      <c r="A52" s="18"/>
      <c r="B52" s="8"/>
      <c r="C52" s="8"/>
      <c r="D52" s="8"/>
      <c r="E52" s="8"/>
      <c r="F52" s="8"/>
      <c r="G52" s="8"/>
      <c r="H52" s="8"/>
      <c r="I52" s="8"/>
      <c r="J52" s="8"/>
      <c r="K52" s="8"/>
      <c r="L52" s="8"/>
      <c r="M52" s="8"/>
      <c r="N52" s="8"/>
      <c r="O52" s="8"/>
      <c r="P52" s="8"/>
      <c r="Q52" s="8"/>
      <c r="AD52" s="91"/>
    </row>
    <row r="53" spans="1:30">
      <c r="A53" s="18"/>
      <c r="B53" s="8"/>
      <c r="C53" s="8"/>
      <c r="D53" s="8"/>
      <c r="E53" s="8"/>
      <c r="F53" s="8"/>
      <c r="G53" s="8"/>
      <c r="H53" s="8"/>
      <c r="I53" s="8"/>
      <c r="J53" s="8"/>
      <c r="K53" s="8"/>
      <c r="L53" s="8"/>
      <c r="M53" s="8"/>
      <c r="N53" s="8"/>
      <c r="O53" s="8"/>
      <c r="P53" s="8"/>
      <c r="Q53" s="8"/>
      <c r="AD53" s="91"/>
    </row>
    <row r="54" spans="1:30">
      <c r="B54" s="45" t="s">
        <v>965</v>
      </c>
      <c r="C54" s="45"/>
      <c r="D54" s="103"/>
      <c r="E54" s="103"/>
      <c r="F54" s="103"/>
      <c r="G54" s="103"/>
      <c r="H54" s="43"/>
      <c r="I54" s="103"/>
      <c r="J54" s="103"/>
      <c r="K54" s="103"/>
      <c r="L54" s="103"/>
      <c r="M54" s="103"/>
      <c r="N54" s="103"/>
      <c r="O54" s="103"/>
      <c r="P54" s="103"/>
      <c r="Q54" s="103"/>
      <c r="R54" s="43"/>
      <c r="S54" s="43"/>
      <c r="T54" s="43"/>
      <c r="U54" s="43"/>
      <c r="V54" s="43"/>
      <c r="W54" s="43"/>
      <c r="X54" s="43"/>
      <c r="Y54" s="43"/>
      <c r="Z54" s="43"/>
      <c r="AA54" s="43"/>
      <c r="AB54" s="43"/>
      <c r="AC54" s="43"/>
    </row>
    <row r="55" spans="1:30">
      <c r="B55" s="378" t="s">
        <v>964</v>
      </c>
      <c r="C55" s="2"/>
      <c r="D55" s="8"/>
      <c r="E55" s="8"/>
      <c r="I55" s="8"/>
      <c r="J55" s="8"/>
      <c r="K55" s="8"/>
      <c r="L55" s="8"/>
      <c r="M55" s="8"/>
      <c r="N55" s="8"/>
      <c r="O55" s="8"/>
      <c r="P55" s="8"/>
      <c r="Q55" s="8"/>
    </row>
    <row r="56" spans="1:30">
      <c r="C56" s="2"/>
      <c r="D56" s="8"/>
      <c r="E56" s="8"/>
      <c r="F56" s="8"/>
      <c r="G56" s="8"/>
      <c r="I56" s="8"/>
      <c r="J56" s="8"/>
      <c r="K56" s="8"/>
      <c r="L56" s="8"/>
      <c r="M56" s="8"/>
      <c r="N56" s="8"/>
      <c r="O56" s="8"/>
      <c r="P56" s="8"/>
      <c r="Q56" s="8"/>
    </row>
    <row r="57" spans="1:30">
      <c r="B57" s="378"/>
      <c r="C57" s="2"/>
      <c r="D57" s="8"/>
      <c r="E57" s="8"/>
      <c r="F57" s="8"/>
      <c r="G57" s="8"/>
      <c r="I57" s="8"/>
      <c r="J57" s="8"/>
      <c r="K57" s="8"/>
      <c r="L57" s="8"/>
      <c r="M57" s="8"/>
      <c r="N57" s="8"/>
      <c r="O57" s="8"/>
      <c r="P57" s="8"/>
      <c r="Q57" s="8"/>
    </row>
    <row r="58" spans="1:30">
      <c r="A58" s="4"/>
      <c r="D58" s="83" t="s">
        <v>122</v>
      </c>
      <c r="E58" s="83" t="s">
        <v>123</v>
      </c>
      <c r="F58" s="83" t="s">
        <v>124</v>
      </c>
      <c r="G58" s="83" t="s">
        <v>125</v>
      </c>
      <c r="H58" s="83" t="s">
        <v>490</v>
      </c>
      <c r="I58" s="83" t="s">
        <v>491</v>
      </c>
      <c r="J58" s="83" t="s">
        <v>492</v>
      </c>
      <c r="K58" s="83" t="s">
        <v>493</v>
      </c>
      <c r="L58" s="83" t="s">
        <v>494</v>
      </c>
      <c r="M58" s="83" t="s">
        <v>768</v>
      </c>
      <c r="N58" s="83" t="s">
        <v>769</v>
      </c>
      <c r="O58" s="83" t="s">
        <v>770</v>
      </c>
      <c r="P58" s="83" t="s">
        <v>771</v>
      </c>
      <c r="Q58" s="83" t="s">
        <v>772</v>
      </c>
      <c r="R58" s="83" t="s">
        <v>773</v>
      </c>
      <c r="S58" s="83" t="s">
        <v>774</v>
      </c>
      <c r="T58" s="83" t="s">
        <v>775</v>
      </c>
      <c r="U58" s="83" t="s">
        <v>776</v>
      </c>
      <c r="V58" s="83" t="s">
        <v>777</v>
      </c>
      <c r="W58" s="83" t="s">
        <v>778</v>
      </c>
      <c r="X58" s="83" t="s">
        <v>779</v>
      </c>
      <c r="Y58" s="83" t="s">
        <v>780</v>
      </c>
      <c r="Z58" s="83" t="s">
        <v>781</v>
      </c>
      <c r="AA58" s="83" t="s">
        <v>782</v>
      </c>
      <c r="AB58" s="83" t="s">
        <v>783</v>
      </c>
      <c r="AC58" s="83" t="s">
        <v>784</v>
      </c>
      <c r="AD58" s="91"/>
    </row>
    <row r="59" spans="1:30" ht="43.5">
      <c r="B59" s="4"/>
      <c r="C59" s="4"/>
      <c r="D59" s="380" t="s">
        <v>842</v>
      </c>
      <c r="E59" s="380" t="s">
        <v>843</v>
      </c>
      <c r="F59" s="380" t="s">
        <v>844</v>
      </c>
      <c r="G59" s="380" t="s">
        <v>845</v>
      </c>
      <c r="H59" s="380" t="s">
        <v>846</v>
      </c>
      <c r="I59" s="380" t="s">
        <v>847</v>
      </c>
      <c r="J59" s="380" t="s">
        <v>848</v>
      </c>
      <c r="K59" s="380" t="s">
        <v>849</v>
      </c>
      <c r="L59" s="380" t="s">
        <v>850</v>
      </c>
      <c r="M59" s="380" t="s">
        <v>851</v>
      </c>
      <c r="N59" s="380" t="s">
        <v>852</v>
      </c>
      <c r="O59" s="380" t="s">
        <v>853</v>
      </c>
      <c r="P59" s="380" t="s">
        <v>854</v>
      </c>
      <c r="Q59" s="380" t="s">
        <v>855</v>
      </c>
      <c r="R59" s="380" t="s">
        <v>856</v>
      </c>
      <c r="S59" s="380" t="s">
        <v>857</v>
      </c>
      <c r="T59" s="380" t="s">
        <v>858</v>
      </c>
      <c r="U59" s="380" t="s">
        <v>859</v>
      </c>
      <c r="V59" s="380" t="s">
        <v>860</v>
      </c>
      <c r="W59" s="380" t="s">
        <v>861</v>
      </c>
      <c r="X59" s="380" t="s">
        <v>862</v>
      </c>
      <c r="Y59" s="380" t="s">
        <v>863</v>
      </c>
      <c r="Z59" s="380" t="s">
        <v>864</v>
      </c>
      <c r="AA59" s="380" t="s">
        <v>865</v>
      </c>
      <c r="AB59" s="380" t="s">
        <v>866</v>
      </c>
      <c r="AC59" s="133" t="s">
        <v>785</v>
      </c>
      <c r="AD59" s="91"/>
    </row>
    <row r="60" spans="1:30">
      <c r="B60" s="4"/>
      <c r="C60" s="4"/>
      <c r="L60" s="107"/>
      <c r="R60" s="21"/>
      <c r="S60" s="21"/>
      <c r="T60" s="21"/>
      <c r="AC60" s="21"/>
      <c r="AD60" s="91"/>
    </row>
    <row r="61" spans="1:30">
      <c r="A61" s="91"/>
      <c r="B61" s="91"/>
      <c r="C61" s="90" t="s">
        <v>786</v>
      </c>
      <c r="D61" s="84">
        <v>360</v>
      </c>
      <c r="E61" s="84">
        <v>360</v>
      </c>
      <c r="F61" s="84">
        <v>361</v>
      </c>
      <c r="G61" s="84">
        <v>361</v>
      </c>
      <c r="H61" s="84">
        <v>362</v>
      </c>
      <c r="I61" s="84">
        <v>363</v>
      </c>
      <c r="J61" s="84">
        <v>363</v>
      </c>
      <c r="K61" s="84">
        <v>364</v>
      </c>
      <c r="L61" s="84">
        <v>365</v>
      </c>
      <c r="M61" s="84">
        <v>366</v>
      </c>
      <c r="N61" s="84">
        <v>367</v>
      </c>
      <c r="O61" s="84">
        <v>368</v>
      </c>
      <c r="P61" s="84">
        <v>368</v>
      </c>
      <c r="Q61" s="84">
        <v>369</v>
      </c>
      <c r="R61" s="84">
        <v>369</v>
      </c>
      <c r="S61" s="84">
        <v>370</v>
      </c>
      <c r="T61" s="84">
        <v>370</v>
      </c>
      <c r="U61" s="84">
        <v>371</v>
      </c>
      <c r="V61" s="84">
        <v>371</v>
      </c>
      <c r="W61" s="84">
        <v>371</v>
      </c>
      <c r="X61" s="84">
        <v>372</v>
      </c>
      <c r="Y61" s="84">
        <v>373</v>
      </c>
      <c r="Z61" s="84">
        <v>373</v>
      </c>
      <c r="AA61" s="84">
        <v>373</v>
      </c>
      <c r="AB61" s="84">
        <v>373</v>
      </c>
      <c r="AD61" s="91"/>
    </row>
    <row r="62" spans="1:30">
      <c r="A62" s="80" t="s">
        <v>90</v>
      </c>
      <c r="B62" s="80" t="s">
        <v>511</v>
      </c>
      <c r="C62" s="80" t="s">
        <v>512</v>
      </c>
      <c r="D62" s="83" t="s">
        <v>787</v>
      </c>
      <c r="E62" s="83" t="s">
        <v>788</v>
      </c>
      <c r="F62" s="83" t="s">
        <v>789</v>
      </c>
      <c r="G62" s="83" t="s">
        <v>790</v>
      </c>
      <c r="H62" s="83" t="s">
        <v>791</v>
      </c>
      <c r="I62" s="83" t="s">
        <v>792</v>
      </c>
      <c r="J62" s="83" t="s">
        <v>793</v>
      </c>
      <c r="K62" s="83" t="s">
        <v>794</v>
      </c>
      <c r="L62" s="83" t="s">
        <v>795</v>
      </c>
      <c r="M62" s="83" t="s">
        <v>796</v>
      </c>
      <c r="N62" s="83" t="s">
        <v>797</v>
      </c>
      <c r="O62" s="83" t="s">
        <v>798</v>
      </c>
      <c r="P62" s="83" t="s">
        <v>799</v>
      </c>
      <c r="Q62" s="83" t="s">
        <v>800</v>
      </c>
      <c r="R62" s="83" t="s">
        <v>801</v>
      </c>
      <c r="S62" s="83" t="s">
        <v>802</v>
      </c>
      <c r="T62" s="83" t="s">
        <v>803</v>
      </c>
      <c r="U62" s="83" t="s">
        <v>804</v>
      </c>
      <c r="V62" s="83" t="s">
        <v>805</v>
      </c>
      <c r="W62" s="83" t="s">
        <v>806</v>
      </c>
      <c r="X62" s="83" t="s">
        <v>807</v>
      </c>
      <c r="Y62" s="83" t="s">
        <v>808</v>
      </c>
      <c r="Z62" s="83" t="s">
        <v>809</v>
      </c>
      <c r="AA62" s="83" t="s">
        <v>810</v>
      </c>
      <c r="AB62" s="83" t="s">
        <v>811</v>
      </c>
      <c r="AC62" s="80" t="s">
        <v>534</v>
      </c>
      <c r="AD62" s="80" t="str">
        <f t="shared" ref="AD62:AD76" si="9">A62</f>
        <v>Line</v>
      </c>
    </row>
    <row r="63" spans="1:30">
      <c r="A63" s="91">
        <v>300</v>
      </c>
      <c r="B63" s="378" t="s">
        <v>520</v>
      </c>
      <c r="C63" s="140">
        <f>'1-DRR Corrected'!$K$2-1</f>
        <v>2020</v>
      </c>
      <c r="D63" s="275">
        <f>D$13*'6-PlantJurisdiction'!$F$37</f>
        <v>6.3554356335527604</v>
      </c>
      <c r="E63" s="275">
        <f>E$13*'6-PlantJurisdiction'!$F$37</f>
        <v>7067512.7157786414</v>
      </c>
      <c r="F63" s="275">
        <f>F$13*'6-PlantJurisdiction'!$F$38</f>
        <v>0</v>
      </c>
      <c r="G63" s="275">
        <f>G$13*'6-PlantJurisdiction'!$F$38</f>
        <v>0</v>
      </c>
      <c r="H63" s="275">
        <f>H$13*'6-PlantJurisdiction'!$F$39</f>
        <v>0</v>
      </c>
      <c r="I63" s="275">
        <f>I$13*'6-PlantJurisdiction'!$F$40</f>
        <v>0</v>
      </c>
      <c r="J63" s="275">
        <f>J$13*'6-PlantJurisdiction'!$F$40</f>
        <v>0</v>
      </c>
      <c r="K63" s="275">
        <f>K$13*'6-PlantJurisdiction'!$F$41</f>
        <v>544194226.25250435</v>
      </c>
      <c r="L63" s="275">
        <f>L$13*'6-PlantJurisdiction'!$F$42</f>
        <v>561525808.22936785</v>
      </c>
      <c r="M63" s="275">
        <f>M$13*'6-PlantJurisdiction'!$F$43</f>
        <v>751377479.77602279</v>
      </c>
      <c r="N63" s="275">
        <f>N$13*'6-PlantJurisdiction'!$F$44</f>
        <v>1763195928.2565818</v>
      </c>
      <c r="O63" s="275">
        <f>O$13*'6-PlantJurisdiction'!$F$45</f>
        <v>1005621370.1859957</v>
      </c>
      <c r="P63" s="275">
        <f>P$13*'6-PlantJurisdiction'!$F$45</f>
        <v>356273171.3300001</v>
      </c>
      <c r="Q63" s="275">
        <f>Q$13*'6-PlantJurisdiction'!$F$46</f>
        <v>750254633.83322597</v>
      </c>
      <c r="R63" s="275">
        <f>R$13*'6-PlantJurisdiction'!$F$46</f>
        <v>1613180891.3235052</v>
      </c>
      <c r="S63" s="275">
        <f>S$13*'6-PlantJurisdiction'!$F$47</f>
        <v>0</v>
      </c>
      <c r="T63" s="275">
        <f>T$13*'6-PlantJurisdiction'!$F$47</f>
        <v>0</v>
      </c>
      <c r="U63" s="275">
        <f>U$13*'6-PlantJurisdiction'!$F$48</f>
        <v>0</v>
      </c>
      <c r="V63" s="275">
        <f>V$13*'6-PlantJurisdiction'!$F$48</f>
        <v>0</v>
      </c>
      <c r="W63" s="275">
        <f>W$13*'6-PlantJurisdiction'!$F$48</f>
        <v>0</v>
      </c>
      <c r="X63" s="275">
        <f>X$13*'6-PlantJurisdiction'!$F$49</f>
        <v>0</v>
      </c>
      <c r="Y63" s="275">
        <f>Y$13*'6-PlantJurisdiction'!$F$50</f>
        <v>0</v>
      </c>
      <c r="Z63" s="275">
        <f>Z$13*'6-PlantJurisdiction'!$F$50</f>
        <v>0</v>
      </c>
      <c r="AA63" s="275">
        <f>AA$13*'6-PlantJurisdiction'!$F$50</f>
        <v>0</v>
      </c>
      <c r="AB63" s="275">
        <f>AB$13*'6-PlantJurisdiction'!$F$50</f>
        <v>0</v>
      </c>
      <c r="AC63" s="24">
        <f t="shared" ref="AC63:AC75" si="10">SUM(D63:AB63)</f>
        <v>7352691028.2584181</v>
      </c>
      <c r="AD63" s="91">
        <f t="shared" si="9"/>
        <v>300</v>
      </c>
    </row>
    <row r="64" spans="1:30">
      <c r="A64" s="91">
        <f>A63+1</f>
        <v>301</v>
      </c>
      <c r="B64" s="378" t="s">
        <v>522</v>
      </c>
      <c r="C64" s="140">
        <f>'1-DRR Corrected'!$K$2</f>
        <v>2021</v>
      </c>
      <c r="D64" s="275">
        <f>D$14*'6-PlantJurisdiction'!$F$37</f>
        <v>116.7405245790513</v>
      </c>
      <c r="E64" s="275">
        <f>E$14*'6-PlantJurisdiction'!$F$37</f>
        <v>7221631.3530947473</v>
      </c>
      <c r="F64" s="275">
        <f>F$14*'6-PlantJurisdiction'!$F$38</f>
        <v>0</v>
      </c>
      <c r="G64" s="275">
        <f>G$14*'6-PlantJurisdiction'!$F$38</f>
        <v>0</v>
      </c>
      <c r="H64" s="275">
        <f>H$14*'6-PlantJurisdiction'!$F$39</f>
        <v>0</v>
      </c>
      <c r="I64" s="275">
        <f>I$14*'6-PlantJurisdiction'!$F$40</f>
        <v>0</v>
      </c>
      <c r="J64" s="275">
        <f>J$14*'6-PlantJurisdiction'!$F$40</f>
        <v>0</v>
      </c>
      <c r="K64" s="275">
        <f>K$14*'6-PlantJurisdiction'!$F$41</f>
        <v>549079775.9057616</v>
      </c>
      <c r="L64" s="275">
        <f>L$14*'6-PlantJurisdiction'!$F$42</f>
        <v>563662469.16110098</v>
      </c>
      <c r="M64" s="275">
        <f>M$14*'6-PlantJurisdiction'!$F$43</f>
        <v>754705215.10322165</v>
      </c>
      <c r="N64" s="275">
        <f>N$14*'6-PlantJurisdiction'!$F$44</f>
        <v>1770335907.1743047</v>
      </c>
      <c r="O64" s="275">
        <f>O$14*'6-PlantJurisdiction'!$F$45</f>
        <v>1011141673.1597584</v>
      </c>
      <c r="P64" s="275">
        <f>P$14*'6-PlantJurisdiction'!$F$45</f>
        <v>359446480.3300001</v>
      </c>
      <c r="Q64" s="275">
        <f>Q$14*'6-PlantJurisdiction'!$F$46</f>
        <v>753233216.53203499</v>
      </c>
      <c r="R64" s="275">
        <f>R$14*'6-PlantJurisdiction'!$F$46</f>
        <v>1619122284.306536</v>
      </c>
      <c r="S64" s="275">
        <f>S$14*'6-PlantJurisdiction'!$F$47</f>
        <v>0</v>
      </c>
      <c r="T64" s="275">
        <f>T$14*'6-PlantJurisdiction'!$F$47</f>
        <v>0</v>
      </c>
      <c r="U64" s="275">
        <f>U$14*'6-PlantJurisdiction'!$F$48</f>
        <v>0</v>
      </c>
      <c r="V64" s="275">
        <f>V$14*'6-PlantJurisdiction'!$F$48</f>
        <v>0</v>
      </c>
      <c r="W64" s="275">
        <f>W$14*'6-PlantJurisdiction'!$F$48</f>
        <v>0</v>
      </c>
      <c r="X64" s="275">
        <f>X$14*'6-PlantJurisdiction'!$F$49</f>
        <v>0</v>
      </c>
      <c r="Y64" s="275">
        <f>Y$14*'6-PlantJurisdiction'!$F$50</f>
        <v>0</v>
      </c>
      <c r="Z64" s="275">
        <f>Z$14*'6-PlantJurisdiction'!$F$50</f>
        <v>0</v>
      </c>
      <c r="AA64" s="275">
        <f>AA$14*'6-PlantJurisdiction'!$F$50</f>
        <v>0</v>
      </c>
      <c r="AB64" s="275">
        <f>AB$14*'6-PlantJurisdiction'!$F$50</f>
        <v>0</v>
      </c>
      <c r="AC64" s="24">
        <f t="shared" si="10"/>
        <v>7387948769.7663374</v>
      </c>
      <c r="AD64" s="91">
        <f t="shared" si="9"/>
        <v>301</v>
      </c>
    </row>
    <row r="65" spans="1:30">
      <c r="A65" s="91">
        <f t="shared" ref="A65:A76" si="11">A64+1</f>
        <v>302</v>
      </c>
      <c r="B65" s="378" t="s">
        <v>523</v>
      </c>
      <c r="C65" s="140">
        <f>'1-DRR Corrected'!$K$2</f>
        <v>2021</v>
      </c>
      <c r="D65" s="275">
        <f>D$15*'6-PlantJurisdiction'!$F$37</f>
        <v>227.10112934606829</v>
      </c>
      <c r="E65" s="275">
        <f>E$15*'6-PlantJurisdiction'!$F$37</f>
        <v>7375766.1205876246</v>
      </c>
      <c r="F65" s="275">
        <f>F$15*'6-PlantJurisdiction'!$F$38</f>
        <v>0</v>
      </c>
      <c r="G65" s="275">
        <f>G$15*'6-PlantJurisdiction'!$F$38</f>
        <v>0</v>
      </c>
      <c r="H65" s="275">
        <f>H$15*'6-PlantJurisdiction'!$F$39</f>
        <v>0</v>
      </c>
      <c r="I65" s="275">
        <f>I$15*'6-PlantJurisdiction'!$F$40</f>
        <v>0</v>
      </c>
      <c r="J65" s="275">
        <f>J$15*'6-PlantJurisdiction'!$F$40</f>
        <v>0</v>
      </c>
      <c r="K65" s="275">
        <f>K$15*'6-PlantJurisdiction'!$F$41</f>
        <v>553699321.61893618</v>
      </c>
      <c r="L65" s="275">
        <f>L$15*'6-PlantJurisdiction'!$F$42</f>
        <v>565590044.88825262</v>
      </c>
      <c r="M65" s="275">
        <f>M$15*'6-PlantJurisdiction'!$F$43</f>
        <v>758634444.85319602</v>
      </c>
      <c r="N65" s="275">
        <f>N$15*'6-PlantJurisdiction'!$F$44</f>
        <v>1778794937.1001604</v>
      </c>
      <c r="O65" s="275">
        <f>O$15*'6-PlantJurisdiction'!$F$45</f>
        <v>1017873604.6535215</v>
      </c>
      <c r="P65" s="275">
        <f>P$15*'6-PlantJurisdiction'!$F$45</f>
        <v>362424553.52999991</v>
      </c>
      <c r="Q65" s="275">
        <f>Q$15*'6-PlantJurisdiction'!$F$46</f>
        <v>756217005.33084381</v>
      </c>
      <c r="R65" s="275">
        <f>R$15*'6-PlantJurisdiction'!$F$46</f>
        <v>1623178306.1995697</v>
      </c>
      <c r="S65" s="275">
        <f>S$15*'6-PlantJurisdiction'!$F$47</f>
        <v>0</v>
      </c>
      <c r="T65" s="275">
        <f>T$15*'6-PlantJurisdiction'!$F$47</f>
        <v>0</v>
      </c>
      <c r="U65" s="275">
        <f>U$15*'6-PlantJurisdiction'!$F$48</f>
        <v>0</v>
      </c>
      <c r="V65" s="275">
        <f>V$15*'6-PlantJurisdiction'!$F$48</f>
        <v>0</v>
      </c>
      <c r="W65" s="275">
        <f>W$15*'6-PlantJurisdiction'!$F$48</f>
        <v>0</v>
      </c>
      <c r="X65" s="275">
        <f>X$15*'6-PlantJurisdiction'!$F$49</f>
        <v>0</v>
      </c>
      <c r="Y65" s="275">
        <f>Y$15*'6-PlantJurisdiction'!$F$50</f>
        <v>0</v>
      </c>
      <c r="Z65" s="275">
        <f>Z$15*'6-PlantJurisdiction'!$F$50</f>
        <v>0</v>
      </c>
      <c r="AA65" s="275">
        <f>AA$15*'6-PlantJurisdiction'!$F$50</f>
        <v>0</v>
      </c>
      <c r="AB65" s="275">
        <f>AB$15*'6-PlantJurisdiction'!$F$50</f>
        <v>0</v>
      </c>
      <c r="AC65" s="24">
        <f t="shared" si="10"/>
        <v>7423788211.3961973</v>
      </c>
      <c r="AD65" s="91">
        <f t="shared" si="9"/>
        <v>302</v>
      </c>
    </row>
    <row r="66" spans="1:30">
      <c r="A66" s="91">
        <f t="shared" si="11"/>
        <v>303</v>
      </c>
      <c r="B66" s="378" t="s">
        <v>524</v>
      </c>
      <c r="C66" s="140">
        <f>'1-DRR Corrected'!$K$2</f>
        <v>2021</v>
      </c>
      <c r="D66" s="275">
        <f>D$16*'6-PlantJurisdiction'!$F$37</f>
        <v>337.3931784133369</v>
      </c>
      <c r="E66" s="275">
        <f>E$16*'6-PlantJurisdiction'!$F$37</f>
        <v>7529935.1169620277</v>
      </c>
      <c r="F66" s="275">
        <f>F$16*'6-PlantJurisdiction'!$F$38</f>
        <v>0</v>
      </c>
      <c r="G66" s="275">
        <f>G$16*'6-PlantJurisdiction'!$F$38</f>
        <v>0</v>
      </c>
      <c r="H66" s="275">
        <f>H$16*'6-PlantJurisdiction'!$F$39</f>
        <v>0</v>
      </c>
      <c r="I66" s="275">
        <f>I$16*'6-PlantJurisdiction'!$F$40</f>
        <v>0</v>
      </c>
      <c r="J66" s="275">
        <f>J$16*'6-PlantJurisdiction'!$F$40</f>
        <v>0</v>
      </c>
      <c r="K66" s="275">
        <f>K$16*'6-PlantJurisdiction'!$F$41</f>
        <v>556743202.08564162</v>
      </c>
      <c r="L66" s="275">
        <f>L$16*'6-PlantJurisdiction'!$F$42</f>
        <v>566353020.4893688</v>
      </c>
      <c r="M66" s="275">
        <f>M$16*'6-PlantJurisdiction'!$F$43</f>
        <v>762300055.44422543</v>
      </c>
      <c r="N66" s="275">
        <f>N$16*'6-PlantJurisdiction'!$F$44</f>
        <v>1790298093.4865355</v>
      </c>
      <c r="O66" s="275">
        <f>O$16*'6-PlantJurisdiction'!$F$45</f>
        <v>1022104791.2672851</v>
      </c>
      <c r="P66" s="275">
        <f>P$16*'6-PlantJurisdiction'!$F$45</f>
        <v>365035614.32999986</v>
      </c>
      <c r="Q66" s="275">
        <f>Q$16*'6-PlantJurisdiction'!$F$46</f>
        <v>758755780.64965343</v>
      </c>
      <c r="R66" s="275">
        <f>R$16*'6-PlantJurisdiction'!$F$46</f>
        <v>1629138156.3926003</v>
      </c>
      <c r="S66" s="275">
        <f>S$16*'6-PlantJurisdiction'!$F$47</f>
        <v>0</v>
      </c>
      <c r="T66" s="275">
        <f>T$16*'6-PlantJurisdiction'!$F$47</f>
        <v>0</v>
      </c>
      <c r="U66" s="275">
        <f>U$16*'6-PlantJurisdiction'!$F$48</f>
        <v>0</v>
      </c>
      <c r="V66" s="275">
        <f>V$16*'6-PlantJurisdiction'!$F$48</f>
        <v>0</v>
      </c>
      <c r="W66" s="275">
        <f>W$16*'6-PlantJurisdiction'!$F$48</f>
        <v>0</v>
      </c>
      <c r="X66" s="275">
        <f>X$16*'6-PlantJurisdiction'!$F$49</f>
        <v>0</v>
      </c>
      <c r="Y66" s="275">
        <f>Y$16*'6-PlantJurisdiction'!$F$50</f>
        <v>0</v>
      </c>
      <c r="Z66" s="275">
        <f>Z$16*'6-PlantJurisdiction'!$F$50</f>
        <v>0</v>
      </c>
      <c r="AA66" s="275">
        <f>AA$16*'6-PlantJurisdiction'!$F$50</f>
        <v>0</v>
      </c>
      <c r="AB66" s="275">
        <f>AB$16*'6-PlantJurisdiction'!$F$50</f>
        <v>0</v>
      </c>
      <c r="AC66" s="24">
        <f t="shared" si="10"/>
        <v>7458258986.6554499</v>
      </c>
      <c r="AD66" s="91">
        <f t="shared" si="9"/>
        <v>303</v>
      </c>
    </row>
    <row r="67" spans="1:30">
      <c r="A67" s="91">
        <f t="shared" si="11"/>
        <v>304</v>
      </c>
      <c r="B67" s="378" t="s">
        <v>525</v>
      </c>
      <c r="C67" s="140">
        <f>'1-DRR Corrected'!$K$2</f>
        <v>2021</v>
      </c>
      <c r="D67" s="275">
        <f>D$17*'6-PlantJurisdiction'!$F$37</f>
        <v>447.81744204440594</v>
      </c>
      <c r="E67" s="275">
        <f>E$17*'6-PlantJurisdiction'!$F$37</f>
        <v>7684104.1231301008</v>
      </c>
      <c r="F67" s="275">
        <f>F$17*'6-PlantJurisdiction'!$F$38</f>
        <v>0</v>
      </c>
      <c r="G67" s="275">
        <f>G$17*'6-PlantJurisdiction'!$F$38</f>
        <v>0</v>
      </c>
      <c r="H67" s="275">
        <f>H$17*'6-PlantJurisdiction'!$F$39</f>
        <v>0</v>
      </c>
      <c r="I67" s="275">
        <f>I$17*'6-PlantJurisdiction'!$F$40</f>
        <v>0</v>
      </c>
      <c r="J67" s="275">
        <f>J$17*'6-PlantJurisdiction'!$F$40</f>
        <v>0</v>
      </c>
      <c r="K67" s="275">
        <f>K$17*'6-PlantJurisdiction'!$F$41</f>
        <v>560780985.41889727</v>
      </c>
      <c r="L67" s="275">
        <f>L$17*'6-PlantJurisdiction'!$F$42</f>
        <v>567422430.89351106</v>
      </c>
      <c r="M67" s="275">
        <f>M$17*'6-PlantJurisdiction'!$F$43</f>
        <v>766057184.00338018</v>
      </c>
      <c r="N67" s="275">
        <f>N$17*'6-PlantJurisdiction'!$F$44</f>
        <v>1797482473.4958706</v>
      </c>
      <c r="O67" s="275">
        <f>O$17*'6-PlantJurisdiction'!$F$45</f>
        <v>1027240832.1510485</v>
      </c>
      <c r="P67" s="275">
        <f>P$17*'6-PlantJurisdiction'!$F$45</f>
        <v>367755618.94000012</v>
      </c>
      <c r="Q67" s="275">
        <f>Q$17*'6-PlantJurisdiction'!$F$46</f>
        <v>761571670.06846428</v>
      </c>
      <c r="R67" s="275">
        <f>R$17*'6-PlantJurisdiction'!$F$46</f>
        <v>1634911943.6756299</v>
      </c>
      <c r="S67" s="275">
        <f>S$17*'6-PlantJurisdiction'!$F$47</f>
        <v>0</v>
      </c>
      <c r="T67" s="275">
        <f>T$17*'6-PlantJurisdiction'!$F$47</f>
        <v>0</v>
      </c>
      <c r="U67" s="275">
        <f>U$17*'6-PlantJurisdiction'!$F$48</f>
        <v>0</v>
      </c>
      <c r="V67" s="275">
        <f>V$17*'6-PlantJurisdiction'!$F$48</f>
        <v>0</v>
      </c>
      <c r="W67" s="275">
        <f>W$17*'6-PlantJurisdiction'!$F$48</f>
        <v>0</v>
      </c>
      <c r="X67" s="275">
        <f>X$17*'6-PlantJurisdiction'!$F$49</f>
        <v>0</v>
      </c>
      <c r="Y67" s="275">
        <f>Y$17*'6-PlantJurisdiction'!$F$50</f>
        <v>0</v>
      </c>
      <c r="Z67" s="275">
        <f>Z$17*'6-PlantJurisdiction'!$F$50</f>
        <v>0</v>
      </c>
      <c r="AA67" s="275">
        <f>AA$17*'6-PlantJurisdiction'!$F$50</f>
        <v>0</v>
      </c>
      <c r="AB67" s="275">
        <f>AB$17*'6-PlantJurisdiction'!$F$50</f>
        <v>0</v>
      </c>
      <c r="AC67" s="24">
        <f t="shared" si="10"/>
        <v>7490907690.5873737</v>
      </c>
      <c r="AD67" s="91">
        <f t="shared" si="9"/>
        <v>304</v>
      </c>
    </row>
    <row r="68" spans="1:30">
      <c r="A68" s="91">
        <f t="shared" si="11"/>
        <v>305</v>
      </c>
      <c r="B68" s="378" t="s">
        <v>526</v>
      </c>
      <c r="C68" s="140">
        <f>'1-DRR Corrected'!$K$2</f>
        <v>2021</v>
      </c>
      <c r="D68" s="275">
        <f>D$18*'6-PlantJurisdiction'!$F$37</f>
        <v>-22819.193146492737</v>
      </c>
      <c r="E68" s="275">
        <f>E$18*'6-PlantJurisdiction'!$F$37</f>
        <v>7838270.9746904699</v>
      </c>
      <c r="F68" s="275">
        <f>F$18*'6-PlantJurisdiction'!$F$38</f>
        <v>0</v>
      </c>
      <c r="G68" s="275">
        <f>G$18*'6-PlantJurisdiction'!$F$38</f>
        <v>0</v>
      </c>
      <c r="H68" s="275">
        <f>H$18*'6-PlantJurisdiction'!$F$39</f>
        <v>0</v>
      </c>
      <c r="I68" s="275">
        <f>I$18*'6-PlantJurisdiction'!$F$40</f>
        <v>0</v>
      </c>
      <c r="J68" s="275">
        <f>J$18*'6-PlantJurisdiction'!$F$40</f>
        <v>0</v>
      </c>
      <c r="K68" s="275">
        <f>K$18*'6-PlantJurisdiction'!$F$41</f>
        <v>564883065.57433903</v>
      </c>
      <c r="L68" s="275">
        <f>L$18*'6-PlantJurisdiction'!$F$42</f>
        <v>568375139.47736526</v>
      </c>
      <c r="M68" s="275">
        <f>M$18*'6-PlantJurisdiction'!$F$43</f>
        <v>769552098.42677772</v>
      </c>
      <c r="N68" s="275">
        <f>N$18*'6-PlantJurisdiction'!$F$44</f>
        <v>1804284867.7725439</v>
      </c>
      <c r="O68" s="275">
        <f>O$18*'6-PlantJurisdiction'!$F$45</f>
        <v>1031167886.0348121</v>
      </c>
      <c r="P68" s="275">
        <f>P$18*'6-PlantJurisdiction'!$F$45</f>
        <v>370707821.55000013</v>
      </c>
      <c r="Q68" s="275">
        <f>Q$18*'6-PlantJurisdiction'!$F$46</f>
        <v>764299802.1172719</v>
      </c>
      <c r="R68" s="275">
        <f>R$18*'6-PlantJurisdiction'!$F$46</f>
        <v>1640152030.1286607</v>
      </c>
      <c r="S68" s="275">
        <f>S$18*'6-PlantJurisdiction'!$F$47</f>
        <v>0</v>
      </c>
      <c r="T68" s="275">
        <f>T$18*'6-PlantJurisdiction'!$F$47</f>
        <v>0</v>
      </c>
      <c r="U68" s="275">
        <f>U$18*'6-PlantJurisdiction'!$F$48</f>
        <v>0</v>
      </c>
      <c r="V68" s="275">
        <f>V$18*'6-PlantJurisdiction'!$F$48</f>
        <v>0</v>
      </c>
      <c r="W68" s="275">
        <f>W$18*'6-PlantJurisdiction'!$F$48</f>
        <v>0</v>
      </c>
      <c r="X68" s="275">
        <f>X$18*'6-PlantJurisdiction'!$F$49</f>
        <v>0</v>
      </c>
      <c r="Y68" s="275">
        <f>Y$18*'6-PlantJurisdiction'!$F$50</f>
        <v>0</v>
      </c>
      <c r="Z68" s="275">
        <f>Z$18*'6-PlantJurisdiction'!$F$50</f>
        <v>0</v>
      </c>
      <c r="AA68" s="275">
        <f>AA$18*'6-PlantJurisdiction'!$F$50</f>
        <v>0</v>
      </c>
      <c r="AB68" s="275">
        <f>AB$18*'6-PlantJurisdiction'!$F$50</f>
        <v>0</v>
      </c>
      <c r="AC68" s="24">
        <f t="shared" si="10"/>
        <v>7521238162.8633137</v>
      </c>
      <c r="AD68" s="91">
        <f t="shared" si="9"/>
        <v>305</v>
      </c>
    </row>
    <row r="69" spans="1:30">
      <c r="A69" s="91">
        <f t="shared" si="11"/>
        <v>306</v>
      </c>
      <c r="B69" s="378" t="s">
        <v>812</v>
      </c>
      <c r="C69" s="140">
        <f>'1-DRR Corrected'!$K$2</f>
        <v>2021</v>
      </c>
      <c r="D69" s="275">
        <f>D$19*'6-PlantJurisdiction'!$F$37</f>
        <v>-25475.946250669469</v>
      </c>
      <c r="E69" s="275">
        <f>E$19*'6-PlantJurisdiction'!$F$37</f>
        <v>7992437.4149166392</v>
      </c>
      <c r="F69" s="275">
        <f>F$19*'6-PlantJurisdiction'!$F$38</f>
        <v>0</v>
      </c>
      <c r="G69" s="275">
        <f>G$19*'6-PlantJurisdiction'!$F$38</f>
        <v>0</v>
      </c>
      <c r="H69" s="275">
        <f>H$19*'6-PlantJurisdiction'!$F$39</f>
        <v>0</v>
      </c>
      <c r="I69" s="275">
        <f>I$19*'6-PlantJurisdiction'!$F$40</f>
        <v>0</v>
      </c>
      <c r="J69" s="275">
        <f>J$19*'6-PlantJurisdiction'!$F$40</f>
        <v>0</v>
      </c>
      <c r="K69" s="275">
        <f>K$19*'6-PlantJurisdiction'!$F$41</f>
        <v>568523476.19765711</v>
      </c>
      <c r="L69" s="275">
        <f>L$19*'6-PlantJurisdiction'!$F$42</f>
        <v>569546716.30825174</v>
      </c>
      <c r="M69" s="275">
        <f>M$19*'6-PlantJurisdiction'!$F$43</f>
        <v>773299537.09537923</v>
      </c>
      <c r="N69" s="275">
        <f>N$19*'6-PlantJurisdiction'!$F$44</f>
        <v>1812291734.2345264</v>
      </c>
      <c r="O69" s="275">
        <f>O$19*'6-PlantJurisdiction'!$F$45</f>
        <v>1036099232.5885764</v>
      </c>
      <c r="P69" s="275">
        <f>P$19*'6-PlantJurisdiction'!$F$45</f>
        <v>373509545.00000024</v>
      </c>
      <c r="Q69" s="275">
        <f>Q$19*'6-PlantJurisdiction'!$F$46</f>
        <v>766831486.05608118</v>
      </c>
      <c r="R69" s="275">
        <f>R$19*'6-PlantJurisdiction'!$F$46</f>
        <v>1646158444.8416958</v>
      </c>
      <c r="S69" s="275">
        <f>S$19*'6-PlantJurisdiction'!$F$47</f>
        <v>0</v>
      </c>
      <c r="T69" s="275">
        <f>T$19*'6-PlantJurisdiction'!$F$47</f>
        <v>0</v>
      </c>
      <c r="U69" s="275">
        <f>U$19*'6-PlantJurisdiction'!$F$48</f>
        <v>0</v>
      </c>
      <c r="V69" s="275">
        <f>V$19*'6-PlantJurisdiction'!$F$48</f>
        <v>0</v>
      </c>
      <c r="W69" s="275">
        <f>W$19*'6-PlantJurisdiction'!$F$48</f>
        <v>0</v>
      </c>
      <c r="X69" s="275">
        <f>X$19*'6-PlantJurisdiction'!$F$49</f>
        <v>0</v>
      </c>
      <c r="Y69" s="275">
        <f>Y$19*'6-PlantJurisdiction'!$F$50</f>
        <v>0</v>
      </c>
      <c r="Z69" s="275">
        <f>Z$19*'6-PlantJurisdiction'!$F$50</f>
        <v>0</v>
      </c>
      <c r="AA69" s="275">
        <f>AA$19*'6-PlantJurisdiction'!$F$50</f>
        <v>0</v>
      </c>
      <c r="AB69" s="275">
        <f>AB$19*'6-PlantJurisdiction'!$F$50</f>
        <v>0</v>
      </c>
      <c r="AC69" s="24">
        <f t="shared" si="10"/>
        <v>7554227133.7908335</v>
      </c>
      <c r="AD69" s="91">
        <f t="shared" si="9"/>
        <v>306</v>
      </c>
    </row>
    <row r="70" spans="1:30">
      <c r="A70" s="91">
        <f t="shared" si="11"/>
        <v>307</v>
      </c>
      <c r="B70" s="378" t="s">
        <v>528</v>
      </c>
      <c r="C70" s="140">
        <f>'1-DRR Corrected'!$K$2</f>
        <v>2021</v>
      </c>
      <c r="D70" s="275">
        <f>D$20*'6-PlantJurisdiction'!$F$37</f>
        <v>-27024.432809549631</v>
      </c>
      <c r="E70" s="545">
        <f>E20*'6-PlantJurisdiction'!$F$37</f>
        <v>8146603.7767934334</v>
      </c>
      <c r="F70" s="275">
        <f>F$20*'6-PlantJurisdiction'!$F$38</f>
        <v>0</v>
      </c>
      <c r="G70" s="275">
        <f>G$20*'6-PlantJurisdiction'!$F$38</f>
        <v>0</v>
      </c>
      <c r="H70" s="275">
        <f>H$20*'6-PlantJurisdiction'!$F$39</f>
        <v>0</v>
      </c>
      <c r="I70" s="275">
        <f>I$20*'6-PlantJurisdiction'!$F$40</f>
        <v>0</v>
      </c>
      <c r="J70" s="275">
        <f>J$20*'6-PlantJurisdiction'!$F$40</f>
        <v>0</v>
      </c>
      <c r="K70" s="275">
        <f>K$20*'6-PlantJurisdiction'!$F$41</f>
        <v>572220313.35315704</v>
      </c>
      <c r="L70" s="275">
        <f>L$20*'6-PlantJurisdiction'!$F$42</f>
        <v>571069912.9969126</v>
      </c>
      <c r="M70" s="275">
        <f>M$20*'6-PlantJurisdiction'!$F$43</f>
        <v>776648128.54620802</v>
      </c>
      <c r="N70" s="275">
        <f>N$20*'6-PlantJurisdiction'!$F$44</f>
        <v>1819476881.385365</v>
      </c>
      <c r="O70" s="275">
        <f>O$20*'6-PlantJurisdiction'!$F$45</f>
        <v>1041784649.4423388</v>
      </c>
      <c r="P70" s="275">
        <f>P$20*'6-PlantJurisdiction'!$F$45</f>
        <v>376373298.28999978</v>
      </c>
      <c r="Q70" s="275">
        <f>Q$20*'6-PlantJurisdiction'!$F$46</f>
        <v>769158009.62489188</v>
      </c>
      <c r="R70" s="275">
        <f>R$20*'6-PlantJurisdiction'!$F$46</f>
        <v>1651300147.2347238</v>
      </c>
      <c r="S70" s="275">
        <f>S$20*'6-PlantJurisdiction'!$F$47</f>
        <v>0</v>
      </c>
      <c r="T70" s="275">
        <f>T$20*'6-PlantJurisdiction'!$F$47</f>
        <v>0</v>
      </c>
      <c r="U70" s="275">
        <f>U$20*'6-PlantJurisdiction'!$F$48</f>
        <v>0</v>
      </c>
      <c r="V70" s="275">
        <f>V$20*'6-PlantJurisdiction'!$F$48</f>
        <v>0</v>
      </c>
      <c r="W70" s="275">
        <f>W$20*'6-PlantJurisdiction'!$F$48</f>
        <v>0</v>
      </c>
      <c r="X70" s="275">
        <f>X$20*'6-PlantJurisdiction'!$F$49</f>
        <v>0</v>
      </c>
      <c r="Y70" s="275">
        <f>Y$20*'6-PlantJurisdiction'!$F$50</f>
        <v>0</v>
      </c>
      <c r="Z70" s="275">
        <f>Z$20*'6-PlantJurisdiction'!$F$50</f>
        <v>0</v>
      </c>
      <c r="AA70" s="275">
        <f>AA$20*'6-PlantJurisdiction'!$F$50</f>
        <v>0</v>
      </c>
      <c r="AB70" s="275">
        <f>AB$20*'6-PlantJurisdiction'!$F$50</f>
        <v>0</v>
      </c>
      <c r="AC70" s="24">
        <f t="shared" si="10"/>
        <v>7586150920.2175817</v>
      </c>
      <c r="AD70" s="91">
        <f t="shared" si="9"/>
        <v>307</v>
      </c>
    </row>
    <row r="71" spans="1:30">
      <c r="A71" s="91">
        <f t="shared" si="11"/>
        <v>308</v>
      </c>
      <c r="B71" s="378" t="s">
        <v>529</v>
      </c>
      <c r="C71" s="140">
        <f>'1-DRR Corrected'!$K$2</f>
        <v>2021</v>
      </c>
      <c r="D71" s="275">
        <f>D$21*'6-PlantJurisdiction'!$F$37</f>
        <v>-37160.402192339381</v>
      </c>
      <c r="E71" s="275">
        <f>E$21*'6-PlantJurisdiction'!$F$37</f>
        <v>8300737.0605451008</v>
      </c>
      <c r="F71" s="275">
        <f>F$21*'6-PlantJurisdiction'!$F$38</f>
        <v>0</v>
      </c>
      <c r="G71" s="275">
        <f>G$21*'6-PlantJurisdiction'!$F$38</f>
        <v>0</v>
      </c>
      <c r="H71" s="275">
        <f>H$21*'6-PlantJurisdiction'!$F$39</f>
        <v>0</v>
      </c>
      <c r="I71" s="275">
        <f>I$21*'6-PlantJurisdiction'!$F$40</f>
        <v>0</v>
      </c>
      <c r="J71" s="275">
        <f>J$21*'6-PlantJurisdiction'!$F$40</f>
        <v>0</v>
      </c>
      <c r="K71" s="275">
        <f>K$21*'6-PlantJurisdiction'!$F$41</f>
        <v>575946818.68978894</v>
      </c>
      <c r="L71" s="275">
        <f>L$21*'6-PlantJurisdiction'!$F$42</f>
        <v>572828766.18949497</v>
      </c>
      <c r="M71" s="275">
        <f>M$21*'6-PlantJurisdiction'!$F$43</f>
        <v>781197884.85716879</v>
      </c>
      <c r="N71" s="275">
        <f>N$21*'6-PlantJurisdiction'!$F$44</f>
        <v>1827466266.1138144</v>
      </c>
      <c r="O71" s="275">
        <f>O$21*'6-PlantJurisdiction'!$F$45</f>
        <v>1047959223.8261036</v>
      </c>
      <c r="P71" s="275">
        <f>P$21*'6-PlantJurisdiction'!$F$45</f>
        <v>379335383.86000013</v>
      </c>
      <c r="Q71" s="275">
        <f>Q$21*'6-PlantJurisdiction'!$F$46</f>
        <v>771850512.79370093</v>
      </c>
      <c r="R71" s="275">
        <f>R$21*'6-PlantJurisdiction'!$F$46</f>
        <v>1656401571.6977551</v>
      </c>
      <c r="S71" s="275">
        <f>S$21*'6-PlantJurisdiction'!$F$47</f>
        <v>0</v>
      </c>
      <c r="T71" s="275">
        <f>T$21*'6-PlantJurisdiction'!$F$47</f>
        <v>0</v>
      </c>
      <c r="U71" s="275">
        <f>U$21*'6-PlantJurisdiction'!$F$48</f>
        <v>0</v>
      </c>
      <c r="V71" s="275">
        <f>V$21*'6-PlantJurisdiction'!$F$48</f>
        <v>0</v>
      </c>
      <c r="W71" s="275">
        <f>W$21*'6-PlantJurisdiction'!$F$48</f>
        <v>0</v>
      </c>
      <c r="X71" s="275">
        <f>X$21*'6-PlantJurisdiction'!$F$49</f>
        <v>0</v>
      </c>
      <c r="Y71" s="275">
        <f>Y$21*'6-PlantJurisdiction'!$F$50</f>
        <v>0</v>
      </c>
      <c r="Z71" s="275">
        <f>Z$21*'6-PlantJurisdiction'!$F$50</f>
        <v>0</v>
      </c>
      <c r="AA71" s="275">
        <f>AA$21*'6-PlantJurisdiction'!$F$50</f>
        <v>0</v>
      </c>
      <c r="AB71" s="275">
        <f>AB$21*'6-PlantJurisdiction'!$F$50</f>
        <v>0</v>
      </c>
      <c r="AC71" s="24">
        <f t="shared" si="10"/>
        <v>7621250004.6861792</v>
      </c>
      <c r="AD71" s="91">
        <f t="shared" si="9"/>
        <v>308</v>
      </c>
    </row>
    <row r="72" spans="1:30">
      <c r="A72" s="91">
        <f t="shared" si="11"/>
        <v>309</v>
      </c>
      <c r="B72" s="378" t="s">
        <v>530</v>
      </c>
      <c r="C72" s="140">
        <f>'1-DRR Corrected'!$K$2</f>
        <v>2021</v>
      </c>
      <c r="D72" s="275">
        <f>D$22*'6-PlantJurisdiction'!$F$37</f>
        <v>-42070.556663066774</v>
      </c>
      <c r="E72" s="275">
        <f>E$22*'6-PlantJurisdiction'!$F$37</f>
        <v>8454869.7909543402</v>
      </c>
      <c r="F72" s="275">
        <f>F$22*'6-PlantJurisdiction'!$F$38</f>
        <v>0</v>
      </c>
      <c r="G72" s="275">
        <f>G$22*'6-PlantJurisdiction'!$F$38</f>
        <v>0</v>
      </c>
      <c r="H72" s="275">
        <f>H$22*'6-PlantJurisdiction'!$F$39</f>
        <v>0</v>
      </c>
      <c r="I72" s="275">
        <f>I$22*'6-PlantJurisdiction'!$F$40</f>
        <v>0</v>
      </c>
      <c r="J72" s="275">
        <f>J$22*'6-PlantJurisdiction'!$F$40</f>
        <v>0</v>
      </c>
      <c r="K72" s="275">
        <f>K$22*'6-PlantJurisdiction'!$F$41</f>
        <v>579506150.87429476</v>
      </c>
      <c r="L72" s="275">
        <f>L$22*'6-PlantJurisdiction'!$F$42</f>
        <v>574219846.74309289</v>
      </c>
      <c r="M72" s="275">
        <f>M$22*'6-PlantJurisdiction'!$F$43</f>
        <v>783871808.18730509</v>
      </c>
      <c r="N72" s="275">
        <f>N$22*'6-PlantJurisdiction'!$F$44</f>
        <v>1833531646.4815414</v>
      </c>
      <c r="O72" s="275">
        <f>O$22*'6-PlantJurisdiction'!$F$45</f>
        <v>1054232703.8398662</v>
      </c>
      <c r="P72" s="275">
        <f>P$22*'6-PlantJurisdiction'!$F$45</f>
        <v>382036487.25000018</v>
      </c>
      <c r="Q72" s="275">
        <f>Q$22*'6-PlantJurisdiction'!$F$46</f>
        <v>774963073.74250984</v>
      </c>
      <c r="R72" s="275">
        <f>R$22*'6-PlantJurisdiction'!$F$46</f>
        <v>1662599661.5007892</v>
      </c>
      <c r="S72" s="275">
        <f>S$22*'6-PlantJurisdiction'!$F$47</f>
        <v>0</v>
      </c>
      <c r="T72" s="275">
        <f>T$22*'6-PlantJurisdiction'!$F$47</f>
        <v>0</v>
      </c>
      <c r="U72" s="275">
        <f>U$22*'6-PlantJurisdiction'!$F$48</f>
        <v>0</v>
      </c>
      <c r="V72" s="275">
        <f>V$22*'6-PlantJurisdiction'!$F$48</f>
        <v>0</v>
      </c>
      <c r="W72" s="275">
        <f>W$22*'6-PlantJurisdiction'!$F$48</f>
        <v>0</v>
      </c>
      <c r="X72" s="275">
        <f>X$22*'6-PlantJurisdiction'!$F$49</f>
        <v>0</v>
      </c>
      <c r="Y72" s="275">
        <f>Y$22*'6-PlantJurisdiction'!$F$50</f>
        <v>0</v>
      </c>
      <c r="Z72" s="275">
        <f>Z$22*'6-PlantJurisdiction'!$F$50</f>
        <v>0</v>
      </c>
      <c r="AA72" s="275">
        <f>AA$22*'6-PlantJurisdiction'!$F$50</f>
        <v>0</v>
      </c>
      <c r="AB72" s="275">
        <f>AB$22*'6-PlantJurisdiction'!$F$50</f>
        <v>0</v>
      </c>
      <c r="AC72" s="24">
        <f t="shared" si="10"/>
        <v>7653374177.8536911</v>
      </c>
      <c r="AD72" s="91">
        <f t="shared" si="9"/>
        <v>309</v>
      </c>
    </row>
    <row r="73" spans="1:30">
      <c r="A73" s="91">
        <f t="shared" si="11"/>
        <v>310</v>
      </c>
      <c r="B73" s="378" t="s">
        <v>531</v>
      </c>
      <c r="C73" s="140">
        <f>'1-DRR Corrected'!$K$2</f>
        <v>2021</v>
      </c>
      <c r="D73" s="275">
        <f>D$23*'6-PlantJurisdiction'!$F$37</f>
        <v>-42598.400654600169</v>
      </c>
      <c r="E73" s="275">
        <f>E$23*'6-PlantJurisdiction'!$F$37</f>
        <v>8609002.3793553449</v>
      </c>
      <c r="F73" s="275">
        <f>F$23*'6-PlantJurisdiction'!$F$38</f>
        <v>0</v>
      </c>
      <c r="G73" s="275">
        <f>G$23*'6-PlantJurisdiction'!$F$38</f>
        <v>0</v>
      </c>
      <c r="H73" s="275">
        <f>H$23*'6-PlantJurisdiction'!$F$39</f>
        <v>0</v>
      </c>
      <c r="I73" s="275">
        <f>I$23*'6-PlantJurisdiction'!$F$40</f>
        <v>0</v>
      </c>
      <c r="J73" s="275">
        <f>J$23*'6-PlantJurisdiction'!$F$40</f>
        <v>0</v>
      </c>
      <c r="K73" s="275">
        <f>K$23*'6-PlantJurisdiction'!$F$41</f>
        <v>581863753.90984583</v>
      </c>
      <c r="L73" s="275">
        <f>L$23*'6-PlantJurisdiction'!$F$42</f>
        <v>575224634.94181693</v>
      </c>
      <c r="M73" s="275">
        <f>M$23*'6-PlantJurisdiction'!$F$43</f>
        <v>788476139.27066123</v>
      </c>
      <c r="N73" s="275">
        <f>N$23*'6-PlantJurisdiction'!$F$44</f>
        <v>1842799631.4167309</v>
      </c>
      <c r="O73" s="275">
        <f>O$23*'6-PlantJurisdiction'!$F$45</f>
        <v>1058860213.3036308</v>
      </c>
      <c r="P73" s="275">
        <f>P$23*'6-PlantJurisdiction'!$F$45</f>
        <v>385313040.61999977</v>
      </c>
      <c r="Q73" s="275">
        <f>Q$23*'6-PlantJurisdiction'!$F$46</f>
        <v>776793729.11131918</v>
      </c>
      <c r="R73" s="275">
        <f>R$23*'6-PlantJurisdiction'!$F$46</f>
        <v>1667685513.7538199</v>
      </c>
      <c r="S73" s="275">
        <f>S$23*'6-PlantJurisdiction'!$F$47</f>
        <v>0</v>
      </c>
      <c r="T73" s="275">
        <f>T$23*'6-PlantJurisdiction'!$F$47</f>
        <v>0</v>
      </c>
      <c r="U73" s="275">
        <f>U$23*'6-PlantJurisdiction'!$F$48</f>
        <v>0</v>
      </c>
      <c r="V73" s="275">
        <f>V$23*'6-PlantJurisdiction'!$F$48</f>
        <v>0</v>
      </c>
      <c r="W73" s="275">
        <f>W$23*'6-PlantJurisdiction'!$F$48</f>
        <v>0</v>
      </c>
      <c r="X73" s="275">
        <f>X$23*'6-PlantJurisdiction'!$F$49</f>
        <v>0</v>
      </c>
      <c r="Y73" s="275">
        <f>Y$23*'6-PlantJurisdiction'!$F$50</f>
        <v>0</v>
      </c>
      <c r="Z73" s="275">
        <f>Z$23*'6-PlantJurisdiction'!$F$50</f>
        <v>0</v>
      </c>
      <c r="AA73" s="275">
        <f>AA$23*'6-PlantJurisdiction'!$F$50</f>
        <v>0</v>
      </c>
      <c r="AB73" s="275">
        <f>AB$23*'6-PlantJurisdiction'!$F$50</f>
        <v>0</v>
      </c>
      <c r="AC73" s="24">
        <f t="shared" si="10"/>
        <v>7685583060.3065262</v>
      </c>
      <c r="AD73" s="91">
        <f t="shared" si="9"/>
        <v>310</v>
      </c>
    </row>
    <row r="74" spans="1:30">
      <c r="A74" s="91">
        <f t="shared" si="11"/>
        <v>311</v>
      </c>
      <c r="B74" s="378" t="s">
        <v>532</v>
      </c>
      <c r="C74" s="140">
        <f>'1-DRR Corrected'!$K$2</f>
        <v>2021</v>
      </c>
      <c r="D74" s="275">
        <f>D$24*'6-PlantJurisdiction'!$F$37</f>
        <v>-43384.964063312567</v>
      </c>
      <c r="E74" s="275">
        <f>E$24*'6-PlantJurisdiction'!$F$37</f>
        <v>8763135.6435196642</v>
      </c>
      <c r="F74" s="275">
        <f>F$24*'6-PlantJurisdiction'!$F$38</f>
        <v>0</v>
      </c>
      <c r="G74" s="275">
        <f>G$24*'6-PlantJurisdiction'!$F$38</f>
        <v>0</v>
      </c>
      <c r="H74" s="275">
        <f>H$24*'6-PlantJurisdiction'!$F$39</f>
        <v>0</v>
      </c>
      <c r="I74" s="275">
        <f>I$24*'6-PlantJurisdiction'!$F$40</f>
        <v>0</v>
      </c>
      <c r="J74" s="275">
        <f>J$24*'6-PlantJurisdiction'!$F$40</f>
        <v>0</v>
      </c>
      <c r="K74" s="275">
        <f>K$24*'6-PlantJurisdiction'!$F$41</f>
        <v>585558771.66369951</v>
      </c>
      <c r="L74" s="275">
        <f>L$24*'6-PlantJurisdiction'!$F$42</f>
        <v>576881258.41009963</v>
      </c>
      <c r="M74" s="275">
        <f>M$24*'6-PlantJurisdiction'!$F$43</f>
        <v>791992722.13643408</v>
      </c>
      <c r="N74" s="275">
        <f>N$24*'6-PlantJurisdiction'!$F$44</f>
        <v>1849892366.7580857</v>
      </c>
      <c r="O74" s="275">
        <f>O$24*'6-PlantJurisdiction'!$F$45</f>
        <v>1067840144.3273935</v>
      </c>
      <c r="P74" s="275">
        <f>P$24*'6-PlantJurisdiction'!$F$45</f>
        <v>387348409.40999997</v>
      </c>
      <c r="Q74" s="275">
        <f>Q$24*'6-PlantJurisdiction'!$F$46</f>
        <v>779457342.92012906</v>
      </c>
      <c r="R74" s="275">
        <f>R$24*'6-PlantJurisdiction'!$F$46</f>
        <v>1673591520.4868498</v>
      </c>
      <c r="S74" s="275">
        <f>S$24*'6-PlantJurisdiction'!$F$47</f>
        <v>0</v>
      </c>
      <c r="T74" s="275">
        <f>T$24*'6-PlantJurisdiction'!$F$47</f>
        <v>0</v>
      </c>
      <c r="U74" s="275">
        <f>U$24*'6-PlantJurisdiction'!$F$48</f>
        <v>0</v>
      </c>
      <c r="V74" s="275">
        <f>V$24*'6-PlantJurisdiction'!$F$48</f>
        <v>0</v>
      </c>
      <c r="W74" s="275">
        <f>W$24*'6-PlantJurisdiction'!$F$48</f>
        <v>0</v>
      </c>
      <c r="X74" s="275">
        <f>X$24*'6-PlantJurisdiction'!$F$49</f>
        <v>0</v>
      </c>
      <c r="Y74" s="275">
        <f>Y$24*'6-PlantJurisdiction'!$F$50</f>
        <v>0</v>
      </c>
      <c r="Z74" s="275">
        <f>Z$24*'6-PlantJurisdiction'!$F$50</f>
        <v>0</v>
      </c>
      <c r="AA74" s="275">
        <f>AA$24*'6-PlantJurisdiction'!$F$50</f>
        <v>0</v>
      </c>
      <c r="AB74" s="275">
        <f>AB$24*'6-PlantJurisdiction'!$F$50</f>
        <v>0</v>
      </c>
      <c r="AC74" s="24">
        <f t="shared" si="10"/>
        <v>7721282286.7921467</v>
      </c>
      <c r="AD74" s="91">
        <f t="shared" si="9"/>
        <v>311</v>
      </c>
    </row>
    <row r="75" spans="1:30">
      <c r="A75" s="91">
        <f t="shared" si="11"/>
        <v>312</v>
      </c>
      <c r="B75" s="378" t="s">
        <v>520</v>
      </c>
      <c r="C75" s="140">
        <f>'1-DRR Corrected'!$K$2</f>
        <v>2021</v>
      </c>
      <c r="D75" s="275">
        <f>D$25*'6-PlantJurisdiction'!$F$37</f>
        <v>-74506.773331534205</v>
      </c>
      <c r="E75" s="275">
        <f>E$25*'6-PlantJurisdiction'!$F$37</f>
        <v>8917882.7554195449</v>
      </c>
      <c r="F75" s="275">
        <f>F$25*'6-PlantJurisdiction'!$F$38</f>
        <v>0</v>
      </c>
      <c r="G75" s="275">
        <f>G$25*'6-PlantJurisdiction'!$F$38</f>
        <v>0</v>
      </c>
      <c r="H75" s="275">
        <f>H$25*'6-PlantJurisdiction'!$F$39</f>
        <v>0</v>
      </c>
      <c r="I75" s="275">
        <f>I$25*'6-PlantJurisdiction'!$F$40</f>
        <v>0</v>
      </c>
      <c r="J75" s="275">
        <f>J$25*'6-PlantJurisdiction'!$F$40</f>
        <v>0</v>
      </c>
      <c r="K75" s="275">
        <f>K$25*'6-PlantJurisdiction'!$F$41</f>
        <v>590179334.91669631</v>
      </c>
      <c r="L75" s="275">
        <f>L$25*'6-PlantJurisdiction'!$F$42</f>
        <v>578844767.7696749</v>
      </c>
      <c r="M75" s="275">
        <f>M$25*'6-PlantJurisdiction'!$F$43</f>
        <v>795848758.921731</v>
      </c>
      <c r="N75" s="275">
        <f>N$25*'6-PlantJurisdiction'!$F$44</f>
        <v>1853779736.8075435</v>
      </c>
      <c r="O75" s="275">
        <f>O$25*'6-PlantJurisdiction'!$F$45</f>
        <v>1074160760.2011585</v>
      </c>
      <c r="P75" s="275">
        <f>P$25*'6-PlantJurisdiction'!$F$45</f>
        <v>390265109.80999994</v>
      </c>
      <c r="Q75" s="275">
        <f>Q$25*'6-PlantJurisdiction'!$F$46</f>
        <v>782100773.78893912</v>
      </c>
      <c r="R75" s="275">
        <f>R$25*'6-PlantJurisdiction'!$F$46</f>
        <v>1679359707.0498812</v>
      </c>
      <c r="S75" s="275">
        <f>S$25*'6-PlantJurisdiction'!$F$47</f>
        <v>0</v>
      </c>
      <c r="T75" s="275">
        <f>T$25*'6-PlantJurisdiction'!$F$47</f>
        <v>0</v>
      </c>
      <c r="U75" s="275">
        <f>U$25*'6-PlantJurisdiction'!$F$48</f>
        <v>0</v>
      </c>
      <c r="V75" s="275">
        <f>V$25*'6-PlantJurisdiction'!$F$48</f>
        <v>0</v>
      </c>
      <c r="W75" s="275">
        <f>W$25*'6-PlantJurisdiction'!$F$48</f>
        <v>0</v>
      </c>
      <c r="X75" s="275">
        <f>X$25*'6-PlantJurisdiction'!$F$49</f>
        <v>0</v>
      </c>
      <c r="Y75" s="275">
        <f>Y$25*'6-PlantJurisdiction'!$F$50</f>
        <v>0</v>
      </c>
      <c r="Z75" s="275">
        <f>Z$25*'6-PlantJurisdiction'!$F$50</f>
        <v>0</v>
      </c>
      <c r="AA75" s="275">
        <f>AA$25*'6-PlantJurisdiction'!$F$50</f>
        <v>0</v>
      </c>
      <c r="AB75" s="275">
        <f>AB$25*'6-PlantJurisdiction'!$F$50</f>
        <v>0</v>
      </c>
      <c r="AC75" s="24">
        <f t="shared" si="10"/>
        <v>7753382325.2477121</v>
      </c>
      <c r="AD75" s="91">
        <f t="shared" si="9"/>
        <v>312</v>
      </c>
    </row>
    <row r="76" spans="1:30">
      <c r="A76" s="91">
        <f t="shared" si="11"/>
        <v>313</v>
      </c>
      <c r="B76" s="664" t="s">
        <v>813</v>
      </c>
      <c r="C76" s="488"/>
      <c r="D76" s="661">
        <f>SUM(D63:D75)/13</f>
        <v>-24146.558569349887</v>
      </c>
      <c r="E76" s="661">
        <f t="shared" ref="E76:AC76" si="12">SUM(E63:E75)/13</f>
        <v>7992453.017365206</v>
      </c>
      <c r="F76" s="661">
        <f t="shared" si="12"/>
        <v>0</v>
      </c>
      <c r="G76" s="661">
        <f t="shared" si="12"/>
        <v>0</v>
      </c>
      <c r="H76" s="661">
        <f t="shared" si="12"/>
        <v>0</v>
      </c>
      <c r="I76" s="661">
        <f t="shared" si="12"/>
        <v>0</v>
      </c>
      <c r="J76" s="661">
        <f t="shared" si="12"/>
        <v>0</v>
      </c>
      <c r="K76" s="661">
        <f t="shared" si="12"/>
        <v>567936861.26624763</v>
      </c>
      <c r="L76" s="661">
        <f t="shared" si="12"/>
        <v>570118832.03833163</v>
      </c>
      <c r="M76" s="661">
        <f t="shared" si="12"/>
        <v>773381650.50936246</v>
      </c>
      <c r="N76" s="661">
        <f t="shared" si="12"/>
        <v>1811048497.7295077</v>
      </c>
      <c r="O76" s="661">
        <f t="shared" si="12"/>
        <v>1038160544.998576</v>
      </c>
      <c r="P76" s="661">
        <f t="shared" si="12"/>
        <v>373524964.17307693</v>
      </c>
      <c r="Q76" s="661">
        <f t="shared" si="12"/>
        <v>766575925.8899281</v>
      </c>
      <c r="R76" s="661">
        <f t="shared" si="12"/>
        <v>1645906167.5840013</v>
      </c>
      <c r="S76" s="661">
        <f t="shared" si="12"/>
        <v>0</v>
      </c>
      <c r="T76" s="661">
        <f t="shared" si="12"/>
        <v>0</v>
      </c>
      <c r="U76" s="661">
        <f t="shared" si="12"/>
        <v>0</v>
      </c>
      <c r="V76" s="661">
        <f t="shared" si="12"/>
        <v>0</v>
      </c>
      <c r="W76" s="661">
        <f t="shared" si="12"/>
        <v>0</v>
      </c>
      <c r="X76" s="661">
        <f t="shared" si="12"/>
        <v>0</v>
      </c>
      <c r="Y76" s="661">
        <f t="shared" si="12"/>
        <v>0</v>
      </c>
      <c r="Z76" s="661">
        <f t="shared" si="12"/>
        <v>0</v>
      </c>
      <c r="AA76" s="661">
        <f t="shared" si="12"/>
        <v>0</v>
      </c>
      <c r="AB76" s="661">
        <f t="shared" si="12"/>
        <v>0</v>
      </c>
      <c r="AC76" s="661">
        <f t="shared" si="12"/>
        <v>7554621750.6478271</v>
      </c>
      <c r="AD76" s="91">
        <f t="shared" si="9"/>
        <v>313</v>
      </c>
    </row>
    <row r="77" spans="1:30">
      <c r="A77" s="91"/>
      <c r="B77" s="381"/>
      <c r="C77" s="38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D77" s="91"/>
    </row>
    <row r="78" spans="1:30">
      <c r="A78" s="91"/>
      <c r="B78" s="381"/>
      <c r="C78" s="38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D78" s="91"/>
    </row>
    <row r="79" spans="1:30">
      <c r="B79" s="45" t="s">
        <v>966</v>
      </c>
      <c r="C79" s="45"/>
      <c r="D79" s="103"/>
      <c r="E79" s="103"/>
      <c r="F79" s="103"/>
      <c r="G79" s="103"/>
      <c r="H79" s="103"/>
      <c r="I79" s="43"/>
      <c r="J79" s="43"/>
      <c r="K79" s="43"/>
      <c r="L79" s="103"/>
      <c r="M79" s="103"/>
      <c r="N79" s="103"/>
      <c r="O79" s="103"/>
      <c r="P79" s="103"/>
      <c r="Q79" s="103"/>
      <c r="R79" s="43"/>
      <c r="S79" s="43"/>
      <c r="T79" s="43"/>
      <c r="U79" s="43"/>
      <c r="V79" s="43"/>
      <c r="W79" s="43"/>
      <c r="X79" s="43"/>
      <c r="Y79" s="43"/>
      <c r="Z79" s="43"/>
      <c r="AA79" s="43"/>
      <c r="AB79" s="43"/>
      <c r="AC79" s="43"/>
    </row>
    <row r="80" spans="1:30">
      <c r="B80" s="378" t="s">
        <v>967</v>
      </c>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8"/>
      <c r="AB80" s="378"/>
      <c r="AC80" s="378"/>
    </row>
    <row r="81" spans="1:30">
      <c r="B81" s="378"/>
      <c r="C81" s="378"/>
      <c r="D81" s="378"/>
      <c r="E81" s="378"/>
      <c r="F81" s="378"/>
      <c r="G81" s="378"/>
      <c r="H81" s="378"/>
      <c r="I81" s="378"/>
      <c r="J81" s="378"/>
      <c r="K81" s="378"/>
      <c r="L81" s="378"/>
      <c r="M81" s="378"/>
      <c r="N81" s="378"/>
      <c r="O81" s="378"/>
      <c r="P81" s="378"/>
      <c r="Q81" s="378"/>
      <c r="R81" s="378"/>
      <c r="S81" s="378"/>
      <c r="T81" s="378"/>
      <c r="U81" s="378"/>
      <c r="V81" s="378"/>
      <c r="W81" s="378"/>
      <c r="X81" s="378"/>
      <c r="Y81" s="378"/>
      <c r="Z81" s="378"/>
      <c r="AA81" s="378"/>
      <c r="AB81" s="378"/>
      <c r="AC81" s="378"/>
    </row>
    <row r="82" spans="1:30">
      <c r="A82" s="4"/>
      <c r="D82" s="83" t="s">
        <v>122</v>
      </c>
      <c r="E82" s="83" t="s">
        <v>123</v>
      </c>
      <c r="F82" s="83" t="s">
        <v>124</v>
      </c>
      <c r="G82" s="83"/>
      <c r="H82" s="83"/>
      <c r="I82" s="83"/>
      <c r="J82" s="83"/>
      <c r="K82" s="83"/>
      <c r="L82" s="83"/>
      <c r="M82" s="83"/>
      <c r="N82" s="83"/>
      <c r="O82" s="83"/>
      <c r="P82" s="83"/>
      <c r="AC82" s="91"/>
      <c r="AD82"/>
    </row>
    <row r="83" spans="1:30" ht="43.5">
      <c r="B83" s="91"/>
      <c r="C83" s="91"/>
      <c r="D83" s="100" t="s">
        <v>101</v>
      </c>
      <c r="E83" s="133" t="s">
        <v>869</v>
      </c>
      <c r="F83" s="133" t="s">
        <v>870</v>
      </c>
      <c r="AC83" s="91"/>
      <c r="AD83"/>
    </row>
    <row r="84" spans="1:30">
      <c r="B84" s="91"/>
      <c r="C84" s="91"/>
      <c r="D84" s="100"/>
      <c r="E84" s="100"/>
      <c r="AC84" s="91"/>
      <c r="AD84"/>
    </row>
    <row r="85" spans="1:30">
      <c r="B85" s="91"/>
      <c r="C85" s="91"/>
      <c r="D85" s="84" t="s">
        <v>871</v>
      </c>
      <c r="E85" s="4" t="s">
        <v>505</v>
      </c>
      <c r="F85" s="4" t="s">
        <v>536</v>
      </c>
      <c r="AC85" s="91"/>
      <c r="AD85"/>
    </row>
    <row r="86" spans="1:30">
      <c r="A86" s="80" t="s">
        <v>90</v>
      </c>
      <c r="B86" s="80" t="s">
        <v>511</v>
      </c>
      <c r="C86" s="80" t="s">
        <v>512</v>
      </c>
      <c r="D86" s="382" t="s">
        <v>968</v>
      </c>
      <c r="E86" s="3" t="s">
        <v>737</v>
      </c>
      <c r="F86" s="3" t="s">
        <v>737</v>
      </c>
      <c r="G86" s="83"/>
      <c r="H86" s="83"/>
      <c r="I86" s="83"/>
      <c r="J86" s="83"/>
      <c r="K86" s="83"/>
      <c r="L86" s="83"/>
      <c r="M86" s="83"/>
      <c r="N86" s="83"/>
      <c r="O86" s="83"/>
      <c r="P86" s="80"/>
      <c r="AD86" s="80" t="str">
        <f>A86</f>
        <v>Line</v>
      </c>
    </row>
    <row r="87" spans="1:30">
      <c r="A87" s="91">
        <v>400</v>
      </c>
      <c r="B87" s="378" t="s">
        <v>520</v>
      </c>
      <c r="C87" s="140">
        <f>'1-DRR Corrected'!$K$2-1</f>
        <v>2020</v>
      </c>
      <c r="D87" s="272">
        <v>419002541.25999999</v>
      </c>
      <c r="E87" s="121">
        <f>$D87*'6-PlantJurisdiction'!E$85</f>
        <v>203883402.46575341</v>
      </c>
      <c r="F87" s="121">
        <f>$D87*'6-PlantJurisdiction'!F$85</f>
        <v>195640089.88669729</v>
      </c>
      <c r="G87" s="111" t="str">
        <f>"See RY"&amp;'1-DRR Corrected'!K1-1&amp;" Model, 10-AccDep, L. 401, col 1"</f>
        <v>See RY2022 Model, 10-AccDep, L. 401, col 1</v>
      </c>
      <c r="H87" s="111"/>
      <c r="I87" s="111"/>
      <c r="J87" s="111"/>
      <c r="K87" s="111"/>
      <c r="L87" s="111"/>
      <c r="M87" s="111"/>
      <c r="N87" s="111"/>
      <c r="O87" s="111"/>
      <c r="P87" s="11"/>
      <c r="AD87" s="91">
        <f>A87</f>
        <v>400</v>
      </c>
    </row>
    <row r="88" spans="1:30">
      <c r="A88" s="91">
        <f>+A87+1</f>
        <v>401</v>
      </c>
      <c r="B88" s="383" t="s">
        <v>520</v>
      </c>
      <c r="C88" s="140">
        <f>'1-DRR Corrected'!$K$2</f>
        <v>2021</v>
      </c>
      <c r="D88" s="273">
        <v>434947003</v>
      </c>
      <c r="E88" s="121">
        <f>$D88*'6-PlantJurisdiction'!E$85</f>
        <v>211641854.4795779</v>
      </c>
      <c r="F88" s="121">
        <f>$D88*'6-PlantJurisdiction'!F$85</f>
        <v>203084856.01777658</v>
      </c>
      <c r="G88" s="111" t="s">
        <v>969</v>
      </c>
      <c r="H88" s="384"/>
      <c r="I88" s="384"/>
      <c r="J88" s="384"/>
      <c r="K88" s="384"/>
      <c r="L88" s="384"/>
      <c r="M88" s="384"/>
      <c r="N88" s="384"/>
      <c r="O88" s="384"/>
      <c r="P88" s="384"/>
      <c r="AD88" s="91">
        <f>A88</f>
        <v>401</v>
      </c>
    </row>
    <row r="89" spans="1:30">
      <c r="A89" s="91">
        <f t="shared" ref="A89" si="13">A88+1</f>
        <v>402</v>
      </c>
      <c r="B89" s="385" t="s">
        <v>874</v>
      </c>
      <c r="C89" s="488"/>
      <c r="D89" s="386">
        <f>AVERAGE(D87:D88)</f>
        <v>426974772.13</v>
      </c>
      <c r="E89" s="489">
        <f>AVERAGE(E87:E88)</f>
        <v>207762628.47266567</v>
      </c>
      <c r="F89" s="489">
        <f>AVERAGE(F87:F88)</f>
        <v>199362472.95223695</v>
      </c>
      <c r="G89" s="11" t="str">
        <f>"(Line "&amp;$A87&amp;" + Line "&amp;$A88&amp;")/2"</f>
        <v>(Line 400 + Line 401)/2</v>
      </c>
      <c r="H89" s="11"/>
      <c r="I89" s="11"/>
      <c r="J89" s="11"/>
      <c r="K89" s="11"/>
      <c r="L89" s="11"/>
      <c r="M89" s="11"/>
      <c r="N89" s="11"/>
      <c r="O89" s="11"/>
      <c r="P89" s="11"/>
      <c r="AD89" s="91">
        <f>A89</f>
        <v>402</v>
      </c>
    </row>
    <row r="90" spans="1:30">
      <c r="A90" s="91"/>
      <c r="B90" s="381"/>
      <c r="C90" s="38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D90" s="91"/>
    </row>
    <row r="91" spans="1:30">
      <c r="A91" s="91"/>
      <c r="B91" s="381"/>
      <c r="C91" s="38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D91" s="91"/>
    </row>
    <row r="92" spans="1:30">
      <c r="B92" s="45" t="s">
        <v>970</v>
      </c>
      <c r="C92" s="45"/>
      <c r="D92" s="103"/>
      <c r="E92" s="103"/>
      <c r="F92" s="103"/>
      <c r="G92" s="103"/>
      <c r="H92" s="103"/>
      <c r="I92" s="103"/>
      <c r="J92" s="103"/>
      <c r="K92" s="103"/>
      <c r="L92" s="103"/>
      <c r="M92" s="43"/>
      <c r="N92" s="103"/>
      <c r="O92" s="103"/>
      <c r="P92" s="103"/>
      <c r="Q92" s="103"/>
      <c r="R92" s="43"/>
      <c r="S92" s="43"/>
      <c r="T92" s="43"/>
      <c r="U92" s="43"/>
      <c r="V92" s="43"/>
      <c r="W92" s="43"/>
      <c r="X92" s="43"/>
      <c r="Y92" s="43"/>
      <c r="Z92" s="43"/>
      <c r="AA92" s="43"/>
      <c r="AB92" s="43"/>
      <c r="AC92" s="43"/>
    </row>
    <row r="93" spans="1:30">
      <c r="A93" s="18"/>
      <c r="B93" s="741" t="s">
        <v>971</v>
      </c>
      <c r="C93" s="741"/>
      <c r="D93" s="741"/>
      <c r="E93" s="741"/>
      <c r="F93" s="741"/>
      <c r="G93" s="741"/>
      <c r="H93" s="741"/>
      <c r="I93" s="741"/>
      <c r="J93" s="741"/>
      <c r="K93" s="741"/>
      <c r="L93" s="741"/>
      <c r="M93" s="741"/>
      <c r="N93" s="741"/>
      <c r="O93" s="378"/>
      <c r="P93" s="378"/>
      <c r="Q93" s="378"/>
      <c r="R93" s="378"/>
      <c r="S93" s="378"/>
      <c r="T93" s="378"/>
      <c r="U93" s="378"/>
      <c r="V93" s="378"/>
      <c r="W93" s="378"/>
      <c r="X93" s="378"/>
      <c r="Y93" s="378"/>
      <c r="Z93" s="378"/>
      <c r="AA93" s="378"/>
      <c r="AB93" s="378"/>
      <c r="AC93" s="378"/>
      <c r="AD93" s="91"/>
    </row>
    <row r="94" spans="1:30">
      <c r="A94" s="18"/>
      <c r="B94" s="741"/>
      <c r="C94" s="741"/>
      <c r="D94" s="741"/>
      <c r="E94" s="741"/>
      <c r="F94" s="741"/>
      <c r="G94" s="741"/>
      <c r="H94" s="741"/>
      <c r="I94" s="741"/>
      <c r="J94" s="741"/>
      <c r="K94" s="741"/>
      <c r="L94" s="741"/>
      <c r="M94" s="741"/>
      <c r="N94" s="741"/>
      <c r="O94" s="8"/>
      <c r="AC94" s="91"/>
      <c r="AD94"/>
    </row>
    <row r="95" spans="1:30">
      <c r="A95" s="4"/>
      <c r="D95" s="83" t="s">
        <v>122</v>
      </c>
      <c r="E95" s="83" t="s">
        <v>123</v>
      </c>
      <c r="F95" s="83" t="s">
        <v>124</v>
      </c>
      <c r="G95" s="83" t="s">
        <v>125</v>
      </c>
      <c r="H95" s="83" t="s">
        <v>490</v>
      </c>
      <c r="J95" s="83"/>
      <c r="K95" s="83"/>
      <c r="L95" s="83"/>
      <c r="M95" s="83"/>
      <c r="N95" s="83"/>
      <c r="O95" s="83"/>
      <c r="P95" s="83"/>
      <c r="AC95" s="91"/>
      <c r="AD95"/>
    </row>
    <row r="96" spans="1:30" ht="43.5">
      <c r="B96" s="91"/>
      <c r="C96" s="91"/>
      <c r="D96" s="133" t="s">
        <v>496</v>
      </c>
      <c r="E96" s="387" t="str">
        <f>"24-Allocators, Line " &amp; '24-Allocators'!$A$24</f>
        <v>24-Allocators, Line 113</v>
      </c>
      <c r="F96" s="387" t="s">
        <v>877</v>
      </c>
      <c r="G96" s="133" t="s">
        <v>878</v>
      </c>
      <c r="H96" s="133" t="s">
        <v>879</v>
      </c>
      <c r="AC96" s="91"/>
      <c r="AD96"/>
    </row>
    <row r="97" spans="1:30">
      <c r="B97" s="91"/>
      <c r="C97" s="91"/>
      <c r="D97" s="83"/>
      <c r="F97" s="100"/>
      <c r="AC97" s="91"/>
      <c r="AD97"/>
    </row>
    <row r="98" spans="1:30">
      <c r="B98" s="91"/>
      <c r="C98" s="91"/>
      <c r="D98" s="84"/>
      <c r="E98" s="4" t="s">
        <v>880</v>
      </c>
      <c r="F98" s="4" t="s">
        <v>881</v>
      </c>
      <c r="AC98" s="91"/>
      <c r="AD98"/>
    </row>
    <row r="99" spans="1:30">
      <c r="B99" s="91"/>
      <c r="C99" s="91"/>
      <c r="D99" s="84" t="s">
        <v>882</v>
      </c>
      <c r="E99" s="4" t="s">
        <v>737</v>
      </c>
      <c r="F99" s="4" t="s">
        <v>737</v>
      </c>
      <c r="G99" s="4" t="s">
        <v>505</v>
      </c>
      <c r="H99" s="4" t="s">
        <v>536</v>
      </c>
      <c r="AC99" s="91"/>
      <c r="AD99"/>
    </row>
    <row r="100" spans="1:30">
      <c r="A100" s="80" t="s">
        <v>90</v>
      </c>
      <c r="B100" s="80" t="s">
        <v>511</v>
      </c>
      <c r="C100" s="80" t="s">
        <v>512</v>
      </c>
      <c r="D100" s="110" t="s">
        <v>883</v>
      </c>
      <c r="E100" s="110" t="s">
        <v>884</v>
      </c>
      <c r="F100" s="382" t="s">
        <v>885</v>
      </c>
      <c r="G100" s="3" t="s">
        <v>737</v>
      </c>
      <c r="H100" s="3" t="s">
        <v>737</v>
      </c>
      <c r="J100" s="83"/>
      <c r="K100" s="83"/>
      <c r="L100" s="83"/>
      <c r="M100" s="83"/>
      <c r="N100" s="83"/>
      <c r="O100" s="83"/>
      <c r="P100" s="80"/>
      <c r="AD100" s="80" t="str">
        <f>A100</f>
        <v>Line</v>
      </c>
    </row>
    <row r="101" spans="1:30">
      <c r="A101" s="91">
        <v>500</v>
      </c>
      <c r="B101" s="378" t="s">
        <v>520</v>
      </c>
      <c r="C101" s="140">
        <f>'1-DRR Corrected'!$K$2-1</f>
        <v>2020</v>
      </c>
      <c r="D101" s="272">
        <v>1172448838.7099996</v>
      </c>
      <c r="E101" s="19">
        <f>'24-Allocators'!$C$24</f>
        <v>0.30680154907006396</v>
      </c>
      <c r="F101" s="265">
        <f>+E101*D101</f>
        <v>359709119.92162544</v>
      </c>
      <c r="G101" s="121">
        <f>$F101*'6-PlantJurisdiction'!E$85</f>
        <v>175031681.30446845</v>
      </c>
      <c r="H101" s="121">
        <f>$F101*'6-PlantJurisdiction'!F$85</f>
        <v>167954887.20165852</v>
      </c>
      <c r="J101" s="111"/>
      <c r="K101" s="111"/>
      <c r="L101" s="111"/>
      <c r="M101" s="111"/>
      <c r="N101" s="111"/>
      <c r="O101" s="111"/>
      <c r="P101" s="11"/>
      <c r="AD101" s="91">
        <f>A101</f>
        <v>500</v>
      </c>
    </row>
    <row r="102" spans="1:30">
      <c r="A102" s="91">
        <f>+A101+1</f>
        <v>501</v>
      </c>
      <c r="B102" s="378" t="s">
        <v>520</v>
      </c>
      <c r="C102" s="140">
        <f>'1-DRR Corrected'!$K$2</f>
        <v>2021</v>
      </c>
      <c r="D102" s="487">
        <v>1006714730.6500001</v>
      </c>
      <c r="E102" s="19">
        <f>'24-Allocators'!$C$24</f>
        <v>0.30680154907006396</v>
      </c>
      <c r="F102" s="388">
        <f>+E102*D102</f>
        <v>308861638.83507222</v>
      </c>
      <c r="G102" s="121">
        <f>$F102*'6-PlantJurisdiction'!E$85</f>
        <v>150289689.47891867</v>
      </c>
      <c r="H102" s="121">
        <f>$F102*'6-PlantJurisdiction'!F$85</f>
        <v>144213251.31474733</v>
      </c>
      <c r="I102" s="111"/>
      <c r="J102" s="111"/>
      <c r="K102" s="111"/>
      <c r="L102" s="384"/>
      <c r="M102" s="384"/>
      <c r="N102" s="384"/>
      <c r="O102" s="384"/>
      <c r="P102" s="384"/>
      <c r="AD102" s="91">
        <f>A102</f>
        <v>501</v>
      </c>
    </row>
    <row r="103" spans="1:30">
      <c r="A103" s="91">
        <f t="shared" ref="A103" si="14">A102+1</f>
        <v>502</v>
      </c>
      <c r="B103" s="488" t="s">
        <v>874</v>
      </c>
      <c r="C103" s="488"/>
      <c r="D103" s="489">
        <f>AVERAGE(D101:D102)</f>
        <v>1089581784.6799998</v>
      </c>
      <c r="E103" s="490"/>
      <c r="F103" s="386">
        <f>AVERAGE(F101:F102)</f>
        <v>334285379.37834883</v>
      </c>
      <c r="G103" s="489">
        <f>AVERAGE(G101:G102)</f>
        <v>162660685.39169356</v>
      </c>
      <c r="H103" s="489">
        <f>AVERAGE(H101:H102)</f>
        <v>156084069.25820291</v>
      </c>
      <c r="I103" s="11" t="str">
        <f>"(Line "&amp;$A101&amp;" + Line "&amp;$A102&amp;")/2"</f>
        <v>(Line 500 + Line 501)/2</v>
      </c>
      <c r="J103" s="11"/>
      <c r="K103" s="11"/>
      <c r="L103" s="11"/>
      <c r="M103" s="11"/>
      <c r="N103" s="11"/>
      <c r="O103" s="11"/>
      <c r="P103" s="11"/>
      <c r="AD103" s="91">
        <f>A103</f>
        <v>502</v>
      </c>
    </row>
    <row r="104" spans="1:30">
      <c r="A104" s="91"/>
      <c r="B104" s="378"/>
      <c r="C104" s="378"/>
      <c r="D104" s="11"/>
      <c r="E104" s="19"/>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D104" s="91"/>
    </row>
    <row r="105" spans="1:30">
      <c r="A105" s="91"/>
      <c r="B105" s="378"/>
      <c r="C105" s="378"/>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D105" s="91"/>
    </row>
    <row r="106" spans="1:30">
      <c r="B106" s="45" t="s">
        <v>972</v>
      </c>
      <c r="C106" s="45"/>
      <c r="D106" s="103"/>
      <c r="E106" s="103"/>
      <c r="F106" s="103"/>
      <c r="G106" s="103"/>
      <c r="H106" s="103"/>
      <c r="I106" s="103"/>
      <c r="J106" s="103"/>
      <c r="K106" s="103"/>
      <c r="L106" s="103"/>
      <c r="M106" s="43"/>
      <c r="N106" s="46"/>
      <c r="O106" s="46"/>
      <c r="P106" s="46"/>
      <c r="Q106" s="46"/>
      <c r="R106" s="46"/>
      <c r="S106" s="46"/>
      <c r="T106" s="46"/>
      <c r="U106" s="46"/>
      <c r="V106" s="46"/>
      <c r="W106" s="46"/>
      <c r="X106" s="46"/>
      <c r="Y106" s="46"/>
      <c r="Z106" s="46"/>
      <c r="AA106" s="46"/>
      <c r="AB106" s="46"/>
      <c r="AC106" s="43"/>
    </row>
    <row r="107" spans="1:30">
      <c r="A107" s="18"/>
      <c r="B107" s="741" t="s">
        <v>973</v>
      </c>
      <c r="C107" s="741"/>
      <c r="D107" s="741"/>
      <c r="E107" s="741"/>
      <c r="F107" s="741"/>
      <c r="G107" s="741"/>
      <c r="H107" s="741"/>
      <c r="I107" s="741"/>
      <c r="J107" s="741"/>
      <c r="K107" s="741"/>
      <c r="L107" s="741"/>
      <c r="M107" s="741"/>
      <c r="N107" s="741"/>
      <c r="O107" s="378"/>
      <c r="P107" s="378"/>
      <c r="Q107" s="378"/>
      <c r="R107" s="378"/>
      <c r="S107" s="378"/>
      <c r="T107" s="378"/>
      <c r="U107" s="378"/>
      <c r="V107" s="378"/>
      <c r="W107" s="378"/>
      <c r="X107" s="378"/>
      <c r="Y107" s="378"/>
      <c r="Z107" s="378"/>
      <c r="AA107" s="378"/>
      <c r="AB107" s="378"/>
      <c r="AC107" s="378"/>
      <c r="AD107" s="91"/>
    </row>
    <row r="108" spans="1:30">
      <c r="A108" s="18"/>
      <c r="B108" s="741"/>
      <c r="C108" s="741"/>
      <c r="D108" s="741"/>
      <c r="E108" s="741"/>
      <c r="F108" s="741"/>
      <c r="G108" s="741"/>
      <c r="H108" s="741"/>
      <c r="I108" s="741"/>
      <c r="J108" s="741"/>
      <c r="K108" s="741"/>
      <c r="L108" s="741"/>
      <c r="M108" s="741"/>
      <c r="N108" s="741"/>
      <c r="O108" s="378"/>
      <c r="P108" s="378"/>
      <c r="Q108" s="378"/>
      <c r="R108" s="378"/>
      <c r="S108" s="378"/>
      <c r="T108" s="378"/>
      <c r="U108" s="378"/>
      <c r="V108" s="378"/>
      <c r="W108" s="378"/>
      <c r="X108" s="378"/>
      <c r="Y108" s="378"/>
      <c r="Z108" s="378"/>
      <c r="AA108" s="378"/>
      <c r="AB108" s="378"/>
      <c r="AC108" s="91"/>
      <c r="AD108"/>
    </row>
    <row r="109" spans="1:30">
      <c r="A109" s="4"/>
      <c r="D109" s="83" t="s">
        <v>122</v>
      </c>
      <c r="E109" s="83" t="s">
        <v>123</v>
      </c>
      <c r="F109" s="83" t="s">
        <v>124</v>
      </c>
      <c r="G109" s="83" t="s">
        <v>125</v>
      </c>
      <c r="H109" s="83" t="s">
        <v>490</v>
      </c>
      <c r="J109" s="11"/>
      <c r="K109" s="11"/>
      <c r="L109" s="11"/>
      <c r="M109" s="11"/>
      <c r="N109" s="11"/>
      <c r="O109" s="11"/>
      <c r="P109" s="11"/>
      <c r="AC109" s="91"/>
      <c r="AD109"/>
    </row>
    <row r="110" spans="1:30" ht="43.5">
      <c r="B110" s="91"/>
      <c r="C110" s="91"/>
      <c r="D110" s="133" t="s">
        <v>497</v>
      </c>
      <c r="E110" s="387" t="str">
        <f>"24-Allocators, Line " &amp; '24-Allocators'!$A$23</f>
        <v>24-Allocators, Line 112</v>
      </c>
      <c r="F110" s="387" t="s">
        <v>877</v>
      </c>
      <c r="G110" s="133" t="s">
        <v>878</v>
      </c>
      <c r="H110" s="133" t="s">
        <v>879</v>
      </c>
      <c r="J110" s="11"/>
      <c r="K110" s="11"/>
      <c r="L110" s="11"/>
      <c r="M110" s="11"/>
      <c r="N110" s="11"/>
      <c r="O110" s="11"/>
      <c r="P110" s="11"/>
      <c r="AC110" s="91"/>
      <c r="AD110"/>
    </row>
    <row r="111" spans="1:30">
      <c r="B111" s="91"/>
      <c r="C111" s="91"/>
      <c r="D111" s="83"/>
      <c r="F111" s="100"/>
      <c r="H111" s="11"/>
      <c r="J111" s="11"/>
      <c r="K111" s="11"/>
      <c r="L111" s="11"/>
      <c r="M111" s="11"/>
      <c r="N111" s="11"/>
      <c r="O111" s="11"/>
      <c r="P111" s="11"/>
      <c r="AC111" s="91"/>
      <c r="AD111"/>
    </row>
    <row r="112" spans="1:30">
      <c r="B112" s="91"/>
      <c r="C112" s="91"/>
      <c r="D112" s="83"/>
      <c r="E112" s="4" t="s">
        <v>880</v>
      </c>
      <c r="F112" s="4" t="s">
        <v>881</v>
      </c>
      <c r="H112" s="11"/>
      <c r="J112" s="11"/>
      <c r="K112" s="11"/>
      <c r="L112" s="11"/>
      <c r="M112" s="11"/>
      <c r="N112" s="11"/>
      <c r="O112" s="11"/>
      <c r="P112" s="11"/>
      <c r="AC112" s="91"/>
      <c r="AD112"/>
    </row>
    <row r="113" spans="1:30">
      <c r="B113" s="91"/>
      <c r="C113" s="91"/>
      <c r="D113" s="84" t="s">
        <v>888</v>
      </c>
      <c r="E113" s="4" t="s">
        <v>737</v>
      </c>
      <c r="F113" s="4" t="s">
        <v>737</v>
      </c>
      <c r="G113" s="4" t="s">
        <v>505</v>
      </c>
      <c r="H113" s="4" t="s">
        <v>536</v>
      </c>
      <c r="J113" s="11"/>
      <c r="K113" s="11"/>
      <c r="L113" s="11"/>
      <c r="M113" s="11"/>
      <c r="N113" s="11"/>
      <c r="O113" s="11"/>
      <c r="P113" s="11"/>
      <c r="AC113" s="91"/>
      <c r="AD113"/>
    </row>
    <row r="114" spans="1:30">
      <c r="A114" s="80" t="s">
        <v>90</v>
      </c>
      <c r="B114" s="80" t="s">
        <v>511</v>
      </c>
      <c r="C114" s="80" t="s">
        <v>512</v>
      </c>
      <c r="D114" s="110" t="s">
        <v>883</v>
      </c>
      <c r="E114" s="110" t="s">
        <v>884</v>
      </c>
      <c r="F114" s="382" t="s">
        <v>885</v>
      </c>
      <c r="G114" s="3" t="s">
        <v>737</v>
      </c>
      <c r="H114" s="3" t="s">
        <v>737</v>
      </c>
      <c r="J114" s="11"/>
      <c r="K114" s="11"/>
      <c r="L114" s="11"/>
      <c r="M114" s="11"/>
      <c r="N114" s="11"/>
      <c r="O114" s="11"/>
      <c r="P114" s="11"/>
      <c r="AD114" s="80" t="str">
        <f>A114</f>
        <v>Line</v>
      </c>
    </row>
    <row r="115" spans="1:30">
      <c r="A115" s="91">
        <v>600</v>
      </c>
      <c r="B115" s="378" t="s">
        <v>520</v>
      </c>
      <c r="C115" s="140">
        <f>'1-DRR Corrected'!$K$2-1</f>
        <v>2020</v>
      </c>
      <c r="D115" s="272">
        <v>66401654.049999997</v>
      </c>
      <c r="E115" s="19">
        <f>'24-Allocators'!$C$23</f>
        <v>0.43638724816634106</v>
      </c>
      <c r="F115" s="265">
        <f>+E115*D115</f>
        <v>28976835.084572874</v>
      </c>
      <c r="G115" s="121">
        <f>$F115*'6-PlantJurisdiction'!E$85</f>
        <v>14099904.291668151</v>
      </c>
      <c r="H115" s="121">
        <f>$F115*'6-PlantJurisdiction'!F$85</f>
        <v>13529823.956509339</v>
      </c>
      <c r="J115" s="111"/>
      <c r="K115" s="111"/>
      <c r="L115" s="11"/>
      <c r="M115" s="11"/>
      <c r="N115" s="11"/>
      <c r="O115" s="11"/>
      <c r="P115" s="11"/>
      <c r="AD115" s="91">
        <f>A115</f>
        <v>600</v>
      </c>
    </row>
    <row r="116" spans="1:30">
      <c r="A116" s="91">
        <f>+A115+1</f>
        <v>601</v>
      </c>
      <c r="B116" s="383" t="s">
        <v>520</v>
      </c>
      <c r="C116" s="140">
        <f>'1-DRR Corrected'!$K$2</f>
        <v>2021</v>
      </c>
      <c r="D116" s="273">
        <v>77287812.320000008</v>
      </c>
      <c r="E116" s="19">
        <f>'24-Allocators'!$C$23</f>
        <v>0.43638724816634106</v>
      </c>
      <c r="F116" s="388">
        <f>+E116*D116</f>
        <v>33727415.735121436</v>
      </c>
      <c r="G116" s="121">
        <f>$F116*'6-PlantJurisdiction'!E$85</f>
        <v>16411500.168412006</v>
      </c>
      <c r="H116" s="121">
        <f>$F116*'6-PlantJurisdiction'!F$85</f>
        <v>15747958.535580091</v>
      </c>
      <c r="J116" s="111"/>
      <c r="K116" s="111"/>
      <c r="L116" s="11"/>
      <c r="M116" s="11"/>
      <c r="N116" s="11"/>
      <c r="O116" s="11"/>
      <c r="P116" s="11"/>
      <c r="AD116" s="91">
        <f>A116</f>
        <v>601</v>
      </c>
    </row>
    <row r="117" spans="1:30">
      <c r="A117" s="91">
        <f t="shared" ref="A117" si="15">A116+1</f>
        <v>602</v>
      </c>
      <c r="B117" s="385" t="s">
        <v>874</v>
      </c>
      <c r="C117" s="488"/>
      <c r="D117" s="386">
        <f>AVERAGE(D115:D116)</f>
        <v>71844733.185000002</v>
      </c>
      <c r="E117" s="490"/>
      <c r="F117" s="386">
        <f>AVERAGE(F115:F116)</f>
        <v>31352125.409847155</v>
      </c>
      <c r="G117" s="489">
        <f>AVERAGE(G115:G116)</f>
        <v>15255702.230040077</v>
      </c>
      <c r="H117" s="489">
        <f>AVERAGE(H115:H116)</f>
        <v>14638891.246044714</v>
      </c>
      <c r="I117" s="11" t="str">
        <f>"(Line "&amp;$A115&amp;" + Line "&amp;$A116&amp;")/2"</f>
        <v>(Line 600 + Line 601)/2</v>
      </c>
      <c r="J117" s="11"/>
      <c r="K117" s="11"/>
      <c r="L117" s="11"/>
      <c r="M117" s="11"/>
      <c r="N117" s="11"/>
      <c r="O117" s="11"/>
      <c r="P117" s="11"/>
      <c r="AD117" s="91">
        <f>A117</f>
        <v>602</v>
      </c>
    </row>
    <row r="118" spans="1:30">
      <c r="A118" s="91"/>
      <c r="B118" s="378"/>
      <c r="C118" s="378"/>
      <c r="D118" s="11"/>
      <c r="E118" s="19"/>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D118" s="91"/>
    </row>
    <row r="119" spans="1:30">
      <c r="A119" s="91"/>
      <c r="B119" s="378"/>
      <c r="C119" s="378"/>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D119" s="91"/>
    </row>
    <row r="120" spans="1:30" ht="15" customHeight="1">
      <c r="B120" s="45" t="s">
        <v>974</v>
      </c>
      <c r="C120" s="45"/>
      <c r="D120" s="103"/>
      <c r="E120" s="103"/>
      <c r="F120" s="103"/>
      <c r="G120" s="103"/>
      <c r="H120" s="103"/>
      <c r="I120" s="103"/>
      <c r="J120" s="103"/>
      <c r="K120" s="103"/>
      <c r="L120" s="103"/>
      <c r="M120" s="43"/>
      <c r="N120" s="43"/>
      <c r="O120" s="103"/>
      <c r="P120" s="103"/>
      <c r="Q120" s="103"/>
      <c r="R120" s="43"/>
      <c r="S120" s="43"/>
      <c r="T120" s="43"/>
      <c r="U120" s="43"/>
      <c r="V120" s="43"/>
      <c r="W120" s="43"/>
      <c r="X120" s="43"/>
      <c r="Y120" s="43"/>
      <c r="Z120" s="43"/>
      <c r="AA120" s="43"/>
      <c r="AB120" s="43"/>
      <c r="AC120" s="43"/>
    </row>
    <row r="121" spans="1:30">
      <c r="A121" s="18"/>
      <c r="B121" s="378" t="s">
        <v>975</v>
      </c>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91"/>
    </row>
    <row r="122" spans="1:30">
      <c r="A122" s="18"/>
      <c r="C122" s="8"/>
      <c r="D122" s="8"/>
      <c r="E122" s="8"/>
      <c r="F122" s="8"/>
      <c r="G122" s="8"/>
      <c r="H122" s="8"/>
      <c r="I122" s="8"/>
      <c r="J122" s="8"/>
      <c r="K122" s="8"/>
      <c r="L122" s="8"/>
      <c r="M122" s="8"/>
      <c r="N122" s="8"/>
      <c r="O122" s="8"/>
      <c r="P122" s="8"/>
      <c r="Q122" s="8"/>
      <c r="AD122" s="91"/>
    </row>
    <row r="123" spans="1:30">
      <c r="A123" s="4"/>
      <c r="D123" s="83" t="s">
        <v>122</v>
      </c>
      <c r="E123" s="83" t="s">
        <v>123</v>
      </c>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D123" s="91"/>
    </row>
    <row r="124" spans="1:30" ht="29">
      <c r="B124" s="91"/>
      <c r="C124" s="91"/>
      <c r="D124" s="133" t="s">
        <v>891</v>
      </c>
      <c r="E124" s="133" t="s">
        <v>891</v>
      </c>
      <c r="F124" s="133"/>
      <c r="AD124" s="91"/>
    </row>
    <row r="125" spans="1:30">
      <c r="B125" s="91"/>
      <c r="C125" s="91"/>
      <c r="D125" s="84"/>
      <c r="AC125" s="91"/>
      <c r="AD125"/>
    </row>
    <row r="126" spans="1:30">
      <c r="B126" s="91"/>
      <c r="C126" s="91"/>
      <c r="D126" s="4" t="s">
        <v>505</v>
      </c>
      <c r="E126" s="4" t="s">
        <v>536</v>
      </c>
      <c r="AC126" s="91"/>
      <c r="AD126"/>
    </row>
    <row r="127" spans="1:30">
      <c r="A127" s="80" t="s">
        <v>90</v>
      </c>
      <c r="B127" s="80" t="s">
        <v>511</v>
      </c>
      <c r="C127" s="80" t="s">
        <v>512</v>
      </c>
      <c r="D127" s="3" t="s">
        <v>737</v>
      </c>
      <c r="E127" s="3" t="s">
        <v>737</v>
      </c>
      <c r="F127" s="83"/>
      <c r="G127" s="83"/>
      <c r="H127" s="83"/>
      <c r="I127" s="83"/>
      <c r="J127" s="83"/>
      <c r="K127" s="83"/>
      <c r="L127" s="83"/>
      <c r="M127" s="83"/>
      <c r="N127" s="83"/>
      <c r="O127" s="83"/>
      <c r="P127" s="83"/>
      <c r="Q127" s="80"/>
      <c r="R127" s="80"/>
      <c r="S127" s="80"/>
      <c r="T127" s="80"/>
      <c r="U127" s="80"/>
      <c r="V127" s="80"/>
      <c r="W127" s="80"/>
      <c r="X127" s="80"/>
      <c r="Y127" s="80"/>
      <c r="Z127" s="80"/>
      <c r="AA127" s="80"/>
      <c r="AD127" s="80" t="str">
        <f>A127</f>
        <v>Line</v>
      </c>
    </row>
    <row r="128" spans="1:30">
      <c r="A128" s="91">
        <v>700</v>
      </c>
      <c r="B128" s="378" t="s">
        <v>520</v>
      </c>
      <c r="C128" s="140">
        <f>'1-DRR Corrected'!$K$2-1</f>
        <v>2020</v>
      </c>
      <c r="D128" s="121">
        <f>E87+G101+G115</f>
        <v>393014988.06189001</v>
      </c>
      <c r="E128" s="121">
        <f>F87+H101+H115</f>
        <v>377124801.04486513</v>
      </c>
      <c r="F128" s="83"/>
      <c r="G128" s="111"/>
      <c r="H128" s="111"/>
      <c r="I128" s="111"/>
      <c r="J128" s="111"/>
      <c r="K128" s="111"/>
      <c r="L128" s="111"/>
      <c r="M128" s="111"/>
      <c r="N128" s="111"/>
      <c r="O128" s="111"/>
      <c r="P128" s="111"/>
      <c r="Q128" s="11"/>
      <c r="R128" s="11"/>
      <c r="S128" s="11"/>
      <c r="T128" s="11"/>
      <c r="U128" s="11"/>
      <c r="V128" s="11"/>
      <c r="W128" s="11"/>
      <c r="X128" s="11"/>
      <c r="Y128" s="11"/>
      <c r="Z128" s="11"/>
      <c r="AA128" s="11"/>
      <c r="AD128" s="91">
        <f>A128</f>
        <v>700</v>
      </c>
    </row>
    <row r="129" spans="1:30">
      <c r="A129" s="91">
        <f>+A128+1</f>
        <v>701</v>
      </c>
      <c r="B129" s="378" t="s">
        <v>520</v>
      </c>
      <c r="C129" s="140">
        <f>'1-DRR Corrected'!$K$2</f>
        <v>2021</v>
      </c>
      <c r="D129" s="121">
        <f>E88+G102+G116</f>
        <v>378343044.1269086</v>
      </c>
      <c r="E129" s="121">
        <f>F88+H102+H116</f>
        <v>363046065.86810404</v>
      </c>
      <c r="F129" s="111" t="s">
        <v>976</v>
      </c>
      <c r="G129" s="384"/>
      <c r="H129" s="384"/>
      <c r="I129" s="384"/>
      <c r="J129" s="384"/>
      <c r="K129" s="384"/>
      <c r="L129" s="384"/>
      <c r="M129" s="384"/>
      <c r="N129" s="384"/>
      <c r="O129" s="384"/>
      <c r="P129" s="384"/>
      <c r="Q129" s="384"/>
      <c r="R129" s="384"/>
      <c r="S129" s="384"/>
      <c r="T129" s="384"/>
      <c r="U129" s="384"/>
      <c r="V129" s="384"/>
      <c r="W129" s="384"/>
      <c r="X129" s="384"/>
      <c r="Y129" s="384"/>
      <c r="Z129" s="384"/>
      <c r="AA129" s="384"/>
      <c r="AD129" s="91">
        <f>A129</f>
        <v>701</v>
      </c>
    </row>
    <row r="130" spans="1:30">
      <c r="A130" s="91">
        <f t="shared" ref="A130" si="16">A129+1</f>
        <v>702</v>
      </c>
      <c r="B130" s="488" t="s">
        <v>874</v>
      </c>
      <c r="C130" s="488"/>
      <c r="D130" s="489">
        <f>AVERAGE(D128:D129)</f>
        <v>385679016.09439933</v>
      </c>
      <c r="E130" s="489">
        <f>AVERAGE(E128:E129)</f>
        <v>370085433.45648456</v>
      </c>
      <c r="F130" s="11" t="str">
        <f>"(Line "&amp;$A128&amp;" + Line "&amp;$A129&amp;")/2"</f>
        <v>(Line 700 + Line 701)/2</v>
      </c>
      <c r="G130" s="11"/>
      <c r="H130" s="11"/>
      <c r="I130" s="11"/>
      <c r="J130" s="11"/>
      <c r="K130" s="11"/>
      <c r="L130" s="11"/>
      <c r="M130" s="11"/>
      <c r="N130" s="11"/>
      <c r="O130" s="11"/>
      <c r="P130" s="11"/>
      <c r="Q130" s="11"/>
      <c r="R130" s="11"/>
      <c r="S130" s="11"/>
      <c r="T130" s="11"/>
      <c r="U130" s="11"/>
      <c r="V130" s="11"/>
      <c r="W130" s="11"/>
      <c r="X130" s="11"/>
      <c r="Y130" s="11"/>
      <c r="Z130" s="11"/>
      <c r="AA130" s="11"/>
      <c r="AD130" s="91">
        <f>A130</f>
        <v>702</v>
      </c>
    </row>
    <row r="131" spans="1:30">
      <c r="A131" s="91"/>
      <c r="B131" s="381"/>
      <c r="C131" s="38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30">
      <c r="A132" s="91"/>
      <c r="C132" s="38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30">
      <c r="B133" s="7" t="s">
        <v>674</v>
      </c>
      <c r="C133" s="385"/>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30">
      <c r="B134" s="8" t="s">
        <v>977</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30">
      <c r="A135" s="91"/>
      <c r="B135" s="8" t="s">
        <v>978</v>
      </c>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30">
      <c r="B136" s="8" t="s">
        <v>979</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30">
      <c r="B137" s="8" t="s">
        <v>763</v>
      </c>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30">
      <c r="B138" s="91"/>
      <c r="C138" s="91"/>
      <c r="D138" s="11"/>
      <c r="E138" s="11"/>
      <c r="F138" s="83"/>
      <c r="G138" s="83"/>
      <c r="L138" s="8"/>
      <c r="M138" s="8"/>
      <c r="P138" s="8"/>
      <c r="Q138" s="8"/>
    </row>
  </sheetData>
  <mergeCells count="2">
    <mergeCell ref="B93:N94"/>
    <mergeCell ref="B107:N108"/>
  </mergeCells>
  <printOptions horizontalCentered="1"/>
  <pageMargins left="1" right="1" top="1" bottom="1" header="0.5" footer="0.5"/>
  <pageSetup scale="21" orientation="landscape" r:id="rId1"/>
  <headerFooter>
    <oddHeader>&amp;RDocket No. ER20-2878-000, et al.- Annual Update RY2024
&amp;F</oddHeader>
  </headerFooter>
  <rowBreaks count="2" manualBreakCount="2">
    <brk id="51" max="17" man="1"/>
    <brk id="90" max="29" man="1"/>
  </rowBreaks>
  <customProperties>
    <customPr name="_pios_id" r:id="rId2"/>
  </customProperties>
  <ignoredErrors>
    <ignoredError sqref="AC13:AC25"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B971B-391B-44F5-8E13-F5A3681FE514}">
  <sheetPr>
    <tabColor rgb="FFFF0000"/>
    <pageSetUpPr fitToPage="1"/>
  </sheetPr>
  <dimension ref="A1:AG138"/>
  <sheetViews>
    <sheetView view="pageBreakPreview" topLeftCell="A58" zoomScale="25" zoomScaleNormal="90" zoomScaleSheetLayoutView="25" zoomScalePageLayoutView="70" workbookViewId="0">
      <selection activeCell="W98" sqref="W98"/>
    </sheetView>
  </sheetViews>
  <sheetFormatPr defaultColWidth="8.81640625" defaultRowHeight="14.5"/>
  <cols>
    <col min="1" max="1" width="4.7265625" style="21" bestFit="1" customWidth="1"/>
    <col min="2" max="2" width="14" customWidth="1"/>
    <col min="3" max="3" width="14.453125" customWidth="1"/>
    <col min="4" max="4" width="17.81640625" customWidth="1"/>
    <col min="5" max="5" width="23" customWidth="1"/>
    <col min="6" max="6" width="20.453125" customWidth="1"/>
    <col min="7" max="7" width="21.1796875" customWidth="1"/>
    <col min="8" max="9" width="22" customWidth="1"/>
    <col min="10" max="29" width="17.81640625" customWidth="1"/>
    <col min="30" max="30" width="4.7265625" style="21" bestFit="1" customWidth="1"/>
    <col min="31" max="31" width="16.453125" customWidth="1"/>
    <col min="32" max="32" width="18.81640625" bestFit="1" customWidth="1"/>
    <col min="33" max="33" width="12.1796875" bestFit="1" customWidth="1"/>
  </cols>
  <sheetData>
    <row r="1" spans="1:33">
      <c r="B1" s="2" t="s">
        <v>959</v>
      </c>
      <c r="C1" s="2"/>
      <c r="H1" s="101"/>
      <c r="N1" s="8"/>
      <c r="AC1" s="6" t="s">
        <v>384</v>
      </c>
    </row>
    <row r="2" spans="1:33">
      <c r="B2" s="78" t="s">
        <v>120</v>
      </c>
      <c r="C2" s="38"/>
      <c r="N2" s="8"/>
      <c r="AC2" s="4"/>
    </row>
    <row r="3" spans="1:33">
      <c r="A3" s="80"/>
      <c r="B3" s="105"/>
      <c r="AD3" s="80"/>
    </row>
    <row r="4" spans="1:33">
      <c r="B4" s="45" t="s">
        <v>960</v>
      </c>
      <c r="C4" s="45"/>
      <c r="D4" s="43"/>
      <c r="E4" s="43"/>
      <c r="F4" s="43"/>
      <c r="G4" s="43"/>
      <c r="H4" s="43"/>
      <c r="I4" s="43"/>
      <c r="J4" s="43"/>
      <c r="K4" s="43"/>
      <c r="L4" s="43"/>
      <c r="M4" s="43"/>
      <c r="N4" s="43"/>
      <c r="O4" s="43"/>
      <c r="P4" s="43"/>
      <c r="Q4" s="43"/>
      <c r="R4" s="43"/>
      <c r="S4" s="43"/>
      <c r="T4" s="43"/>
      <c r="U4" s="43"/>
      <c r="V4" s="43"/>
      <c r="W4" s="43"/>
      <c r="X4" s="43"/>
      <c r="Y4" s="43"/>
      <c r="Z4" s="43"/>
      <c r="AA4" s="43"/>
      <c r="AB4" s="43"/>
      <c r="AC4" s="43"/>
    </row>
    <row r="5" spans="1:33">
      <c r="A5" s="4"/>
      <c r="B5" s="378" t="s">
        <v>961</v>
      </c>
      <c r="C5" s="8"/>
      <c r="M5" s="8"/>
      <c r="N5" s="21"/>
      <c r="O5" s="379"/>
    </row>
    <row r="6" spans="1:33">
      <c r="A6" s="4"/>
      <c r="B6" s="378" t="s">
        <v>962</v>
      </c>
      <c r="C6" s="8"/>
      <c r="M6" s="8"/>
      <c r="N6" s="21"/>
      <c r="O6" s="379"/>
    </row>
    <row r="7" spans="1:33">
      <c r="A7" s="4"/>
      <c r="B7" s="378"/>
      <c r="C7" s="8"/>
      <c r="M7" s="8"/>
      <c r="N7" s="21"/>
      <c r="O7" s="379"/>
    </row>
    <row r="8" spans="1:33">
      <c r="A8" s="4"/>
      <c r="D8" s="83" t="s">
        <v>122</v>
      </c>
      <c r="E8" s="83" t="s">
        <v>123</v>
      </c>
      <c r="F8" s="83" t="s">
        <v>124</v>
      </c>
      <c r="G8" s="83" t="s">
        <v>125</v>
      </c>
      <c r="H8" s="83" t="s">
        <v>490</v>
      </c>
      <c r="I8" s="83" t="s">
        <v>491</v>
      </c>
      <c r="J8" s="83" t="s">
        <v>492</v>
      </c>
      <c r="K8" s="83" t="s">
        <v>493</v>
      </c>
      <c r="L8" s="83" t="s">
        <v>494</v>
      </c>
      <c r="M8" s="83" t="s">
        <v>768</v>
      </c>
      <c r="N8" s="83" t="s">
        <v>769</v>
      </c>
      <c r="O8" s="83" t="s">
        <v>770</v>
      </c>
      <c r="P8" s="83" t="s">
        <v>771</v>
      </c>
      <c r="Q8" s="83" t="s">
        <v>772</v>
      </c>
      <c r="R8" s="83" t="s">
        <v>773</v>
      </c>
      <c r="S8" s="83" t="s">
        <v>774</v>
      </c>
      <c r="T8" s="83" t="s">
        <v>775</v>
      </c>
      <c r="U8" s="83" t="s">
        <v>776</v>
      </c>
      <c r="V8" s="83" t="s">
        <v>777</v>
      </c>
      <c r="W8" s="83" t="s">
        <v>778</v>
      </c>
      <c r="X8" s="83" t="s">
        <v>779</v>
      </c>
      <c r="Y8" s="83" t="s">
        <v>780</v>
      </c>
      <c r="Z8" s="83" t="s">
        <v>781</v>
      </c>
      <c r="AA8" s="83" t="s">
        <v>782</v>
      </c>
      <c r="AB8" s="83" t="s">
        <v>783</v>
      </c>
      <c r="AC8" s="83" t="s">
        <v>784</v>
      </c>
    </row>
    <row r="9" spans="1:33">
      <c r="B9" s="4"/>
      <c r="C9" s="4"/>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133" t="s">
        <v>785</v>
      </c>
    </row>
    <row r="10" spans="1:33">
      <c r="B10" s="4"/>
      <c r="C10" s="4"/>
      <c r="L10" s="107"/>
      <c r="R10" s="21"/>
      <c r="S10" s="21"/>
      <c r="T10" s="21"/>
      <c r="AC10" s="21"/>
    </row>
    <row r="11" spans="1:33">
      <c r="C11" s="90" t="s">
        <v>786</v>
      </c>
      <c r="D11" s="84">
        <v>360</v>
      </c>
      <c r="E11" s="84">
        <v>360</v>
      </c>
      <c r="F11" s="84">
        <v>361</v>
      </c>
      <c r="G11" s="84">
        <v>361</v>
      </c>
      <c r="H11" s="84">
        <v>362</v>
      </c>
      <c r="I11" s="84">
        <v>363</v>
      </c>
      <c r="J11" s="84">
        <v>363</v>
      </c>
      <c r="K11" s="84">
        <v>364</v>
      </c>
      <c r="L11" s="84">
        <v>365</v>
      </c>
      <c r="M11" s="84">
        <v>366</v>
      </c>
      <c r="N11" s="84">
        <v>367</v>
      </c>
      <c r="O11" s="84">
        <v>368</v>
      </c>
      <c r="P11" s="84">
        <v>368</v>
      </c>
      <c r="Q11" s="84">
        <v>369</v>
      </c>
      <c r="R11" s="84">
        <v>369</v>
      </c>
      <c r="S11" s="84">
        <v>370</v>
      </c>
      <c r="T11" s="84">
        <v>370</v>
      </c>
      <c r="U11" s="84">
        <v>371</v>
      </c>
      <c r="V11" s="84">
        <v>371</v>
      </c>
      <c r="W11" s="84">
        <v>371</v>
      </c>
      <c r="X11" s="84">
        <v>372</v>
      </c>
      <c r="Y11" s="84">
        <v>373</v>
      </c>
      <c r="Z11" s="84">
        <v>373</v>
      </c>
      <c r="AA11" s="84">
        <v>373</v>
      </c>
      <c r="AB11" s="84">
        <v>373</v>
      </c>
    </row>
    <row r="12" spans="1:33">
      <c r="A12" s="80" t="s">
        <v>90</v>
      </c>
      <c r="B12" s="80" t="s">
        <v>511</v>
      </c>
      <c r="C12" s="80" t="s">
        <v>512</v>
      </c>
      <c r="D12" s="83" t="s">
        <v>787</v>
      </c>
      <c r="E12" s="83" t="s">
        <v>788</v>
      </c>
      <c r="F12" s="83" t="s">
        <v>789</v>
      </c>
      <c r="G12" s="83" t="s">
        <v>790</v>
      </c>
      <c r="H12" s="83" t="s">
        <v>791</v>
      </c>
      <c r="I12" s="83" t="s">
        <v>792</v>
      </c>
      <c r="J12" s="83" t="s">
        <v>793</v>
      </c>
      <c r="K12" s="83" t="s">
        <v>794</v>
      </c>
      <c r="L12" s="83" t="s">
        <v>795</v>
      </c>
      <c r="M12" s="83" t="s">
        <v>796</v>
      </c>
      <c r="N12" s="83" t="s">
        <v>797</v>
      </c>
      <c r="O12" s="83" t="s">
        <v>798</v>
      </c>
      <c r="P12" s="83" t="s">
        <v>799</v>
      </c>
      <c r="Q12" s="83" t="s">
        <v>800</v>
      </c>
      <c r="R12" s="83" t="s">
        <v>801</v>
      </c>
      <c r="S12" s="83" t="s">
        <v>802</v>
      </c>
      <c r="T12" s="83" t="s">
        <v>803</v>
      </c>
      <c r="U12" s="83" t="s">
        <v>804</v>
      </c>
      <c r="V12" s="83" t="s">
        <v>805</v>
      </c>
      <c r="W12" s="83" t="s">
        <v>806</v>
      </c>
      <c r="X12" s="83" t="s">
        <v>807</v>
      </c>
      <c r="Y12" s="83" t="s">
        <v>808</v>
      </c>
      <c r="Z12" s="83" t="s">
        <v>809</v>
      </c>
      <c r="AA12" s="83" t="s">
        <v>810</v>
      </c>
      <c r="AB12" s="83" t="s">
        <v>811</v>
      </c>
      <c r="AC12" s="80" t="s">
        <v>534</v>
      </c>
      <c r="AD12" s="80" t="s">
        <v>90</v>
      </c>
    </row>
    <row r="13" spans="1:33">
      <c r="A13" s="91">
        <v>100</v>
      </c>
      <c r="B13" s="378" t="s">
        <v>520</v>
      </c>
      <c r="C13" s="140">
        <v>2020</v>
      </c>
      <c r="D13" s="272">
        <v>22.389999999999979</v>
      </c>
      <c r="E13" s="272">
        <v>14845795.380000003</v>
      </c>
      <c r="F13" s="272">
        <v>111278185.31000006</v>
      </c>
      <c r="G13" s="272">
        <v>10674465.230000004</v>
      </c>
      <c r="H13" s="272">
        <v>1132892113.4000032</v>
      </c>
      <c r="I13" s="272">
        <v>629292.68000000005</v>
      </c>
      <c r="J13" s="272">
        <v>14827148.080000002</v>
      </c>
      <c r="K13" s="272">
        <v>2705255004.2800016</v>
      </c>
      <c r="L13" s="272">
        <v>2789614508.7900033</v>
      </c>
      <c r="M13" s="272">
        <v>1233360864.8699989</v>
      </c>
      <c r="N13" s="272">
        <v>2893695675.3300042</v>
      </c>
      <c r="O13" s="272">
        <v>1006636449.2200009</v>
      </c>
      <c r="P13" s="272">
        <v>356273171.3300001</v>
      </c>
      <c r="Q13" s="272">
        <v>751224092.45000112</v>
      </c>
      <c r="R13" s="272">
        <v>1613948215.6699991</v>
      </c>
      <c r="S13" s="271">
        <v>-51401096.150000006</v>
      </c>
      <c r="T13" s="271">
        <v>413940256.84000003</v>
      </c>
      <c r="U13" s="271">
        <v>31965922.410000004</v>
      </c>
      <c r="V13" s="271">
        <v>910.61000000000024</v>
      </c>
      <c r="W13" s="271">
        <v>125608.05999999998</v>
      </c>
      <c r="X13" s="271">
        <v>970063.41</v>
      </c>
      <c r="Y13" s="271">
        <v>12090599.510000004</v>
      </c>
      <c r="Z13" s="271">
        <v>27214816.330000002</v>
      </c>
      <c r="AA13" s="271">
        <v>92350742.079999968</v>
      </c>
      <c r="AB13" s="271">
        <v>37418253.180000015</v>
      </c>
      <c r="AC13" s="24">
        <v>15199831080.690012</v>
      </c>
      <c r="AD13" s="91">
        <v>100</v>
      </c>
      <c r="AF13" s="24"/>
      <c r="AG13" s="24"/>
    </row>
    <row r="14" spans="1:33">
      <c r="A14" s="91">
        <v>101</v>
      </c>
      <c r="B14" s="378" t="s">
        <v>522</v>
      </c>
      <c r="C14" s="140">
        <v>2021</v>
      </c>
      <c r="D14" s="272">
        <v>22.429999999999961</v>
      </c>
      <c r="E14" s="272">
        <v>15165532.990000011</v>
      </c>
      <c r="F14" s="272">
        <v>111580593.79000008</v>
      </c>
      <c r="G14" s="272">
        <v>10659298.489999996</v>
      </c>
      <c r="H14" s="272">
        <v>1131379858.2200007</v>
      </c>
      <c r="I14" s="272">
        <v>635537.76999999979</v>
      </c>
      <c r="J14" s="272">
        <v>15006811.799999999</v>
      </c>
      <c r="K14" s="272">
        <v>2729621864.5799994</v>
      </c>
      <c r="L14" s="272">
        <v>2800307999.039999</v>
      </c>
      <c r="M14" s="272">
        <v>1238828944.8200004</v>
      </c>
      <c r="N14" s="272">
        <v>2905423285.3000026</v>
      </c>
      <c r="O14" s="272">
        <v>1012167591.9200001</v>
      </c>
      <c r="P14" s="272">
        <v>359446480.3300001</v>
      </c>
      <c r="Q14" s="272">
        <v>754211892.03000069</v>
      </c>
      <c r="R14" s="272">
        <v>1619896785.6499987</v>
      </c>
      <c r="S14" s="271">
        <v>-51122443.439999998</v>
      </c>
      <c r="T14" s="271">
        <v>406377212.11000013</v>
      </c>
      <c r="U14" s="271">
        <v>31965922.52</v>
      </c>
      <c r="V14" s="271">
        <v>954.1</v>
      </c>
      <c r="W14" s="271">
        <v>131514.64000000001</v>
      </c>
      <c r="X14" s="271">
        <v>970063.38</v>
      </c>
      <c r="Y14" s="271">
        <v>12122151.209999993</v>
      </c>
      <c r="Z14" s="271">
        <v>27346369.970000003</v>
      </c>
      <c r="AA14" s="271">
        <v>92661381.649999976</v>
      </c>
      <c r="AB14" s="271">
        <v>37590715.900000013</v>
      </c>
      <c r="AC14" s="24">
        <v>15262376341.199997</v>
      </c>
      <c r="AD14" s="91">
        <v>101</v>
      </c>
      <c r="AF14" s="24"/>
    </row>
    <row r="15" spans="1:33">
      <c r="A15" s="91">
        <v>102</v>
      </c>
      <c r="B15" s="378" t="s">
        <v>523</v>
      </c>
      <c r="C15" s="140">
        <v>2021</v>
      </c>
      <c r="D15" s="272">
        <v>22.419999999999941</v>
      </c>
      <c r="E15" s="272">
        <v>15485303.539999997</v>
      </c>
      <c r="F15" s="272">
        <v>111844664.45999998</v>
      </c>
      <c r="G15" s="272">
        <v>10712023.909999995</v>
      </c>
      <c r="H15" s="272">
        <v>1137539005.9199982</v>
      </c>
      <c r="I15" s="272">
        <v>642539.53000000014</v>
      </c>
      <c r="J15" s="272">
        <v>15172622.4</v>
      </c>
      <c r="K15" s="272">
        <v>2752670776.6499953</v>
      </c>
      <c r="L15" s="272">
        <v>2809965551.7200007</v>
      </c>
      <c r="M15" s="272">
        <v>1245283866.0399995</v>
      </c>
      <c r="N15" s="272">
        <v>2919314995.0899978</v>
      </c>
      <c r="O15" s="272">
        <v>1018910363.1399995</v>
      </c>
      <c r="P15" s="272">
        <v>362424553.52999991</v>
      </c>
      <c r="Q15" s="272">
        <v>757204897.70999992</v>
      </c>
      <c r="R15" s="272">
        <v>1623959984.5400012</v>
      </c>
      <c r="S15" s="271">
        <v>-50823158.410000004</v>
      </c>
      <c r="T15" s="271">
        <v>411738504.32000017</v>
      </c>
      <c r="U15" s="271">
        <v>31965922.350000001</v>
      </c>
      <c r="V15" s="271">
        <v>997.59</v>
      </c>
      <c r="W15" s="271">
        <v>137492.47000000003</v>
      </c>
      <c r="X15" s="271">
        <v>970063.37000000011</v>
      </c>
      <c r="Y15" s="271">
        <v>12160841.380000006</v>
      </c>
      <c r="Z15" s="271">
        <v>27469203.469999991</v>
      </c>
      <c r="AA15" s="271">
        <v>92965946.319999993</v>
      </c>
      <c r="AB15" s="271">
        <v>37784439.379999988</v>
      </c>
      <c r="AC15" s="24">
        <v>15345501422.839989</v>
      </c>
      <c r="AD15" s="91">
        <v>102</v>
      </c>
      <c r="AF15" s="24"/>
    </row>
    <row r="16" spans="1:33">
      <c r="A16" s="91">
        <v>103</v>
      </c>
      <c r="B16" s="378" t="s">
        <v>524</v>
      </c>
      <c r="C16" s="140">
        <v>2021</v>
      </c>
      <c r="D16" s="272">
        <v>22.269999999999964</v>
      </c>
      <c r="E16" s="272">
        <v>15805143.989999998</v>
      </c>
      <c r="F16" s="272">
        <v>112138871.92999995</v>
      </c>
      <c r="G16" s="272">
        <v>10647725.149999995</v>
      </c>
      <c r="H16" s="272">
        <v>1145016323.7000015</v>
      </c>
      <c r="I16" s="272">
        <v>649614.03</v>
      </c>
      <c r="J16" s="272">
        <v>15338434.4</v>
      </c>
      <c r="K16" s="272">
        <v>2767912867.429997</v>
      </c>
      <c r="L16" s="272">
        <v>2813852954.2500029</v>
      </c>
      <c r="M16" s="272">
        <v>1251306280.7299988</v>
      </c>
      <c r="N16" s="272">
        <v>2938201048.1499972</v>
      </c>
      <c r="O16" s="272">
        <v>1023152389.4799995</v>
      </c>
      <c r="P16" s="272">
        <v>365035614.32999986</v>
      </c>
      <c r="Q16" s="272">
        <v>759752889.91000009</v>
      </c>
      <c r="R16" s="272">
        <v>1629927011.7300005</v>
      </c>
      <c r="S16" s="271">
        <v>-50535637.460000008</v>
      </c>
      <c r="T16" s="271">
        <v>416958766.37</v>
      </c>
      <c r="U16" s="271">
        <v>31965922.169999998</v>
      </c>
      <c r="V16" s="271">
        <v>1041.08</v>
      </c>
      <c r="W16" s="271">
        <v>143591.85999999999</v>
      </c>
      <c r="X16" s="271">
        <v>970063.53</v>
      </c>
      <c r="Y16" s="271">
        <v>12198358.599999998</v>
      </c>
      <c r="Z16" s="271">
        <v>27537544.259999998</v>
      </c>
      <c r="AA16" s="271">
        <v>93274103.039999962</v>
      </c>
      <c r="AB16" s="271">
        <v>37959576.910000011</v>
      </c>
      <c r="AC16" s="24">
        <v>15419210521.84</v>
      </c>
      <c r="AD16" s="91">
        <v>103</v>
      </c>
      <c r="AF16" s="24"/>
    </row>
    <row r="17" spans="1:33">
      <c r="A17" s="91">
        <v>104</v>
      </c>
      <c r="B17" s="378" t="s">
        <v>525</v>
      </c>
      <c r="C17" s="140">
        <v>2021</v>
      </c>
      <c r="D17" s="272">
        <v>22.389999999999993</v>
      </c>
      <c r="E17" s="272">
        <v>16124984.459999997</v>
      </c>
      <c r="F17" s="272">
        <v>112415199.97000015</v>
      </c>
      <c r="G17" s="272">
        <v>10704504.069999998</v>
      </c>
      <c r="H17" s="272">
        <v>1149783421.2900002</v>
      </c>
      <c r="I17" s="272">
        <v>656795</v>
      </c>
      <c r="J17" s="272">
        <v>15504245.060000001</v>
      </c>
      <c r="K17" s="272">
        <v>2788079368.4400001</v>
      </c>
      <c r="L17" s="272">
        <v>2819258624.5400009</v>
      </c>
      <c r="M17" s="272">
        <v>1257478844.2900004</v>
      </c>
      <c r="N17" s="272">
        <v>2950001504.73</v>
      </c>
      <c r="O17" s="272">
        <v>1028299270.0899994</v>
      </c>
      <c r="P17" s="272">
        <v>367755618.94000012</v>
      </c>
      <c r="Q17" s="272">
        <v>762577996.21000147</v>
      </c>
      <c r="R17" s="272">
        <v>1635707976.0099988</v>
      </c>
      <c r="S17" s="271">
        <v>-50273136.099999994</v>
      </c>
      <c r="T17" s="271">
        <v>422630103.51000023</v>
      </c>
      <c r="U17" s="271">
        <v>31965922.379999999</v>
      </c>
      <c r="V17" s="271">
        <v>1126.31</v>
      </c>
      <c r="W17" s="271">
        <v>154191.34</v>
      </c>
      <c r="X17" s="271">
        <v>970063.42000000016</v>
      </c>
      <c r="Y17" s="271">
        <v>12231214.499999994</v>
      </c>
      <c r="Z17" s="271">
        <v>27647933.389999982</v>
      </c>
      <c r="AA17" s="271">
        <v>93588186.220000029</v>
      </c>
      <c r="AB17" s="271">
        <v>38127817.019999988</v>
      </c>
      <c r="AC17" s="24">
        <v>15491391797.48</v>
      </c>
      <c r="AD17" s="91">
        <v>104</v>
      </c>
      <c r="AF17" s="24"/>
    </row>
    <row r="18" spans="1:33">
      <c r="A18" s="91">
        <v>105</v>
      </c>
      <c r="B18" s="378" t="s">
        <v>526</v>
      </c>
      <c r="C18" s="140">
        <v>2021</v>
      </c>
      <c r="D18" s="272">
        <v>-47717.369999999995</v>
      </c>
      <c r="E18" s="272">
        <v>16444820.530000001</v>
      </c>
      <c r="F18" s="272">
        <v>112737625.5800001</v>
      </c>
      <c r="G18" s="272">
        <v>10760759.169999996</v>
      </c>
      <c r="H18" s="272">
        <v>1155575826.7199996</v>
      </c>
      <c r="I18" s="272">
        <v>664001.86</v>
      </c>
      <c r="J18" s="272">
        <v>15671076.77</v>
      </c>
      <c r="K18" s="272">
        <v>2808564435.7199926</v>
      </c>
      <c r="L18" s="272">
        <v>2824086081.750001</v>
      </c>
      <c r="M18" s="272">
        <v>1263221206.4699993</v>
      </c>
      <c r="N18" s="272">
        <v>2961175256.7699986</v>
      </c>
      <c r="O18" s="272">
        <v>1032237163.6999995</v>
      </c>
      <c r="P18" s="272">
        <v>370707821.55000013</v>
      </c>
      <c r="Q18" s="272">
        <v>765315345.13999951</v>
      </c>
      <c r="R18" s="272">
        <v>1640955239.4599981</v>
      </c>
      <c r="S18" s="271">
        <v>-49974321.970000014</v>
      </c>
      <c r="T18" s="271">
        <v>428373090.06999975</v>
      </c>
      <c r="U18" s="271">
        <v>31965922.800000001</v>
      </c>
      <c r="V18" s="271">
        <v>1211.54</v>
      </c>
      <c r="W18" s="271">
        <v>164825.39000000001</v>
      </c>
      <c r="X18" s="271">
        <v>970063.4</v>
      </c>
      <c r="Y18" s="271">
        <v>12265344.379999997</v>
      </c>
      <c r="Z18" s="271">
        <v>27777398.639999978</v>
      </c>
      <c r="AA18" s="271">
        <v>93898902.340000018</v>
      </c>
      <c r="AB18" s="271">
        <v>38306529.789999984</v>
      </c>
      <c r="AC18" s="24">
        <v>15561817910.199984</v>
      </c>
      <c r="AD18" s="91">
        <v>105</v>
      </c>
      <c r="AF18" s="24"/>
    </row>
    <row r="19" spans="1:33">
      <c r="A19" s="91">
        <v>106</v>
      </c>
      <c r="B19" s="378" t="s">
        <v>812</v>
      </c>
      <c r="C19" s="140">
        <v>2021</v>
      </c>
      <c r="D19" s="272">
        <v>-53368.200000000004</v>
      </c>
      <c r="E19" s="272">
        <v>16764655.760000002</v>
      </c>
      <c r="F19" s="272">
        <v>112674171.10999994</v>
      </c>
      <c r="G19" s="272">
        <v>10817540.080000006</v>
      </c>
      <c r="H19" s="272">
        <v>1162799450.4200003</v>
      </c>
      <c r="I19" s="272">
        <v>671250.0199999999</v>
      </c>
      <c r="J19" s="272">
        <v>15838005.710000001</v>
      </c>
      <c r="K19" s="272">
        <v>2826762106.2700014</v>
      </c>
      <c r="L19" s="272">
        <v>2829997947.7799988</v>
      </c>
      <c r="M19" s="272">
        <v>1269377872.3200009</v>
      </c>
      <c r="N19" s="272">
        <v>2974325124.9899983</v>
      </c>
      <c r="O19" s="272">
        <v>1037179349.9800003</v>
      </c>
      <c r="P19" s="272">
        <v>373509545.00000024</v>
      </c>
      <c r="Q19" s="272">
        <v>767856245.95999932</v>
      </c>
      <c r="R19" s="272">
        <v>1646968831.170002</v>
      </c>
      <c r="S19" s="271">
        <v>-49704192.200000003</v>
      </c>
      <c r="T19" s="271">
        <v>430599079.46999991</v>
      </c>
      <c r="U19" s="271">
        <v>31965922.609999999</v>
      </c>
      <c r="V19" s="271">
        <v>1296.77</v>
      </c>
      <c r="W19" s="271">
        <v>175452.72000000003</v>
      </c>
      <c r="X19" s="271">
        <v>970063.49999999988</v>
      </c>
      <c r="Y19" s="271">
        <v>12306997.549999993</v>
      </c>
      <c r="Z19" s="271">
        <v>27898025.279999975</v>
      </c>
      <c r="AA19" s="271">
        <v>94212874.130000025</v>
      </c>
      <c r="AB19" s="271">
        <v>38511146.249999993</v>
      </c>
      <c r="AC19" s="24">
        <v>15632425394.449999</v>
      </c>
      <c r="AD19" s="91">
        <v>106</v>
      </c>
      <c r="AF19" s="24"/>
    </row>
    <row r="20" spans="1:33">
      <c r="A20" s="91">
        <v>107</v>
      </c>
      <c r="B20" s="378" t="s">
        <v>528</v>
      </c>
      <c r="C20" s="140">
        <v>2021</v>
      </c>
      <c r="D20" s="272">
        <v>-56755.80000000001</v>
      </c>
      <c r="E20" s="272">
        <v>17084490.829999994</v>
      </c>
      <c r="F20" s="272">
        <v>113244413.2400001</v>
      </c>
      <c r="G20" s="272">
        <v>10874209.400000008</v>
      </c>
      <c r="H20" s="272">
        <v>1167779546.599999</v>
      </c>
      <c r="I20" s="272">
        <v>678556.02999999991</v>
      </c>
      <c r="J20" s="272">
        <v>16005178.970000001</v>
      </c>
      <c r="K20" s="272">
        <v>2845239348.8000007</v>
      </c>
      <c r="L20" s="272">
        <v>2837651956.3100042</v>
      </c>
      <c r="M20" s="272">
        <v>1274880169.8500013</v>
      </c>
      <c r="N20" s="272">
        <v>2986126840.1800017</v>
      </c>
      <c r="O20" s="272">
        <v>1042875606.559999</v>
      </c>
      <c r="P20" s="272">
        <v>376373298.28999978</v>
      </c>
      <c r="Q20" s="272">
        <v>770191986.41000056</v>
      </c>
      <c r="R20" s="272">
        <v>1652117710.5599988</v>
      </c>
      <c r="S20" s="271">
        <v>-49364039.290000021</v>
      </c>
      <c r="T20" s="271">
        <v>435778639.76999998</v>
      </c>
      <c r="U20" s="271">
        <v>31965922.41</v>
      </c>
      <c r="V20" s="271">
        <v>1382</v>
      </c>
      <c r="W20" s="271">
        <v>186400.03000000003</v>
      </c>
      <c r="X20" s="271">
        <v>970063.49</v>
      </c>
      <c r="Y20" s="271">
        <v>12347679.039999999</v>
      </c>
      <c r="Z20" s="271">
        <v>28009828.499999985</v>
      </c>
      <c r="AA20" s="271">
        <v>94584249.679999977</v>
      </c>
      <c r="AB20" s="271">
        <v>38746936.979999997</v>
      </c>
      <c r="AC20" s="24">
        <v>15704293618.840006</v>
      </c>
      <c r="AD20" s="91">
        <v>107</v>
      </c>
      <c r="AF20" s="24"/>
    </row>
    <row r="21" spans="1:33">
      <c r="A21" s="91">
        <v>108</v>
      </c>
      <c r="B21" s="378" t="s">
        <v>529</v>
      </c>
      <c r="C21" s="140">
        <v>2021</v>
      </c>
      <c r="D21" s="272">
        <v>-77680.200000000084</v>
      </c>
      <c r="E21" s="272">
        <v>17404258.349999994</v>
      </c>
      <c r="F21" s="272">
        <v>113571641.36000007</v>
      </c>
      <c r="G21" s="272">
        <v>10928328.18999999</v>
      </c>
      <c r="H21" s="272">
        <v>1175882931.2200007</v>
      </c>
      <c r="I21" s="272">
        <v>686029.79</v>
      </c>
      <c r="J21" s="272">
        <v>16172223.880000001</v>
      </c>
      <c r="K21" s="272">
        <v>2863863585.8699985</v>
      </c>
      <c r="L21" s="272">
        <v>2846473553.0799999</v>
      </c>
      <c r="M21" s="272">
        <v>1282353157.400002</v>
      </c>
      <c r="N21" s="272">
        <v>2999248027.0100036</v>
      </c>
      <c r="O21" s="272">
        <v>1049061020.6700002</v>
      </c>
      <c r="P21" s="272">
        <v>379335383.86000013</v>
      </c>
      <c r="Q21" s="272">
        <v>772893706.46000016</v>
      </c>
      <c r="R21" s="272">
        <v>1657226312.0199988</v>
      </c>
      <c r="S21" s="271">
        <v>-49002565.789999984</v>
      </c>
      <c r="T21" s="271">
        <v>441834129.52000022</v>
      </c>
      <c r="U21" s="271">
        <v>31965922.219999995</v>
      </c>
      <c r="V21" s="271">
        <v>1467.23</v>
      </c>
      <c r="W21" s="271">
        <v>197345.57000000004</v>
      </c>
      <c r="X21" s="271">
        <v>970063.35999999987</v>
      </c>
      <c r="Y21" s="271">
        <v>12388991.389999993</v>
      </c>
      <c r="Z21" s="271">
        <v>28126709.979999997</v>
      </c>
      <c r="AA21" s="271">
        <v>94961419.039999962</v>
      </c>
      <c r="AB21" s="271">
        <v>38925908.279999979</v>
      </c>
      <c r="AC21" s="24">
        <v>15785391869.760004</v>
      </c>
      <c r="AD21" s="91">
        <v>108</v>
      </c>
      <c r="AF21" s="24"/>
    </row>
    <row r="22" spans="1:33">
      <c r="A22" s="91">
        <v>109</v>
      </c>
      <c r="B22" s="378" t="s">
        <v>530</v>
      </c>
      <c r="C22" s="140">
        <v>2021</v>
      </c>
      <c r="D22" s="272">
        <v>-87932.780000000072</v>
      </c>
      <c r="E22" s="272">
        <v>17724024.739999998</v>
      </c>
      <c r="F22" s="272">
        <v>113807522.87000012</v>
      </c>
      <c r="G22" s="272">
        <v>10976068.430000007</v>
      </c>
      <c r="H22" s="272">
        <v>1179214283.029999</v>
      </c>
      <c r="I22" s="272">
        <v>598456.54</v>
      </c>
      <c r="J22" s="272">
        <v>16338548.65</v>
      </c>
      <c r="K22" s="272">
        <v>2881659543.6299982</v>
      </c>
      <c r="L22" s="272">
        <v>2853472976.4699998</v>
      </c>
      <c r="M22" s="272">
        <v>1286748561.3000011</v>
      </c>
      <c r="N22" s="272">
        <v>3009212597.8600006</v>
      </c>
      <c r="O22" s="272">
        <v>1055345340.4099993</v>
      </c>
      <c r="P22" s="272">
        <v>382036487.25000018</v>
      </c>
      <c r="Q22" s="272">
        <v>776015484.28999949</v>
      </c>
      <c r="R22" s="272">
        <v>1663431578.8200016</v>
      </c>
      <c r="S22" s="271">
        <v>-48505981.900000013</v>
      </c>
      <c r="T22" s="271">
        <v>447307046.2899999</v>
      </c>
      <c r="U22" s="271">
        <v>31965922.020000003</v>
      </c>
      <c r="V22" s="271">
        <v>1552.46</v>
      </c>
      <c r="W22" s="271">
        <v>208298.96000000002</v>
      </c>
      <c r="X22" s="271">
        <v>970063.41</v>
      </c>
      <c r="Y22" s="271">
        <v>12431442.919999996</v>
      </c>
      <c r="Z22" s="271">
        <v>28255855.940000005</v>
      </c>
      <c r="AA22" s="271">
        <v>95354167.420000002</v>
      </c>
      <c r="AB22" s="271">
        <v>39079729.470000014</v>
      </c>
      <c r="AC22" s="24">
        <v>15853561638.499996</v>
      </c>
      <c r="AD22" s="91">
        <v>109</v>
      </c>
      <c r="AF22" s="24"/>
    </row>
    <row r="23" spans="1:33">
      <c r="A23" s="91">
        <v>110</v>
      </c>
      <c r="B23" s="378" t="s">
        <v>531</v>
      </c>
      <c r="C23" s="140">
        <v>2021</v>
      </c>
      <c r="D23" s="272">
        <v>-89236.09000000004</v>
      </c>
      <c r="E23" s="272">
        <v>18043790.840000011</v>
      </c>
      <c r="F23" s="272">
        <v>114103982.06000008</v>
      </c>
      <c r="G23" s="272">
        <v>11029851.82</v>
      </c>
      <c r="H23" s="272">
        <v>1187251276.2199996</v>
      </c>
      <c r="I23" s="272">
        <v>601079.39000000013</v>
      </c>
      <c r="J23" s="272">
        <v>16505478.929999998</v>
      </c>
      <c r="K23" s="272">
        <v>2893501391.0699987</v>
      </c>
      <c r="L23" s="272">
        <v>2858558468.3399963</v>
      </c>
      <c r="M23" s="272">
        <v>1294311086.9000006</v>
      </c>
      <c r="N23" s="272">
        <v>3024431518.9400001</v>
      </c>
      <c r="O23" s="272">
        <v>1059983689.6000004</v>
      </c>
      <c r="P23" s="272">
        <v>385313040.61999977</v>
      </c>
      <c r="Q23" s="272">
        <v>777855356.53999937</v>
      </c>
      <c r="R23" s="272">
        <v>1668524608.0700011</v>
      </c>
      <c r="S23" s="271">
        <v>-48221978.909999974</v>
      </c>
      <c r="T23" s="271">
        <v>452567789.73000002</v>
      </c>
      <c r="U23" s="271">
        <v>31965922.809999999</v>
      </c>
      <c r="V23" s="271">
        <v>1637.69</v>
      </c>
      <c r="W23" s="271">
        <v>219261.89</v>
      </c>
      <c r="X23" s="271">
        <v>970063.44</v>
      </c>
      <c r="Y23" s="271">
        <v>12460814.640000001</v>
      </c>
      <c r="Z23" s="271">
        <v>28388543.989999995</v>
      </c>
      <c r="AA23" s="271">
        <v>95772444.179999977</v>
      </c>
      <c r="AB23" s="271">
        <v>39247566.059999995</v>
      </c>
      <c r="AC23" s="24">
        <v>15923297448.769995</v>
      </c>
      <c r="AD23" s="91">
        <v>110</v>
      </c>
      <c r="AF23" s="24"/>
    </row>
    <row r="24" spans="1:33">
      <c r="A24" s="91">
        <v>111</v>
      </c>
      <c r="B24" s="378" t="s">
        <v>532</v>
      </c>
      <c r="C24" s="140">
        <v>2021</v>
      </c>
      <c r="D24" s="272">
        <v>-91067.740000000049</v>
      </c>
      <c r="E24" s="272">
        <v>18363558.319999997</v>
      </c>
      <c r="F24" s="272">
        <v>114488298.35000016</v>
      </c>
      <c r="G24" s="272">
        <v>11126635.459999999</v>
      </c>
      <c r="H24" s="272">
        <v>1189275472.0900011</v>
      </c>
      <c r="I24" s="272">
        <v>603724.80000000028</v>
      </c>
      <c r="J24" s="272">
        <v>16671290.410000002</v>
      </c>
      <c r="K24" s="272">
        <v>2911974319.590003</v>
      </c>
      <c r="L24" s="272">
        <v>2866875709.3899994</v>
      </c>
      <c r="M24" s="272">
        <v>1300088999.3899987</v>
      </c>
      <c r="N24" s="272">
        <v>3036081618.7800007</v>
      </c>
      <c r="O24" s="272">
        <v>1068974460.3499995</v>
      </c>
      <c r="P24" s="272">
        <v>387348409.40999997</v>
      </c>
      <c r="Q24" s="272">
        <v>780528187.22999978</v>
      </c>
      <c r="R24" s="272">
        <v>1674437791.7999997</v>
      </c>
      <c r="S24" s="271">
        <v>-48025629.149999991</v>
      </c>
      <c r="T24" s="271">
        <v>457431402.41000003</v>
      </c>
      <c r="U24" s="271">
        <v>31965922.41</v>
      </c>
      <c r="V24" s="271">
        <v>1722.92</v>
      </c>
      <c r="W24" s="271">
        <v>230216.77000000002</v>
      </c>
      <c r="X24" s="271">
        <v>970063.41999999993</v>
      </c>
      <c r="Y24" s="271">
        <v>12499334.699999988</v>
      </c>
      <c r="Z24" s="271">
        <v>28307131.479999997</v>
      </c>
      <c r="AA24" s="271">
        <v>96160979.209999979</v>
      </c>
      <c r="AB24" s="271">
        <v>39440739.62999998</v>
      </c>
      <c r="AC24" s="24">
        <v>15995729291.430002</v>
      </c>
      <c r="AD24" s="91">
        <v>111</v>
      </c>
      <c r="AE24" s="354"/>
      <c r="AF24" s="24"/>
    </row>
    <row r="25" spans="1:33">
      <c r="A25" s="91">
        <v>112</v>
      </c>
      <c r="B25" s="378" t="s">
        <v>520</v>
      </c>
      <c r="C25" s="140">
        <v>2021</v>
      </c>
      <c r="D25" s="272">
        <v>-154848.06000000008</v>
      </c>
      <c r="E25" s="272">
        <v>18684579.360000011</v>
      </c>
      <c r="F25" s="272">
        <v>114665948.34000027</v>
      </c>
      <c r="G25" s="272">
        <v>11131641.540000005</v>
      </c>
      <c r="H25" s="272">
        <v>1196338603.2199993</v>
      </c>
      <c r="I25" s="272">
        <v>585947.57000000007</v>
      </c>
      <c r="J25" s="272">
        <v>16837101.329999998</v>
      </c>
      <c r="K25" s="272">
        <v>2935023572.7500005</v>
      </c>
      <c r="L25" s="272">
        <v>2876709145.9000025</v>
      </c>
      <c r="M25" s="272">
        <v>1306423836.6400023</v>
      </c>
      <c r="N25" s="272">
        <v>3042472839.0100012</v>
      </c>
      <c r="O25" s="272">
        <v>1075305915.950001</v>
      </c>
      <c r="P25" s="272">
        <v>390265109.80999994</v>
      </c>
      <c r="Q25" s="272">
        <v>783180834.98000026</v>
      </c>
      <c r="R25" s="272">
        <v>1680213155.3599999</v>
      </c>
      <c r="S25" s="271">
        <v>-48152844.489999995</v>
      </c>
      <c r="T25" s="271">
        <v>474060807.31999999</v>
      </c>
      <c r="U25" s="271">
        <v>31965922.330000002</v>
      </c>
      <c r="V25" s="271">
        <v>1808.15</v>
      </c>
      <c r="W25" s="271">
        <v>241046.47000000003</v>
      </c>
      <c r="X25" s="271">
        <v>970063.41</v>
      </c>
      <c r="Y25" s="271">
        <v>12541471.209999997</v>
      </c>
      <c r="Z25" s="271">
        <v>28428570.900000002</v>
      </c>
      <c r="AA25" s="271">
        <v>96557244.170000032</v>
      </c>
      <c r="AB25" s="271">
        <v>39578288.850000009</v>
      </c>
      <c r="AC25" s="24">
        <v>16083875762.020004</v>
      </c>
      <c r="AD25" s="91">
        <v>112</v>
      </c>
      <c r="AE25" s="354"/>
      <c r="AF25" s="24"/>
      <c r="AG25" s="12"/>
    </row>
    <row r="26" spans="1:33">
      <c r="A26" s="91">
        <v>113</v>
      </c>
      <c r="B26" s="664" t="s">
        <v>813</v>
      </c>
      <c r="C26" s="488"/>
      <c r="D26" s="661">
        <v>-50653.410769230795</v>
      </c>
      <c r="E26" s="661">
        <v>16764687.622307692</v>
      </c>
      <c r="F26" s="661">
        <v>112965470.64384626</v>
      </c>
      <c r="G26" s="661">
        <v>10849465.456923077</v>
      </c>
      <c r="H26" s="661">
        <v>1162363700.9269233</v>
      </c>
      <c r="I26" s="661">
        <v>638678.84692307701</v>
      </c>
      <c r="J26" s="661">
        <v>15837551.260769229</v>
      </c>
      <c r="K26" s="661">
        <v>2823856014.2369223</v>
      </c>
      <c r="L26" s="661">
        <v>2832832729.0276928</v>
      </c>
      <c r="M26" s="661">
        <v>1269512591.6169233</v>
      </c>
      <c r="N26" s="661">
        <v>2972285410.1646161</v>
      </c>
      <c r="O26" s="661">
        <v>1039240662.39</v>
      </c>
      <c r="P26" s="661">
        <v>373524964.17307693</v>
      </c>
      <c r="Q26" s="661">
        <v>767600685.79384625</v>
      </c>
      <c r="R26" s="661">
        <v>1646716553.9123077</v>
      </c>
      <c r="S26" s="661">
        <v>-49623617.327692308</v>
      </c>
      <c r="T26" s="661">
        <v>433815140.59461534</v>
      </c>
      <c r="U26" s="661">
        <v>31965922.418461539</v>
      </c>
      <c r="V26" s="661">
        <v>1316.0346153846153</v>
      </c>
      <c r="W26" s="661">
        <v>178095.85923076927</v>
      </c>
      <c r="X26" s="661">
        <v>970063.4261538462</v>
      </c>
      <c r="Y26" s="661">
        <v>12311172.386923075</v>
      </c>
      <c r="Z26" s="661">
        <v>27877533.240769226</v>
      </c>
      <c r="AA26" s="661">
        <v>94334049.19076921</v>
      </c>
      <c r="AB26" s="661">
        <v>38516742.13076923</v>
      </c>
      <c r="AC26" s="661">
        <v>15635284930.61692</v>
      </c>
      <c r="AD26" s="91">
        <v>113</v>
      </c>
      <c r="AE26" s="354"/>
    </row>
    <row r="27" spans="1:33">
      <c r="A27" s="18"/>
      <c r="B27" s="8"/>
      <c r="C27" s="8"/>
      <c r="D27" s="8"/>
      <c r="E27" s="8"/>
      <c r="F27" s="8"/>
      <c r="G27" s="8"/>
      <c r="H27" s="8"/>
      <c r="I27" s="8"/>
      <c r="J27" s="8"/>
      <c r="K27" s="8"/>
      <c r="L27" s="8"/>
      <c r="M27" s="8"/>
      <c r="N27" s="8"/>
      <c r="O27" s="8"/>
      <c r="P27" s="8"/>
      <c r="Q27" s="8"/>
      <c r="AD27" s="91"/>
    </row>
    <row r="28" spans="1:33">
      <c r="A28" s="18"/>
      <c r="B28" s="8"/>
      <c r="C28" s="8"/>
      <c r="D28" s="8"/>
      <c r="E28" s="8"/>
      <c r="F28" s="8"/>
      <c r="G28" s="8"/>
      <c r="H28" s="8"/>
      <c r="I28" s="8"/>
      <c r="J28" s="8"/>
      <c r="K28" s="8"/>
      <c r="L28" s="8"/>
      <c r="M28" s="8"/>
      <c r="N28" s="8"/>
      <c r="O28" s="8"/>
      <c r="P28" s="8"/>
      <c r="Q28" s="8"/>
      <c r="V28" s="19"/>
      <c r="W28" s="19"/>
      <c r="AD28" s="91"/>
    </row>
    <row r="29" spans="1:33">
      <c r="B29" s="45" t="s">
        <v>963</v>
      </c>
      <c r="C29" s="45"/>
      <c r="D29" s="103"/>
      <c r="E29" s="103"/>
      <c r="F29" s="43"/>
      <c r="G29" s="43"/>
      <c r="H29" s="43"/>
      <c r="I29" s="103"/>
      <c r="J29" s="103"/>
      <c r="K29" s="103"/>
      <c r="L29" s="103"/>
      <c r="M29" s="103"/>
      <c r="N29" s="103"/>
      <c r="O29" s="103"/>
      <c r="P29" s="103"/>
      <c r="Q29" s="103"/>
      <c r="R29" s="43"/>
      <c r="S29" s="43"/>
      <c r="T29" s="43"/>
      <c r="U29" s="43"/>
      <c r="V29" s="43"/>
      <c r="W29" s="43"/>
      <c r="X29" s="43"/>
      <c r="Y29" s="43"/>
      <c r="Z29" s="43"/>
      <c r="AA29" s="43"/>
      <c r="AB29" s="43"/>
      <c r="AC29" s="43"/>
    </row>
    <row r="30" spans="1:33">
      <c r="B30" s="378" t="s">
        <v>964</v>
      </c>
      <c r="C30" s="2"/>
      <c r="D30" s="8"/>
      <c r="E30" s="8"/>
      <c r="I30" s="8"/>
      <c r="J30" s="8"/>
      <c r="K30" s="8"/>
      <c r="L30" s="8"/>
      <c r="M30" s="8"/>
      <c r="N30" s="8"/>
      <c r="O30" s="8"/>
      <c r="P30" s="8"/>
      <c r="Q30" s="8"/>
    </row>
    <row r="31" spans="1:33">
      <c r="C31" s="2"/>
      <c r="D31" s="8"/>
      <c r="E31" s="8"/>
      <c r="I31" s="8"/>
      <c r="J31" s="8"/>
      <c r="K31" s="8"/>
      <c r="L31" s="8"/>
      <c r="M31" s="8"/>
      <c r="N31" s="8"/>
      <c r="O31" s="8"/>
      <c r="P31" s="8"/>
      <c r="Q31" s="8"/>
    </row>
    <row r="32" spans="1:33">
      <c r="C32" s="2"/>
      <c r="D32" s="8"/>
      <c r="E32" s="8"/>
      <c r="I32" s="8"/>
      <c r="J32" s="8"/>
      <c r="K32" s="8"/>
      <c r="L32" s="8"/>
      <c r="M32" s="8"/>
      <c r="N32" s="8"/>
      <c r="O32" s="8"/>
      <c r="P32" s="8"/>
      <c r="Q32" s="8"/>
    </row>
    <row r="33" spans="1:30">
      <c r="A33" s="4"/>
      <c r="D33" s="83" t="s">
        <v>122</v>
      </c>
      <c r="E33" s="83" t="s">
        <v>123</v>
      </c>
      <c r="F33" s="83" t="s">
        <v>124</v>
      </c>
      <c r="G33" s="83" t="s">
        <v>125</v>
      </c>
      <c r="H33" s="83" t="s">
        <v>490</v>
      </c>
      <c r="I33" s="83" t="s">
        <v>491</v>
      </c>
      <c r="J33" s="83" t="s">
        <v>492</v>
      </c>
      <c r="K33" s="83" t="s">
        <v>493</v>
      </c>
      <c r="L33" s="83" t="s">
        <v>494</v>
      </c>
      <c r="M33" s="83" t="s">
        <v>768</v>
      </c>
      <c r="N33" s="83" t="s">
        <v>769</v>
      </c>
      <c r="O33" s="83" t="s">
        <v>770</v>
      </c>
      <c r="P33" s="83" t="s">
        <v>771</v>
      </c>
      <c r="Q33" s="83" t="s">
        <v>772</v>
      </c>
      <c r="R33" s="83" t="s">
        <v>773</v>
      </c>
      <c r="S33" s="83" t="s">
        <v>774</v>
      </c>
      <c r="T33" s="83" t="s">
        <v>775</v>
      </c>
      <c r="U33" s="83" t="s">
        <v>776</v>
      </c>
      <c r="V33" s="83" t="s">
        <v>777</v>
      </c>
      <c r="W33" s="83" t="s">
        <v>778</v>
      </c>
      <c r="X33" s="83" t="s">
        <v>779</v>
      </c>
      <c r="Y33" s="83" t="s">
        <v>780</v>
      </c>
      <c r="Z33" s="83" t="s">
        <v>781</v>
      </c>
      <c r="AA33" s="83" t="s">
        <v>782</v>
      </c>
      <c r="AB33" s="83" t="s">
        <v>783</v>
      </c>
      <c r="AC33" s="83" t="s">
        <v>784</v>
      </c>
    </row>
    <row r="34" spans="1:30" ht="43.5">
      <c r="D34" s="380" t="s">
        <v>816</v>
      </c>
      <c r="E34" s="380" t="s">
        <v>817</v>
      </c>
      <c r="F34" s="380" t="s">
        <v>818</v>
      </c>
      <c r="G34" s="380" t="s">
        <v>819</v>
      </c>
      <c r="H34" s="380" t="s">
        <v>820</v>
      </c>
      <c r="I34" s="380" t="s">
        <v>821</v>
      </c>
      <c r="J34" s="380" t="s">
        <v>822</v>
      </c>
      <c r="K34" s="380" t="s">
        <v>823</v>
      </c>
      <c r="L34" s="380" t="s">
        <v>824</v>
      </c>
      <c r="M34" s="380" t="s">
        <v>825</v>
      </c>
      <c r="N34" s="380" t="s">
        <v>826</v>
      </c>
      <c r="O34" s="380" t="s">
        <v>827</v>
      </c>
      <c r="P34" s="380" t="s">
        <v>828</v>
      </c>
      <c r="Q34" s="380" t="s">
        <v>829</v>
      </c>
      <c r="R34" s="380" t="s">
        <v>830</v>
      </c>
      <c r="S34" s="380" t="s">
        <v>831</v>
      </c>
      <c r="T34" s="380" t="s">
        <v>832</v>
      </c>
      <c r="U34" s="380" t="s">
        <v>833</v>
      </c>
      <c r="V34" s="380" t="s">
        <v>834</v>
      </c>
      <c r="W34" s="380" t="s">
        <v>835</v>
      </c>
      <c r="X34" s="380" t="s">
        <v>836</v>
      </c>
      <c r="Y34" s="380" t="s">
        <v>837</v>
      </c>
      <c r="Z34" s="380" t="s">
        <v>838</v>
      </c>
      <c r="AA34" s="380" t="s">
        <v>839</v>
      </c>
      <c r="AB34" s="380" t="s">
        <v>840</v>
      </c>
      <c r="AC34" s="133" t="s">
        <v>785</v>
      </c>
    </row>
    <row r="35" spans="1:30">
      <c r="B35" s="4"/>
      <c r="C35" s="4"/>
      <c r="L35" s="107"/>
      <c r="R35" s="21"/>
      <c r="S35" s="21"/>
      <c r="T35" s="21"/>
      <c r="AC35" s="21"/>
    </row>
    <row r="36" spans="1:30">
      <c r="A36" s="91"/>
      <c r="B36" s="91"/>
      <c r="C36" s="90" t="s">
        <v>786</v>
      </c>
      <c r="D36" s="84">
        <v>360</v>
      </c>
      <c r="E36" s="84">
        <v>360</v>
      </c>
      <c r="F36" s="84">
        <v>361</v>
      </c>
      <c r="G36" s="84">
        <v>361</v>
      </c>
      <c r="H36" s="84">
        <v>362</v>
      </c>
      <c r="I36" s="84">
        <v>363</v>
      </c>
      <c r="J36" s="84">
        <v>363</v>
      </c>
      <c r="K36" s="84">
        <v>364</v>
      </c>
      <c r="L36" s="84">
        <v>365</v>
      </c>
      <c r="M36" s="84">
        <v>366</v>
      </c>
      <c r="N36" s="84">
        <v>367</v>
      </c>
      <c r="O36" s="84">
        <v>368</v>
      </c>
      <c r="P36" s="84">
        <v>368</v>
      </c>
      <c r="Q36" s="84">
        <v>369</v>
      </c>
      <c r="R36" s="84">
        <v>369</v>
      </c>
      <c r="S36" s="84">
        <v>370</v>
      </c>
      <c r="T36" s="84">
        <v>370</v>
      </c>
      <c r="U36" s="84">
        <v>371</v>
      </c>
      <c r="V36" s="84">
        <v>371</v>
      </c>
      <c r="W36" s="84">
        <v>371</v>
      </c>
      <c r="X36" s="84">
        <v>372</v>
      </c>
      <c r="Y36" s="84">
        <v>373</v>
      </c>
      <c r="Z36" s="84">
        <v>373</v>
      </c>
      <c r="AA36" s="84">
        <v>373</v>
      </c>
      <c r="AB36" s="84">
        <v>373</v>
      </c>
    </row>
    <row r="37" spans="1:30">
      <c r="A37" s="80" t="s">
        <v>90</v>
      </c>
      <c r="B37" s="80" t="s">
        <v>511</v>
      </c>
      <c r="C37" s="80" t="s">
        <v>512</v>
      </c>
      <c r="D37" s="83" t="s">
        <v>787</v>
      </c>
      <c r="E37" s="83" t="s">
        <v>788</v>
      </c>
      <c r="F37" s="83" t="s">
        <v>789</v>
      </c>
      <c r="G37" s="83" t="s">
        <v>790</v>
      </c>
      <c r="H37" s="83" t="s">
        <v>791</v>
      </c>
      <c r="I37" s="83" t="s">
        <v>792</v>
      </c>
      <c r="J37" s="83" t="s">
        <v>793</v>
      </c>
      <c r="K37" s="83" t="s">
        <v>794</v>
      </c>
      <c r="L37" s="83" t="s">
        <v>795</v>
      </c>
      <c r="M37" s="83" t="s">
        <v>796</v>
      </c>
      <c r="N37" s="83" t="s">
        <v>797</v>
      </c>
      <c r="O37" s="83" t="s">
        <v>798</v>
      </c>
      <c r="P37" s="83" t="s">
        <v>799</v>
      </c>
      <c r="Q37" s="83" t="s">
        <v>800</v>
      </c>
      <c r="R37" s="83" t="s">
        <v>801</v>
      </c>
      <c r="S37" s="83" t="s">
        <v>802</v>
      </c>
      <c r="T37" s="83" t="s">
        <v>803</v>
      </c>
      <c r="U37" s="83" t="s">
        <v>804</v>
      </c>
      <c r="V37" s="83" t="s">
        <v>805</v>
      </c>
      <c r="W37" s="83" t="s">
        <v>806</v>
      </c>
      <c r="X37" s="83" t="s">
        <v>807</v>
      </c>
      <c r="Y37" s="83" t="s">
        <v>808</v>
      </c>
      <c r="Z37" s="83" t="s">
        <v>809</v>
      </c>
      <c r="AA37" s="83" t="s">
        <v>810</v>
      </c>
      <c r="AB37" s="83" t="s">
        <v>811</v>
      </c>
      <c r="AC37" s="80" t="s">
        <v>534</v>
      </c>
      <c r="AD37" s="80" t="s">
        <v>90</v>
      </c>
    </row>
    <row r="38" spans="1:30">
      <c r="A38" s="91">
        <v>200</v>
      </c>
      <c r="B38" s="378" t="s">
        <v>520</v>
      </c>
      <c r="C38" s="140">
        <v>2020</v>
      </c>
      <c r="D38" s="275">
        <v>11.467328079850455</v>
      </c>
      <c r="E38" s="275">
        <v>7603466.1111562457</v>
      </c>
      <c r="F38" s="275">
        <v>111278185.31000006</v>
      </c>
      <c r="G38" s="275">
        <v>10674465.230000004</v>
      </c>
      <c r="H38" s="275">
        <v>1132892113.4000032</v>
      </c>
      <c r="I38" s="275">
        <v>629292.68000000005</v>
      </c>
      <c r="J38" s="275">
        <v>14827148.080000002</v>
      </c>
      <c r="K38" s="275">
        <v>2159248360.2513928</v>
      </c>
      <c r="L38" s="275">
        <v>2226581429.2214737</v>
      </c>
      <c r="M38" s="275">
        <v>481609084.67699701</v>
      </c>
      <c r="N38" s="275">
        <v>1129945148.4350138</v>
      </c>
      <c r="O38" s="275">
        <v>0</v>
      </c>
      <c r="P38" s="275">
        <v>0</v>
      </c>
      <c r="Q38" s="275">
        <v>0</v>
      </c>
      <c r="R38" s="275">
        <v>0</v>
      </c>
      <c r="S38" s="275">
        <v>0</v>
      </c>
      <c r="T38" s="275">
        <v>0</v>
      </c>
      <c r="U38" s="275">
        <v>0</v>
      </c>
      <c r="V38" s="275">
        <v>0</v>
      </c>
      <c r="W38" s="275">
        <v>0</v>
      </c>
      <c r="X38" s="275">
        <v>0</v>
      </c>
      <c r="Y38" s="275">
        <v>0</v>
      </c>
      <c r="Z38" s="275">
        <v>0</v>
      </c>
      <c r="AA38" s="275">
        <v>0</v>
      </c>
      <c r="AB38" s="275">
        <v>0</v>
      </c>
      <c r="AC38" s="24">
        <v>7275288704.8633652</v>
      </c>
      <c r="AD38" s="91">
        <v>200</v>
      </c>
    </row>
    <row r="39" spans="1:30">
      <c r="A39" s="91">
        <v>201</v>
      </c>
      <c r="B39" s="378" t="s">
        <v>522</v>
      </c>
      <c r="C39" s="140">
        <v>2021</v>
      </c>
      <c r="D39" s="275">
        <v>11.487814597188276</v>
      </c>
      <c r="E39" s="275">
        <v>7767223.863426785</v>
      </c>
      <c r="F39" s="275">
        <v>111580593.79000008</v>
      </c>
      <c r="G39" s="275">
        <v>10659298.489999996</v>
      </c>
      <c r="H39" s="275">
        <v>1131379858.2200007</v>
      </c>
      <c r="I39" s="275">
        <v>635537.76999999979</v>
      </c>
      <c r="J39" s="275">
        <v>15006811.799999999</v>
      </c>
      <c r="K39" s="275">
        <v>2178697211.8620558</v>
      </c>
      <c r="L39" s="275">
        <v>2235116632.4652109</v>
      </c>
      <c r="M39" s="275">
        <v>483744288.61825264</v>
      </c>
      <c r="N39" s="275">
        <v>1134524605.8055015</v>
      </c>
      <c r="O39" s="275">
        <v>0</v>
      </c>
      <c r="P39" s="275">
        <v>0</v>
      </c>
      <c r="Q39" s="275">
        <v>0</v>
      </c>
      <c r="R39" s="275">
        <v>0</v>
      </c>
      <c r="S39" s="275">
        <v>0</v>
      </c>
      <c r="T39" s="275">
        <v>0</v>
      </c>
      <c r="U39" s="275">
        <v>0</v>
      </c>
      <c r="V39" s="275">
        <v>0</v>
      </c>
      <c r="W39" s="275">
        <v>0</v>
      </c>
      <c r="X39" s="275">
        <v>0</v>
      </c>
      <c r="Y39" s="275">
        <v>0</v>
      </c>
      <c r="Z39" s="275">
        <v>0</v>
      </c>
      <c r="AA39" s="275">
        <v>0</v>
      </c>
      <c r="AB39" s="275">
        <v>0</v>
      </c>
      <c r="AC39" s="24">
        <v>7309112074.1722622</v>
      </c>
      <c r="AD39" s="91">
        <v>201</v>
      </c>
    </row>
    <row r="40" spans="1:30">
      <c r="A40" s="91">
        <v>202</v>
      </c>
      <c r="B40" s="378" t="s">
        <v>523</v>
      </c>
      <c r="C40" s="140">
        <v>2021</v>
      </c>
      <c r="D40" s="275">
        <v>11.482692967853808</v>
      </c>
      <c r="E40" s="275">
        <v>7930998.4863443403</v>
      </c>
      <c r="F40" s="275">
        <v>111844664.45999998</v>
      </c>
      <c r="G40" s="275">
        <v>10712023.909999995</v>
      </c>
      <c r="H40" s="275">
        <v>1137539005.9199982</v>
      </c>
      <c r="I40" s="275">
        <v>642539.53000000014</v>
      </c>
      <c r="J40" s="275">
        <v>15172622.4</v>
      </c>
      <c r="K40" s="275">
        <v>2197094119.1827993</v>
      </c>
      <c r="L40" s="275">
        <v>2242824983.3435359</v>
      </c>
      <c r="M40" s="275">
        <v>486264839.40673053</v>
      </c>
      <c r="N40" s="275">
        <v>1139949111.9878531</v>
      </c>
      <c r="O40" s="275">
        <v>0</v>
      </c>
      <c r="P40" s="275">
        <v>0</v>
      </c>
      <c r="Q40" s="275">
        <v>0</v>
      </c>
      <c r="R40" s="275">
        <v>0</v>
      </c>
      <c r="S40" s="275">
        <v>0</v>
      </c>
      <c r="T40" s="275">
        <v>0</v>
      </c>
      <c r="U40" s="275">
        <v>0</v>
      </c>
      <c r="V40" s="275">
        <v>0</v>
      </c>
      <c r="W40" s="275">
        <v>0</v>
      </c>
      <c r="X40" s="275">
        <v>0</v>
      </c>
      <c r="Y40" s="275">
        <v>0</v>
      </c>
      <c r="Z40" s="275">
        <v>0</v>
      </c>
      <c r="AA40" s="275">
        <v>0</v>
      </c>
      <c r="AB40" s="275">
        <v>0</v>
      </c>
      <c r="AC40" s="24">
        <v>7349974920.1099539</v>
      </c>
      <c r="AD40" s="91">
        <v>202</v>
      </c>
    </row>
    <row r="41" spans="1:30">
      <c r="A41" s="91">
        <v>203</v>
      </c>
      <c r="B41" s="378" t="s">
        <v>524</v>
      </c>
      <c r="C41" s="140">
        <v>2021</v>
      </c>
      <c r="D41" s="275">
        <v>11.405868527836956</v>
      </c>
      <c r="E41" s="275">
        <v>8094808.909450951</v>
      </c>
      <c r="F41" s="275">
        <v>112138871.92999995</v>
      </c>
      <c r="G41" s="275">
        <v>10647725.149999995</v>
      </c>
      <c r="H41" s="275">
        <v>1145016323.7000015</v>
      </c>
      <c r="I41" s="275">
        <v>649614.03</v>
      </c>
      <c r="J41" s="275">
        <v>15338434.4</v>
      </c>
      <c r="K41" s="275">
        <v>2209259870.4600182</v>
      </c>
      <c r="L41" s="275">
        <v>2245927784.197897</v>
      </c>
      <c r="M41" s="275">
        <v>488616502.82415348</v>
      </c>
      <c r="N41" s="275">
        <v>1147323834.9796891</v>
      </c>
      <c r="O41" s="275">
        <v>0</v>
      </c>
      <c r="P41" s="275">
        <v>0</v>
      </c>
      <c r="Q41" s="275">
        <v>0</v>
      </c>
      <c r="R41" s="275">
        <v>0</v>
      </c>
      <c r="S41" s="275">
        <v>0</v>
      </c>
      <c r="T41" s="275">
        <v>0</v>
      </c>
      <c r="U41" s="275">
        <v>0</v>
      </c>
      <c r="V41" s="275">
        <v>0</v>
      </c>
      <c r="W41" s="275">
        <v>0</v>
      </c>
      <c r="X41" s="275">
        <v>0</v>
      </c>
      <c r="Y41" s="275">
        <v>0</v>
      </c>
      <c r="Z41" s="275">
        <v>0</v>
      </c>
      <c r="AA41" s="275">
        <v>0</v>
      </c>
      <c r="AB41" s="275">
        <v>0</v>
      </c>
      <c r="AC41" s="24">
        <v>7383013781.9870796</v>
      </c>
      <c r="AD41" s="91">
        <v>203</v>
      </c>
    </row>
    <row r="42" spans="1:30">
      <c r="A42" s="91">
        <v>204</v>
      </c>
      <c r="B42" s="378" t="s">
        <v>525</v>
      </c>
      <c r="C42" s="140">
        <v>2021</v>
      </c>
      <c r="D42" s="275">
        <v>11.467328079850462</v>
      </c>
      <c r="E42" s="275">
        <v>8258619.3428008202</v>
      </c>
      <c r="F42" s="275">
        <v>112415199.97000015</v>
      </c>
      <c r="G42" s="275">
        <v>10704504.069999998</v>
      </c>
      <c r="H42" s="275">
        <v>1149783421.2900002</v>
      </c>
      <c r="I42" s="275">
        <v>656795</v>
      </c>
      <c r="J42" s="275">
        <v>15504245.060000001</v>
      </c>
      <c r="K42" s="275">
        <v>2225356129.100688</v>
      </c>
      <c r="L42" s="275">
        <v>2250242418.0092278</v>
      </c>
      <c r="M42" s="275">
        <v>491026797.14345336</v>
      </c>
      <c r="N42" s="275">
        <v>1151931737.8685689</v>
      </c>
      <c r="O42" s="275">
        <v>0</v>
      </c>
      <c r="P42" s="275">
        <v>0</v>
      </c>
      <c r="Q42" s="275">
        <v>0</v>
      </c>
      <c r="R42" s="275">
        <v>0</v>
      </c>
      <c r="S42" s="275">
        <v>0</v>
      </c>
      <c r="T42" s="275">
        <v>0</v>
      </c>
      <c r="U42" s="275">
        <v>0</v>
      </c>
      <c r="V42" s="275">
        <v>0</v>
      </c>
      <c r="W42" s="275">
        <v>0</v>
      </c>
      <c r="X42" s="275">
        <v>0</v>
      </c>
      <c r="Y42" s="275">
        <v>0</v>
      </c>
      <c r="Z42" s="275">
        <v>0</v>
      </c>
      <c r="AA42" s="275">
        <v>0</v>
      </c>
      <c r="AB42" s="275">
        <v>0</v>
      </c>
      <c r="AC42" s="24">
        <v>7415879878.3220673</v>
      </c>
      <c r="AD42" s="91">
        <v>204</v>
      </c>
    </row>
    <row r="43" spans="1:30">
      <c r="A43" s="91">
        <v>205</v>
      </c>
      <c r="B43" s="378" t="s">
        <v>526</v>
      </c>
      <c r="C43" s="140">
        <v>2021</v>
      </c>
      <c r="D43" s="275">
        <v>-24439.068195516487</v>
      </c>
      <c r="E43" s="275">
        <v>8422427.5226337835</v>
      </c>
      <c r="F43" s="275">
        <v>112737625.5800001</v>
      </c>
      <c r="G43" s="275">
        <v>10760759.169999996</v>
      </c>
      <c r="H43" s="275">
        <v>1155575826.7199996</v>
      </c>
      <c r="I43" s="275">
        <v>664001.86</v>
      </c>
      <c r="J43" s="275">
        <v>15671076.77</v>
      </c>
      <c r="K43" s="275">
        <v>2241706657.1891613</v>
      </c>
      <c r="L43" s="275">
        <v>2254095540.5608487</v>
      </c>
      <c r="M43" s="275">
        <v>493269104.21850765</v>
      </c>
      <c r="N43" s="275">
        <v>1156294921.9501059</v>
      </c>
      <c r="O43" s="275">
        <v>0</v>
      </c>
      <c r="P43" s="275">
        <v>0</v>
      </c>
      <c r="Q43" s="275">
        <v>0</v>
      </c>
      <c r="R43" s="275">
        <v>0</v>
      </c>
      <c r="S43" s="275">
        <v>0</v>
      </c>
      <c r="T43" s="275">
        <v>0</v>
      </c>
      <c r="U43" s="275">
        <v>0</v>
      </c>
      <c r="V43" s="275">
        <v>0</v>
      </c>
      <c r="W43" s="275">
        <v>0</v>
      </c>
      <c r="X43" s="275">
        <v>0</v>
      </c>
      <c r="Y43" s="275">
        <v>0</v>
      </c>
      <c r="Z43" s="275">
        <v>0</v>
      </c>
      <c r="AA43" s="275">
        <v>0</v>
      </c>
      <c r="AB43" s="275">
        <v>0</v>
      </c>
      <c r="AC43" s="24">
        <v>7449173502.4730606</v>
      </c>
      <c r="AD43" s="91">
        <v>205</v>
      </c>
    </row>
    <row r="44" spans="1:30">
      <c r="A44" s="91">
        <v>206</v>
      </c>
      <c r="B44" s="378" t="s">
        <v>812</v>
      </c>
      <c r="C44" s="140">
        <v>2021</v>
      </c>
      <c r="D44" s="275">
        <v>-27333.213864719768</v>
      </c>
      <c r="E44" s="275">
        <v>8586235.2722498812</v>
      </c>
      <c r="F44" s="275">
        <v>112674171.10999994</v>
      </c>
      <c r="G44" s="275">
        <v>10817540.080000006</v>
      </c>
      <c r="H44" s="275">
        <v>1162799450.4200003</v>
      </c>
      <c r="I44" s="275">
        <v>671250.0199999999</v>
      </c>
      <c r="J44" s="275">
        <v>15838005.710000001</v>
      </c>
      <c r="K44" s="275">
        <v>2256231458.0797744</v>
      </c>
      <c r="L44" s="275">
        <v>2258814203.6854348</v>
      </c>
      <c r="M44" s="275">
        <v>495673190.71836096</v>
      </c>
      <c r="N44" s="275">
        <v>1161429750.0263355</v>
      </c>
      <c r="O44" s="275">
        <v>0</v>
      </c>
      <c r="P44" s="275">
        <v>0</v>
      </c>
      <c r="Q44" s="275">
        <v>0</v>
      </c>
      <c r="R44" s="275">
        <v>0</v>
      </c>
      <c r="S44" s="275">
        <v>0</v>
      </c>
      <c r="T44" s="275">
        <v>0</v>
      </c>
      <c r="U44" s="275">
        <v>0</v>
      </c>
      <c r="V44" s="275">
        <v>0</v>
      </c>
      <c r="W44" s="275">
        <v>0</v>
      </c>
      <c r="X44" s="275">
        <v>0</v>
      </c>
      <c r="Y44" s="275">
        <v>0</v>
      </c>
      <c r="Z44" s="275">
        <v>0</v>
      </c>
      <c r="AA44" s="275">
        <v>0</v>
      </c>
      <c r="AB44" s="275">
        <v>0</v>
      </c>
      <c r="AC44" s="24">
        <v>7483507921.9082918</v>
      </c>
      <c r="AD44" s="91">
        <v>206</v>
      </c>
    </row>
    <row r="45" spans="1:30">
      <c r="A45" s="91">
        <v>207</v>
      </c>
      <c r="B45" s="378" t="s">
        <v>528</v>
      </c>
      <c r="C45" s="140">
        <v>2021</v>
      </c>
      <c r="D45" s="275">
        <v>-29068.217018060615</v>
      </c>
      <c r="E45" s="275">
        <v>8750042.9399199076</v>
      </c>
      <c r="F45" s="275">
        <v>113244413.2400001</v>
      </c>
      <c r="G45" s="275">
        <v>10874209.400000008</v>
      </c>
      <c r="H45" s="275">
        <v>1167779546.599999</v>
      </c>
      <c r="I45" s="275">
        <v>678556.02999999991</v>
      </c>
      <c r="J45" s="275">
        <v>16005178.970000001</v>
      </c>
      <c r="K45" s="275">
        <v>2270979404.4181962</v>
      </c>
      <c r="L45" s="275">
        <v>2264923389.4522543</v>
      </c>
      <c r="M45" s="275">
        <v>497821756.11598557</v>
      </c>
      <c r="N45" s="275">
        <v>1166038144.3837123</v>
      </c>
      <c r="O45" s="275">
        <v>0</v>
      </c>
      <c r="P45" s="275">
        <v>0</v>
      </c>
      <c r="Q45" s="275">
        <v>0</v>
      </c>
      <c r="R45" s="275">
        <v>0</v>
      </c>
      <c r="S45" s="275">
        <v>0</v>
      </c>
      <c r="T45" s="275">
        <v>0</v>
      </c>
      <c r="U45" s="275">
        <v>0</v>
      </c>
      <c r="V45" s="275">
        <v>0</v>
      </c>
      <c r="W45" s="275">
        <v>0</v>
      </c>
      <c r="X45" s="275">
        <v>0</v>
      </c>
      <c r="Y45" s="275">
        <v>0</v>
      </c>
      <c r="Z45" s="275">
        <v>0</v>
      </c>
      <c r="AA45" s="275">
        <v>0</v>
      </c>
      <c r="AB45" s="275">
        <v>0</v>
      </c>
      <c r="AC45" s="24">
        <v>7517065573.3330498</v>
      </c>
      <c r="AD45" s="91">
        <v>207</v>
      </c>
    </row>
    <row r="46" spans="1:30">
      <c r="A46" s="91">
        <v>208</v>
      </c>
      <c r="B46" s="378" t="s">
        <v>529</v>
      </c>
      <c r="C46" s="140">
        <v>2021</v>
      </c>
      <c r="D46" s="275">
        <v>-39784.919102653017</v>
      </c>
      <c r="E46" s="275">
        <v>8913816.01098378</v>
      </c>
      <c r="F46" s="275">
        <v>113571641.36000007</v>
      </c>
      <c r="G46" s="275">
        <v>10928328.18999999</v>
      </c>
      <c r="H46" s="275">
        <v>1175882931.2200007</v>
      </c>
      <c r="I46" s="275">
        <v>686029.79</v>
      </c>
      <c r="J46" s="275">
        <v>16172223.880000001</v>
      </c>
      <c r="K46" s="275">
        <v>2285844677.1154842</v>
      </c>
      <c r="L46" s="275">
        <v>2271964506.9551425</v>
      </c>
      <c r="M46" s="275">
        <v>500739846.67347842</v>
      </c>
      <c r="N46" s="275">
        <v>1171161772.8034766</v>
      </c>
      <c r="O46" s="275">
        <v>0</v>
      </c>
      <c r="P46" s="275">
        <v>0</v>
      </c>
      <c r="Q46" s="275">
        <v>0</v>
      </c>
      <c r="R46" s="275">
        <v>0</v>
      </c>
      <c r="S46" s="275">
        <v>0</v>
      </c>
      <c r="T46" s="275">
        <v>0</v>
      </c>
      <c r="U46" s="275">
        <v>0</v>
      </c>
      <c r="V46" s="275">
        <v>0</v>
      </c>
      <c r="W46" s="275">
        <v>0</v>
      </c>
      <c r="X46" s="275">
        <v>0</v>
      </c>
      <c r="Y46" s="275">
        <v>0</v>
      </c>
      <c r="Z46" s="275">
        <v>0</v>
      </c>
      <c r="AA46" s="275">
        <v>0</v>
      </c>
      <c r="AB46" s="275">
        <v>0</v>
      </c>
      <c r="AC46" s="24">
        <v>7555825989.079463</v>
      </c>
      <c r="AD46" s="91">
        <v>208</v>
      </c>
    </row>
    <row r="47" spans="1:30">
      <c r="A47" s="91">
        <v>209</v>
      </c>
      <c r="B47" s="378" t="s">
        <v>530</v>
      </c>
      <c r="C47" s="140">
        <v>2021</v>
      </c>
      <c r="D47" s="275">
        <v>-45035.910550840294</v>
      </c>
      <c r="E47" s="275">
        <v>9077588.5033035427</v>
      </c>
      <c r="F47" s="275">
        <v>113807522.87000012</v>
      </c>
      <c r="G47" s="275">
        <v>10976068.430000007</v>
      </c>
      <c r="H47" s="275">
        <v>1179214283.029999</v>
      </c>
      <c r="I47" s="275">
        <v>598456.54</v>
      </c>
      <c r="J47" s="275">
        <v>16338548.65</v>
      </c>
      <c r="K47" s="275">
        <v>2300048843.6549006</v>
      </c>
      <c r="L47" s="275">
        <v>2277551223.7170196</v>
      </c>
      <c r="M47" s="275">
        <v>502456186.56179446</v>
      </c>
      <c r="N47" s="275">
        <v>1175052789.6039586</v>
      </c>
      <c r="O47" s="275">
        <v>0</v>
      </c>
      <c r="P47" s="275">
        <v>0</v>
      </c>
      <c r="Q47" s="275">
        <v>0</v>
      </c>
      <c r="R47" s="275">
        <v>0</v>
      </c>
      <c r="S47" s="275">
        <v>0</v>
      </c>
      <c r="T47" s="275">
        <v>0</v>
      </c>
      <c r="U47" s="275">
        <v>0</v>
      </c>
      <c r="V47" s="275">
        <v>0</v>
      </c>
      <c r="W47" s="275">
        <v>0</v>
      </c>
      <c r="X47" s="275">
        <v>0</v>
      </c>
      <c r="Y47" s="275">
        <v>0</v>
      </c>
      <c r="Z47" s="275">
        <v>0</v>
      </c>
      <c r="AA47" s="275">
        <v>0</v>
      </c>
      <c r="AB47" s="275">
        <v>0</v>
      </c>
      <c r="AC47" s="24">
        <v>7585076475.650425</v>
      </c>
      <c r="AD47" s="91">
        <v>209</v>
      </c>
    </row>
    <row r="48" spans="1:30">
      <c r="A48" s="91">
        <v>210</v>
      </c>
      <c r="B48" s="378" t="s">
        <v>531</v>
      </c>
      <c r="C48" s="140">
        <v>2021</v>
      </c>
      <c r="D48" s="275">
        <v>-45703.417623629466</v>
      </c>
      <c r="E48" s="275">
        <v>9241360.8470960576</v>
      </c>
      <c r="F48" s="275">
        <v>114103982.06000008</v>
      </c>
      <c r="G48" s="275">
        <v>11029851.82</v>
      </c>
      <c r="H48" s="275">
        <v>1187251276.2199996</v>
      </c>
      <c r="I48" s="275">
        <v>601079.39000000013</v>
      </c>
      <c r="J48" s="275">
        <v>16505478.929999998</v>
      </c>
      <c r="K48" s="275">
        <v>2309500629.0232725</v>
      </c>
      <c r="L48" s="275">
        <v>2281610301.313767</v>
      </c>
      <c r="M48" s="275">
        <v>505409240.39689076</v>
      </c>
      <c r="N48" s="275">
        <v>1180995552.0669806</v>
      </c>
      <c r="O48" s="275">
        <v>0</v>
      </c>
      <c r="P48" s="275">
        <v>0</v>
      </c>
      <c r="Q48" s="275">
        <v>0</v>
      </c>
      <c r="R48" s="275">
        <v>0</v>
      </c>
      <c r="S48" s="275">
        <v>0</v>
      </c>
      <c r="T48" s="275">
        <v>0</v>
      </c>
      <c r="U48" s="275">
        <v>0</v>
      </c>
      <c r="V48" s="275">
        <v>0</v>
      </c>
      <c r="W48" s="275">
        <v>0</v>
      </c>
      <c r="X48" s="275">
        <v>0</v>
      </c>
      <c r="Y48" s="275">
        <v>0</v>
      </c>
      <c r="Z48" s="275">
        <v>0</v>
      </c>
      <c r="AA48" s="275">
        <v>0</v>
      </c>
      <c r="AB48" s="275">
        <v>0</v>
      </c>
      <c r="AC48" s="24">
        <v>7616203048.650383</v>
      </c>
      <c r="AD48" s="91">
        <v>210</v>
      </c>
    </row>
    <row r="49" spans="1:30">
      <c r="A49" s="91">
        <v>211</v>
      </c>
      <c r="B49" s="378" t="s">
        <v>532</v>
      </c>
      <c r="C49" s="140">
        <v>2021</v>
      </c>
      <c r="D49" s="275">
        <v>-46641.520860675388</v>
      </c>
      <c r="E49" s="275">
        <v>9405133.8976734076</v>
      </c>
      <c r="F49" s="275">
        <v>114488298.35000016</v>
      </c>
      <c r="G49" s="275">
        <v>11126635.459999999</v>
      </c>
      <c r="H49" s="275">
        <v>1189275472.0900011</v>
      </c>
      <c r="I49" s="275">
        <v>603724.80000000028</v>
      </c>
      <c r="J49" s="275">
        <v>16671290.410000002</v>
      </c>
      <c r="K49" s="275">
        <v>2324245132.0563521</v>
      </c>
      <c r="L49" s="275">
        <v>2288248858.1487498</v>
      </c>
      <c r="M49" s="275">
        <v>507665429.33956903</v>
      </c>
      <c r="N49" s="275">
        <v>1185544742.8838384</v>
      </c>
      <c r="O49" s="275">
        <v>0</v>
      </c>
      <c r="P49" s="275">
        <v>0</v>
      </c>
      <c r="Q49" s="275">
        <v>0</v>
      </c>
      <c r="R49" s="275">
        <v>0</v>
      </c>
      <c r="S49" s="275">
        <v>0</v>
      </c>
      <c r="T49" s="275">
        <v>0</v>
      </c>
      <c r="U49" s="275">
        <v>0</v>
      </c>
      <c r="V49" s="275">
        <v>0</v>
      </c>
      <c r="W49" s="275">
        <v>0</v>
      </c>
      <c r="X49" s="275">
        <v>0</v>
      </c>
      <c r="Y49" s="275">
        <v>0</v>
      </c>
      <c r="Z49" s="275">
        <v>0</v>
      </c>
      <c r="AA49" s="275">
        <v>0</v>
      </c>
      <c r="AB49" s="275">
        <v>0</v>
      </c>
      <c r="AC49" s="24">
        <v>7647228075.9153233</v>
      </c>
      <c r="AD49" s="91">
        <v>211</v>
      </c>
    </row>
    <row r="50" spans="1:30">
      <c r="A50" s="91">
        <v>212</v>
      </c>
      <c r="B50" s="378" t="s">
        <v>520</v>
      </c>
      <c r="C50" s="140">
        <v>2021</v>
      </c>
      <c r="D50" s="275">
        <v>-79307.436647984388</v>
      </c>
      <c r="E50" s="275">
        <v>9569548.9752176218</v>
      </c>
      <c r="F50" s="275">
        <v>114665948.34000027</v>
      </c>
      <c r="G50" s="275">
        <v>11131641.540000005</v>
      </c>
      <c r="H50" s="275">
        <v>1196338603.2199993</v>
      </c>
      <c r="I50" s="275">
        <v>585947.57000000007</v>
      </c>
      <c r="J50" s="275">
        <v>16837101.329999998</v>
      </c>
      <c r="K50" s="275">
        <v>2342642311.6242685</v>
      </c>
      <c r="L50" s="275">
        <v>2296097593.8968654</v>
      </c>
      <c r="M50" s="275">
        <v>510139089.12272871</v>
      </c>
      <c r="N50" s="275">
        <v>1188040419.3825929</v>
      </c>
      <c r="O50" s="275">
        <v>0</v>
      </c>
      <c r="P50" s="275">
        <v>0</v>
      </c>
      <c r="Q50" s="275">
        <v>0</v>
      </c>
      <c r="R50" s="275">
        <v>0</v>
      </c>
      <c r="S50" s="275">
        <v>0</v>
      </c>
      <c r="T50" s="275">
        <v>0</v>
      </c>
      <c r="U50" s="275">
        <v>0</v>
      </c>
      <c r="V50" s="275">
        <v>0</v>
      </c>
      <c r="W50" s="275">
        <v>0</v>
      </c>
      <c r="X50" s="275">
        <v>0</v>
      </c>
      <c r="Y50" s="275">
        <v>0</v>
      </c>
      <c r="Z50" s="275">
        <v>0</v>
      </c>
      <c r="AA50" s="275">
        <v>0</v>
      </c>
      <c r="AB50" s="275">
        <v>0</v>
      </c>
      <c r="AC50" s="24">
        <v>7685968897.5650244</v>
      </c>
      <c r="AD50" s="91">
        <v>212</v>
      </c>
    </row>
    <row r="51" spans="1:30">
      <c r="A51" s="91">
        <v>213</v>
      </c>
      <c r="B51" s="664" t="s">
        <v>813</v>
      </c>
      <c r="C51" s="488"/>
      <c r="D51" s="661">
        <v>-25942.799448602062</v>
      </c>
      <c r="E51" s="661">
        <v>8586251.5909428559</v>
      </c>
      <c r="F51" s="661">
        <v>112965470.64384626</v>
      </c>
      <c r="G51" s="661">
        <v>10849465.456923077</v>
      </c>
      <c r="H51" s="661">
        <v>1162363700.9269233</v>
      </c>
      <c r="I51" s="661">
        <v>638678.84692307701</v>
      </c>
      <c r="J51" s="661">
        <v>15837551.260769229</v>
      </c>
      <c r="K51" s="661">
        <v>2253911908.0014129</v>
      </c>
      <c r="L51" s="661">
        <v>2261076835.7667251</v>
      </c>
      <c r="M51" s="661">
        <v>495725796.60130018</v>
      </c>
      <c r="N51" s="661">
        <v>1160633271.7059712</v>
      </c>
      <c r="O51" s="661">
        <v>0</v>
      </c>
      <c r="P51" s="661">
        <v>0</v>
      </c>
      <c r="Q51" s="661">
        <v>0</v>
      </c>
      <c r="R51" s="661">
        <v>0</v>
      </c>
      <c r="S51" s="661">
        <v>0</v>
      </c>
      <c r="T51" s="661">
        <v>0</v>
      </c>
      <c r="U51" s="661">
        <v>0</v>
      </c>
      <c r="V51" s="661">
        <v>0</v>
      </c>
      <c r="W51" s="661">
        <v>0</v>
      </c>
      <c r="X51" s="661">
        <v>0</v>
      </c>
      <c r="Y51" s="661">
        <v>0</v>
      </c>
      <c r="Z51" s="661">
        <v>0</v>
      </c>
      <c r="AA51" s="661">
        <v>0</v>
      </c>
      <c r="AB51" s="661">
        <v>0</v>
      </c>
      <c r="AC51" s="661">
        <v>7482562988.0022888</v>
      </c>
      <c r="AD51" s="91">
        <v>213</v>
      </c>
    </row>
    <row r="52" spans="1:30">
      <c r="A52" s="18"/>
      <c r="B52" s="8"/>
      <c r="C52" s="8"/>
      <c r="D52" s="8"/>
      <c r="E52" s="8"/>
      <c r="F52" s="8"/>
      <c r="G52" s="8"/>
      <c r="H52" s="8"/>
      <c r="I52" s="8"/>
      <c r="J52" s="8"/>
      <c r="K52" s="8"/>
      <c r="L52" s="8"/>
      <c r="M52" s="8"/>
      <c r="N52" s="8"/>
      <c r="O52" s="8"/>
      <c r="P52" s="8"/>
      <c r="Q52" s="8"/>
      <c r="AD52" s="91"/>
    </row>
    <row r="53" spans="1:30">
      <c r="A53" s="18"/>
      <c r="B53" s="8"/>
      <c r="C53" s="8"/>
      <c r="D53" s="8"/>
      <c r="E53" s="8"/>
      <c r="F53" s="8"/>
      <c r="G53" s="8"/>
      <c r="H53" s="8"/>
      <c r="I53" s="8"/>
      <c r="J53" s="8"/>
      <c r="K53" s="8"/>
      <c r="L53" s="8"/>
      <c r="M53" s="8"/>
      <c r="N53" s="8"/>
      <c r="O53" s="8"/>
      <c r="P53" s="8"/>
      <c r="Q53" s="8"/>
      <c r="AD53" s="91"/>
    </row>
    <row r="54" spans="1:30">
      <c r="B54" s="45" t="s">
        <v>965</v>
      </c>
      <c r="C54" s="45"/>
      <c r="D54" s="103"/>
      <c r="E54" s="103"/>
      <c r="F54" s="103"/>
      <c r="G54" s="103"/>
      <c r="H54" s="43"/>
      <c r="I54" s="103"/>
      <c r="J54" s="103"/>
      <c r="K54" s="103"/>
      <c r="L54" s="103"/>
      <c r="M54" s="103"/>
      <c r="N54" s="103"/>
      <c r="O54" s="103"/>
      <c r="P54" s="103"/>
      <c r="Q54" s="103"/>
      <c r="R54" s="43"/>
      <c r="S54" s="43"/>
      <c r="T54" s="43"/>
      <c r="U54" s="43"/>
      <c r="V54" s="43"/>
      <c r="W54" s="43"/>
      <c r="X54" s="43"/>
      <c r="Y54" s="43"/>
      <c r="Z54" s="43"/>
      <c r="AA54" s="43"/>
      <c r="AB54" s="43"/>
      <c r="AC54" s="43"/>
    </row>
    <row r="55" spans="1:30">
      <c r="B55" s="378" t="s">
        <v>964</v>
      </c>
      <c r="C55" s="2"/>
      <c r="D55" s="8"/>
      <c r="E55" s="8"/>
      <c r="I55" s="8"/>
      <c r="J55" s="8"/>
      <c r="K55" s="8"/>
      <c r="L55" s="8"/>
      <c r="M55" s="8"/>
      <c r="N55" s="8"/>
      <c r="O55" s="8"/>
      <c r="P55" s="8"/>
      <c r="Q55" s="8"/>
    </row>
    <row r="56" spans="1:30">
      <c r="C56" s="2"/>
      <c r="D56" s="8"/>
      <c r="E56" s="8"/>
      <c r="F56" s="8"/>
      <c r="G56" s="8"/>
      <c r="I56" s="8"/>
      <c r="J56" s="8"/>
      <c r="K56" s="8"/>
      <c r="L56" s="8"/>
      <c r="M56" s="8"/>
      <c r="N56" s="8"/>
      <c r="O56" s="8"/>
      <c r="P56" s="8"/>
      <c r="Q56" s="8"/>
    </row>
    <row r="57" spans="1:30">
      <c r="B57" s="378"/>
      <c r="C57" s="2"/>
      <c r="D57" s="8"/>
      <c r="E57" s="8"/>
      <c r="F57" s="8"/>
      <c r="G57" s="8"/>
      <c r="I57" s="8"/>
      <c r="J57" s="8"/>
      <c r="K57" s="8"/>
      <c r="L57" s="8"/>
      <c r="M57" s="8"/>
      <c r="N57" s="8"/>
      <c r="O57" s="8"/>
      <c r="P57" s="8"/>
      <c r="Q57" s="8"/>
    </row>
    <row r="58" spans="1:30">
      <c r="A58" s="4"/>
      <c r="D58" s="83" t="s">
        <v>122</v>
      </c>
      <c r="E58" s="83" t="s">
        <v>123</v>
      </c>
      <c r="F58" s="83" t="s">
        <v>124</v>
      </c>
      <c r="G58" s="83" t="s">
        <v>125</v>
      </c>
      <c r="H58" s="83" t="s">
        <v>490</v>
      </c>
      <c r="I58" s="83" t="s">
        <v>491</v>
      </c>
      <c r="J58" s="83" t="s">
        <v>492</v>
      </c>
      <c r="K58" s="83" t="s">
        <v>493</v>
      </c>
      <c r="L58" s="83" t="s">
        <v>494</v>
      </c>
      <c r="M58" s="83" t="s">
        <v>768</v>
      </c>
      <c r="N58" s="83" t="s">
        <v>769</v>
      </c>
      <c r="O58" s="83" t="s">
        <v>770</v>
      </c>
      <c r="P58" s="83" t="s">
        <v>771</v>
      </c>
      <c r="Q58" s="83" t="s">
        <v>772</v>
      </c>
      <c r="R58" s="83" t="s">
        <v>773</v>
      </c>
      <c r="S58" s="83" t="s">
        <v>774</v>
      </c>
      <c r="T58" s="83" t="s">
        <v>775</v>
      </c>
      <c r="U58" s="83" t="s">
        <v>776</v>
      </c>
      <c r="V58" s="83" t="s">
        <v>777</v>
      </c>
      <c r="W58" s="83" t="s">
        <v>778</v>
      </c>
      <c r="X58" s="83" t="s">
        <v>779</v>
      </c>
      <c r="Y58" s="83" t="s">
        <v>780</v>
      </c>
      <c r="Z58" s="83" t="s">
        <v>781</v>
      </c>
      <c r="AA58" s="83" t="s">
        <v>782</v>
      </c>
      <c r="AB58" s="83" t="s">
        <v>783</v>
      </c>
      <c r="AC58" s="83" t="s">
        <v>784</v>
      </c>
      <c r="AD58" s="91"/>
    </row>
    <row r="59" spans="1:30" ht="43.5">
      <c r="B59" s="4"/>
      <c r="C59" s="4"/>
      <c r="D59" s="380" t="s">
        <v>842</v>
      </c>
      <c r="E59" s="380" t="s">
        <v>843</v>
      </c>
      <c r="F59" s="380" t="s">
        <v>844</v>
      </c>
      <c r="G59" s="380" t="s">
        <v>845</v>
      </c>
      <c r="H59" s="380" t="s">
        <v>846</v>
      </c>
      <c r="I59" s="380" t="s">
        <v>847</v>
      </c>
      <c r="J59" s="380" t="s">
        <v>848</v>
      </c>
      <c r="K59" s="380" t="s">
        <v>849</v>
      </c>
      <c r="L59" s="380" t="s">
        <v>850</v>
      </c>
      <c r="M59" s="380" t="s">
        <v>851</v>
      </c>
      <c r="N59" s="380" t="s">
        <v>852</v>
      </c>
      <c r="O59" s="380" t="s">
        <v>853</v>
      </c>
      <c r="P59" s="380" t="s">
        <v>854</v>
      </c>
      <c r="Q59" s="380" t="s">
        <v>855</v>
      </c>
      <c r="R59" s="380" t="s">
        <v>856</v>
      </c>
      <c r="S59" s="380" t="s">
        <v>857</v>
      </c>
      <c r="T59" s="380" t="s">
        <v>858</v>
      </c>
      <c r="U59" s="380" t="s">
        <v>859</v>
      </c>
      <c r="V59" s="380" t="s">
        <v>860</v>
      </c>
      <c r="W59" s="380" t="s">
        <v>861</v>
      </c>
      <c r="X59" s="380" t="s">
        <v>862</v>
      </c>
      <c r="Y59" s="380" t="s">
        <v>863</v>
      </c>
      <c r="Z59" s="380" t="s">
        <v>864</v>
      </c>
      <c r="AA59" s="380" t="s">
        <v>865</v>
      </c>
      <c r="AB59" s="380" t="s">
        <v>866</v>
      </c>
      <c r="AC59" s="133" t="s">
        <v>785</v>
      </c>
      <c r="AD59" s="91"/>
    </row>
    <row r="60" spans="1:30">
      <c r="B60" s="4"/>
      <c r="C60" s="4"/>
      <c r="L60" s="107"/>
      <c r="R60" s="21"/>
      <c r="S60" s="21"/>
      <c r="T60" s="21"/>
      <c r="AC60" s="21"/>
      <c r="AD60" s="91"/>
    </row>
    <row r="61" spans="1:30">
      <c r="A61" s="91"/>
      <c r="B61" s="91"/>
      <c r="C61" s="90" t="s">
        <v>786</v>
      </c>
      <c r="D61" s="84">
        <v>360</v>
      </c>
      <c r="E61" s="84">
        <v>360</v>
      </c>
      <c r="F61" s="84">
        <v>361</v>
      </c>
      <c r="G61" s="84">
        <v>361</v>
      </c>
      <c r="H61" s="84">
        <v>362</v>
      </c>
      <c r="I61" s="84">
        <v>363</v>
      </c>
      <c r="J61" s="84">
        <v>363</v>
      </c>
      <c r="K61" s="84">
        <v>364</v>
      </c>
      <c r="L61" s="84">
        <v>365</v>
      </c>
      <c r="M61" s="84">
        <v>366</v>
      </c>
      <c r="N61" s="84">
        <v>367</v>
      </c>
      <c r="O61" s="84">
        <v>368</v>
      </c>
      <c r="P61" s="84">
        <v>368</v>
      </c>
      <c r="Q61" s="84">
        <v>369</v>
      </c>
      <c r="R61" s="84">
        <v>369</v>
      </c>
      <c r="S61" s="84">
        <v>370</v>
      </c>
      <c r="T61" s="84">
        <v>370</v>
      </c>
      <c r="U61" s="84">
        <v>371</v>
      </c>
      <c r="V61" s="84">
        <v>371</v>
      </c>
      <c r="W61" s="84">
        <v>371</v>
      </c>
      <c r="X61" s="84">
        <v>372</v>
      </c>
      <c r="Y61" s="84">
        <v>373</v>
      </c>
      <c r="Z61" s="84">
        <v>373</v>
      </c>
      <c r="AA61" s="84">
        <v>373</v>
      </c>
      <c r="AB61" s="84">
        <v>373</v>
      </c>
      <c r="AD61" s="91"/>
    </row>
    <row r="62" spans="1:30">
      <c r="A62" s="80" t="s">
        <v>90</v>
      </c>
      <c r="B62" s="80" t="s">
        <v>511</v>
      </c>
      <c r="C62" s="80" t="s">
        <v>512</v>
      </c>
      <c r="D62" s="83" t="s">
        <v>787</v>
      </c>
      <c r="E62" s="83" t="s">
        <v>788</v>
      </c>
      <c r="F62" s="83" t="s">
        <v>789</v>
      </c>
      <c r="G62" s="83" t="s">
        <v>790</v>
      </c>
      <c r="H62" s="83" t="s">
        <v>791</v>
      </c>
      <c r="I62" s="83" t="s">
        <v>792</v>
      </c>
      <c r="J62" s="83" t="s">
        <v>793</v>
      </c>
      <c r="K62" s="83" t="s">
        <v>794</v>
      </c>
      <c r="L62" s="83" t="s">
        <v>795</v>
      </c>
      <c r="M62" s="83" t="s">
        <v>796</v>
      </c>
      <c r="N62" s="83" t="s">
        <v>797</v>
      </c>
      <c r="O62" s="83" t="s">
        <v>798</v>
      </c>
      <c r="P62" s="83" t="s">
        <v>799</v>
      </c>
      <c r="Q62" s="83" t="s">
        <v>800</v>
      </c>
      <c r="R62" s="83" t="s">
        <v>801</v>
      </c>
      <c r="S62" s="83" t="s">
        <v>802</v>
      </c>
      <c r="T62" s="83" t="s">
        <v>803</v>
      </c>
      <c r="U62" s="83" t="s">
        <v>804</v>
      </c>
      <c r="V62" s="83" t="s">
        <v>805</v>
      </c>
      <c r="W62" s="83" t="s">
        <v>806</v>
      </c>
      <c r="X62" s="83" t="s">
        <v>807</v>
      </c>
      <c r="Y62" s="83" t="s">
        <v>808</v>
      </c>
      <c r="Z62" s="83" t="s">
        <v>809</v>
      </c>
      <c r="AA62" s="83" t="s">
        <v>810</v>
      </c>
      <c r="AB62" s="83" t="s">
        <v>811</v>
      </c>
      <c r="AC62" s="80" t="s">
        <v>534</v>
      </c>
      <c r="AD62" s="80" t="s">
        <v>90</v>
      </c>
    </row>
    <row r="63" spans="1:30">
      <c r="A63" s="91">
        <v>300</v>
      </c>
      <c r="B63" s="378" t="s">
        <v>520</v>
      </c>
      <c r="C63" s="140">
        <v>2020</v>
      </c>
      <c r="D63" s="275">
        <v>10.922671920149524</v>
      </c>
      <c r="E63" s="275">
        <v>7242329.268843757</v>
      </c>
      <c r="F63" s="275">
        <v>0</v>
      </c>
      <c r="G63" s="275">
        <v>0</v>
      </c>
      <c r="H63" s="275">
        <v>0</v>
      </c>
      <c r="I63" s="275">
        <v>0</v>
      </c>
      <c r="J63" s="275">
        <v>0</v>
      </c>
      <c r="K63" s="275">
        <v>546006644.02860868</v>
      </c>
      <c r="L63" s="275">
        <v>563033079.56852973</v>
      </c>
      <c r="M63" s="275">
        <v>751751780.19300199</v>
      </c>
      <c r="N63" s="275">
        <v>1763750526.8949904</v>
      </c>
      <c r="O63" s="275">
        <v>1006636449.2200009</v>
      </c>
      <c r="P63" s="275">
        <v>356273171.3300001</v>
      </c>
      <c r="Q63" s="275">
        <v>751224092.45000112</v>
      </c>
      <c r="R63" s="275">
        <v>1613948215.6699991</v>
      </c>
      <c r="S63" s="275">
        <v>0</v>
      </c>
      <c r="T63" s="275">
        <v>0</v>
      </c>
      <c r="U63" s="275">
        <v>0</v>
      </c>
      <c r="V63" s="275">
        <v>0</v>
      </c>
      <c r="W63" s="275">
        <v>0</v>
      </c>
      <c r="X63" s="275">
        <v>0</v>
      </c>
      <c r="Y63" s="275">
        <v>0</v>
      </c>
      <c r="Z63" s="275">
        <v>0</v>
      </c>
      <c r="AA63" s="275">
        <v>0</v>
      </c>
      <c r="AB63" s="275">
        <v>0</v>
      </c>
      <c r="AC63" s="24">
        <v>7359866299.5466471</v>
      </c>
      <c r="AD63" s="91">
        <v>300</v>
      </c>
    </row>
    <row r="64" spans="1:30">
      <c r="A64" s="91">
        <v>301</v>
      </c>
      <c r="B64" s="378" t="s">
        <v>522</v>
      </c>
      <c r="C64" s="140">
        <v>2021</v>
      </c>
      <c r="D64" s="275">
        <v>10.942185402811685</v>
      </c>
      <c r="E64" s="275">
        <v>7398309.1265732264</v>
      </c>
      <c r="F64" s="275">
        <v>0</v>
      </c>
      <c r="G64" s="275">
        <v>0</v>
      </c>
      <c r="H64" s="275">
        <v>0</v>
      </c>
      <c r="I64" s="275">
        <v>0</v>
      </c>
      <c r="J64" s="275">
        <v>0</v>
      </c>
      <c r="K64" s="275">
        <v>550924652.71794355</v>
      </c>
      <c r="L64" s="275">
        <v>565191366.57478809</v>
      </c>
      <c r="M64" s="275">
        <v>755084656.20174789</v>
      </c>
      <c r="N64" s="275">
        <v>1770898679.4945014</v>
      </c>
      <c r="O64" s="275">
        <v>1012167591.9200001</v>
      </c>
      <c r="P64" s="275">
        <v>359446480.3300001</v>
      </c>
      <c r="Q64" s="275">
        <v>754211892.03000069</v>
      </c>
      <c r="R64" s="275">
        <v>1619896785.6499987</v>
      </c>
      <c r="S64" s="275">
        <v>0</v>
      </c>
      <c r="T64" s="275">
        <v>0</v>
      </c>
      <c r="U64" s="275">
        <v>0</v>
      </c>
      <c r="V64" s="275">
        <v>0</v>
      </c>
      <c r="W64" s="275">
        <v>0</v>
      </c>
      <c r="X64" s="275">
        <v>0</v>
      </c>
      <c r="Y64" s="275">
        <v>0</v>
      </c>
      <c r="Z64" s="275">
        <v>0</v>
      </c>
      <c r="AA64" s="275">
        <v>0</v>
      </c>
      <c r="AB64" s="275">
        <v>0</v>
      </c>
      <c r="AC64" s="24">
        <v>7395220424.9877386</v>
      </c>
      <c r="AD64" s="91">
        <v>301</v>
      </c>
    </row>
    <row r="65" spans="1:30">
      <c r="A65" s="91">
        <v>302</v>
      </c>
      <c r="B65" s="378" t="s">
        <v>523</v>
      </c>
      <c r="C65" s="140">
        <v>2021</v>
      </c>
      <c r="D65" s="275">
        <v>10.937307032146133</v>
      </c>
      <c r="E65" s="275">
        <v>7554305.053655657</v>
      </c>
      <c r="F65" s="275">
        <v>0</v>
      </c>
      <c r="G65" s="275">
        <v>0</v>
      </c>
      <c r="H65" s="275">
        <v>0</v>
      </c>
      <c r="I65" s="275">
        <v>0</v>
      </c>
      <c r="J65" s="275">
        <v>0</v>
      </c>
      <c r="K65" s="275">
        <v>555576657.46719587</v>
      </c>
      <c r="L65" s="275">
        <v>567140568.37646472</v>
      </c>
      <c r="M65" s="275">
        <v>759019026.63326907</v>
      </c>
      <c r="N65" s="275">
        <v>1779365883.1021447</v>
      </c>
      <c r="O65" s="275">
        <v>1018910363.1399995</v>
      </c>
      <c r="P65" s="275">
        <v>362424553.52999991</v>
      </c>
      <c r="Q65" s="275">
        <v>757204897.70999992</v>
      </c>
      <c r="R65" s="275">
        <v>1623959984.5400012</v>
      </c>
      <c r="S65" s="275">
        <v>0</v>
      </c>
      <c r="T65" s="275">
        <v>0</v>
      </c>
      <c r="U65" s="275">
        <v>0</v>
      </c>
      <c r="V65" s="275">
        <v>0</v>
      </c>
      <c r="W65" s="275">
        <v>0</v>
      </c>
      <c r="X65" s="275">
        <v>0</v>
      </c>
      <c r="Y65" s="275">
        <v>0</v>
      </c>
      <c r="Z65" s="275">
        <v>0</v>
      </c>
      <c r="AA65" s="275">
        <v>0</v>
      </c>
      <c r="AB65" s="275">
        <v>0</v>
      </c>
      <c r="AC65" s="24">
        <v>7431156250.490037</v>
      </c>
      <c r="AD65" s="91">
        <v>302</v>
      </c>
    </row>
    <row r="66" spans="1:30">
      <c r="A66" s="91">
        <v>303</v>
      </c>
      <c r="B66" s="378" t="s">
        <v>524</v>
      </c>
      <c r="C66" s="140">
        <v>2021</v>
      </c>
      <c r="D66" s="275">
        <v>10.864131472163008</v>
      </c>
      <c r="E66" s="275">
        <v>7710335.0805490473</v>
      </c>
      <c r="F66" s="275">
        <v>0</v>
      </c>
      <c r="G66" s="275">
        <v>0</v>
      </c>
      <c r="H66" s="275">
        <v>0</v>
      </c>
      <c r="I66" s="275">
        <v>0</v>
      </c>
      <c r="J66" s="275">
        <v>0</v>
      </c>
      <c r="K66" s="275">
        <v>558652996.96997893</v>
      </c>
      <c r="L66" s="275">
        <v>567925170.0521059</v>
      </c>
      <c r="M66" s="275">
        <v>762689777.9058454</v>
      </c>
      <c r="N66" s="275">
        <v>1790877213.1703081</v>
      </c>
      <c r="O66" s="275">
        <v>1023152389.4799995</v>
      </c>
      <c r="P66" s="275">
        <v>365035614.32999986</v>
      </c>
      <c r="Q66" s="275">
        <v>759752889.91000009</v>
      </c>
      <c r="R66" s="275">
        <v>1629927011.7300005</v>
      </c>
      <c r="S66" s="275">
        <v>0</v>
      </c>
      <c r="T66" s="275">
        <v>0</v>
      </c>
      <c r="U66" s="275">
        <v>0</v>
      </c>
      <c r="V66" s="275">
        <v>0</v>
      </c>
      <c r="W66" s="275">
        <v>0</v>
      </c>
      <c r="X66" s="275">
        <v>0</v>
      </c>
      <c r="Y66" s="275">
        <v>0</v>
      </c>
      <c r="Z66" s="275">
        <v>0</v>
      </c>
      <c r="AA66" s="275">
        <v>0</v>
      </c>
      <c r="AB66" s="275">
        <v>0</v>
      </c>
      <c r="AC66" s="24">
        <v>7465723409.492919</v>
      </c>
      <c r="AD66" s="91">
        <v>303</v>
      </c>
    </row>
    <row r="67" spans="1:30">
      <c r="A67" s="91">
        <v>304</v>
      </c>
      <c r="B67" s="378" t="s">
        <v>525</v>
      </c>
      <c r="C67" s="140">
        <v>2021</v>
      </c>
      <c r="D67" s="275">
        <v>10.922671920149531</v>
      </c>
      <c r="E67" s="275">
        <v>7866365.1171991769</v>
      </c>
      <c r="F67" s="275">
        <v>0</v>
      </c>
      <c r="G67" s="275">
        <v>0</v>
      </c>
      <c r="H67" s="275">
        <v>0</v>
      </c>
      <c r="I67" s="275">
        <v>0</v>
      </c>
      <c r="J67" s="275">
        <v>0</v>
      </c>
      <c r="K67" s="275">
        <v>562723239.3393122</v>
      </c>
      <c r="L67" s="275">
        <v>569016206.53077328</v>
      </c>
      <c r="M67" s="275">
        <v>766452047.1465472</v>
      </c>
      <c r="N67" s="275">
        <v>1798069766.8614311</v>
      </c>
      <c r="O67" s="275">
        <v>1028299270.0899994</v>
      </c>
      <c r="P67" s="275">
        <v>367755618.94000012</v>
      </c>
      <c r="Q67" s="275">
        <v>762577996.21000147</v>
      </c>
      <c r="R67" s="275">
        <v>1635707976.0099988</v>
      </c>
      <c r="S67" s="275">
        <v>0</v>
      </c>
      <c r="T67" s="275">
        <v>0</v>
      </c>
      <c r="U67" s="275">
        <v>0</v>
      </c>
      <c r="V67" s="275">
        <v>0</v>
      </c>
      <c r="W67" s="275">
        <v>0</v>
      </c>
      <c r="X67" s="275">
        <v>0</v>
      </c>
      <c r="Y67" s="275">
        <v>0</v>
      </c>
      <c r="Z67" s="275">
        <v>0</v>
      </c>
      <c r="AA67" s="275">
        <v>0</v>
      </c>
      <c r="AB67" s="275">
        <v>0</v>
      </c>
      <c r="AC67" s="24">
        <v>7498468497.1679344</v>
      </c>
      <c r="AD67" s="91">
        <v>304</v>
      </c>
    </row>
    <row r="68" spans="1:30">
      <c r="A68" s="91">
        <v>305</v>
      </c>
      <c r="B68" s="378" t="s">
        <v>526</v>
      </c>
      <c r="C68" s="140">
        <v>2021</v>
      </c>
      <c r="D68" s="275">
        <v>-23278.301804483508</v>
      </c>
      <c r="E68" s="275">
        <v>8022393.0073662177</v>
      </c>
      <c r="F68" s="275">
        <v>0</v>
      </c>
      <c r="G68" s="275">
        <v>0</v>
      </c>
      <c r="H68" s="275">
        <v>0</v>
      </c>
      <c r="I68" s="275">
        <v>0</v>
      </c>
      <c r="J68" s="275">
        <v>0</v>
      </c>
      <c r="K68" s="275">
        <v>566857778.53083134</v>
      </c>
      <c r="L68" s="275">
        <v>569990541.18915248</v>
      </c>
      <c r="M68" s="275">
        <v>769952102.25149179</v>
      </c>
      <c r="N68" s="275">
        <v>1804880334.8198926</v>
      </c>
      <c r="O68" s="275">
        <v>1032237163.6999995</v>
      </c>
      <c r="P68" s="275">
        <v>370707821.55000013</v>
      </c>
      <c r="Q68" s="275">
        <v>765315345.13999951</v>
      </c>
      <c r="R68" s="275">
        <v>1640955239.4599981</v>
      </c>
      <c r="S68" s="275">
        <v>0</v>
      </c>
      <c r="T68" s="275">
        <v>0</v>
      </c>
      <c r="U68" s="275">
        <v>0</v>
      </c>
      <c r="V68" s="275">
        <v>0</v>
      </c>
      <c r="W68" s="275">
        <v>0</v>
      </c>
      <c r="X68" s="275">
        <v>0</v>
      </c>
      <c r="Y68" s="275">
        <v>0</v>
      </c>
      <c r="Z68" s="275">
        <v>0</v>
      </c>
      <c r="AA68" s="275">
        <v>0</v>
      </c>
      <c r="AB68" s="275">
        <v>0</v>
      </c>
      <c r="AC68" s="24">
        <v>7528895441.3469276</v>
      </c>
      <c r="AD68" s="91">
        <v>305</v>
      </c>
    </row>
    <row r="69" spans="1:30">
      <c r="A69" s="91">
        <v>306</v>
      </c>
      <c r="B69" s="378" t="s">
        <v>812</v>
      </c>
      <c r="C69" s="140">
        <v>2021</v>
      </c>
      <c r="D69" s="275">
        <v>-26034.986135280236</v>
      </c>
      <c r="E69" s="275">
        <v>8178420.4877501195</v>
      </c>
      <c r="F69" s="275">
        <v>0</v>
      </c>
      <c r="G69" s="275">
        <v>0</v>
      </c>
      <c r="H69" s="275">
        <v>0</v>
      </c>
      <c r="I69" s="275">
        <v>0</v>
      </c>
      <c r="J69" s="275">
        <v>0</v>
      </c>
      <c r="K69" s="275">
        <v>570530648.19022703</v>
      </c>
      <c r="L69" s="275">
        <v>571183744.09456396</v>
      </c>
      <c r="M69" s="275">
        <v>773704681.60163999</v>
      </c>
      <c r="N69" s="275">
        <v>1812895374.9636631</v>
      </c>
      <c r="O69" s="275">
        <v>1037179349.9800003</v>
      </c>
      <c r="P69" s="275">
        <v>373509545.00000024</v>
      </c>
      <c r="Q69" s="275">
        <v>767856245.95999932</v>
      </c>
      <c r="R69" s="275">
        <v>1646968831.170002</v>
      </c>
      <c r="S69" s="275">
        <v>0</v>
      </c>
      <c r="T69" s="275">
        <v>0</v>
      </c>
      <c r="U69" s="275">
        <v>0</v>
      </c>
      <c r="V69" s="275">
        <v>0</v>
      </c>
      <c r="W69" s="275">
        <v>0</v>
      </c>
      <c r="X69" s="275">
        <v>0</v>
      </c>
      <c r="Y69" s="275">
        <v>0</v>
      </c>
      <c r="Z69" s="275">
        <v>0</v>
      </c>
      <c r="AA69" s="275">
        <v>0</v>
      </c>
      <c r="AB69" s="275">
        <v>0</v>
      </c>
      <c r="AC69" s="24">
        <v>7561980806.46171</v>
      </c>
      <c r="AD69" s="91">
        <v>306</v>
      </c>
    </row>
    <row r="70" spans="1:30">
      <c r="A70" s="91">
        <v>307</v>
      </c>
      <c r="B70" s="378" t="s">
        <v>528</v>
      </c>
      <c r="C70" s="140">
        <v>2021</v>
      </c>
      <c r="D70" s="275">
        <v>-27687.582981939395</v>
      </c>
      <c r="E70" s="545">
        <v>8334447.8900800878</v>
      </c>
      <c r="F70" s="275">
        <v>0</v>
      </c>
      <c r="G70" s="275">
        <v>0</v>
      </c>
      <c r="H70" s="275">
        <v>0</v>
      </c>
      <c r="I70" s="275">
        <v>0</v>
      </c>
      <c r="J70" s="275">
        <v>0</v>
      </c>
      <c r="K70" s="275">
        <v>574259944.38180459</v>
      </c>
      <c r="L70" s="275">
        <v>572728566.85774994</v>
      </c>
      <c r="M70" s="275">
        <v>777058413.73401582</v>
      </c>
      <c r="N70" s="275">
        <v>1820088695.7962897</v>
      </c>
      <c r="O70" s="275">
        <v>1042875606.559999</v>
      </c>
      <c r="P70" s="275">
        <v>376373298.28999978</v>
      </c>
      <c r="Q70" s="275">
        <v>770191986.41000056</v>
      </c>
      <c r="R70" s="275">
        <v>1652117710.5599988</v>
      </c>
      <c r="S70" s="275">
        <v>0</v>
      </c>
      <c r="T70" s="275">
        <v>0</v>
      </c>
      <c r="U70" s="275">
        <v>0</v>
      </c>
      <c r="V70" s="275">
        <v>0</v>
      </c>
      <c r="W70" s="275">
        <v>0</v>
      </c>
      <c r="X70" s="275">
        <v>0</v>
      </c>
      <c r="Y70" s="275">
        <v>0</v>
      </c>
      <c r="Z70" s="275">
        <v>0</v>
      </c>
      <c r="AA70" s="275">
        <v>0</v>
      </c>
      <c r="AB70" s="275">
        <v>0</v>
      </c>
      <c r="AC70" s="24">
        <v>7594000982.8969564</v>
      </c>
      <c r="AD70" s="91">
        <v>307</v>
      </c>
    </row>
    <row r="71" spans="1:30">
      <c r="A71" s="91">
        <v>308</v>
      </c>
      <c r="B71" s="378" t="s">
        <v>529</v>
      </c>
      <c r="C71" s="140">
        <v>2021</v>
      </c>
      <c r="D71" s="275">
        <v>-37895.280897347067</v>
      </c>
      <c r="E71" s="275">
        <v>8490442.339016214</v>
      </c>
      <c r="F71" s="275">
        <v>0</v>
      </c>
      <c r="G71" s="275">
        <v>0</v>
      </c>
      <c r="H71" s="275">
        <v>0</v>
      </c>
      <c r="I71" s="275">
        <v>0</v>
      </c>
      <c r="J71" s="275">
        <v>0</v>
      </c>
      <c r="K71" s="275">
        <v>578018908.75451422</v>
      </c>
      <c r="L71" s="275">
        <v>574509046.12485731</v>
      </c>
      <c r="M71" s="275">
        <v>781613310.72652364</v>
      </c>
      <c r="N71" s="275">
        <v>1828086254.2065272</v>
      </c>
      <c r="O71" s="275">
        <v>1049061020.6700002</v>
      </c>
      <c r="P71" s="275">
        <v>379335383.86000013</v>
      </c>
      <c r="Q71" s="275">
        <v>772893706.46000016</v>
      </c>
      <c r="R71" s="275">
        <v>1657226312.0199988</v>
      </c>
      <c r="S71" s="275">
        <v>0</v>
      </c>
      <c r="T71" s="275">
        <v>0</v>
      </c>
      <c r="U71" s="275">
        <v>0</v>
      </c>
      <c r="V71" s="275">
        <v>0</v>
      </c>
      <c r="W71" s="275">
        <v>0</v>
      </c>
      <c r="X71" s="275">
        <v>0</v>
      </c>
      <c r="Y71" s="275">
        <v>0</v>
      </c>
      <c r="Z71" s="275">
        <v>0</v>
      </c>
      <c r="AA71" s="275">
        <v>0</v>
      </c>
      <c r="AB71" s="275">
        <v>0</v>
      </c>
      <c r="AC71" s="24">
        <v>7629196489.8805399</v>
      </c>
      <c r="AD71" s="91">
        <v>308</v>
      </c>
    </row>
    <row r="72" spans="1:30">
      <c r="A72" s="91">
        <v>309</v>
      </c>
      <c r="B72" s="378" t="s">
        <v>530</v>
      </c>
      <c r="C72" s="140">
        <v>2021</v>
      </c>
      <c r="D72" s="275">
        <v>-42896.869449159778</v>
      </c>
      <c r="E72" s="275">
        <v>8646436.2366964556</v>
      </c>
      <c r="F72" s="275">
        <v>0</v>
      </c>
      <c r="G72" s="275">
        <v>0</v>
      </c>
      <c r="H72" s="275">
        <v>0</v>
      </c>
      <c r="I72" s="275">
        <v>0</v>
      </c>
      <c r="J72" s="275">
        <v>0</v>
      </c>
      <c r="K72" s="275">
        <v>581610699.97509766</v>
      </c>
      <c r="L72" s="275">
        <v>575921752.75298023</v>
      </c>
      <c r="M72" s="275">
        <v>784292374.73820674</v>
      </c>
      <c r="N72" s="275">
        <v>1834159808.2560422</v>
      </c>
      <c r="O72" s="275">
        <v>1055345340.4099993</v>
      </c>
      <c r="P72" s="275">
        <v>382036487.25000018</v>
      </c>
      <c r="Q72" s="275">
        <v>776015484.28999949</v>
      </c>
      <c r="R72" s="275">
        <v>1663431578.8200016</v>
      </c>
      <c r="S72" s="275">
        <v>0</v>
      </c>
      <c r="T72" s="275">
        <v>0</v>
      </c>
      <c r="U72" s="275">
        <v>0</v>
      </c>
      <c r="V72" s="275">
        <v>0</v>
      </c>
      <c r="W72" s="275">
        <v>0</v>
      </c>
      <c r="X72" s="275">
        <v>0</v>
      </c>
      <c r="Y72" s="275">
        <v>0</v>
      </c>
      <c r="Z72" s="275">
        <v>0</v>
      </c>
      <c r="AA72" s="275">
        <v>0</v>
      </c>
      <c r="AB72" s="275">
        <v>0</v>
      </c>
      <c r="AC72" s="24">
        <v>7661417065.8595734</v>
      </c>
      <c r="AD72" s="91">
        <v>309</v>
      </c>
    </row>
    <row r="73" spans="1:30">
      <c r="A73" s="91">
        <v>310</v>
      </c>
      <c r="B73" s="378" t="s">
        <v>531</v>
      </c>
      <c r="C73" s="140">
        <v>2021</v>
      </c>
      <c r="D73" s="275">
        <v>-43532.672376370574</v>
      </c>
      <c r="E73" s="275">
        <v>8802429.9929039534</v>
      </c>
      <c r="F73" s="275">
        <v>0</v>
      </c>
      <c r="G73" s="275">
        <v>0</v>
      </c>
      <c r="H73" s="275">
        <v>0</v>
      </c>
      <c r="I73" s="275">
        <v>0</v>
      </c>
      <c r="J73" s="275">
        <v>0</v>
      </c>
      <c r="K73" s="275">
        <v>584000762.04672635</v>
      </c>
      <c r="L73" s="275">
        <v>576948167.02622938</v>
      </c>
      <c r="M73" s="275">
        <v>788901846.50310981</v>
      </c>
      <c r="N73" s="275">
        <v>1843435966.8730195</v>
      </c>
      <c r="O73" s="275">
        <v>1059983689.6000004</v>
      </c>
      <c r="P73" s="275">
        <v>385313040.61999977</v>
      </c>
      <c r="Q73" s="275">
        <v>777855356.53999937</v>
      </c>
      <c r="R73" s="275">
        <v>1668524608.0700011</v>
      </c>
      <c r="S73" s="275">
        <v>0</v>
      </c>
      <c r="T73" s="275">
        <v>0</v>
      </c>
      <c r="U73" s="275">
        <v>0</v>
      </c>
      <c r="V73" s="275">
        <v>0</v>
      </c>
      <c r="W73" s="275">
        <v>0</v>
      </c>
      <c r="X73" s="275">
        <v>0</v>
      </c>
      <c r="Y73" s="275">
        <v>0</v>
      </c>
      <c r="Z73" s="275">
        <v>0</v>
      </c>
      <c r="AA73" s="275">
        <v>0</v>
      </c>
      <c r="AB73" s="275">
        <v>0</v>
      </c>
      <c r="AC73" s="24">
        <v>7693722334.5996132</v>
      </c>
      <c r="AD73" s="91">
        <v>310</v>
      </c>
    </row>
    <row r="74" spans="1:30">
      <c r="A74" s="91">
        <v>311</v>
      </c>
      <c r="B74" s="378" t="s">
        <v>532</v>
      </c>
      <c r="C74" s="140">
        <v>2021</v>
      </c>
      <c r="D74" s="275">
        <v>-44426.219139324661</v>
      </c>
      <c r="E74" s="275">
        <v>8958424.422326589</v>
      </c>
      <c r="F74" s="275">
        <v>0</v>
      </c>
      <c r="G74" s="275">
        <v>0</v>
      </c>
      <c r="H74" s="275">
        <v>0</v>
      </c>
      <c r="I74" s="275">
        <v>0</v>
      </c>
      <c r="J74" s="275">
        <v>0</v>
      </c>
      <c r="K74" s="275">
        <v>587729187.53365099</v>
      </c>
      <c r="L74" s="275">
        <v>578626851.24124956</v>
      </c>
      <c r="M74" s="275">
        <v>792423570.0504297</v>
      </c>
      <c r="N74" s="275">
        <v>1850536875.8961625</v>
      </c>
      <c r="O74" s="275">
        <v>1068974460.3499995</v>
      </c>
      <c r="P74" s="275">
        <v>387348409.40999997</v>
      </c>
      <c r="Q74" s="275">
        <v>780528187.22999978</v>
      </c>
      <c r="R74" s="275">
        <v>1674437791.7999997</v>
      </c>
      <c r="S74" s="275">
        <v>0</v>
      </c>
      <c r="T74" s="275">
        <v>0</v>
      </c>
      <c r="U74" s="275">
        <v>0</v>
      </c>
      <c r="V74" s="275">
        <v>0</v>
      </c>
      <c r="W74" s="275">
        <v>0</v>
      </c>
      <c r="X74" s="275">
        <v>0</v>
      </c>
      <c r="Y74" s="275">
        <v>0</v>
      </c>
      <c r="Z74" s="275">
        <v>0</v>
      </c>
      <c r="AA74" s="275">
        <v>0</v>
      </c>
      <c r="AB74" s="275">
        <v>0</v>
      </c>
      <c r="AC74" s="24">
        <v>7729519331.7146797</v>
      </c>
      <c r="AD74" s="91">
        <v>311</v>
      </c>
    </row>
    <row r="75" spans="1:30">
      <c r="A75" s="91">
        <v>312</v>
      </c>
      <c r="B75" s="378" t="s">
        <v>520</v>
      </c>
      <c r="C75" s="140">
        <v>2021</v>
      </c>
      <c r="D75" s="275">
        <v>-75540.623352015697</v>
      </c>
      <c r="E75" s="275">
        <v>9115030.3847823888</v>
      </c>
      <c r="F75" s="275">
        <v>0</v>
      </c>
      <c r="G75" s="275">
        <v>0</v>
      </c>
      <c r="H75" s="275">
        <v>0</v>
      </c>
      <c r="I75" s="275">
        <v>0</v>
      </c>
      <c r="J75" s="275">
        <v>0</v>
      </c>
      <c r="K75" s="275">
        <v>592381261.12573195</v>
      </c>
      <c r="L75" s="275">
        <v>580611552.00313735</v>
      </c>
      <c r="M75" s="275">
        <v>796284747.51727366</v>
      </c>
      <c r="N75" s="275">
        <v>1854432419.6274083</v>
      </c>
      <c r="O75" s="275">
        <v>1075305915.950001</v>
      </c>
      <c r="P75" s="275">
        <v>390265109.80999994</v>
      </c>
      <c r="Q75" s="275">
        <v>783180834.98000026</v>
      </c>
      <c r="R75" s="275">
        <v>1680213155.3599999</v>
      </c>
      <c r="S75" s="275">
        <v>0</v>
      </c>
      <c r="T75" s="275">
        <v>0</v>
      </c>
      <c r="U75" s="275">
        <v>0</v>
      </c>
      <c r="V75" s="275">
        <v>0</v>
      </c>
      <c r="W75" s="275">
        <v>0</v>
      </c>
      <c r="X75" s="275">
        <v>0</v>
      </c>
      <c r="Y75" s="275">
        <v>0</v>
      </c>
      <c r="Z75" s="275">
        <v>0</v>
      </c>
      <c r="AA75" s="275">
        <v>0</v>
      </c>
      <c r="AB75" s="275">
        <v>0</v>
      </c>
      <c r="AC75" s="24">
        <v>7761714486.1349831</v>
      </c>
      <c r="AD75" s="91">
        <v>312</v>
      </c>
    </row>
    <row r="76" spans="1:30">
      <c r="A76" s="91">
        <v>313</v>
      </c>
      <c r="B76" s="664" t="s">
        <v>813</v>
      </c>
      <c r="C76" s="488"/>
      <c r="D76" s="661">
        <v>-24710.61132062873</v>
      </c>
      <c r="E76" s="661">
        <v>8178436.0313648377</v>
      </c>
      <c r="F76" s="661">
        <v>0</v>
      </c>
      <c r="G76" s="661">
        <v>0</v>
      </c>
      <c r="H76" s="661">
        <v>0</v>
      </c>
      <c r="I76" s="661">
        <v>0</v>
      </c>
      <c r="J76" s="661">
        <v>0</v>
      </c>
      <c r="K76" s="661">
        <v>569944106.23550963</v>
      </c>
      <c r="L76" s="661">
        <v>571755893.26096773</v>
      </c>
      <c r="M76" s="661">
        <v>773786795.01562321</v>
      </c>
      <c r="N76" s="661">
        <v>1811652138.4586449</v>
      </c>
      <c r="O76" s="661">
        <v>1039240662.39</v>
      </c>
      <c r="P76" s="661">
        <v>373524964.17307693</v>
      </c>
      <c r="Q76" s="661">
        <v>767600685.79384625</v>
      </c>
      <c r="R76" s="661">
        <v>1646716553.9123077</v>
      </c>
      <c r="S76" s="661">
        <v>0</v>
      </c>
      <c r="T76" s="661">
        <v>0</v>
      </c>
      <c r="U76" s="661">
        <v>0</v>
      </c>
      <c r="V76" s="661">
        <v>0</v>
      </c>
      <c r="W76" s="661">
        <v>0</v>
      </c>
      <c r="X76" s="661">
        <v>0</v>
      </c>
      <c r="Y76" s="661">
        <v>0</v>
      </c>
      <c r="Z76" s="661">
        <v>0</v>
      </c>
      <c r="AA76" s="661">
        <v>0</v>
      </c>
      <c r="AB76" s="661">
        <v>0</v>
      </c>
      <c r="AC76" s="661">
        <v>7562375524.6600189</v>
      </c>
      <c r="AD76" s="91">
        <v>313</v>
      </c>
    </row>
    <row r="77" spans="1:30">
      <c r="A77" s="91"/>
      <c r="B77" s="381"/>
      <c r="C77" s="38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D77" s="91"/>
    </row>
    <row r="78" spans="1:30">
      <c r="A78" s="91"/>
      <c r="B78" s="381"/>
      <c r="C78" s="38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D78" s="91"/>
    </row>
    <row r="79" spans="1:30">
      <c r="B79" s="45" t="s">
        <v>966</v>
      </c>
      <c r="C79" s="45"/>
      <c r="D79" s="103"/>
      <c r="E79" s="103"/>
      <c r="F79" s="103"/>
      <c r="G79" s="103"/>
      <c r="H79" s="103"/>
      <c r="I79" s="43"/>
      <c r="J79" s="43"/>
      <c r="K79" s="43"/>
      <c r="L79" s="103"/>
      <c r="M79" s="103"/>
      <c r="N79" s="103"/>
      <c r="O79" s="103"/>
      <c r="P79" s="103"/>
      <c r="Q79" s="103"/>
      <c r="R79" s="43"/>
      <c r="S79" s="43"/>
      <c r="T79" s="43"/>
      <c r="U79" s="43"/>
      <c r="V79" s="43"/>
      <c r="W79" s="43"/>
      <c r="X79" s="43"/>
      <c r="Y79" s="43"/>
      <c r="Z79" s="43"/>
      <c r="AA79" s="43"/>
      <c r="AB79" s="43"/>
      <c r="AC79" s="43"/>
    </row>
    <row r="80" spans="1:30">
      <c r="B80" s="378" t="s">
        <v>967</v>
      </c>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8"/>
      <c r="AB80" s="378"/>
      <c r="AC80" s="378"/>
    </row>
    <row r="81" spans="1:30">
      <c r="B81" s="378"/>
      <c r="C81" s="378"/>
      <c r="D81" s="378"/>
      <c r="E81" s="378"/>
      <c r="F81" s="378"/>
      <c r="G81" s="378"/>
      <c r="H81" s="378"/>
      <c r="I81" s="378"/>
      <c r="J81" s="378"/>
      <c r="K81" s="378"/>
      <c r="L81" s="378"/>
      <c r="M81" s="378"/>
      <c r="N81" s="378"/>
      <c r="O81" s="378"/>
      <c r="P81" s="378"/>
      <c r="Q81" s="378"/>
      <c r="R81" s="378"/>
      <c r="S81" s="378"/>
      <c r="T81" s="378"/>
      <c r="U81" s="378"/>
      <c r="V81" s="378"/>
      <c r="W81" s="378"/>
      <c r="X81" s="378"/>
      <c r="Y81" s="378"/>
      <c r="Z81" s="378"/>
      <c r="AA81" s="378"/>
      <c r="AB81" s="378"/>
      <c r="AC81" s="378"/>
    </row>
    <row r="82" spans="1:30">
      <c r="A82" s="4"/>
      <c r="D82" s="83" t="s">
        <v>122</v>
      </c>
      <c r="E82" s="83" t="s">
        <v>123</v>
      </c>
      <c r="F82" s="83" t="s">
        <v>124</v>
      </c>
      <c r="G82" s="83"/>
      <c r="H82" s="83"/>
      <c r="I82" s="83"/>
      <c r="J82" s="83"/>
      <c r="K82" s="83"/>
      <c r="L82" s="83"/>
      <c r="M82" s="83"/>
      <c r="N82" s="83"/>
      <c r="O82" s="83"/>
      <c r="P82" s="83"/>
      <c r="AC82" s="91"/>
      <c r="AD82"/>
    </row>
    <row r="83" spans="1:30" ht="43.5">
      <c r="B83" s="91"/>
      <c r="C83" s="91"/>
      <c r="D83" s="100" t="s">
        <v>101</v>
      </c>
      <c r="E83" s="133" t="s">
        <v>869</v>
      </c>
      <c r="F83" s="133" t="s">
        <v>870</v>
      </c>
      <c r="AC83" s="91"/>
      <c r="AD83"/>
    </row>
    <row r="84" spans="1:30">
      <c r="B84" s="91"/>
      <c r="C84" s="91"/>
      <c r="D84" s="100"/>
      <c r="E84" s="100"/>
      <c r="AC84" s="91"/>
      <c r="AD84"/>
    </row>
    <row r="85" spans="1:30">
      <c r="B85" s="91"/>
      <c r="C85" s="91"/>
      <c r="D85" s="84" t="s">
        <v>871</v>
      </c>
      <c r="E85" s="4" t="s">
        <v>505</v>
      </c>
      <c r="F85" s="4" t="s">
        <v>536</v>
      </c>
      <c r="AC85" s="91"/>
      <c r="AD85"/>
    </row>
    <row r="86" spans="1:30">
      <c r="A86" s="80" t="s">
        <v>90</v>
      </c>
      <c r="B86" s="80" t="s">
        <v>511</v>
      </c>
      <c r="C86" s="80" t="s">
        <v>512</v>
      </c>
      <c r="D86" s="382" t="s">
        <v>968</v>
      </c>
      <c r="E86" s="3" t="s">
        <v>737</v>
      </c>
      <c r="F86" s="3" t="s">
        <v>737</v>
      </c>
      <c r="G86" s="83"/>
      <c r="H86" s="83"/>
      <c r="I86" s="83"/>
      <c r="J86" s="83"/>
      <c r="K86" s="83"/>
      <c r="L86" s="83"/>
      <c r="M86" s="83"/>
      <c r="N86" s="83"/>
      <c r="O86" s="83"/>
      <c r="P86" s="80"/>
      <c r="AD86" s="80" t="s">
        <v>90</v>
      </c>
    </row>
    <row r="87" spans="1:30">
      <c r="A87" s="91">
        <v>400</v>
      </c>
      <c r="B87" s="378" t="s">
        <v>520</v>
      </c>
      <c r="C87" s="140">
        <v>2020</v>
      </c>
      <c r="D87" s="272">
        <v>419002541.25999999</v>
      </c>
      <c r="E87" s="121">
        <v>204627862.61219698</v>
      </c>
      <c r="F87" s="121">
        <v>194908787.2493839</v>
      </c>
      <c r="G87" s="111" t="s">
        <v>980</v>
      </c>
      <c r="H87" s="111"/>
      <c r="I87" s="111"/>
      <c r="J87" s="111"/>
      <c r="K87" s="111"/>
      <c r="L87" s="111"/>
      <c r="M87" s="111"/>
      <c r="N87" s="111"/>
      <c r="O87" s="111"/>
      <c r="P87" s="11"/>
      <c r="AD87" s="91">
        <v>400</v>
      </c>
    </row>
    <row r="88" spans="1:30">
      <c r="A88" s="91">
        <v>401</v>
      </c>
      <c r="B88" s="383" t="s">
        <v>520</v>
      </c>
      <c r="C88" s="140">
        <v>2021</v>
      </c>
      <c r="D88" s="273">
        <v>434947003</v>
      </c>
      <c r="E88" s="121">
        <v>212414643.84876612</v>
      </c>
      <c r="F88" s="121">
        <v>202325724.84537619</v>
      </c>
      <c r="G88" s="111" t="s">
        <v>969</v>
      </c>
      <c r="H88" s="384"/>
      <c r="I88" s="384"/>
      <c r="J88" s="384"/>
      <c r="K88" s="384"/>
      <c r="L88" s="384"/>
      <c r="M88" s="384"/>
      <c r="N88" s="384"/>
      <c r="O88" s="384"/>
      <c r="P88" s="384"/>
      <c r="AD88" s="91">
        <v>401</v>
      </c>
    </row>
    <row r="89" spans="1:30">
      <c r="A89" s="91">
        <v>402</v>
      </c>
      <c r="B89" s="385" t="s">
        <v>874</v>
      </c>
      <c r="C89" s="488"/>
      <c r="D89" s="386">
        <v>426974772.13</v>
      </c>
      <c r="E89" s="489">
        <v>208521253.23048156</v>
      </c>
      <c r="F89" s="489">
        <v>198617256.04738003</v>
      </c>
      <c r="G89" s="11" t="s">
        <v>897</v>
      </c>
      <c r="H89" s="11"/>
      <c r="I89" s="11"/>
      <c r="J89" s="11"/>
      <c r="K89" s="11"/>
      <c r="L89" s="11"/>
      <c r="M89" s="11"/>
      <c r="N89" s="11"/>
      <c r="O89" s="11"/>
      <c r="P89" s="11"/>
      <c r="AD89" s="91">
        <v>402</v>
      </c>
    </row>
    <row r="90" spans="1:30">
      <c r="A90" s="91"/>
      <c r="B90" s="381"/>
      <c r="C90" s="38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D90" s="91"/>
    </row>
    <row r="91" spans="1:30">
      <c r="A91" s="91"/>
      <c r="B91" s="381"/>
      <c r="C91" s="38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D91" s="91"/>
    </row>
    <row r="92" spans="1:30">
      <c r="B92" s="45" t="s">
        <v>970</v>
      </c>
      <c r="C92" s="45"/>
      <c r="D92" s="103"/>
      <c r="E92" s="103"/>
      <c r="F92" s="103"/>
      <c r="G92" s="103"/>
      <c r="H92" s="103"/>
      <c r="I92" s="103"/>
      <c r="J92" s="103"/>
      <c r="K92" s="103"/>
      <c r="L92" s="103"/>
      <c r="M92" s="43"/>
      <c r="N92" s="103"/>
      <c r="O92" s="103"/>
      <c r="P92" s="103"/>
      <c r="Q92" s="103"/>
      <c r="R92" s="43"/>
      <c r="S92" s="43"/>
      <c r="T92" s="43"/>
      <c r="U92" s="43"/>
      <c r="V92" s="43"/>
      <c r="W92" s="43"/>
      <c r="X92" s="43"/>
      <c r="Y92" s="43"/>
      <c r="Z92" s="43"/>
      <c r="AA92" s="43"/>
      <c r="AB92" s="43"/>
      <c r="AC92" s="43"/>
    </row>
    <row r="93" spans="1:30">
      <c r="A93" s="18"/>
      <c r="B93" s="741" t="s">
        <v>971</v>
      </c>
      <c r="C93" s="741"/>
      <c r="D93" s="741"/>
      <c r="E93" s="741"/>
      <c r="F93" s="741"/>
      <c r="G93" s="741"/>
      <c r="H93" s="741"/>
      <c r="I93" s="741"/>
      <c r="J93" s="741"/>
      <c r="K93" s="741"/>
      <c r="L93" s="741"/>
      <c r="M93" s="741"/>
      <c r="N93" s="741"/>
      <c r="O93" s="378"/>
      <c r="P93" s="378"/>
      <c r="Q93" s="378"/>
      <c r="R93" s="378"/>
      <c r="S93" s="378"/>
      <c r="T93" s="378"/>
      <c r="U93" s="378"/>
      <c r="V93" s="378"/>
      <c r="W93" s="378"/>
      <c r="X93" s="378"/>
      <c r="Y93" s="378"/>
      <c r="Z93" s="378"/>
      <c r="AA93" s="378"/>
      <c r="AB93" s="378"/>
      <c r="AC93" s="378"/>
      <c r="AD93" s="91"/>
    </row>
    <row r="94" spans="1:30">
      <c r="A94" s="18"/>
      <c r="B94" s="741"/>
      <c r="C94" s="741"/>
      <c r="D94" s="741"/>
      <c r="E94" s="741"/>
      <c r="F94" s="741"/>
      <c r="G94" s="741"/>
      <c r="H94" s="741"/>
      <c r="I94" s="741"/>
      <c r="J94" s="741"/>
      <c r="K94" s="741"/>
      <c r="L94" s="741"/>
      <c r="M94" s="741"/>
      <c r="N94" s="741"/>
      <c r="O94" s="8"/>
      <c r="AC94" s="91"/>
      <c r="AD94"/>
    </row>
    <row r="95" spans="1:30">
      <c r="A95" s="4"/>
      <c r="D95" s="83" t="s">
        <v>122</v>
      </c>
      <c r="E95" s="83" t="s">
        <v>123</v>
      </c>
      <c r="F95" s="83" t="s">
        <v>124</v>
      </c>
      <c r="G95" s="83" t="s">
        <v>125</v>
      </c>
      <c r="H95" s="83" t="s">
        <v>490</v>
      </c>
      <c r="J95" s="83"/>
      <c r="K95" s="83"/>
      <c r="L95" s="83"/>
      <c r="M95" s="83"/>
      <c r="N95" s="83"/>
      <c r="O95" s="83"/>
      <c r="P95" s="83"/>
      <c r="AC95" s="91"/>
      <c r="AD95"/>
    </row>
    <row r="96" spans="1:30" ht="43.5">
      <c r="B96" s="91"/>
      <c r="C96" s="91"/>
      <c r="D96" s="133" t="s">
        <v>496</v>
      </c>
      <c r="E96" s="387" t="s">
        <v>898</v>
      </c>
      <c r="F96" s="387" t="s">
        <v>877</v>
      </c>
      <c r="G96" s="133" t="s">
        <v>878</v>
      </c>
      <c r="H96" s="133" t="s">
        <v>879</v>
      </c>
      <c r="AC96" s="91"/>
      <c r="AD96"/>
    </row>
    <row r="97" spans="1:30">
      <c r="B97" s="91"/>
      <c r="C97" s="91"/>
      <c r="D97" s="83"/>
      <c r="F97" s="100"/>
      <c r="AC97" s="91"/>
      <c r="AD97"/>
    </row>
    <row r="98" spans="1:30">
      <c r="B98" s="91"/>
      <c r="C98" s="91"/>
      <c r="D98" s="84"/>
      <c r="E98" s="4" t="s">
        <v>880</v>
      </c>
      <c r="F98" s="4" t="s">
        <v>881</v>
      </c>
      <c r="AC98" s="91"/>
      <c r="AD98"/>
    </row>
    <row r="99" spans="1:30">
      <c r="B99" s="91"/>
      <c r="C99" s="91"/>
      <c r="D99" s="84" t="s">
        <v>882</v>
      </c>
      <c r="E99" s="4" t="s">
        <v>737</v>
      </c>
      <c r="F99" s="4" t="s">
        <v>737</v>
      </c>
      <c r="G99" s="4" t="s">
        <v>505</v>
      </c>
      <c r="H99" s="4" t="s">
        <v>536</v>
      </c>
      <c r="AC99" s="91"/>
      <c r="AD99"/>
    </row>
    <row r="100" spans="1:30">
      <c r="A100" s="80" t="s">
        <v>90</v>
      </c>
      <c r="B100" s="80" t="s">
        <v>511</v>
      </c>
      <c r="C100" s="80" t="s">
        <v>512</v>
      </c>
      <c r="D100" s="110" t="s">
        <v>883</v>
      </c>
      <c r="E100" s="110" t="s">
        <v>884</v>
      </c>
      <c r="F100" s="382" t="s">
        <v>885</v>
      </c>
      <c r="G100" s="3" t="s">
        <v>737</v>
      </c>
      <c r="H100" s="3" t="s">
        <v>737</v>
      </c>
      <c r="J100" s="83"/>
      <c r="K100" s="83"/>
      <c r="L100" s="83"/>
      <c r="M100" s="83"/>
      <c r="N100" s="83"/>
      <c r="O100" s="83"/>
      <c r="P100" s="80"/>
      <c r="AD100" s="80" t="s">
        <v>90</v>
      </c>
    </row>
    <row r="101" spans="1:30">
      <c r="A101" s="91">
        <v>500</v>
      </c>
      <c r="B101" s="378" t="s">
        <v>520</v>
      </c>
      <c r="C101" s="140">
        <v>2020</v>
      </c>
      <c r="D101" s="272">
        <v>1172448838.7099996</v>
      </c>
      <c r="E101" s="19">
        <v>0.30680154907006396</v>
      </c>
      <c r="F101" s="265">
        <v>359709119.92162544</v>
      </c>
      <c r="G101" s="121">
        <v>175670792.23512933</v>
      </c>
      <c r="H101" s="121">
        <v>167327071.84933797</v>
      </c>
      <c r="J101" s="111"/>
      <c r="K101" s="111"/>
      <c r="L101" s="111"/>
      <c r="M101" s="111"/>
      <c r="N101" s="111"/>
      <c r="O101" s="111"/>
      <c r="P101" s="11"/>
      <c r="AD101" s="91">
        <v>500</v>
      </c>
    </row>
    <row r="102" spans="1:30">
      <c r="A102" s="91">
        <v>501</v>
      </c>
      <c r="B102" s="378" t="s">
        <v>520</v>
      </c>
      <c r="C102" s="140">
        <v>2021</v>
      </c>
      <c r="D102" s="487">
        <v>1006714730.6500001</v>
      </c>
      <c r="E102" s="19">
        <v>0.30680154907006396</v>
      </c>
      <c r="F102" s="388">
        <v>308861638.83507222</v>
      </c>
      <c r="G102" s="121">
        <v>150838457.46535262</v>
      </c>
      <c r="H102" s="121">
        <v>143674182.19510478</v>
      </c>
      <c r="I102" s="111"/>
      <c r="J102" s="111"/>
      <c r="K102" s="111"/>
      <c r="L102" s="384"/>
      <c r="M102" s="384"/>
      <c r="N102" s="384"/>
      <c r="O102" s="384"/>
      <c r="P102" s="384"/>
      <c r="AD102" s="91">
        <v>501</v>
      </c>
    </row>
    <row r="103" spans="1:30">
      <c r="A103" s="91">
        <v>502</v>
      </c>
      <c r="B103" s="488" t="s">
        <v>874</v>
      </c>
      <c r="C103" s="488"/>
      <c r="D103" s="489">
        <v>1089581784.6799998</v>
      </c>
      <c r="E103" s="490"/>
      <c r="F103" s="386">
        <v>334285379.37834883</v>
      </c>
      <c r="G103" s="489">
        <v>163254624.85024098</v>
      </c>
      <c r="H103" s="489">
        <v>155500627.02222139</v>
      </c>
      <c r="I103" s="11" t="s">
        <v>899</v>
      </c>
      <c r="J103" s="11"/>
      <c r="K103" s="11"/>
      <c r="L103" s="11"/>
      <c r="M103" s="11"/>
      <c r="N103" s="11"/>
      <c r="O103" s="11"/>
      <c r="P103" s="11"/>
      <c r="AD103" s="91">
        <v>502</v>
      </c>
    </row>
    <row r="104" spans="1:30">
      <c r="A104" s="91"/>
      <c r="B104" s="378"/>
      <c r="C104" s="378"/>
      <c r="D104" s="11"/>
      <c r="E104" s="19"/>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D104" s="91"/>
    </row>
    <row r="105" spans="1:30">
      <c r="A105" s="91"/>
      <c r="B105" s="378"/>
      <c r="C105" s="378"/>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D105" s="91"/>
    </row>
    <row r="106" spans="1:30">
      <c r="B106" s="45" t="s">
        <v>972</v>
      </c>
      <c r="C106" s="45"/>
      <c r="D106" s="103"/>
      <c r="E106" s="103"/>
      <c r="F106" s="103"/>
      <c r="G106" s="103"/>
      <c r="H106" s="103"/>
      <c r="I106" s="103"/>
      <c r="J106" s="103"/>
      <c r="K106" s="103"/>
      <c r="L106" s="103"/>
      <c r="M106" s="43"/>
      <c r="N106" s="46"/>
      <c r="O106" s="46"/>
      <c r="P106" s="46"/>
      <c r="Q106" s="46"/>
      <c r="R106" s="46"/>
      <c r="S106" s="46"/>
      <c r="T106" s="46"/>
      <c r="U106" s="46"/>
      <c r="V106" s="46"/>
      <c r="W106" s="46"/>
      <c r="X106" s="46"/>
      <c r="Y106" s="46"/>
      <c r="Z106" s="46"/>
      <c r="AA106" s="46"/>
      <c r="AB106" s="46"/>
      <c r="AC106" s="43"/>
    </row>
    <row r="107" spans="1:30">
      <c r="A107" s="18"/>
      <c r="B107" s="741" t="s">
        <v>973</v>
      </c>
      <c r="C107" s="741"/>
      <c r="D107" s="741"/>
      <c r="E107" s="741"/>
      <c r="F107" s="741"/>
      <c r="G107" s="741"/>
      <c r="H107" s="741"/>
      <c r="I107" s="741"/>
      <c r="J107" s="741"/>
      <c r="K107" s="741"/>
      <c r="L107" s="741"/>
      <c r="M107" s="741"/>
      <c r="N107" s="741"/>
      <c r="O107" s="378"/>
      <c r="P107" s="378"/>
      <c r="Q107" s="378"/>
      <c r="R107" s="378"/>
      <c r="S107" s="378"/>
      <c r="T107" s="378"/>
      <c r="U107" s="378"/>
      <c r="V107" s="378"/>
      <c r="W107" s="378"/>
      <c r="X107" s="378"/>
      <c r="Y107" s="378"/>
      <c r="Z107" s="378"/>
      <c r="AA107" s="378"/>
      <c r="AB107" s="378"/>
      <c r="AC107" s="378"/>
      <c r="AD107" s="91"/>
    </row>
    <row r="108" spans="1:30">
      <c r="A108" s="18"/>
      <c r="B108" s="741"/>
      <c r="C108" s="741"/>
      <c r="D108" s="741"/>
      <c r="E108" s="741"/>
      <c r="F108" s="741"/>
      <c r="G108" s="741"/>
      <c r="H108" s="741"/>
      <c r="I108" s="741"/>
      <c r="J108" s="741"/>
      <c r="K108" s="741"/>
      <c r="L108" s="741"/>
      <c r="M108" s="741"/>
      <c r="N108" s="741"/>
      <c r="O108" s="378"/>
      <c r="P108" s="378"/>
      <c r="Q108" s="378"/>
      <c r="R108" s="378"/>
      <c r="S108" s="378"/>
      <c r="T108" s="378"/>
      <c r="U108" s="378"/>
      <c r="V108" s="378"/>
      <c r="W108" s="378"/>
      <c r="X108" s="378"/>
      <c r="Y108" s="378"/>
      <c r="Z108" s="378"/>
      <c r="AA108" s="378"/>
      <c r="AB108" s="378"/>
      <c r="AC108" s="91"/>
      <c r="AD108"/>
    </row>
    <row r="109" spans="1:30">
      <c r="A109" s="4"/>
      <c r="D109" s="83" t="s">
        <v>122</v>
      </c>
      <c r="E109" s="83" t="s">
        <v>123</v>
      </c>
      <c r="F109" s="83" t="s">
        <v>124</v>
      </c>
      <c r="G109" s="83" t="s">
        <v>125</v>
      </c>
      <c r="H109" s="83" t="s">
        <v>490</v>
      </c>
      <c r="J109" s="11"/>
      <c r="K109" s="11"/>
      <c r="L109" s="11"/>
      <c r="M109" s="11"/>
      <c r="N109" s="11"/>
      <c r="O109" s="11"/>
      <c r="P109" s="11"/>
      <c r="AC109" s="91"/>
      <c r="AD109"/>
    </row>
    <row r="110" spans="1:30" ht="43.5">
      <c r="B110" s="91"/>
      <c r="C110" s="91"/>
      <c r="D110" s="133" t="s">
        <v>497</v>
      </c>
      <c r="E110" s="387" t="s">
        <v>900</v>
      </c>
      <c r="F110" s="387" t="s">
        <v>877</v>
      </c>
      <c r="G110" s="133" t="s">
        <v>878</v>
      </c>
      <c r="H110" s="133" t="s">
        <v>879</v>
      </c>
      <c r="J110" s="11"/>
      <c r="K110" s="11"/>
      <c r="L110" s="11"/>
      <c r="M110" s="11"/>
      <c r="N110" s="11"/>
      <c r="O110" s="11"/>
      <c r="P110" s="11"/>
      <c r="AC110" s="91"/>
      <c r="AD110"/>
    </row>
    <row r="111" spans="1:30">
      <c r="B111" s="91"/>
      <c r="C111" s="91"/>
      <c r="D111" s="83"/>
      <c r="F111" s="100"/>
      <c r="H111" s="11"/>
      <c r="J111" s="11"/>
      <c r="K111" s="11"/>
      <c r="L111" s="11"/>
      <c r="M111" s="11"/>
      <c r="N111" s="11"/>
      <c r="O111" s="11"/>
      <c r="P111" s="11"/>
      <c r="AC111" s="91"/>
      <c r="AD111"/>
    </row>
    <row r="112" spans="1:30">
      <c r="B112" s="91"/>
      <c r="C112" s="91"/>
      <c r="D112" s="83"/>
      <c r="E112" s="4" t="s">
        <v>880</v>
      </c>
      <c r="F112" s="4" t="s">
        <v>881</v>
      </c>
      <c r="H112" s="11"/>
      <c r="J112" s="11"/>
      <c r="K112" s="11"/>
      <c r="L112" s="11"/>
      <c r="M112" s="11"/>
      <c r="N112" s="11"/>
      <c r="O112" s="11"/>
      <c r="P112" s="11"/>
      <c r="AC112" s="91"/>
      <c r="AD112"/>
    </row>
    <row r="113" spans="1:30">
      <c r="B113" s="91"/>
      <c r="C113" s="91"/>
      <c r="D113" s="84" t="s">
        <v>888</v>
      </c>
      <c r="E113" s="4" t="s">
        <v>737</v>
      </c>
      <c r="F113" s="4" t="s">
        <v>737</v>
      </c>
      <c r="G113" s="4" t="s">
        <v>505</v>
      </c>
      <c r="H113" s="4" t="s">
        <v>536</v>
      </c>
      <c r="J113" s="11"/>
      <c r="K113" s="11"/>
      <c r="L113" s="11"/>
      <c r="M113" s="11"/>
      <c r="N113" s="11"/>
      <c r="O113" s="11"/>
      <c r="P113" s="11"/>
      <c r="AC113" s="91"/>
      <c r="AD113"/>
    </row>
    <row r="114" spans="1:30">
      <c r="A114" s="80" t="s">
        <v>90</v>
      </c>
      <c r="B114" s="80" t="s">
        <v>511</v>
      </c>
      <c r="C114" s="80" t="s">
        <v>512</v>
      </c>
      <c r="D114" s="110" t="s">
        <v>883</v>
      </c>
      <c r="E114" s="110" t="s">
        <v>884</v>
      </c>
      <c r="F114" s="382" t="s">
        <v>885</v>
      </c>
      <c r="G114" s="3" t="s">
        <v>737</v>
      </c>
      <c r="H114" s="3" t="s">
        <v>737</v>
      </c>
      <c r="J114" s="11"/>
      <c r="K114" s="11"/>
      <c r="L114" s="11"/>
      <c r="M114" s="11"/>
      <c r="N114" s="11"/>
      <c r="O114" s="11"/>
      <c r="P114" s="11"/>
      <c r="AD114" s="80" t="s">
        <v>90</v>
      </c>
    </row>
    <row r="115" spans="1:30">
      <c r="A115" s="91">
        <v>600</v>
      </c>
      <c r="B115" s="378" t="s">
        <v>520</v>
      </c>
      <c r="C115" s="140">
        <v>2020</v>
      </c>
      <c r="D115" s="272">
        <v>66401654.049999997</v>
      </c>
      <c r="E115" s="19">
        <v>0.43638724816634106</v>
      </c>
      <c r="F115" s="265">
        <v>28976835.084572874</v>
      </c>
      <c r="G115" s="121">
        <v>14151388.702301227</v>
      </c>
      <c r="H115" s="121">
        <v>13479249.475851968</v>
      </c>
      <c r="J115" s="111"/>
      <c r="K115" s="111"/>
      <c r="L115" s="11"/>
      <c r="M115" s="11"/>
      <c r="N115" s="11"/>
      <c r="O115" s="11"/>
      <c r="P115" s="11"/>
      <c r="AD115" s="91">
        <v>600</v>
      </c>
    </row>
    <row r="116" spans="1:30">
      <c r="A116" s="91">
        <v>601</v>
      </c>
      <c r="B116" s="383" t="s">
        <v>520</v>
      </c>
      <c r="C116" s="140">
        <v>2021</v>
      </c>
      <c r="D116" s="273">
        <v>77287812.320000008</v>
      </c>
      <c r="E116" s="19">
        <v>0.43638724816634106</v>
      </c>
      <c r="F116" s="388">
        <v>33727415.735121436</v>
      </c>
      <c r="G116" s="121">
        <v>16471425.143525109</v>
      </c>
      <c r="H116" s="121">
        <v>15689092.668077979</v>
      </c>
      <c r="J116" s="111"/>
      <c r="K116" s="111"/>
      <c r="L116" s="11"/>
      <c r="M116" s="11"/>
      <c r="N116" s="11"/>
      <c r="O116" s="11"/>
      <c r="P116" s="11"/>
      <c r="AD116" s="91">
        <v>601</v>
      </c>
    </row>
    <row r="117" spans="1:30">
      <c r="A117" s="91">
        <v>602</v>
      </c>
      <c r="B117" s="385" t="s">
        <v>874</v>
      </c>
      <c r="C117" s="488"/>
      <c r="D117" s="386">
        <v>71844733.185000002</v>
      </c>
      <c r="E117" s="490"/>
      <c r="F117" s="386">
        <v>31352125.409847155</v>
      </c>
      <c r="G117" s="489">
        <v>15311406.922913168</v>
      </c>
      <c r="H117" s="489">
        <v>14584171.071964974</v>
      </c>
      <c r="I117" s="11" t="s">
        <v>901</v>
      </c>
      <c r="J117" s="11"/>
      <c r="K117" s="11"/>
      <c r="L117" s="11"/>
      <c r="M117" s="11"/>
      <c r="N117" s="11"/>
      <c r="O117" s="11"/>
      <c r="P117" s="11"/>
      <c r="AD117" s="91">
        <v>602</v>
      </c>
    </row>
    <row r="118" spans="1:30">
      <c r="A118" s="91"/>
      <c r="B118" s="378"/>
      <c r="C118" s="378"/>
      <c r="D118" s="11"/>
      <c r="E118" s="19"/>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D118" s="91"/>
    </row>
    <row r="119" spans="1:30">
      <c r="A119" s="91"/>
      <c r="B119" s="378"/>
      <c r="C119" s="378"/>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D119" s="91"/>
    </row>
    <row r="120" spans="1:30" ht="15" customHeight="1">
      <c r="B120" s="45" t="s">
        <v>974</v>
      </c>
      <c r="C120" s="45"/>
      <c r="D120" s="103"/>
      <c r="E120" s="103"/>
      <c r="F120" s="103"/>
      <c r="G120" s="103"/>
      <c r="H120" s="103"/>
      <c r="I120" s="103"/>
      <c r="J120" s="103"/>
      <c r="K120" s="103"/>
      <c r="L120" s="103"/>
      <c r="M120" s="43"/>
      <c r="N120" s="43"/>
      <c r="O120" s="103"/>
      <c r="P120" s="103"/>
      <c r="Q120" s="103"/>
      <c r="R120" s="43"/>
      <c r="S120" s="43"/>
      <c r="T120" s="43"/>
      <c r="U120" s="43"/>
      <c r="V120" s="43"/>
      <c r="W120" s="43"/>
      <c r="X120" s="43"/>
      <c r="Y120" s="43"/>
      <c r="Z120" s="43"/>
      <c r="AA120" s="43"/>
      <c r="AB120" s="43"/>
      <c r="AC120" s="43"/>
    </row>
    <row r="121" spans="1:30">
      <c r="A121" s="18"/>
      <c r="B121" s="378" t="s">
        <v>975</v>
      </c>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91"/>
    </row>
    <row r="122" spans="1:30">
      <c r="A122" s="18"/>
      <c r="C122" s="8"/>
      <c r="D122" s="8"/>
      <c r="E122" s="8"/>
      <c r="F122" s="8"/>
      <c r="G122" s="8"/>
      <c r="H122" s="8"/>
      <c r="I122" s="8"/>
      <c r="J122" s="8"/>
      <c r="K122" s="8"/>
      <c r="L122" s="8"/>
      <c r="M122" s="8"/>
      <c r="N122" s="8"/>
      <c r="O122" s="8"/>
      <c r="P122" s="8"/>
      <c r="Q122" s="8"/>
      <c r="AD122" s="91"/>
    </row>
    <row r="123" spans="1:30">
      <c r="A123" s="4"/>
      <c r="D123" s="83" t="s">
        <v>122</v>
      </c>
      <c r="E123" s="83" t="s">
        <v>123</v>
      </c>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D123" s="91"/>
    </row>
    <row r="124" spans="1:30" ht="29">
      <c r="B124" s="91"/>
      <c r="C124" s="91"/>
      <c r="D124" s="133" t="s">
        <v>891</v>
      </c>
      <c r="E124" s="133" t="s">
        <v>891</v>
      </c>
      <c r="F124" s="133"/>
      <c r="AD124" s="91"/>
    </row>
    <row r="125" spans="1:30">
      <c r="B125" s="91"/>
      <c r="C125" s="91"/>
      <c r="D125" s="84"/>
      <c r="AC125" s="91"/>
      <c r="AD125"/>
    </row>
    <row r="126" spans="1:30">
      <c r="B126" s="91"/>
      <c r="C126" s="91"/>
      <c r="D126" s="4" t="s">
        <v>505</v>
      </c>
      <c r="E126" s="4" t="s">
        <v>536</v>
      </c>
      <c r="AC126" s="91"/>
      <c r="AD126"/>
    </row>
    <row r="127" spans="1:30">
      <c r="A127" s="80" t="s">
        <v>90</v>
      </c>
      <c r="B127" s="80" t="s">
        <v>511</v>
      </c>
      <c r="C127" s="80" t="s">
        <v>512</v>
      </c>
      <c r="D127" s="3" t="s">
        <v>737</v>
      </c>
      <c r="E127" s="3" t="s">
        <v>737</v>
      </c>
      <c r="F127" s="83"/>
      <c r="G127" s="83"/>
      <c r="H127" s="83"/>
      <c r="I127" s="83"/>
      <c r="J127" s="83"/>
      <c r="K127" s="83"/>
      <c r="L127" s="83"/>
      <c r="M127" s="83"/>
      <c r="N127" s="83"/>
      <c r="O127" s="83"/>
      <c r="P127" s="83"/>
      <c r="Q127" s="80"/>
      <c r="R127" s="80"/>
      <c r="S127" s="80"/>
      <c r="T127" s="80"/>
      <c r="U127" s="80"/>
      <c r="V127" s="80"/>
      <c r="W127" s="80"/>
      <c r="X127" s="80"/>
      <c r="Y127" s="80"/>
      <c r="Z127" s="80"/>
      <c r="AA127" s="80"/>
      <c r="AD127" s="80" t="s">
        <v>90</v>
      </c>
    </row>
    <row r="128" spans="1:30">
      <c r="A128" s="91">
        <v>700</v>
      </c>
      <c r="B128" s="378" t="s">
        <v>520</v>
      </c>
      <c r="C128" s="140">
        <v>2020</v>
      </c>
      <c r="D128" s="121">
        <v>394450043.54962748</v>
      </c>
      <c r="E128" s="121">
        <v>375715108.57457381</v>
      </c>
      <c r="F128" s="83"/>
      <c r="G128" s="111"/>
      <c r="H128" s="111"/>
      <c r="I128" s="111"/>
      <c r="J128" s="111"/>
      <c r="K128" s="111"/>
      <c r="L128" s="111"/>
      <c r="M128" s="111"/>
      <c r="N128" s="111"/>
      <c r="O128" s="111"/>
      <c r="P128" s="111"/>
      <c r="Q128" s="11"/>
      <c r="R128" s="11"/>
      <c r="S128" s="11"/>
      <c r="T128" s="11"/>
      <c r="U128" s="11"/>
      <c r="V128" s="11"/>
      <c r="W128" s="11"/>
      <c r="X128" s="11"/>
      <c r="Y128" s="11"/>
      <c r="Z128" s="11"/>
      <c r="AA128" s="11"/>
      <c r="AD128" s="91">
        <v>700</v>
      </c>
    </row>
    <row r="129" spans="1:30">
      <c r="A129" s="91">
        <v>701</v>
      </c>
      <c r="B129" s="378" t="s">
        <v>520</v>
      </c>
      <c r="C129" s="140">
        <v>2021</v>
      </c>
      <c r="D129" s="121">
        <v>379724526.45764387</v>
      </c>
      <c r="E129" s="121">
        <v>361688999.70855898</v>
      </c>
      <c r="F129" s="111" t="s">
        <v>976</v>
      </c>
      <c r="G129" s="384"/>
      <c r="H129" s="384"/>
      <c r="I129" s="384"/>
      <c r="J129" s="384"/>
      <c r="K129" s="384"/>
      <c r="L129" s="384"/>
      <c r="M129" s="384"/>
      <c r="N129" s="384"/>
      <c r="O129" s="384"/>
      <c r="P129" s="384"/>
      <c r="Q129" s="384"/>
      <c r="R129" s="384"/>
      <c r="S129" s="384"/>
      <c r="T129" s="384"/>
      <c r="U129" s="384"/>
      <c r="V129" s="384"/>
      <c r="W129" s="384"/>
      <c r="X129" s="384"/>
      <c r="Y129" s="384"/>
      <c r="Z129" s="384"/>
      <c r="AA129" s="384"/>
      <c r="AD129" s="91">
        <v>701</v>
      </c>
    </row>
    <row r="130" spans="1:30">
      <c r="A130" s="91">
        <v>702</v>
      </c>
      <c r="B130" s="488" t="s">
        <v>874</v>
      </c>
      <c r="C130" s="488"/>
      <c r="D130" s="489">
        <v>387087285.00363564</v>
      </c>
      <c r="E130" s="489">
        <v>368702054.1415664</v>
      </c>
      <c r="F130" s="11" t="s">
        <v>902</v>
      </c>
      <c r="G130" s="11"/>
      <c r="H130" s="11"/>
      <c r="I130" s="11"/>
      <c r="J130" s="11"/>
      <c r="K130" s="11"/>
      <c r="L130" s="11"/>
      <c r="M130" s="11"/>
      <c r="N130" s="11"/>
      <c r="O130" s="11"/>
      <c r="P130" s="11"/>
      <c r="Q130" s="11"/>
      <c r="R130" s="11"/>
      <c r="S130" s="11"/>
      <c r="T130" s="11"/>
      <c r="U130" s="11"/>
      <c r="V130" s="11"/>
      <c r="W130" s="11"/>
      <c r="X130" s="11"/>
      <c r="Y130" s="11"/>
      <c r="Z130" s="11"/>
      <c r="AA130" s="11"/>
      <c r="AD130" s="91">
        <v>702</v>
      </c>
    </row>
    <row r="131" spans="1:30">
      <c r="A131" s="91"/>
      <c r="B131" s="381"/>
      <c r="C131" s="38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30">
      <c r="A132" s="91"/>
      <c r="C132" s="38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30">
      <c r="B133" s="7" t="s">
        <v>674</v>
      </c>
      <c r="C133" s="385"/>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30">
      <c r="B134" s="8" t="s">
        <v>977</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30">
      <c r="A135" s="91"/>
      <c r="B135" s="8" t="s">
        <v>978</v>
      </c>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30">
      <c r="B136" s="8" t="s">
        <v>979</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30">
      <c r="B137" s="8" t="s">
        <v>763</v>
      </c>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30">
      <c r="B138" s="91"/>
      <c r="C138" s="91"/>
      <c r="D138" s="11"/>
      <c r="E138" s="11"/>
      <c r="F138" s="83"/>
      <c r="G138" s="83"/>
      <c r="L138" s="8"/>
      <c r="M138" s="8"/>
      <c r="P138" s="8"/>
      <c r="Q138" s="8"/>
    </row>
  </sheetData>
  <mergeCells count="2">
    <mergeCell ref="B93:N94"/>
    <mergeCell ref="B107:N108"/>
  </mergeCells>
  <printOptions horizontalCentered="1"/>
  <pageMargins left="1" right="1" top="1" bottom="1" header="0.5" footer="0.5"/>
  <pageSetup scale="21" orientation="landscape" r:id="rId1"/>
  <headerFooter>
    <oddHeader>&amp;RDocket No. ER20-2878-000, et al.- Annual Update RY2024
&amp;F</oddHeader>
  </headerFooter>
  <rowBreaks count="2" manualBreakCount="2">
    <brk id="51" max="17" man="1"/>
    <brk id="90" max="2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240D-99F9-4028-9E30-259D61B6D190}">
  <sheetPr codeName="Sheet17">
    <tabColor rgb="FF92D050"/>
    <pageSetUpPr fitToPage="1"/>
  </sheetPr>
  <dimension ref="A1:AE71"/>
  <sheetViews>
    <sheetView view="pageBreakPreview" zoomScale="25" zoomScaleNormal="90" zoomScaleSheetLayoutView="25" zoomScalePageLayoutView="55" workbookViewId="0">
      <selection activeCell="W98" sqref="W98"/>
    </sheetView>
  </sheetViews>
  <sheetFormatPr defaultColWidth="8.81640625" defaultRowHeight="14.5"/>
  <cols>
    <col min="1" max="1" width="4.7265625" style="21" bestFit="1" customWidth="1"/>
    <col min="2" max="2" width="28" customWidth="1"/>
    <col min="3" max="3" width="16.26953125" customWidth="1"/>
    <col min="4" max="4" width="21.81640625" customWidth="1"/>
    <col min="5" max="5" width="18.453125" customWidth="1"/>
    <col min="6" max="7" width="22.1796875" customWidth="1"/>
    <col min="8" max="28" width="14" customWidth="1"/>
    <col min="29" max="29" width="15.7265625" bestFit="1" customWidth="1"/>
    <col min="30" max="30" width="4.7265625" bestFit="1" customWidth="1"/>
  </cols>
  <sheetData>
    <row r="1" spans="1:31">
      <c r="B1" s="2" t="s">
        <v>981</v>
      </c>
      <c r="P1" s="101"/>
      <c r="R1" s="8"/>
      <c r="S1" s="8"/>
      <c r="T1" s="8"/>
      <c r="U1" s="8"/>
      <c r="V1" s="8"/>
      <c r="W1" s="8"/>
      <c r="X1" s="8"/>
      <c r="Y1" s="8"/>
      <c r="Z1" s="8"/>
      <c r="AA1" s="8"/>
      <c r="AB1" s="8"/>
      <c r="AC1" s="6" t="str">
        <f>CONCATENATE("Prior Year: ",'1-DRR Corrected'!$K$2)</f>
        <v>Prior Year: 2021</v>
      </c>
    </row>
    <row r="2" spans="1:31">
      <c r="B2" s="78" t="s">
        <v>120</v>
      </c>
      <c r="C2" s="38"/>
      <c r="R2" s="8"/>
      <c r="S2" s="8"/>
      <c r="T2" s="8"/>
      <c r="U2" s="8"/>
      <c r="V2" s="8"/>
      <c r="W2" s="8"/>
      <c r="X2" s="8"/>
      <c r="Y2" s="8"/>
      <c r="Z2" s="8"/>
      <c r="AA2" s="8"/>
      <c r="AB2" s="8"/>
    </row>
    <row r="3" spans="1:31">
      <c r="A3" s="4"/>
    </row>
    <row r="4" spans="1:31">
      <c r="B4" s="79" t="s">
        <v>982</v>
      </c>
      <c r="C4" s="103"/>
      <c r="D4" s="103"/>
      <c r="E4" s="103"/>
      <c r="F4" s="103"/>
      <c r="G4" s="103"/>
      <c r="H4" s="103"/>
      <c r="I4" s="103"/>
      <c r="J4" s="103"/>
      <c r="K4" s="103"/>
      <c r="L4" s="103"/>
      <c r="M4" s="103"/>
      <c r="N4" s="103"/>
      <c r="O4" s="103"/>
      <c r="P4" s="103"/>
      <c r="Q4" s="103"/>
      <c r="R4" s="389"/>
      <c r="S4" s="389"/>
      <c r="T4" s="389"/>
      <c r="U4" s="389"/>
      <c r="V4" s="389"/>
      <c r="W4" s="389"/>
      <c r="X4" s="389"/>
      <c r="Y4" s="389"/>
      <c r="Z4" s="389"/>
      <c r="AA4" s="389"/>
      <c r="AB4" s="389"/>
      <c r="AC4" s="43"/>
    </row>
    <row r="5" spans="1:31">
      <c r="B5" t="s">
        <v>983</v>
      </c>
    </row>
    <row r="6" spans="1:31">
      <c r="B6" s="378" t="s">
        <v>984</v>
      </c>
    </row>
    <row r="8" spans="1:31">
      <c r="A8" s="91"/>
      <c r="D8" s="83" t="s">
        <v>122</v>
      </c>
      <c r="E8" s="83" t="s">
        <v>123</v>
      </c>
      <c r="F8" s="83" t="s">
        <v>124</v>
      </c>
      <c r="G8" s="83" t="s">
        <v>125</v>
      </c>
      <c r="H8" s="83" t="s">
        <v>490</v>
      </c>
      <c r="I8" s="83" t="s">
        <v>491</v>
      </c>
      <c r="J8" s="83" t="s">
        <v>492</v>
      </c>
      <c r="K8" s="83" t="s">
        <v>493</v>
      </c>
      <c r="L8" s="83" t="s">
        <v>494</v>
      </c>
      <c r="M8" s="83" t="s">
        <v>768</v>
      </c>
      <c r="N8" s="83" t="s">
        <v>769</v>
      </c>
      <c r="O8" s="83" t="s">
        <v>770</v>
      </c>
      <c r="P8" s="83" t="s">
        <v>771</v>
      </c>
      <c r="Q8" s="83" t="s">
        <v>772</v>
      </c>
      <c r="R8" s="83" t="s">
        <v>773</v>
      </c>
      <c r="S8" s="83" t="s">
        <v>774</v>
      </c>
      <c r="T8" s="83" t="s">
        <v>775</v>
      </c>
      <c r="U8" s="83" t="s">
        <v>776</v>
      </c>
      <c r="V8" s="83" t="s">
        <v>777</v>
      </c>
      <c r="W8" s="83" t="s">
        <v>778</v>
      </c>
      <c r="X8" s="83" t="s">
        <v>779</v>
      </c>
      <c r="Y8" s="83" t="s">
        <v>780</v>
      </c>
      <c r="Z8" s="83" t="s">
        <v>781</v>
      </c>
      <c r="AA8" s="83" t="s">
        <v>782</v>
      </c>
      <c r="AB8" s="83" t="s">
        <v>783</v>
      </c>
      <c r="AC8" s="83" t="s">
        <v>784</v>
      </c>
      <c r="AD8" s="83"/>
    </row>
    <row r="9" spans="1:31">
      <c r="A9" s="91"/>
      <c r="D9" s="18"/>
      <c r="E9" s="18"/>
      <c r="F9" s="18"/>
      <c r="G9" s="18"/>
      <c r="H9" s="18"/>
      <c r="I9" s="18"/>
      <c r="J9" s="18"/>
      <c r="K9" s="18"/>
      <c r="L9" s="18"/>
      <c r="M9" s="18"/>
      <c r="N9" s="18"/>
      <c r="O9" s="18"/>
      <c r="P9" s="18"/>
      <c r="Q9" s="18"/>
      <c r="R9" s="18"/>
      <c r="S9" s="18"/>
      <c r="T9" s="18"/>
      <c r="U9" s="18"/>
      <c r="V9" s="18"/>
      <c r="W9" s="18"/>
      <c r="X9" s="18"/>
      <c r="Y9" s="18"/>
      <c r="Z9" s="18"/>
      <c r="AA9" s="18"/>
      <c r="AB9" s="18"/>
      <c r="AC9" s="133" t="s">
        <v>785</v>
      </c>
      <c r="AD9" s="18"/>
    </row>
    <row r="10" spans="1:31">
      <c r="A10" s="91"/>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row>
    <row r="11" spans="1:31">
      <c r="C11" s="90" t="s">
        <v>786</v>
      </c>
      <c r="D11" s="84">
        <v>360</v>
      </c>
      <c r="E11" s="84">
        <v>360</v>
      </c>
      <c r="F11" s="84">
        <v>361</v>
      </c>
      <c r="G11" s="84">
        <v>361</v>
      </c>
      <c r="H11" s="84">
        <v>362</v>
      </c>
      <c r="I11" s="84">
        <v>363</v>
      </c>
      <c r="J11" s="84">
        <v>363</v>
      </c>
      <c r="K11" s="84">
        <v>364</v>
      </c>
      <c r="L11" s="84">
        <v>365</v>
      </c>
      <c r="M11" s="84">
        <v>366</v>
      </c>
      <c r="N11" s="84">
        <v>367</v>
      </c>
      <c r="O11" s="84">
        <v>368</v>
      </c>
      <c r="P11" s="84">
        <v>368</v>
      </c>
      <c r="Q11" s="84">
        <v>369</v>
      </c>
      <c r="R11" s="84">
        <v>369</v>
      </c>
      <c r="S11" s="84">
        <v>370</v>
      </c>
      <c r="T11" s="84">
        <v>370</v>
      </c>
      <c r="U11" s="84">
        <v>371</v>
      </c>
      <c r="V11" s="84">
        <v>371</v>
      </c>
      <c r="W11" s="84">
        <v>371</v>
      </c>
      <c r="X11" s="84">
        <v>372</v>
      </c>
      <c r="Y11" s="84">
        <v>373</v>
      </c>
      <c r="Z11" s="84">
        <v>373</v>
      </c>
      <c r="AA11" s="84">
        <v>373</v>
      </c>
      <c r="AB11" s="84">
        <v>373</v>
      </c>
    </row>
    <row r="12" spans="1:31">
      <c r="A12" s="80" t="s">
        <v>90</v>
      </c>
      <c r="C12" s="80" t="s">
        <v>512</v>
      </c>
      <c r="D12" s="83" t="s">
        <v>787</v>
      </c>
      <c r="E12" s="83" t="s">
        <v>788</v>
      </c>
      <c r="F12" s="83" t="s">
        <v>789</v>
      </c>
      <c r="G12" s="83" t="s">
        <v>790</v>
      </c>
      <c r="H12" s="83" t="s">
        <v>791</v>
      </c>
      <c r="I12" s="83" t="s">
        <v>792</v>
      </c>
      <c r="J12" s="83" t="s">
        <v>793</v>
      </c>
      <c r="K12" s="83" t="s">
        <v>794</v>
      </c>
      <c r="L12" s="83" t="s">
        <v>795</v>
      </c>
      <c r="M12" s="83" t="s">
        <v>796</v>
      </c>
      <c r="N12" s="83" t="s">
        <v>797</v>
      </c>
      <c r="O12" s="83" t="s">
        <v>798</v>
      </c>
      <c r="P12" s="83" t="s">
        <v>799</v>
      </c>
      <c r="Q12" s="83" t="s">
        <v>800</v>
      </c>
      <c r="R12" s="83" t="s">
        <v>801</v>
      </c>
      <c r="S12" s="83" t="s">
        <v>802</v>
      </c>
      <c r="T12" s="83" t="s">
        <v>803</v>
      </c>
      <c r="U12" s="83" t="s">
        <v>804</v>
      </c>
      <c r="V12" s="83" t="s">
        <v>805</v>
      </c>
      <c r="W12" s="83" t="s">
        <v>806</v>
      </c>
      <c r="X12" s="83" t="s">
        <v>807</v>
      </c>
      <c r="Y12" s="83" t="s">
        <v>808</v>
      </c>
      <c r="Z12" s="83" t="s">
        <v>809</v>
      </c>
      <c r="AA12" s="83" t="s">
        <v>810</v>
      </c>
      <c r="AB12" s="83" t="s">
        <v>811</v>
      </c>
      <c r="AC12" s="80" t="s">
        <v>534</v>
      </c>
      <c r="AD12" s="80" t="str">
        <f>A12</f>
        <v>Line</v>
      </c>
    </row>
    <row r="13" spans="1:31">
      <c r="A13" s="91">
        <v>100</v>
      </c>
      <c r="B13" t="s">
        <v>985</v>
      </c>
      <c r="C13" s="140">
        <f>'1-DRR Corrected'!$K$2</f>
        <v>2021</v>
      </c>
      <c r="D13" s="272">
        <v>0</v>
      </c>
      <c r="E13" s="272">
        <v>3758115.8656650004</v>
      </c>
      <c r="F13" s="272">
        <v>4353280.1154195005</v>
      </c>
      <c r="G13" s="650">
        <v>439776.82138999994</v>
      </c>
      <c r="H13" s="272">
        <v>120155774.316615</v>
      </c>
      <c r="I13" s="272">
        <v>64385.11</v>
      </c>
      <c r="J13" s="272">
        <v>2010560.11</v>
      </c>
      <c r="K13" s="650">
        <v>383270885.6033259</v>
      </c>
      <c r="L13" s="650">
        <v>210636268.68506598</v>
      </c>
      <c r="M13" s="272">
        <v>82490548.777563006</v>
      </c>
      <c r="N13" s="272">
        <v>172590892.80092001</v>
      </c>
      <c r="O13" s="272">
        <v>150476434.94194499</v>
      </c>
      <c r="P13" s="272">
        <v>52273743.420000002</v>
      </c>
      <c r="Q13" s="272">
        <v>40638408.052308999</v>
      </c>
      <c r="R13" s="272">
        <v>76240008.659795508</v>
      </c>
      <c r="S13" s="272">
        <v>7006014.4702279996</v>
      </c>
      <c r="T13" s="272">
        <v>84483687.209999993</v>
      </c>
      <c r="U13" s="272">
        <v>0</v>
      </c>
      <c r="V13" s="272">
        <v>897.54</v>
      </c>
      <c r="W13" s="272">
        <v>115438.44</v>
      </c>
      <c r="X13" s="272">
        <v>0</v>
      </c>
      <c r="Y13" s="272">
        <v>562940.15164000005</v>
      </c>
      <c r="Z13" s="272">
        <v>1642575.3967880001</v>
      </c>
      <c r="AA13" s="272">
        <v>4374340.8725640001</v>
      </c>
      <c r="AB13" s="272">
        <v>2779284.53</v>
      </c>
      <c r="AC13" s="390">
        <f>SUM(D13:AB13)</f>
        <v>1400364261.8912339</v>
      </c>
      <c r="AD13" s="91">
        <f>A13</f>
        <v>100</v>
      </c>
    </row>
    <row r="14" spans="1:31">
      <c r="A14" s="91">
        <f>A13+1</f>
        <v>101</v>
      </c>
      <c r="B14" s="659" t="s">
        <v>133</v>
      </c>
      <c r="C14" s="491">
        <f>'1-DRR Corrected'!$K$2</f>
        <v>2021</v>
      </c>
      <c r="D14" s="678">
        <f>D$13*'6-PlantJurisdiction'!$E$37</f>
        <v>0</v>
      </c>
      <c r="E14" s="678">
        <f>E$13*'6-PlantJurisdiction'!$E$37</f>
        <v>1917828.2734782731</v>
      </c>
      <c r="F14" s="678">
        <f>F$13*'6-PlantJurisdiction'!$E$38</f>
        <v>4353280.1154195005</v>
      </c>
      <c r="G14" s="678">
        <f>G$13*'6-PlantJurisdiction'!$E$38</f>
        <v>439776.82138999994</v>
      </c>
      <c r="H14" s="678">
        <f>H$13*'6-PlantJurisdiction'!$E$39</f>
        <v>120155774.316615</v>
      </c>
      <c r="I14" s="678">
        <f>I$13*'6-PlantJurisdiction'!$E$40</f>
        <v>64385.11</v>
      </c>
      <c r="J14" s="678">
        <f>J$13*'6-PlantJurisdiction'!$E$40</f>
        <v>2010560.11</v>
      </c>
      <c r="K14" s="678">
        <f>K$13*'6-PlantJurisdiction'!$E$41</f>
        <v>305914610.62331116</v>
      </c>
      <c r="L14" s="678">
        <f>L$13*'6-PlantJurisdiction'!$E$42</f>
        <v>168123159.20241648</v>
      </c>
      <c r="M14" s="678">
        <f>M$13*'6-PlantJurisdiction'!$E$43</f>
        <v>32211333.132783324</v>
      </c>
      <c r="N14" s="678">
        <f>N$13*'6-PlantJurisdiction'!$E$44</f>
        <v>67394178.194715232</v>
      </c>
      <c r="O14" s="678">
        <f>O$13*'6-PlantJurisdiction'!$E$45</f>
        <v>0</v>
      </c>
      <c r="P14" s="678">
        <f>P$13*'6-PlantJurisdiction'!$E$45</f>
        <v>0</v>
      </c>
      <c r="Q14" s="678">
        <f>Q$13*'6-PlantJurisdiction'!$E$46</f>
        <v>0</v>
      </c>
      <c r="R14" s="678">
        <f>R$13*'6-PlantJurisdiction'!$E$46</f>
        <v>0</v>
      </c>
      <c r="S14" s="678">
        <f>S$13*'6-PlantJurisdiction'!$E$47</f>
        <v>0</v>
      </c>
      <c r="T14" s="678">
        <f>T$13*'6-PlantJurisdiction'!$E$47</f>
        <v>0</v>
      </c>
      <c r="U14" s="678">
        <f>U$13*'6-PlantJurisdiction'!$E$48</f>
        <v>0</v>
      </c>
      <c r="V14" s="678">
        <f>V$13*'6-PlantJurisdiction'!$E$48</f>
        <v>0</v>
      </c>
      <c r="W14" s="678">
        <f>W$13*'6-PlantJurisdiction'!$E$48</f>
        <v>0</v>
      </c>
      <c r="X14" s="678">
        <f>X$13*'6-PlantJurisdiction'!$E$49</f>
        <v>0</v>
      </c>
      <c r="Y14" s="678">
        <f>Y$13*'6-PlantJurisdiction'!$E$50</f>
        <v>0</v>
      </c>
      <c r="Z14" s="678">
        <f>Z$13*'6-PlantJurisdiction'!$E$50</f>
        <v>0</v>
      </c>
      <c r="AA14" s="678">
        <f>AA$13*'6-PlantJurisdiction'!$E$50</f>
        <v>0</v>
      </c>
      <c r="AB14" s="678">
        <f>AB$13*'6-PlantJurisdiction'!$E$50</f>
        <v>0</v>
      </c>
      <c r="AC14" s="679">
        <f t="shared" ref="AC14:AC15" si="0">SUM(D14:AB14)</f>
        <v>702584885.90012896</v>
      </c>
      <c r="AD14" s="91">
        <f t="shared" ref="AD14:AD15" si="1">A14</f>
        <v>101</v>
      </c>
      <c r="AE14" s="21"/>
    </row>
    <row r="15" spans="1:31">
      <c r="A15" s="91">
        <f>A14+1</f>
        <v>102</v>
      </c>
      <c r="B15" s="8" t="s">
        <v>134</v>
      </c>
      <c r="C15" s="140">
        <f>'1-DRR Corrected'!$K$2</f>
        <v>2021</v>
      </c>
      <c r="D15" s="275">
        <f>D$13*'6-PlantJurisdiction'!$F$37</f>
        <v>0</v>
      </c>
      <c r="E15" s="275">
        <f>E$13*'6-PlantJurisdiction'!$F$37</f>
        <v>1840287.5921867273</v>
      </c>
      <c r="F15" s="275">
        <f>F$13*'6-PlantJurisdiction'!$F$38</f>
        <v>0</v>
      </c>
      <c r="G15" s="275">
        <f>G$13*'6-PlantJurisdiction'!$F$38</f>
        <v>0</v>
      </c>
      <c r="H15" s="275">
        <f>H$13*'6-PlantJurisdiction'!$F$39</f>
        <v>0</v>
      </c>
      <c r="I15" s="275">
        <f>I$13*'6-PlantJurisdiction'!$F$40</f>
        <v>0</v>
      </c>
      <c r="J15" s="275">
        <f>J$13*'6-PlantJurisdiction'!$F$40</f>
        <v>0</v>
      </c>
      <c r="K15" s="275">
        <f>K$13*'6-PlantJurisdiction'!$F$41</f>
        <v>77356274.980014741</v>
      </c>
      <c r="L15" s="275">
        <f>L$13*'6-PlantJurisdiction'!$F$42</f>
        <v>42513109.48264952</v>
      </c>
      <c r="M15" s="275">
        <f>M$13*'6-PlantJurisdiction'!$F$43</f>
        <v>50279215.644779682</v>
      </c>
      <c r="N15" s="275">
        <f>N$13*'6-PlantJurisdiction'!$F$44</f>
        <v>105196714.60620479</v>
      </c>
      <c r="O15" s="275">
        <f>O$13*'6-PlantJurisdiction'!$F$45</f>
        <v>150476434.94194499</v>
      </c>
      <c r="P15" s="275">
        <f>P$13*'6-PlantJurisdiction'!$F$45</f>
        <v>52273743.420000002</v>
      </c>
      <c r="Q15" s="275">
        <f>Q$13*'6-PlantJurisdiction'!$F$46</f>
        <v>40638408.052308999</v>
      </c>
      <c r="R15" s="275">
        <f>R$13*'6-PlantJurisdiction'!$F$46</f>
        <v>76240008.659795508</v>
      </c>
      <c r="S15" s="275">
        <f>S$13*'6-PlantJurisdiction'!$F$47</f>
        <v>0</v>
      </c>
      <c r="T15" s="275">
        <f>T$13*'6-PlantJurisdiction'!$F$47</f>
        <v>0</v>
      </c>
      <c r="U15" s="275">
        <f>U$13*'6-PlantJurisdiction'!$F$48</f>
        <v>0</v>
      </c>
      <c r="V15" s="275">
        <f>V$13*'6-PlantJurisdiction'!$F$48</f>
        <v>0</v>
      </c>
      <c r="W15" s="275">
        <f>W$13*'6-PlantJurisdiction'!$F$48</f>
        <v>0</v>
      </c>
      <c r="X15" s="275">
        <f>X$13*'6-PlantJurisdiction'!$F$49</f>
        <v>0</v>
      </c>
      <c r="Y15" s="275">
        <f>Y$13*'6-PlantJurisdiction'!$F$50</f>
        <v>0</v>
      </c>
      <c r="Z15" s="275">
        <f>Z$13*'6-PlantJurisdiction'!$F$50</f>
        <v>0</v>
      </c>
      <c r="AA15" s="275">
        <f>AA$13*'6-PlantJurisdiction'!$F$50</f>
        <v>0</v>
      </c>
      <c r="AB15" s="275">
        <f>AB$13*'6-PlantJurisdiction'!$F$50</f>
        <v>0</v>
      </c>
      <c r="AC15" s="390">
        <f t="shared" si="0"/>
        <v>596814197.37988496</v>
      </c>
      <c r="AD15" s="91">
        <f t="shared" si="1"/>
        <v>102</v>
      </c>
      <c r="AE15" s="21"/>
    </row>
    <row r="16" spans="1:31">
      <c r="A16" s="18"/>
      <c r="C16" s="8"/>
      <c r="D16" s="8"/>
      <c r="E16" s="8"/>
      <c r="F16" s="8"/>
      <c r="G16" s="8"/>
      <c r="H16" s="8"/>
      <c r="I16" s="8"/>
      <c r="J16" s="8"/>
      <c r="K16" s="8"/>
      <c r="L16" s="8"/>
      <c r="M16" s="8"/>
      <c r="N16" s="8"/>
      <c r="O16" s="8"/>
      <c r="P16" s="8"/>
      <c r="Q16" s="8"/>
      <c r="R16" s="8"/>
      <c r="S16" s="8"/>
      <c r="T16" s="8"/>
      <c r="U16" s="8"/>
      <c r="V16" s="8"/>
      <c r="W16" s="8"/>
      <c r="X16" s="8"/>
      <c r="Y16" s="8"/>
      <c r="Z16" s="8"/>
      <c r="AA16" s="8"/>
      <c r="AB16" s="8"/>
      <c r="AE16" s="21"/>
    </row>
    <row r="17" spans="1:30">
      <c r="A17" s="18"/>
      <c r="B17" s="8"/>
      <c r="C17" s="8"/>
      <c r="D17" s="8"/>
      <c r="E17" s="8"/>
      <c r="F17" s="8"/>
      <c r="G17" s="8"/>
      <c r="H17" s="8"/>
      <c r="I17" s="8"/>
      <c r="J17" s="8"/>
      <c r="K17" s="8"/>
      <c r="L17" s="8"/>
      <c r="M17" s="8"/>
      <c r="N17" s="8"/>
      <c r="O17" s="8"/>
      <c r="P17" s="8"/>
      <c r="Q17" s="8"/>
      <c r="R17" s="8"/>
      <c r="S17" s="8"/>
      <c r="T17" s="8"/>
      <c r="U17" s="8"/>
      <c r="V17" s="8"/>
      <c r="W17" s="8"/>
      <c r="X17" s="8"/>
      <c r="Y17" s="8"/>
      <c r="Z17" s="8"/>
      <c r="AA17" s="8"/>
      <c r="AB17" s="8"/>
      <c r="AD17" s="21"/>
    </row>
    <row r="18" spans="1:30">
      <c r="B18" s="45" t="s">
        <v>986</v>
      </c>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43"/>
      <c r="AD18" s="21"/>
    </row>
    <row r="19" spans="1:30">
      <c r="B19" s="378" t="s">
        <v>987</v>
      </c>
    </row>
    <row r="21" spans="1:30">
      <c r="A21" s="18"/>
      <c r="B21" s="8"/>
      <c r="C21" s="83" t="s">
        <v>122</v>
      </c>
      <c r="D21" s="83" t="s">
        <v>123</v>
      </c>
      <c r="E21" s="83" t="s">
        <v>124</v>
      </c>
      <c r="F21" s="8"/>
      <c r="G21" s="8"/>
      <c r="H21" s="8"/>
      <c r="I21" s="8"/>
      <c r="J21" s="8"/>
      <c r="K21" s="8"/>
      <c r="L21" s="8"/>
      <c r="M21" s="8"/>
      <c r="N21" s="8"/>
      <c r="O21" s="8"/>
      <c r="P21" s="8"/>
      <c r="Q21" s="8"/>
      <c r="R21" s="8"/>
      <c r="S21" s="8"/>
      <c r="T21" s="8"/>
      <c r="U21" s="8"/>
      <c r="V21" s="8"/>
      <c r="W21" s="8"/>
      <c r="X21" s="8"/>
      <c r="Y21" s="8"/>
      <c r="Z21" s="8"/>
      <c r="AA21" s="8"/>
      <c r="AB21" s="8"/>
      <c r="AD21" s="21"/>
    </row>
    <row r="22" spans="1:30" ht="43.5">
      <c r="C22" s="133" t="s">
        <v>101</v>
      </c>
      <c r="D22" s="133" t="s">
        <v>869</v>
      </c>
      <c r="E22" s="133" t="s">
        <v>870</v>
      </c>
      <c r="F22" s="8"/>
      <c r="G22" s="8"/>
      <c r="H22" s="8"/>
      <c r="I22" s="8"/>
      <c r="J22" s="8"/>
      <c r="K22" s="8"/>
      <c r="L22" s="8"/>
      <c r="M22" s="8"/>
      <c r="N22" s="8"/>
      <c r="O22" s="8"/>
      <c r="P22" s="8"/>
      <c r="Q22" s="8"/>
      <c r="R22" s="8"/>
      <c r="S22" s="8"/>
      <c r="T22" s="8"/>
      <c r="U22" s="8"/>
      <c r="V22" s="8"/>
      <c r="W22" s="8"/>
      <c r="X22" s="8"/>
      <c r="Y22" s="8"/>
      <c r="Z22" s="8"/>
      <c r="AA22" s="8"/>
      <c r="AB22" s="8"/>
      <c r="AD22" s="21"/>
    </row>
    <row r="23" spans="1:30">
      <c r="C23" s="100"/>
      <c r="D23" s="100"/>
      <c r="F23" s="8"/>
      <c r="G23" s="8"/>
      <c r="H23" s="8"/>
      <c r="I23" s="8"/>
      <c r="J23" s="8"/>
      <c r="K23" s="8"/>
      <c r="L23" s="8"/>
      <c r="M23" s="8"/>
      <c r="N23" s="8"/>
      <c r="O23" s="8"/>
      <c r="P23" s="8"/>
      <c r="Q23" s="8"/>
      <c r="R23" s="8"/>
      <c r="S23" s="8"/>
      <c r="T23" s="8"/>
      <c r="U23" s="8"/>
      <c r="V23" s="8"/>
      <c r="W23" s="8"/>
      <c r="X23" s="8"/>
      <c r="Y23" s="8"/>
      <c r="Z23" s="8"/>
      <c r="AA23" s="8"/>
      <c r="AB23" s="8"/>
      <c r="AD23" s="21"/>
    </row>
    <row r="24" spans="1:30">
      <c r="C24" s="84" t="s">
        <v>871</v>
      </c>
      <c r="D24" s="4" t="s">
        <v>505</v>
      </c>
      <c r="E24" s="4" t="s">
        <v>536</v>
      </c>
      <c r="F24" s="8"/>
      <c r="G24" s="8"/>
      <c r="H24" s="8"/>
      <c r="I24" s="8"/>
      <c r="J24" s="8"/>
      <c r="K24" s="8"/>
      <c r="L24" s="8"/>
      <c r="M24" s="8"/>
      <c r="N24" s="8"/>
      <c r="O24" s="8"/>
      <c r="P24" s="8"/>
      <c r="Q24" s="8"/>
      <c r="R24" s="8"/>
      <c r="S24" s="8"/>
      <c r="T24" s="8"/>
      <c r="U24" s="8"/>
      <c r="V24" s="8"/>
      <c r="W24" s="8"/>
      <c r="X24" s="8"/>
      <c r="Y24" s="8"/>
      <c r="Z24" s="8"/>
      <c r="AA24" s="8"/>
      <c r="AB24" s="8"/>
      <c r="AD24" s="21"/>
    </row>
    <row r="25" spans="1:30">
      <c r="A25" s="80" t="s">
        <v>90</v>
      </c>
      <c r="B25" s="80" t="s">
        <v>512</v>
      </c>
      <c r="C25" s="382" t="s">
        <v>968</v>
      </c>
      <c r="D25" s="3" t="s">
        <v>737</v>
      </c>
      <c r="E25" s="3" t="s">
        <v>737</v>
      </c>
      <c r="F25" s="8"/>
      <c r="G25" s="8"/>
      <c r="H25" s="8"/>
      <c r="I25" s="8"/>
      <c r="J25" s="8"/>
      <c r="K25" s="8"/>
      <c r="L25" s="8"/>
      <c r="M25" s="8"/>
      <c r="N25" s="8"/>
      <c r="O25" s="8"/>
      <c r="P25" s="8"/>
      <c r="Q25" s="8"/>
      <c r="R25" s="8"/>
      <c r="S25" s="8"/>
      <c r="T25" s="8"/>
      <c r="U25" s="8"/>
      <c r="V25" s="8"/>
      <c r="W25" s="8"/>
      <c r="X25" s="8"/>
      <c r="Y25" s="8"/>
      <c r="Z25" s="8"/>
      <c r="AA25" s="8"/>
      <c r="AB25" s="8"/>
      <c r="AD25" s="80" t="str">
        <f>A25</f>
        <v>Line</v>
      </c>
    </row>
    <row r="26" spans="1:30">
      <c r="A26" s="91">
        <v>200</v>
      </c>
      <c r="B26" s="140">
        <f>'1-DRR Corrected'!$K$2</f>
        <v>2021</v>
      </c>
      <c r="C26" s="272">
        <v>60917644.943082191</v>
      </c>
      <c r="D26" s="121">
        <f>$C26*'6-PlantJurisdiction'!E$85</f>
        <v>29642055.830609772</v>
      </c>
      <c r="E26" s="121">
        <f>$C26*'6-PlantJurisdiction'!F$85</f>
        <v>28443582.935109645</v>
      </c>
      <c r="F26" s="111" t="s">
        <v>988</v>
      </c>
      <c r="G26" s="8"/>
      <c r="H26" s="8"/>
      <c r="I26" s="8"/>
      <c r="J26" s="8"/>
      <c r="K26" s="8"/>
      <c r="L26" s="8"/>
      <c r="M26" s="8"/>
      <c r="N26" s="8"/>
      <c r="O26" s="8"/>
      <c r="P26" s="8"/>
      <c r="Q26" s="8"/>
      <c r="R26" s="8"/>
      <c r="S26" s="8"/>
      <c r="T26" s="8"/>
      <c r="U26" s="8"/>
      <c r="V26" s="8"/>
      <c r="W26" s="8"/>
      <c r="X26" s="8"/>
      <c r="Y26" s="8"/>
      <c r="Z26" s="8"/>
      <c r="AA26" s="8"/>
      <c r="AB26" s="8"/>
      <c r="AD26" s="91">
        <f>A26</f>
        <v>200</v>
      </c>
    </row>
    <row r="27" spans="1:30">
      <c r="A27" s="107"/>
      <c r="B27" s="11"/>
      <c r="C27" s="11"/>
      <c r="D27" s="11"/>
      <c r="E27" s="11"/>
      <c r="F27" s="11"/>
      <c r="G27" s="11"/>
      <c r="H27" s="11"/>
      <c r="I27" s="11"/>
      <c r="J27" s="11"/>
      <c r="K27" s="11"/>
      <c r="L27" s="11"/>
      <c r="M27" s="11"/>
      <c r="N27" s="8"/>
      <c r="O27" s="8"/>
      <c r="P27" s="8"/>
      <c r="Q27" s="8"/>
      <c r="R27" s="8"/>
      <c r="S27" s="8"/>
      <c r="T27" s="8"/>
      <c r="U27" s="8"/>
      <c r="V27" s="8"/>
      <c r="W27" s="8"/>
      <c r="X27" s="8"/>
      <c r="Y27" s="8"/>
      <c r="Z27" s="8"/>
      <c r="AA27" s="8"/>
      <c r="AB27" s="8"/>
      <c r="AD27" s="21"/>
    </row>
    <row r="28" spans="1:30">
      <c r="A28" s="107"/>
      <c r="B28" s="11"/>
      <c r="C28" s="11"/>
      <c r="D28" s="11"/>
      <c r="E28" s="11"/>
      <c r="F28" s="11"/>
      <c r="G28" s="11"/>
      <c r="H28" s="11"/>
      <c r="I28" s="11"/>
      <c r="J28" s="11"/>
      <c r="K28" s="11"/>
      <c r="L28" s="11"/>
      <c r="M28" s="11"/>
      <c r="N28" s="8"/>
      <c r="O28" s="8"/>
      <c r="P28" s="8"/>
      <c r="Q28" s="8"/>
      <c r="R28" s="8"/>
      <c r="S28" s="8"/>
      <c r="T28" s="8"/>
      <c r="U28" s="8"/>
      <c r="V28" s="8"/>
      <c r="W28" s="8"/>
      <c r="X28" s="8"/>
      <c r="Y28" s="8"/>
      <c r="Z28" s="8"/>
      <c r="AA28" s="8"/>
      <c r="AB28" s="8"/>
      <c r="AD28" s="21"/>
    </row>
    <row r="29" spans="1:30">
      <c r="B29" s="45" t="s">
        <v>989</v>
      </c>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43"/>
      <c r="AD29" s="21"/>
    </row>
    <row r="30" spans="1:30">
      <c r="B30" s="741" t="s">
        <v>990</v>
      </c>
      <c r="C30" s="741"/>
      <c r="D30" s="741"/>
      <c r="E30" s="741"/>
      <c r="F30" s="741"/>
      <c r="G30" s="741"/>
      <c r="H30" s="741"/>
      <c r="I30" s="741"/>
      <c r="J30" s="741"/>
      <c r="K30" s="741"/>
      <c r="L30" s="741"/>
      <c r="M30" s="741"/>
      <c r="N30" s="741"/>
    </row>
    <row r="31" spans="1:30">
      <c r="B31" s="741"/>
      <c r="C31" s="741"/>
      <c r="D31" s="741"/>
      <c r="E31" s="741"/>
      <c r="F31" s="741"/>
      <c r="G31" s="741"/>
      <c r="H31" s="741"/>
      <c r="I31" s="741"/>
      <c r="J31" s="741"/>
      <c r="K31" s="741"/>
      <c r="L31" s="741"/>
      <c r="M31" s="741"/>
      <c r="N31" s="741"/>
    </row>
    <row r="32" spans="1:30">
      <c r="B32" s="8"/>
      <c r="C32" s="83" t="s">
        <v>122</v>
      </c>
      <c r="D32" s="83" t="s">
        <v>123</v>
      </c>
      <c r="E32" s="83" t="s">
        <v>124</v>
      </c>
      <c r="F32" s="83" t="s">
        <v>125</v>
      </c>
      <c r="G32" s="83" t="s">
        <v>490</v>
      </c>
      <c r="H32" s="83"/>
      <c r="I32" s="83"/>
      <c r="J32" s="83"/>
      <c r="K32" s="83"/>
      <c r="L32" s="83"/>
      <c r="M32" s="83"/>
      <c r="O32" s="8"/>
      <c r="P32" s="8"/>
      <c r="Q32" s="8"/>
      <c r="R32" s="8"/>
      <c r="S32" s="8"/>
      <c r="T32" s="8"/>
      <c r="U32" s="8"/>
      <c r="V32" s="8"/>
      <c r="W32" s="8"/>
      <c r="X32" s="8"/>
      <c r="Y32" s="8"/>
      <c r="Z32" s="8"/>
      <c r="AA32" s="8"/>
      <c r="AB32" s="8"/>
      <c r="AD32" s="21"/>
    </row>
    <row r="33" spans="1:31" ht="43.5">
      <c r="A33" s="391"/>
      <c r="B33" s="392"/>
      <c r="C33" s="133" t="s">
        <v>496</v>
      </c>
      <c r="D33" s="387" t="str">
        <f>"24-Allocators, Line " &amp; '24-Allocators'!$A$24</f>
        <v>24-Allocators, Line 113</v>
      </c>
      <c r="E33" s="387" t="s">
        <v>877</v>
      </c>
      <c r="F33" s="133" t="s">
        <v>878</v>
      </c>
      <c r="G33" s="133" t="s">
        <v>879</v>
      </c>
      <c r="H33" s="133"/>
      <c r="I33" s="133"/>
      <c r="J33" s="133"/>
      <c r="K33" s="133"/>
      <c r="L33" s="133"/>
      <c r="M33" s="133"/>
      <c r="O33" s="393"/>
      <c r="P33" s="393"/>
      <c r="Q33" s="393"/>
      <c r="R33" s="393"/>
      <c r="S33" s="393"/>
      <c r="T33" s="393"/>
      <c r="U33" s="393"/>
      <c r="V33" s="393"/>
      <c r="W33" s="393"/>
      <c r="X33" s="393"/>
      <c r="Y33" s="393"/>
      <c r="Z33" s="393"/>
      <c r="AA33" s="393"/>
      <c r="AB33" s="393"/>
      <c r="AC33" s="392"/>
      <c r="AD33" s="21"/>
    </row>
    <row r="34" spans="1:31">
      <c r="E34" s="100"/>
      <c r="H34" s="394"/>
      <c r="I34" s="394"/>
      <c r="J34" s="394"/>
      <c r="K34" s="394"/>
      <c r="L34" s="394"/>
      <c r="M34" s="394"/>
      <c r="O34" s="8"/>
      <c r="P34" s="8"/>
      <c r="Q34" s="8"/>
      <c r="R34" s="8"/>
      <c r="S34" s="8"/>
      <c r="T34" s="8"/>
      <c r="U34" s="8"/>
      <c r="V34" s="8"/>
      <c r="W34" s="8"/>
      <c r="X34" s="8"/>
      <c r="Y34" s="8"/>
      <c r="Z34" s="8"/>
      <c r="AA34" s="8"/>
      <c r="AB34" s="8"/>
      <c r="AD34" s="21"/>
    </row>
    <row r="35" spans="1:31">
      <c r="C35" s="84" t="s">
        <v>882</v>
      </c>
      <c r="D35" s="4" t="s">
        <v>880</v>
      </c>
      <c r="E35" s="4" t="s">
        <v>881</v>
      </c>
      <c r="H35" s="4"/>
      <c r="I35" s="4"/>
      <c r="J35" s="4"/>
      <c r="K35" s="4"/>
      <c r="L35" s="4"/>
      <c r="M35" s="4"/>
      <c r="O35" s="8"/>
      <c r="P35" s="8"/>
      <c r="Q35" s="8"/>
      <c r="R35" s="8"/>
      <c r="S35" s="8"/>
      <c r="T35" s="8"/>
      <c r="U35" s="8"/>
      <c r="V35" s="8"/>
      <c r="W35" s="8"/>
      <c r="X35" s="8"/>
      <c r="Y35" s="8"/>
      <c r="Z35" s="8"/>
      <c r="AA35" s="8"/>
      <c r="AB35" s="8"/>
      <c r="AD35" s="21"/>
    </row>
    <row r="36" spans="1:31">
      <c r="C36" s="4" t="s">
        <v>991</v>
      </c>
      <c r="D36" s="4" t="s">
        <v>737</v>
      </c>
      <c r="E36" s="4" t="s">
        <v>737</v>
      </c>
      <c r="F36" s="4" t="s">
        <v>505</v>
      </c>
      <c r="G36" s="4" t="s">
        <v>536</v>
      </c>
      <c r="H36" s="4"/>
      <c r="I36" s="4"/>
      <c r="J36" s="4"/>
      <c r="K36" s="4"/>
      <c r="L36" s="4"/>
      <c r="M36" s="4"/>
      <c r="O36" s="8"/>
      <c r="P36" s="8"/>
      <c r="Q36" s="8"/>
      <c r="R36" s="8"/>
      <c r="S36" s="8"/>
      <c r="T36" s="8"/>
      <c r="U36" s="8"/>
      <c r="V36" s="8"/>
      <c r="W36" s="8"/>
      <c r="X36" s="8"/>
      <c r="Y36" s="8"/>
      <c r="Z36" s="8"/>
      <c r="AA36" s="8"/>
      <c r="AB36" s="8"/>
      <c r="AD36" s="21"/>
    </row>
    <row r="37" spans="1:31">
      <c r="A37" s="80" t="s">
        <v>90</v>
      </c>
      <c r="B37" s="80" t="s">
        <v>512</v>
      </c>
      <c r="C37" s="110" t="s">
        <v>883</v>
      </c>
      <c r="D37" s="110" t="s">
        <v>884</v>
      </c>
      <c r="E37" s="382" t="s">
        <v>885</v>
      </c>
      <c r="F37" s="3" t="s">
        <v>737</v>
      </c>
      <c r="G37" s="3" t="s">
        <v>737</v>
      </c>
      <c r="H37" s="110"/>
      <c r="I37" s="110"/>
      <c r="J37" s="110"/>
      <c r="K37" s="110"/>
      <c r="L37" s="110"/>
      <c r="M37" s="110"/>
      <c r="O37" s="8"/>
      <c r="P37" s="8"/>
      <c r="Q37" s="8"/>
      <c r="R37" s="8"/>
      <c r="S37" s="8"/>
      <c r="T37" s="8"/>
      <c r="U37" s="8"/>
      <c r="V37" s="8"/>
      <c r="W37" s="8"/>
      <c r="X37" s="8"/>
      <c r="Y37" s="8"/>
      <c r="Z37" s="8"/>
      <c r="AA37" s="8"/>
      <c r="AB37" s="8"/>
      <c r="AD37" s="80" t="str">
        <f>A37</f>
        <v>Line</v>
      </c>
    </row>
    <row r="38" spans="1:31">
      <c r="A38" s="91">
        <v>300</v>
      </c>
      <c r="B38" s="140">
        <f>'1-DRR Corrected'!$K$2</f>
        <v>2021</v>
      </c>
      <c r="C38" s="272">
        <v>247599424.99509785</v>
      </c>
      <c r="D38" s="19">
        <f>'24-Allocators'!$C$24</f>
        <v>0.30680154907006396</v>
      </c>
      <c r="E38" s="265">
        <f>+D38*C38</f>
        <v>75963887.137353137</v>
      </c>
      <c r="F38" s="121">
        <f>$E38*'6-PlantJurisdiction'!E$85</f>
        <v>36963441.146476351</v>
      </c>
      <c r="G38" s="121">
        <f>$E38*'6-PlantJurisdiction'!F$85</f>
        <v>35468953.632127896</v>
      </c>
      <c r="H38" s="111"/>
      <c r="I38" s="22"/>
      <c r="J38" s="22"/>
      <c r="K38" s="22"/>
      <c r="L38" s="22"/>
      <c r="M38" s="22"/>
      <c r="O38" s="8"/>
      <c r="P38" s="8"/>
      <c r="Q38" s="8"/>
      <c r="R38" s="8"/>
      <c r="S38" s="8"/>
      <c r="T38" s="8"/>
      <c r="U38" s="8"/>
      <c r="V38" s="8"/>
      <c r="W38" s="8"/>
      <c r="X38" s="8"/>
      <c r="Y38" s="8"/>
      <c r="Z38" s="8"/>
      <c r="AA38" s="8"/>
      <c r="AB38" s="8"/>
      <c r="AD38" s="91">
        <f>A38</f>
        <v>300</v>
      </c>
    </row>
    <row r="39" spans="1:31">
      <c r="A39" s="91"/>
      <c r="B39" s="378"/>
      <c r="C39" s="111"/>
      <c r="D39" s="19"/>
      <c r="E39" s="395"/>
      <c r="F39" s="395"/>
      <c r="G39" s="395"/>
      <c r="H39" s="395"/>
      <c r="I39" s="395"/>
      <c r="J39" s="395"/>
      <c r="K39" s="395"/>
      <c r="L39" s="395"/>
      <c r="M39" s="395"/>
      <c r="N39" s="11"/>
      <c r="O39" s="8"/>
      <c r="P39" s="8"/>
      <c r="Q39" s="8"/>
      <c r="R39" s="8"/>
      <c r="S39" s="8"/>
      <c r="T39" s="8"/>
      <c r="U39" s="8"/>
      <c r="V39" s="8"/>
      <c r="W39" s="8"/>
      <c r="X39" s="8"/>
      <c r="Y39" s="8"/>
      <c r="Z39" s="8"/>
      <c r="AA39" s="8"/>
      <c r="AB39" s="8"/>
      <c r="AD39" s="21"/>
    </row>
    <row r="40" spans="1:31">
      <c r="A40" s="91"/>
      <c r="B40" s="378"/>
      <c r="C40" s="111"/>
      <c r="D40" s="395"/>
      <c r="E40" s="395"/>
      <c r="F40" s="395"/>
      <c r="G40" s="395"/>
      <c r="H40" s="395"/>
      <c r="I40" s="395"/>
      <c r="J40" s="395"/>
      <c r="K40" s="395"/>
      <c r="L40" s="395"/>
      <c r="M40" s="395"/>
      <c r="N40" s="11"/>
      <c r="O40" s="8"/>
      <c r="P40" s="8"/>
      <c r="Q40" s="8"/>
      <c r="R40" s="8"/>
      <c r="S40" s="8"/>
      <c r="T40" s="8"/>
      <c r="U40" s="8"/>
      <c r="V40" s="8"/>
      <c r="W40" s="8"/>
      <c r="X40" s="8"/>
      <c r="Y40" s="8"/>
      <c r="Z40" s="8"/>
      <c r="AA40" s="8"/>
      <c r="AB40" s="8"/>
      <c r="AD40" s="21"/>
    </row>
    <row r="41" spans="1:31">
      <c r="B41" s="45" t="s">
        <v>992</v>
      </c>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43"/>
      <c r="AD41" s="21"/>
    </row>
    <row r="42" spans="1:31">
      <c r="B42" s="741" t="s">
        <v>993</v>
      </c>
      <c r="C42" s="741"/>
      <c r="D42" s="741"/>
      <c r="E42" s="741"/>
      <c r="F42" s="741"/>
      <c r="G42" s="741"/>
      <c r="H42" s="741"/>
      <c r="I42" s="741"/>
      <c r="J42" s="741"/>
      <c r="K42" s="741"/>
      <c r="L42" s="741"/>
      <c r="M42" s="741"/>
      <c r="N42" s="741"/>
    </row>
    <row r="43" spans="1:31">
      <c r="B43" s="741"/>
      <c r="C43" s="741"/>
      <c r="D43" s="741"/>
      <c r="E43" s="741"/>
      <c r="F43" s="741"/>
      <c r="G43" s="741"/>
      <c r="H43" s="741"/>
      <c r="I43" s="741"/>
      <c r="J43" s="741"/>
      <c r="K43" s="741"/>
      <c r="L43" s="741"/>
      <c r="M43" s="741"/>
      <c r="N43" s="741"/>
      <c r="AE43" s="105"/>
    </row>
    <row r="44" spans="1:31">
      <c r="B44" s="8"/>
      <c r="C44" s="83" t="s">
        <v>122</v>
      </c>
      <c r="D44" s="83" t="s">
        <v>123</v>
      </c>
      <c r="E44" s="83" t="s">
        <v>124</v>
      </c>
      <c r="F44" s="83" t="s">
        <v>125</v>
      </c>
      <c r="G44" s="83" t="s">
        <v>490</v>
      </c>
      <c r="H44" s="83"/>
      <c r="I44" s="83"/>
      <c r="J44" s="83"/>
      <c r="K44" s="83"/>
      <c r="L44" s="83"/>
      <c r="M44" s="83"/>
      <c r="O44" s="8"/>
      <c r="P44" s="8"/>
      <c r="Q44" s="8"/>
      <c r="R44" s="8"/>
      <c r="S44" s="8"/>
      <c r="T44" s="8"/>
      <c r="U44" s="8"/>
      <c r="V44" s="8"/>
      <c r="W44" s="8"/>
      <c r="X44" s="8"/>
      <c r="Y44" s="8"/>
      <c r="Z44" s="8"/>
      <c r="AA44" s="8"/>
      <c r="AB44" s="8"/>
      <c r="AD44" s="21"/>
    </row>
    <row r="45" spans="1:31" ht="43.5">
      <c r="A45" s="391"/>
      <c r="B45" s="392"/>
      <c r="C45" s="133" t="s">
        <v>497</v>
      </c>
      <c r="D45" s="387" t="str">
        <f>"24-Allocators, Line " &amp; '24-Allocators'!$A$23</f>
        <v>24-Allocators, Line 112</v>
      </c>
      <c r="E45" s="387" t="s">
        <v>877</v>
      </c>
      <c r="F45" s="133" t="s">
        <v>878</v>
      </c>
      <c r="G45" s="133" t="s">
        <v>879</v>
      </c>
      <c r="H45" s="133"/>
      <c r="I45" s="133"/>
      <c r="J45" s="133"/>
      <c r="K45" s="133"/>
      <c r="L45" s="133"/>
      <c r="M45" s="133"/>
      <c r="O45" s="393"/>
      <c r="P45" s="393"/>
      <c r="Q45" s="393"/>
      <c r="R45" s="393"/>
      <c r="S45" s="393"/>
      <c r="T45" s="393"/>
      <c r="U45" s="393"/>
      <c r="V45" s="393"/>
      <c r="W45" s="393"/>
      <c r="X45" s="393"/>
      <c r="Y45" s="393"/>
      <c r="Z45" s="393"/>
      <c r="AA45" s="393"/>
      <c r="AB45" s="393"/>
      <c r="AC45" s="392"/>
      <c r="AD45" s="21"/>
    </row>
    <row r="46" spans="1:31">
      <c r="E46" s="100"/>
      <c r="G46" s="11"/>
      <c r="H46" s="394"/>
      <c r="I46" s="394"/>
      <c r="J46" s="394"/>
      <c r="K46" s="394"/>
      <c r="L46" s="394"/>
      <c r="M46" s="394"/>
      <c r="O46" s="8"/>
      <c r="P46" s="8"/>
      <c r="Q46" s="8"/>
      <c r="R46" s="8"/>
      <c r="S46" s="8"/>
      <c r="T46" s="8"/>
      <c r="U46" s="8"/>
      <c r="V46" s="8"/>
      <c r="W46" s="8"/>
      <c r="X46" s="8"/>
      <c r="Y46" s="8"/>
      <c r="Z46" s="8"/>
      <c r="AA46" s="8"/>
      <c r="AB46" s="8"/>
      <c r="AD46" s="21"/>
    </row>
    <row r="47" spans="1:31">
      <c r="C47" s="84" t="s">
        <v>882</v>
      </c>
      <c r="D47" s="4" t="s">
        <v>880</v>
      </c>
      <c r="E47" s="4" t="s">
        <v>881</v>
      </c>
      <c r="G47" s="11"/>
      <c r="H47" s="4"/>
      <c r="I47" s="4"/>
      <c r="J47" s="4"/>
      <c r="K47" s="4"/>
      <c r="L47" s="4"/>
      <c r="M47" s="4"/>
      <c r="O47" s="8"/>
      <c r="P47" s="8"/>
      <c r="Q47" s="8"/>
      <c r="R47" s="8"/>
      <c r="S47" s="8"/>
      <c r="T47" s="8"/>
      <c r="U47" s="8"/>
      <c r="V47" s="8"/>
      <c r="W47" s="8"/>
      <c r="X47" s="8"/>
      <c r="Y47" s="8"/>
      <c r="Z47" s="8"/>
      <c r="AA47" s="8"/>
      <c r="AB47" s="8"/>
      <c r="AD47" s="21"/>
    </row>
    <row r="48" spans="1:31">
      <c r="C48" s="84" t="s">
        <v>683</v>
      </c>
      <c r="D48" s="4" t="s">
        <v>737</v>
      </c>
      <c r="E48" s="4" t="s">
        <v>737</v>
      </c>
      <c r="F48" s="4" t="s">
        <v>505</v>
      </c>
      <c r="G48" s="4" t="s">
        <v>536</v>
      </c>
      <c r="H48" s="4"/>
      <c r="I48" s="4"/>
      <c r="J48" s="4"/>
      <c r="K48" s="4"/>
      <c r="L48" s="4"/>
      <c r="M48" s="4"/>
      <c r="O48" s="8"/>
      <c r="P48" s="8"/>
      <c r="Q48" s="8"/>
      <c r="R48" s="8"/>
      <c r="S48" s="8"/>
      <c r="T48" s="8"/>
      <c r="U48" s="8"/>
      <c r="V48" s="8"/>
      <c r="W48" s="8"/>
      <c r="X48" s="8"/>
      <c r="Y48" s="8"/>
      <c r="Z48" s="8"/>
      <c r="AA48" s="8"/>
      <c r="AB48" s="8"/>
      <c r="AD48" s="21"/>
    </row>
    <row r="49" spans="1:30">
      <c r="A49" s="80" t="s">
        <v>90</v>
      </c>
      <c r="B49" s="80" t="s">
        <v>512</v>
      </c>
      <c r="C49" s="110" t="s">
        <v>883</v>
      </c>
      <c r="D49" s="110" t="s">
        <v>884</v>
      </c>
      <c r="E49" s="382" t="s">
        <v>885</v>
      </c>
      <c r="F49" s="3" t="s">
        <v>737</v>
      </c>
      <c r="G49" s="3" t="s">
        <v>737</v>
      </c>
      <c r="H49" s="110"/>
      <c r="I49" s="110"/>
      <c r="J49" s="110"/>
      <c r="K49" s="110"/>
      <c r="L49" s="110"/>
      <c r="M49" s="110"/>
      <c r="O49" s="8"/>
      <c r="P49" s="8"/>
      <c r="Q49" s="8"/>
      <c r="R49" s="8"/>
      <c r="S49" s="8"/>
      <c r="T49" s="8"/>
      <c r="U49" s="8"/>
      <c r="V49" s="8"/>
      <c r="W49" s="8"/>
      <c r="X49" s="8"/>
      <c r="Y49" s="8"/>
      <c r="Z49" s="8"/>
      <c r="AA49" s="8"/>
      <c r="AB49" s="8"/>
      <c r="AD49" s="80" t="str">
        <f>A49</f>
        <v>Line</v>
      </c>
    </row>
    <row r="50" spans="1:30">
      <c r="A50" s="91">
        <v>400</v>
      </c>
      <c r="B50" s="140">
        <f>'1-DRR Corrected'!$K$2</f>
        <v>2021</v>
      </c>
      <c r="C50" s="272">
        <v>3679122.3953759712</v>
      </c>
      <c r="D50" s="19">
        <f>'24-Allocators'!$C$23</f>
        <v>0.43638724816634106</v>
      </c>
      <c r="E50" s="265">
        <f>+D50*C50</f>
        <v>1605522.0977852771</v>
      </c>
      <c r="F50" s="121">
        <f>$E50*'6-PlantJurisdiction'!E$85</f>
        <v>781234.66040578345</v>
      </c>
      <c r="G50" s="121">
        <f>$E50*'6-PlantJurisdiction'!F$85</f>
        <v>749648.16819781973</v>
      </c>
      <c r="H50" s="111"/>
      <c r="I50" s="22"/>
      <c r="J50" s="22"/>
      <c r="K50" s="22"/>
      <c r="L50" s="22"/>
      <c r="M50" s="22"/>
      <c r="O50" s="8"/>
      <c r="P50" s="8"/>
      <c r="Q50" s="8"/>
      <c r="R50" s="8"/>
      <c r="S50" s="8"/>
      <c r="T50" s="8"/>
      <c r="U50" s="8"/>
      <c r="V50" s="8"/>
      <c r="W50" s="8"/>
      <c r="X50" s="8"/>
      <c r="Y50" s="8"/>
      <c r="Z50" s="8"/>
      <c r="AA50" s="8"/>
      <c r="AB50" s="8"/>
      <c r="AD50" s="91">
        <f>A50</f>
        <v>400</v>
      </c>
    </row>
    <row r="51" spans="1:30">
      <c r="A51" s="91"/>
      <c r="B51" s="378"/>
      <c r="C51" s="111"/>
      <c r="D51" s="429"/>
      <c r="E51" s="395"/>
      <c r="F51" s="395"/>
      <c r="G51" s="395"/>
      <c r="H51" s="395"/>
      <c r="I51" s="395"/>
      <c r="J51" s="395"/>
      <c r="K51" s="395"/>
      <c r="L51" s="395"/>
      <c r="M51" s="395"/>
      <c r="N51" s="11"/>
      <c r="O51" s="8"/>
      <c r="P51" s="8"/>
      <c r="Q51" s="8"/>
      <c r="R51" s="8"/>
      <c r="S51" s="8"/>
      <c r="T51" s="8"/>
      <c r="U51" s="8"/>
      <c r="V51" s="8"/>
      <c r="W51" s="8"/>
      <c r="X51" s="8"/>
      <c r="Y51" s="8"/>
      <c r="Z51" s="8"/>
      <c r="AA51" s="8"/>
      <c r="AB51" s="8"/>
      <c r="AD51" s="21"/>
    </row>
    <row r="52" spans="1:30">
      <c r="A52" s="91"/>
      <c r="B52" s="378"/>
      <c r="C52" s="111"/>
      <c r="D52" s="395"/>
      <c r="E52" s="395"/>
      <c r="F52" s="395"/>
      <c r="G52" s="395"/>
      <c r="H52" s="395"/>
      <c r="I52" s="395"/>
      <c r="J52" s="395"/>
      <c r="K52" s="395"/>
      <c r="L52" s="395"/>
      <c r="M52" s="395"/>
      <c r="N52" s="11"/>
      <c r="O52" s="8"/>
      <c r="P52" s="8"/>
      <c r="Q52" s="8"/>
      <c r="R52" s="8"/>
      <c r="S52" s="8"/>
      <c r="T52" s="8"/>
      <c r="U52" s="8"/>
      <c r="V52" s="8"/>
      <c r="W52" s="8"/>
      <c r="X52" s="8"/>
      <c r="Y52" s="8"/>
      <c r="Z52" s="8"/>
      <c r="AA52" s="8"/>
      <c r="AB52" s="8"/>
      <c r="AD52" s="21"/>
    </row>
    <row r="53" spans="1:30">
      <c r="B53" s="45" t="s">
        <v>994</v>
      </c>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43"/>
      <c r="AD53" s="21"/>
    </row>
    <row r="54" spans="1:30">
      <c r="B54" s="378" t="s">
        <v>995</v>
      </c>
    </row>
    <row r="56" spans="1:30">
      <c r="B56" s="8"/>
      <c r="C56" s="83" t="s">
        <v>122</v>
      </c>
      <c r="D56" s="83" t="s">
        <v>123</v>
      </c>
      <c r="E56" s="83"/>
      <c r="F56" s="8"/>
      <c r="G56" s="8"/>
      <c r="H56" s="8"/>
      <c r="I56" s="8"/>
      <c r="J56" s="8"/>
      <c r="K56" s="8"/>
      <c r="L56" s="8"/>
      <c r="M56" s="8"/>
      <c r="N56" s="8"/>
      <c r="O56" s="8"/>
      <c r="P56" s="8"/>
      <c r="Q56" s="8"/>
      <c r="R56" s="8"/>
      <c r="S56" s="8"/>
      <c r="T56" s="8"/>
      <c r="U56" s="8"/>
      <c r="V56" s="8"/>
      <c r="W56" s="8"/>
      <c r="X56" s="8"/>
      <c r="Y56" s="8"/>
      <c r="Z56" s="8"/>
      <c r="AA56" s="8"/>
      <c r="AB56" s="8"/>
      <c r="AD56" s="21"/>
    </row>
    <row r="57" spans="1:30" ht="29">
      <c r="B57" s="8"/>
      <c r="C57" s="133" t="s">
        <v>996</v>
      </c>
      <c r="D57" s="133" t="s">
        <v>996</v>
      </c>
      <c r="E57" s="133"/>
      <c r="F57" s="8"/>
      <c r="G57" s="8"/>
      <c r="H57" s="8"/>
      <c r="I57" s="8"/>
      <c r="J57" s="8"/>
      <c r="K57" s="8"/>
      <c r="L57" s="8"/>
      <c r="M57" s="8"/>
      <c r="N57" s="8"/>
      <c r="O57" s="8"/>
      <c r="P57" s="8"/>
      <c r="Q57" s="8"/>
      <c r="R57" s="8"/>
      <c r="S57" s="8"/>
      <c r="T57" s="8"/>
      <c r="U57" s="8"/>
      <c r="V57" s="8"/>
      <c r="W57" s="8"/>
      <c r="X57" s="8"/>
      <c r="Y57" s="8"/>
      <c r="Z57" s="8"/>
      <c r="AA57" s="8"/>
      <c r="AB57" s="8"/>
      <c r="AD57" s="21"/>
    </row>
    <row r="58" spans="1:30">
      <c r="B58" s="8"/>
      <c r="C58" s="8"/>
      <c r="D58" s="8"/>
      <c r="E58" s="8"/>
      <c r="F58" s="8"/>
      <c r="G58" s="8"/>
      <c r="H58" s="8"/>
      <c r="I58" s="8"/>
      <c r="J58" s="8"/>
      <c r="K58" s="8"/>
      <c r="L58" s="8"/>
      <c r="M58" s="8"/>
      <c r="N58" s="8"/>
      <c r="O58" s="8"/>
      <c r="P58" s="8"/>
      <c r="Q58" s="8"/>
      <c r="R58" s="8"/>
      <c r="S58" s="8"/>
      <c r="T58" s="8"/>
      <c r="U58" s="8"/>
      <c r="V58" s="8"/>
      <c r="W58" s="8"/>
      <c r="X58" s="8"/>
      <c r="Y58" s="8"/>
      <c r="Z58" s="8"/>
      <c r="AA58" s="8"/>
      <c r="AC58" s="21"/>
    </row>
    <row r="59" spans="1:30">
      <c r="C59" s="4" t="s">
        <v>505</v>
      </c>
      <c r="D59" s="4" t="s">
        <v>536</v>
      </c>
      <c r="E59" s="8"/>
      <c r="F59" s="8"/>
      <c r="G59" s="8"/>
      <c r="H59" s="8"/>
      <c r="I59" s="8"/>
      <c r="J59" s="8"/>
      <c r="K59" s="8"/>
      <c r="L59" s="8"/>
      <c r="M59" s="8"/>
      <c r="N59" s="8"/>
      <c r="O59" s="8"/>
      <c r="P59" s="8"/>
      <c r="Q59" s="8"/>
      <c r="R59" s="8"/>
      <c r="S59" s="8"/>
      <c r="T59" s="8"/>
      <c r="U59" s="8"/>
      <c r="V59" s="8"/>
      <c r="W59" s="8"/>
      <c r="X59" s="8"/>
      <c r="Y59" s="8"/>
      <c r="Z59" s="8"/>
      <c r="AA59" s="8"/>
      <c r="AC59" s="21"/>
    </row>
    <row r="60" spans="1:30">
      <c r="A60" s="80" t="s">
        <v>90</v>
      </c>
      <c r="B60" s="80" t="s">
        <v>512</v>
      </c>
      <c r="C60" s="3" t="s">
        <v>737</v>
      </c>
      <c r="D60" s="3" t="s">
        <v>737</v>
      </c>
      <c r="E60" s="8"/>
      <c r="F60" s="8"/>
      <c r="G60" s="8"/>
      <c r="H60" s="8"/>
      <c r="I60" s="8"/>
      <c r="J60" s="8"/>
      <c r="K60" s="8"/>
      <c r="L60" s="8"/>
      <c r="M60" s="8"/>
      <c r="N60" s="8"/>
      <c r="O60" s="8"/>
      <c r="P60" s="8"/>
      <c r="Q60" s="8"/>
      <c r="R60" s="8"/>
      <c r="S60" s="8"/>
      <c r="T60" s="8"/>
      <c r="U60" s="8"/>
      <c r="V60" s="8"/>
      <c r="W60" s="8"/>
      <c r="X60" s="8"/>
      <c r="Y60" s="8"/>
      <c r="Z60" s="8"/>
      <c r="AA60" s="8"/>
      <c r="AD60" s="80" t="str">
        <f>A60</f>
        <v>Line</v>
      </c>
    </row>
    <row r="61" spans="1:30">
      <c r="A61" s="91">
        <v>500</v>
      </c>
      <c r="B61" s="140">
        <f>'1-DRR Corrected'!$K$2</f>
        <v>2021</v>
      </c>
      <c r="C61" s="396">
        <f>+D26+F38+F50</f>
        <v>67386731.637491912</v>
      </c>
      <c r="D61" s="396">
        <f>+E26+G38+G50</f>
        <v>64662184.735435359</v>
      </c>
      <c r="E61" s="111" t="s">
        <v>997</v>
      </c>
      <c r="F61" s="111"/>
      <c r="G61" s="111"/>
      <c r="H61" s="111"/>
      <c r="I61" s="111"/>
      <c r="J61" s="111"/>
      <c r="K61" s="111"/>
      <c r="L61" s="111"/>
      <c r="M61" s="8"/>
      <c r="N61" s="8"/>
      <c r="O61" s="8"/>
      <c r="P61" s="8"/>
      <c r="Q61" s="8"/>
      <c r="R61" s="8"/>
      <c r="S61" s="8"/>
      <c r="T61" s="8"/>
      <c r="U61" s="8"/>
      <c r="V61" s="8"/>
      <c r="W61" s="8"/>
      <c r="X61" s="8"/>
      <c r="Y61" s="8"/>
      <c r="Z61" s="8"/>
      <c r="AA61" s="8"/>
      <c r="AD61" s="91">
        <f>A61</f>
        <v>500</v>
      </c>
    </row>
    <row r="62" spans="1:30">
      <c r="M62" s="8"/>
      <c r="N62" s="8"/>
      <c r="O62" s="8"/>
      <c r="P62" s="8"/>
      <c r="Q62" s="8"/>
      <c r="R62" s="8"/>
      <c r="S62" s="8"/>
      <c r="T62" s="8"/>
      <c r="U62" s="8"/>
      <c r="V62" s="8"/>
      <c r="W62" s="8"/>
      <c r="X62" s="8"/>
      <c r="Y62" s="8"/>
      <c r="Z62" s="8"/>
      <c r="AA62" s="8"/>
      <c r="AC62" s="21"/>
    </row>
    <row r="63" spans="1:30">
      <c r="A63" s="18"/>
      <c r="B63" s="8"/>
      <c r="C63" s="8"/>
      <c r="G63" s="8"/>
      <c r="H63" s="8"/>
      <c r="I63" s="8"/>
      <c r="J63" s="8"/>
      <c r="K63" s="8"/>
      <c r="L63" s="8"/>
      <c r="M63" s="8"/>
      <c r="N63" s="8"/>
      <c r="O63" s="8"/>
      <c r="P63" s="8"/>
      <c r="Q63" s="8"/>
      <c r="R63" s="8"/>
      <c r="S63" s="8"/>
      <c r="T63" s="8"/>
      <c r="U63" s="8"/>
      <c r="V63" s="8"/>
      <c r="W63" s="8"/>
      <c r="X63" s="8"/>
      <c r="Y63" s="8"/>
      <c r="Z63" s="8"/>
      <c r="AA63" s="8"/>
      <c r="AB63" s="8"/>
      <c r="AD63" s="21"/>
    </row>
    <row r="64" spans="1:30">
      <c r="B64" s="7" t="s">
        <v>674</v>
      </c>
      <c r="C64" s="83"/>
      <c r="D64" s="83"/>
      <c r="E64" s="83"/>
      <c r="F64" s="83"/>
      <c r="G64" s="83"/>
      <c r="H64" s="83"/>
      <c r="I64" s="83"/>
      <c r="J64" s="83"/>
      <c r="K64" s="83"/>
      <c r="L64" s="83"/>
      <c r="M64" s="83"/>
    </row>
    <row r="65" spans="2:29">
      <c r="B65" s="739" t="s">
        <v>998</v>
      </c>
      <c r="C65" s="739"/>
      <c r="D65" s="739"/>
      <c r="E65" s="739"/>
      <c r="F65" s="739"/>
      <c r="G65" s="739"/>
      <c r="H65" s="739"/>
      <c r="I65" s="739"/>
      <c r="J65" s="739"/>
      <c r="K65" s="739"/>
      <c r="L65" s="739"/>
      <c r="M65" s="739"/>
      <c r="N65" s="739"/>
      <c r="O65" s="8"/>
      <c r="P65" s="8"/>
      <c r="Q65" s="8"/>
      <c r="R65" s="8"/>
      <c r="S65" s="8"/>
      <c r="T65" s="8"/>
      <c r="U65" s="8"/>
      <c r="V65" s="8"/>
      <c r="W65" s="8"/>
      <c r="X65" s="8"/>
      <c r="Y65" s="8"/>
      <c r="Z65" s="8"/>
      <c r="AA65" s="8"/>
      <c r="AB65" s="8"/>
      <c r="AC65" s="8"/>
    </row>
    <row r="66" spans="2:29">
      <c r="B66" s="739"/>
      <c r="C66" s="739"/>
      <c r="D66" s="739"/>
      <c r="E66" s="739"/>
      <c r="F66" s="739"/>
      <c r="G66" s="739"/>
      <c r="H66" s="739"/>
      <c r="I66" s="739"/>
      <c r="J66" s="739"/>
      <c r="K66" s="739"/>
      <c r="L66" s="739"/>
      <c r="M66" s="739"/>
      <c r="N66" s="739"/>
      <c r="O66" s="106"/>
      <c r="P66" s="106"/>
      <c r="Q66" s="106"/>
      <c r="R66" s="106"/>
      <c r="S66" s="106"/>
      <c r="T66" s="106"/>
      <c r="U66" s="106"/>
      <c r="V66" s="106"/>
      <c r="W66" s="106"/>
      <c r="X66" s="106"/>
      <c r="Y66" s="106"/>
      <c r="Z66" s="106"/>
      <c r="AA66" s="106"/>
      <c r="AB66" s="106"/>
      <c r="AC66" s="106"/>
    </row>
    <row r="67" spans="2:29">
      <c r="B67" s="739" t="s">
        <v>999</v>
      </c>
      <c r="C67" s="739"/>
      <c r="D67" s="739"/>
      <c r="E67" s="739"/>
      <c r="F67" s="739"/>
      <c r="G67" s="739"/>
      <c r="H67" s="739"/>
      <c r="I67" s="739"/>
      <c r="J67" s="739"/>
      <c r="K67" s="739"/>
      <c r="L67" s="739"/>
      <c r="M67" s="739"/>
      <c r="N67" s="739"/>
      <c r="O67" s="8"/>
      <c r="P67" s="8"/>
      <c r="Q67" s="8"/>
      <c r="R67" s="8"/>
      <c r="S67" s="8"/>
      <c r="T67" s="8"/>
      <c r="U67" s="8"/>
      <c r="V67" s="8"/>
      <c r="W67" s="8"/>
      <c r="X67" s="8"/>
      <c r="Y67" s="8"/>
      <c r="Z67" s="8"/>
      <c r="AA67" s="8"/>
      <c r="AB67" s="8"/>
      <c r="AC67" s="8"/>
    </row>
    <row r="68" spans="2:29">
      <c r="B68" s="739"/>
      <c r="C68" s="739"/>
      <c r="D68" s="739"/>
      <c r="E68" s="739"/>
      <c r="F68" s="739"/>
      <c r="G68" s="739"/>
      <c r="H68" s="739"/>
      <c r="I68" s="739"/>
      <c r="J68" s="739"/>
      <c r="K68" s="739"/>
      <c r="L68" s="739"/>
      <c r="M68" s="739"/>
      <c r="N68" s="739"/>
      <c r="O68" s="106"/>
      <c r="P68" s="106"/>
      <c r="Q68" s="106"/>
      <c r="R68" s="106"/>
      <c r="S68" s="106"/>
      <c r="T68" s="106"/>
      <c r="U68" s="106"/>
      <c r="V68" s="106"/>
      <c r="W68" s="106"/>
      <c r="X68" s="106"/>
      <c r="Y68" s="106"/>
      <c r="Z68" s="106"/>
      <c r="AA68" s="106"/>
      <c r="AB68" s="106"/>
      <c r="AC68" s="106"/>
    </row>
    <row r="69" spans="2:29">
      <c r="B69" s="739" t="s">
        <v>1000</v>
      </c>
      <c r="C69" s="739"/>
      <c r="D69" s="739"/>
      <c r="E69" s="739"/>
      <c r="F69" s="739"/>
      <c r="G69" s="739"/>
      <c r="H69" s="739"/>
      <c r="I69" s="739"/>
      <c r="J69" s="739"/>
      <c r="K69" s="739"/>
      <c r="L69" s="739"/>
      <c r="M69" s="739"/>
      <c r="N69" s="739"/>
      <c r="O69" s="8"/>
      <c r="P69" s="8"/>
      <c r="Q69" s="8"/>
      <c r="R69" s="8"/>
      <c r="S69" s="8"/>
      <c r="T69" s="8"/>
      <c r="U69" s="8"/>
      <c r="V69" s="8"/>
      <c r="W69" s="8"/>
      <c r="X69" s="8"/>
      <c r="Y69" s="8"/>
      <c r="Z69" s="8"/>
      <c r="AA69" s="8"/>
      <c r="AB69" s="8"/>
      <c r="AC69" s="8"/>
    </row>
    <row r="70" spans="2:29">
      <c r="B70" s="739"/>
      <c r="C70" s="739"/>
      <c r="D70" s="739"/>
      <c r="E70" s="739"/>
      <c r="F70" s="739"/>
      <c r="G70" s="739"/>
      <c r="H70" s="739"/>
      <c r="I70" s="739"/>
      <c r="J70" s="739"/>
      <c r="K70" s="739"/>
      <c r="L70" s="739"/>
      <c r="M70" s="739"/>
      <c r="N70" s="739"/>
      <c r="O70" s="106"/>
      <c r="P70" s="106"/>
      <c r="Q70" s="106"/>
      <c r="R70" s="106"/>
      <c r="S70" s="106"/>
      <c r="T70" s="106"/>
      <c r="U70" s="106"/>
      <c r="V70" s="106"/>
      <c r="W70" s="106"/>
      <c r="X70" s="106"/>
      <c r="Y70" s="106"/>
      <c r="Z70" s="106"/>
      <c r="AA70" s="106"/>
      <c r="AB70" s="106"/>
      <c r="AC70" s="106"/>
    </row>
    <row r="71" spans="2:29">
      <c r="B71" s="747" t="s">
        <v>763</v>
      </c>
      <c r="C71" s="747"/>
      <c r="D71" s="747"/>
      <c r="E71" s="747"/>
      <c r="F71" s="747"/>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row>
  </sheetData>
  <mergeCells count="6">
    <mergeCell ref="B71:AC71"/>
    <mergeCell ref="B30:N31"/>
    <mergeCell ref="B42:N43"/>
    <mergeCell ref="B65:N66"/>
    <mergeCell ref="B67:N68"/>
    <mergeCell ref="B69:N70"/>
  </mergeCells>
  <printOptions horizontalCentered="1"/>
  <pageMargins left="1" right="1" top="1" bottom="1" header="0.5" footer="0.5"/>
  <pageSetup scale="26" orientation="landscape" r:id="rId1"/>
  <headerFooter>
    <oddHeader>&amp;RDocket No. ER20-2878-000, et al.- Annual Update RY2024
&amp;F</oddHeader>
  </headerFooter>
  <rowBreaks count="1" manualBreakCount="1">
    <brk id="39" max="16383" man="1"/>
  </rowBreaks>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4EC63-9FC4-4354-A93D-B24991C0BFA4}">
  <sheetPr>
    <tabColor rgb="FFFF0000"/>
    <pageSetUpPr fitToPage="1"/>
  </sheetPr>
  <dimension ref="A1:AE71"/>
  <sheetViews>
    <sheetView view="pageBreakPreview" zoomScale="25" zoomScaleNormal="90" zoomScaleSheetLayoutView="25" zoomScalePageLayoutView="55" workbookViewId="0">
      <selection activeCell="W98" sqref="W98"/>
    </sheetView>
  </sheetViews>
  <sheetFormatPr defaultColWidth="8.81640625" defaultRowHeight="14.5"/>
  <cols>
    <col min="1" max="1" width="4.7265625" style="21" bestFit="1" customWidth="1"/>
    <col min="2" max="2" width="28" customWidth="1"/>
    <col min="3" max="3" width="16.26953125" customWidth="1"/>
    <col min="4" max="4" width="21.81640625" customWidth="1"/>
    <col min="5" max="5" width="18.453125" customWidth="1"/>
    <col min="6" max="7" width="22.1796875" customWidth="1"/>
    <col min="8" max="28" width="14" customWidth="1"/>
    <col min="29" max="29" width="15.7265625" bestFit="1" customWidth="1"/>
    <col min="30" max="30" width="4.7265625" bestFit="1" customWidth="1"/>
  </cols>
  <sheetData>
    <row r="1" spans="1:31">
      <c r="B1" s="2" t="s">
        <v>981</v>
      </c>
      <c r="P1" s="101"/>
      <c r="R1" s="8"/>
      <c r="S1" s="8"/>
      <c r="T1" s="8"/>
      <c r="U1" s="8"/>
      <c r="V1" s="8"/>
      <c r="W1" s="8"/>
      <c r="X1" s="8"/>
      <c r="Y1" s="8"/>
      <c r="Z1" s="8"/>
      <c r="AA1" s="8"/>
      <c r="AB1" s="8"/>
      <c r="AC1" s="6" t="str">
        <f>CONCATENATE("Prior Year: ",'1-DRR Corrected'!$K$2)</f>
        <v>Prior Year: 2021</v>
      </c>
    </row>
    <row r="2" spans="1:31">
      <c r="B2" s="78" t="s">
        <v>120</v>
      </c>
      <c r="C2" s="38"/>
      <c r="R2" s="8"/>
      <c r="S2" s="8"/>
      <c r="T2" s="8"/>
      <c r="U2" s="8"/>
      <c r="V2" s="8"/>
      <c r="W2" s="8"/>
      <c r="X2" s="8"/>
      <c r="Y2" s="8"/>
      <c r="Z2" s="8"/>
      <c r="AA2" s="8"/>
      <c r="AB2" s="8"/>
    </row>
    <row r="3" spans="1:31">
      <c r="A3" s="4"/>
    </row>
    <row r="4" spans="1:31">
      <c r="B4" s="79" t="s">
        <v>982</v>
      </c>
      <c r="C4" s="103"/>
      <c r="D4" s="103"/>
      <c r="E4" s="103"/>
      <c r="F4" s="103"/>
      <c r="G4" s="103"/>
      <c r="H4" s="103"/>
      <c r="I4" s="103"/>
      <c r="J4" s="103"/>
      <c r="K4" s="103"/>
      <c r="L4" s="103"/>
      <c r="M4" s="103"/>
      <c r="N4" s="103"/>
      <c r="O4" s="103"/>
      <c r="P4" s="103"/>
      <c r="Q4" s="103"/>
      <c r="R4" s="389"/>
      <c r="S4" s="389"/>
      <c r="T4" s="389"/>
      <c r="U4" s="389"/>
      <c r="V4" s="389"/>
      <c r="W4" s="389"/>
      <c r="X4" s="389"/>
      <c r="Y4" s="389"/>
      <c r="Z4" s="389"/>
      <c r="AA4" s="389"/>
      <c r="AB4" s="389"/>
      <c r="AC4" s="43"/>
    </row>
    <row r="5" spans="1:31">
      <c r="B5" t="s">
        <v>983</v>
      </c>
    </row>
    <row r="6" spans="1:31">
      <c r="B6" s="378" t="s">
        <v>984</v>
      </c>
    </row>
    <row r="8" spans="1:31">
      <c r="A8" s="91"/>
      <c r="D8" s="83" t="s">
        <v>122</v>
      </c>
      <c r="E8" s="83" t="s">
        <v>123</v>
      </c>
      <c r="F8" s="83" t="s">
        <v>124</v>
      </c>
      <c r="G8" s="83" t="s">
        <v>125</v>
      </c>
      <c r="H8" s="83" t="s">
        <v>490</v>
      </c>
      <c r="I8" s="83" t="s">
        <v>491</v>
      </c>
      <c r="J8" s="83" t="s">
        <v>492</v>
      </c>
      <c r="K8" s="83" t="s">
        <v>493</v>
      </c>
      <c r="L8" s="83" t="s">
        <v>494</v>
      </c>
      <c r="M8" s="83" t="s">
        <v>768</v>
      </c>
      <c r="N8" s="83" t="s">
        <v>769</v>
      </c>
      <c r="O8" s="83" t="s">
        <v>770</v>
      </c>
      <c r="P8" s="83" t="s">
        <v>771</v>
      </c>
      <c r="Q8" s="83" t="s">
        <v>772</v>
      </c>
      <c r="R8" s="83" t="s">
        <v>773</v>
      </c>
      <c r="S8" s="83" t="s">
        <v>774</v>
      </c>
      <c r="T8" s="83" t="s">
        <v>775</v>
      </c>
      <c r="U8" s="83" t="s">
        <v>776</v>
      </c>
      <c r="V8" s="83" t="s">
        <v>777</v>
      </c>
      <c r="W8" s="83" t="s">
        <v>778</v>
      </c>
      <c r="X8" s="83" t="s">
        <v>779</v>
      </c>
      <c r="Y8" s="83" t="s">
        <v>780</v>
      </c>
      <c r="Z8" s="83" t="s">
        <v>781</v>
      </c>
      <c r="AA8" s="83" t="s">
        <v>782</v>
      </c>
      <c r="AB8" s="83" t="s">
        <v>783</v>
      </c>
      <c r="AC8" s="83" t="s">
        <v>784</v>
      </c>
      <c r="AD8" s="83"/>
    </row>
    <row r="9" spans="1:31">
      <c r="A9" s="91"/>
      <c r="D9" s="18"/>
      <c r="E9" s="18"/>
      <c r="F9" s="18"/>
      <c r="G9" s="18"/>
      <c r="H9" s="18"/>
      <c r="I9" s="18"/>
      <c r="J9" s="18"/>
      <c r="K9" s="18"/>
      <c r="L9" s="18"/>
      <c r="M9" s="18"/>
      <c r="N9" s="18"/>
      <c r="O9" s="18"/>
      <c r="P9" s="18"/>
      <c r="Q9" s="18"/>
      <c r="R9" s="18"/>
      <c r="S9" s="18"/>
      <c r="T9" s="18"/>
      <c r="U9" s="18"/>
      <c r="V9" s="18"/>
      <c r="W9" s="18"/>
      <c r="X9" s="18"/>
      <c r="Y9" s="18"/>
      <c r="Z9" s="18"/>
      <c r="AA9" s="18"/>
      <c r="AB9" s="18"/>
      <c r="AC9" s="133" t="s">
        <v>785</v>
      </c>
      <c r="AD9" s="18"/>
    </row>
    <row r="10" spans="1:31">
      <c r="A10" s="91"/>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row>
    <row r="11" spans="1:31">
      <c r="C11" s="90" t="s">
        <v>786</v>
      </c>
      <c r="D11" s="84">
        <v>360</v>
      </c>
      <c r="E11" s="84">
        <v>360</v>
      </c>
      <c r="F11" s="84">
        <v>361</v>
      </c>
      <c r="G11" s="84">
        <v>361</v>
      </c>
      <c r="H11" s="84">
        <v>362</v>
      </c>
      <c r="I11" s="84">
        <v>363</v>
      </c>
      <c r="J11" s="84">
        <v>363</v>
      </c>
      <c r="K11" s="84">
        <v>364</v>
      </c>
      <c r="L11" s="84">
        <v>365</v>
      </c>
      <c r="M11" s="84">
        <v>366</v>
      </c>
      <c r="N11" s="84">
        <v>367</v>
      </c>
      <c r="O11" s="84">
        <v>368</v>
      </c>
      <c r="P11" s="84">
        <v>368</v>
      </c>
      <c r="Q11" s="84">
        <v>369</v>
      </c>
      <c r="R11" s="84">
        <v>369</v>
      </c>
      <c r="S11" s="84">
        <v>370</v>
      </c>
      <c r="T11" s="84">
        <v>370</v>
      </c>
      <c r="U11" s="84">
        <v>371</v>
      </c>
      <c r="V11" s="84">
        <v>371</v>
      </c>
      <c r="W11" s="84">
        <v>371</v>
      </c>
      <c r="X11" s="84">
        <v>372</v>
      </c>
      <c r="Y11" s="84">
        <v>373</v>
      </c>
      <c r="Z11" s="84">
        <v>373</v>
      </c>
      <c r="AA11" s="84">
        <v>373</v>
      </c>
      <c r="AB11" s="84">
        <v>373</v>
      </c>
    </row>
    <row r="12" spans="1:31">
      <c r="A12" s="80" t="s">
        <v>90</v>
      </c>
      <c r="C12" s="80" t="s">
        <v>512</v>
      </c>
      <c r="D12" s="83" t="s">
        <v>787</v>
      </c>
      <c r="E12" s="83" t="s">
        <v>788</v>
      </c>
      <c r="F12" s="83" t="s">
        <v>789</v>
      </c>
      <c r="G12" s="83" t="s">
        <v>790</v>
      </c>
      <c r="H12" s="83" t="s">
        <v>791</v>
      </c>
      <c r="I12" s="83" t="s">
        <v>792</v>
      </c>
      <c r="J12" s="83" t="s">
        <v>793</v>
      </c>
      <c r="K12" s="83" t="s">
        <v>794</v>
      </c>
      <c r="L12" s="83" t="s">
        <v>795</v>
      </c>
      <c r="M12" s="83" t="s">
        <v>796</v>
      </c>
      <c r="N12" s="83" t="s">
        <v>797</v>
      </c>
      <c r="O12" s="83" t="s">
        <v>798</v>
      </c>
      <c r="P12" s="83" t="s">
        <v>799</v>
      </c>
      <c r="Q12" s="83" t="s">
        <v>800</v>
      </c>
      <c r="R12" s="83" t="s">
        <v>801</v>
      </c>
      <c r="S12" s="83" t="s">
        <v>802</v>
      </c>
      <c r="T12" s="83" t="s">
        <v>803</v>
      </c>
      <c r="U12" s="83" t="s">
        <v>804</v>
      </c>
      <c r="V12" s="83" t="s">
        <v>805</v>
      </c>
      <c r="W12" s="83" t="s">
        <v>806</v>
      </c>
      <c r="X12" s="83" t="s">
        <v>807</v>
      </c>
      <c r="Y12" s="83" t="s">
        <v>808</v>
      </c>
      <c r="Z12" s="83" t="s">
        <v>809</v>
      </c>
      <c r="AA12" s="83" t="s">
        <v>810</v>
      </c>
      <c r="AB12" s="83" t="s">
        <v>811</v>
      </c>
      <c r="AC12" s="80" t="s">
        <v>534</v>
      </c>
      <c r="AD12" s="80" t="str">
        <f>A12</f>
        <v>Line</v>
      </c>
    </row>
    <row r="13" spans="1:31">
      <c r="A13" s="91">
        <v>100</v>
      </c>
      <c r="B13" t="s">
        <v>985</v>
      </c>
      <c r="C13" s="140">
        <f>'1-DRR Corrected'!$K$2</f>
        <v>2021</v>
      </c>
      <c r="D13" s="272">
        <v>0</v>
      </c>
      <c r="E13" s="272">
        <v>3838783.97</v>
      </c>
      <c r="F13" s="272">
        <v>4679893.74</v>
      </c>
      <c r="G13" s="272">
        <v>666588.56999999995</v>
      </c>
      <c r="H13" s="272">
        <v>122188512.51000001</v>
      </c>
      <c r="I13" s="272">
        <v>64385.11</v>
      </c>
      <c r="J13" s="272">
        <v>2010560.11</v>
      </c>
      <c r="K13" s="272">
        <v>385336692.19999999</v>
      </c>
      <c r="L13" s="272">
        <v>211849155.13999999</v>
      </c>
      <c r="M13" s="272">
        <v>82544197.969999999</v>
      </c>
      <c r="N13" s="272">
        <v>172655709.62</v>
      </c>
      <c r="O13" s="272">
        <v>150607182.19999999</v>
      </c>
      <c r="P13" s="272">
        <v>52273743.420000002</v>
      </c>
      <c r="Q13" s="272">
        <v>40738521.789999999</v>
      </c>
      <c r="R13" s="272">
        <v>76306570.200000003</v>
      </c>
      <c r="S13" s="272">
        <v>7536298.9199999999</v>
      </c>
      <c r="T13" s="272">
        <v>84483687.209999993</v>
      </c>
      <c r="U13" s="272">
        <v>0</v>
      </c>
      <c r="V13" s="272">
        <v>897.54</v>
      </c>
      <c r="W13" s="272">
        <v>115438.44</v>
      </c>
      <c r="X13" s="272">
        <v>0</v>
      </c>
      <c r="Y13" s="272">
        <v>564544.52</v>
      </c>
      <c r="Z13" s="272">
        <v>1642613.36</v>
      </c>
      <c r="AA13" s="272">
        <v>4374827.4800000004</v>
      </c>
      <c r="AB13" s="272">
        <v>2779284.53</v>
      </c>
      <c r="AC13" s="390">
        <f>SUM(D13:AB13)</f>
        <v>1407258088.55</v>
      </c>
      <c r="AD13" s="91">
        <f>A13</f>
        <v>100</v>
      </c>
    </row>
    <row r="14" spans="1:31">
      <c r="A14" s="91">
        <f>A13+1</f>
        <v>101</v>
      </c>
      <c r="B14" s="659" t="s">
        <v>133</v>
      </c>
      <c r="C14" s="491">
        <f>'1-DRR Corrected'!$K$2</f>
        <v>2021</v>
      </c>
      <c r="D14" s="678">
        <f>D$13*'6-PlantJurisdiction'!$E$37</f>
        <v>0</v>
      </c>
      <c r="E14" s="678">
        <f>E$13*'6-PlantJurisdiction'!$E$37</f>
        <v>1958994.5325271229</v>
      </c>
      <c r="F14" s="678">
        <f>F$13*'6-PlantJurisdiction'!$E$38</f>
        <v>4679893.74</v>
      </c>
      <c r="G14" s="678">
        <f>G$13*'6-PlantJurisdiction'!$E$38</f>
        <v>666588.56999999995</v>
      </c>
      <c r="H14" s="678">
        <f>H$13*'6-PlantJurisdiction'!$E$39</f>
        <v>122188512.51000001</v>
      </c>
      <c r="I14" s="678">
        <f>I$13*'6-PlantJurisdiction'!$E$40</f>
        <v>64385.11</v>
      </c>
      <c r="J14" s="678">
        <f>J$13*'6-PlantJurisdiction'!$E$40</f>
        <v>2010560.11</v>
      </c>
      <c r="K14" s="678">
        <f>K$13*'6-PlantJurisdiction'!$E$41</f>
        <v>307563471.63619459</v>
      </c>
      <c r="L14" s="678">
        <f>L$13*'6-PlantJurisdiction'!$E$42</f>
        <v>169091246.53054041</v>
      </c>
      <c r="M14" s="678">
        <f>M$13*'6-PlantJurisdiction'!$E$43</f>
        <v>32232282.344971895</v>
      </c>
      <c r="N14" s="678">
        <f>N$13*'6-PlantJurisdiction'!$E$44</f>
        <v>67419488.199108854</v>
      </c>
      <c r="O14" s="678">
        <f>O$13*'6-PlantJurisdiction'!$E$45</f>
        <v>0</v>
      </c>
      <c r="P14" s="678">
        <f>P$13*'6-PlantJurisdiction'!$E$45</f>
        <v>0</v>
      </c>
      <c r="Q14" s="678">
        <f>Q$13*'6-PlantJurisdiction'!$E$46</f>
        <v>0</v>
      </c>
      <c r="R14" s="678">
        <f>R$13*'6-PlantJurisdiction'!$E$46</f>
        <v>0</v>
      </c>
      <c r="S14" s="678">
        <f>S$13*'6-PlantJurisdiction'!$E$47</f>
        <v>0</v>
      </c>
      <c r="T14" s="678">
        <f>T$13*'6-PlantJurisdiction'!$E$47</f>
        <v>0</v>
      </c>
      <c r="U14" s="678">
        <f>U$13*'6-PlantJurisdiction'!$E$48</f>
        <v>0</v>
      </c>
      <c r="V14" s="678">
        <f>V$13*'6-PlantJurisdiction'!$E$48</f>
        <v>0</v>
      </c>
      <c r="W14" s="678">
        <f>W$13*'6-PlantJurisdiction'!$E$48</f>
        <v>0</v>
      </c>
      <c r="X14" s="678">
        <f>X$13*'6-PlantJurisdiction'!$E$49</f>
        <v>0</v>
      </c>
      <c r="Y14" s="678">
        <f>Y$13*'6-PlantJurisdiction'!$E$50</f>
        <v>0</v>
      </c>
      <c r="Z14" s="678">
        <f>Z$13*'6-PlantJurisdiction'!$E$50</f>
        <v>0</v>
      </c>
      <c r="AA14" s="678">
        <f>AA$13*'6-PlantJurisdiction'!$E$50</f>
        <v>0</v>
      </c>
      <c r="AB14" s="678">
        <f>AB$13*'6-PlantJurisdiction'!$E$50</f>
        <v>0</v>
      </c>
      <c r="AC14" s="679">
        <f t="shared" ref="AC14:AC15" si="0">SUM(D14:AB14)</f>
        <v>707875423.28334284</v>
      </c>
      <c r="AD14" s="91">
        <f t="shared" ref="AD14:AD15" si="1">A14</f>
        <v>101</v>
      </c>
      <c r="AE14" s="21"/>
    </row>
    <row r="15" spans="1:31">
      <c r="A15" s="91">
        <f>A14+1</f>
        <v>102</v>
      </c>
      <c r="B15" s="8" t="s">
        <v>134</v>
      </c>
      <c r="C15" s="140">
        <f>'1-DRR Corrected'!$K$2</f>
        <v>2021</v>
      </c>
      <c r="D15" s="275">
        <f>D$13*'6-PlantJurisdiction'!$F$37</f>
        <v>0</v>
      </c>
      <c r="E15" s="275">
        <f>E$13*'6-PlantJurisdiction'!$F$37</f>
        <v>1879789.4374728773</v>
      </c>
      <c r="F15" s="275">
        <f>F$13*'6-PlantJurisdiction'!$F$38</f>
        <v>0</v>
      </c>
      <c r="G15" s="275">
        <f>G$13*'6-PlantJurisdiction'!$F$38</f>
        <v>0</v>
      </c>
      <c r="H15" s="275">
        <f>H$13*'6-PlantJurisdiction'!$F$39</f>
        <v>0</v>
      </c>
      <c r="I15" s="275">
        <f>I$13*'6-PlantJurisdiction'!$F$40</f>
        <v>0</v>
      </c>
      <c r="J15" s="275">
        <f>J$13*'6-PlantJurisdiction'!$F$40</f>
        <v>0</v>
      </c>
      <c r="K15" s="275">
        <f>K$13*'6-PlantJurisdiction'!$F$41</f>
        <v>77773220.563805431</v>
      </c>
      <c r="L15" s="275">
        <f>L$13*'6-PlantJurisdiction'!$F$42</f>
        <v>42757908.609459572</v>
      </c>
      <c r="M15" s="275">
        <f>M$13*'6-PlantJurisdiction'!$F$43</f>
        <v>50311915.625028111</v>
      </c>
      <c r="N15" s="275">
        <f>N$13*'6-PlantJurisdiction'!$F$44</f>
        <v>105236221.42089115</v>
      </c>
      <c r="O15" s="275">
        <f>O$13*'6-PlantJurisdiction'!$F$45</f>
        <v>150607182.19999999</v>
      </c>
      <c r="P15" s="275">
        <f>P$13*'6-PlantJurisdiction'!$F$45</f>
        <v>52273743.420000002</v>
      </c>
      <c r="Q15" s="275">
        <f>Q$13*'6-PlantJurisdiction'!$F$46</f>
        <v>40738521.789999999</v>
      </c>
      <c r="R15" s="275">
        <f>R$13*'6-PlantJurisdiction'!$F$46</f>
        <v>76306570.200000003</v>
      </c>
      <c r="S15" s="275">
        <f>S$13*'6-PlantJurisdiction'!$F$47</f>
        <v>0</v>
      </c>
      <c r="T15" s="275">
        <f>T$13*'6-PlantJurisdiction'!$F$47</f>
        <v>0</v>
      </c>
      <c r="U15" s="275">
        <f>U$13*'6-PlantJurisdiction'!$F$48</f>
        <v>0</v>
      </c>
      <c r="V15" s="275">
        <f>V$13*'6-PlantJurisdiction'!$F$48</f>
        <v>0</v>
      </c>
      <c r="W15" s="275">
        <f>W$13*'6-PlantJurisdiction'!$F$48</f>
        <v>0</v>
      </c>
      <c r="X15" s="275">
        <f>X$13*'6-PlantJurisdiction'!$F$49</f>
        <v>0</v>
      </c>
      <c r="Y15" s="275">
        <f>Y$13*'6-PlantJurisdiction'!$F$50</f>
        <v>0</v>
      </c>
      <c r="Z15" s="275">
        <f>Z$13*'6-PlantJurisdiction'!$F$50</f>
        <v>0</v>
      </c>
      <c r="AA15" s="275">
        <f>AA$13*'6-PlantJurisdiction'!$F$50</f>
        <v>0</v>
      </c>
      <c r="AB15" s="275">
        <f>AB$13*'6-PlantJurisdiction'!$F$50</f>
        <v>0</v>
      </c>
      <c r="AC15" s="390">
        <f t="shared" si="0"/>
        <v>597885073.26665723</v>
      </c>
      <c r="AD15" s="91">
        <f t="shared" si="1"/>
        <v>102</v>
      </c>
      <c r="AE15" s="21"/>
    </row>
    <row r="16" spans="1:31">
      <c r="A16" s="18"/>
      <c r="C16" s="8"/>
      <c r="D16" s="8"/>
      <c r="E16" s="8"/>
      <c r="F16" s="8"/>
      <c r="G16" s="8"/>
      <c r="H16" s="8"/>
      <c r="I16" s="8"/>
      <c r="J16" s="8"/>
      <c r="K16" s="8"/>
      <c r="L16" s="8"/>
      <c r="M16" s="8"/>
      <c r="N16" s="8"/>
      <c r="O16" s="8"/>
      <c r="P16" s="8"/>
      <c r="Q16" s="8"/>
      <c r="R16" s="8"/>
      <c r="S16" s="8"/>
      <c r="T16" s="8"/>
      <c r="U16" s="8"/>
      <c r="V16" s="8"/>
      <c r="W16" s="8"/>
      <c r="X16" s="8"/>
      <c r="Y16" s="8"/>
      <c r="Z16" s="8"/>
      <c r="AA16" s="8"/>
      <c r="AB16" s="8"/>
      <c r="AE16" s="21"/>
    </row>
    <row r="17" spans="1:30">
      <c r="A17" s="18"/>
      <c r="B17" s="8"/>
      <c r="C17" s="8"/>
      <c r="D17" s="8"/>
      <c r="E17" s="8"/>
      <c r="F17" s="8"/>
      <c r="G17" s="8"/>
      <c r="H17" s="8"/>
      <c r="I17" s="8"/>
      <c r="J17" s="8"/>
      <c r="K17" s="8"/>
      <c r="L17" s="8"/>
      <c r="M17" s="8"/>
      <c r="N17" s="8"/>
      <c r="O17" s="8"/>
      <c r="P17" s="8"/>
      <c r="Q17" s="8"/>
      <c r="R17" s="8"/>
      <c r="S17" s="8"/>
      <c r="T17" s="8"/>
      <c r="U17" s="8"/>
      <c r="V17" s="8"/>
      <c r="W17" s="8"/>
      <c r="X17" s="8"/>
      <c r="Y17" s="8"/>
      <c r="Z17" s="8"/>
      <c r="AA17" s="8"/>
      <c r="AB17" s="8"/>
      <c r="AD17" s="21"/>
    </row>
    <row r="18" spans="1:30">
      <c r="B18" s="45" t="s">
        <v>986</v>
      </c>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43"/>
      <c r="AD18" s="21"/>
    </row>
    <row r="19" spans="1:30">
      <c r="B19" s="378" t="s">
        <v>987</v>
      </c>
    </row>
    <row r="21" spans="1:30">
      <c r="A21" s="18"/>
      <c r="B21" s="8"/>
      <c r="C21" s="83" t="s">
        <v>122</v>
      </c>
      <c r="D21" s="83" t="s">
        <v>123</v>
      </c>
      <c r="E21" s="83" t="s">
        <v>124</v>
      </c>
      <c r="F21" s="8"/>
      <c r="G21" s="8"/>
      <c r="H21" s="8"/>
      <c r="I21" s="8"/>
      <c r="J21" s="8"/>
      <c r="K21" s="8"/>
      <c r="L21" s="8"/>
      <c r="M21" s="8"/>
      <c r="N21" s="8"/>
      <c r="O21" s="8"/>
      <c r="P21" s="8"/>
      <c r="Q21" s="8"/>
      <c r="R21" s="8"/>
      <c r="S21" s="8"/>
      <c r="T21" s="8"/>
      <c r="U21" s="8"/>
      <c r="V21" s="8"/>
      <c r="W21" s="8"/>
      <c r="X21" s="8"/>
      <c r="Y21" s="8"/>
      <c r="Z21" s="8"/>
      <c r="AA21" s="8"/>
      <c r="AB21" s="8"/>
      <c r="AD21" s="21"/>
    </row>
    <row r="22" spans="1:30" ht="43.5">
      <c r="C22" s="133" t="s">
        <v>101</v>
      </c>
      <c r="D22" s="133" t="s">
        <v>869</v>
      </c>
      <c r="E22" s="133" t="s">
        <v>870</v>
      </c>
      <c r="F22" s="8"/>
      <c r="G22" s="8"/>
      <c r="H22" s="8"/>
      <c r="I22" s="8"/>
      <c r="J22" s="8"/>
      <c r="K22" s="8"/>
      <c r="L22" s="8"/>
      <c r="M22" s="8"/>
      <c r="N22" s="8"/>
      <c r="O22" s="8"/>
      <c r="P22" s="8"/>
      <c r="Q22" s="8"/>
      <c r="R22" s="8"/>
      <c r="S22" s="8"/>
      <c r="T22" s="8"/>
      <c r="U22" s="8"/>
      <c r="V22" s="8"/>
      <c r="W22" s="8"/>
      <c r="X22" s="8"/>
      <c r="Y22" s="8"/>
      <c r="Z22" s="8"/>
      <c r="AA22" s="8"/>
      <c r="AB22" s="8"/>
      <c r="AD22" s="21"/>
    </row>
    <row r="23" spans="1:30">
      <c r="C23" s="100"/>
      <c r="D23" s="100"/>
      <c r="F23" s="8"/>
      <c r="G23" s="8"/>
      <c r="H23" s="8"/>
      <c r="I23" s="8"/>
      <c r="J23" s="8"/>
      <c r="K23" s="8"/>
      <c r="L23" s="8"/>
      <c r="M23" s="8"/>
      <c r="N23" s="8"/>
      <c r="O23" s="8"/>
      <c r="P23" s="8"/>
      <c r="Q23" s="8"/>
      <c r="R23" s="8"/>
      <c r="S23" s="8"/>
      <c r="T23" s="8"/>
      <c r="U23" s="8"/>
      <c r="V23" s="8"/>
      <c r="W23" s="8"/>
      <c r="X23" s="8"/>
      <c r="Y23" s="8"/>
      <c r="Z23" s="8"/>
      <c r="AA23" s="8"/>
      <c r="AB23" s="8"/>
      <c r="AD23" s="21"/>
    </row>
    <row r="24" spans="1:30">
      <c r="C24" s="84" t="s">
        <v>871</v>
      </c>
      <c r="D24" s="4" t="s">
        <v>505</v>
      </c>
      <c r="E24" s="4" t="s">
        <v>536</v>
      </c>
      <c r="F24" s="8"/>
      <c r="G24" s="8"/>
      <c r="H24" s="8"/>
      <c r="I24" s="8"/>
      <c r="J24" s="8"/>
      <c r="K24" s="8"/>
      <c r="L24" s="8"/>
      <c r="M24" s="8"/>
      <c r="N24" s="8"/>
      <c r="O24" s="8"/>
      <c r="P24" s="8"/>
      <c r="Q24" s="8"/>
      <c r="R24" s="8"/>
      <c r="S24" s="8"/>
      <c r="T24" s="8"/>
      <c r="U24" s="8"/>
      <c r="V24" s="8"/>
      <c r="W24" s="8"/>
      <c r="X24" s="8"/>
      <c r="Y24" s="8"/>
      <c r="Z24" s="8"/>
      <c r="AA24" s="8"/>
      <c r="AB24" s="8"/>
      <c r="AD24" s="21"/>
    </row>
    <row r="25" spans="1:30">
      <c r="A25" s="80" t="s">
        <v>90</v>
      </c>
      <c r="B25" s="80" t="s">
        <v>512</v>
      </c>
      <c r="C25" s="382" t="s">
        <v>968</v>
      </c>
      <c r="D25" s="3" t="s">
        <v>737</v>
      </c>
      <c r="E25" s="3" t="s">
        <v>737</v>
      </c>
      <c r="F25" s="8"/>
      <c r="G25" s="8"/>
      <c r="H25" s="8"/>
      <c r="I25" s="8"/>
      <c r="J25" s="8"/>
      <c r="K25" s="8"/>
      <c r="L25" s="8"/>
      <c r="M25" s="8"/>
      <c r="N25" s="8"/>
      <c r="O25" s="8"/>
      <c r="P25" s="8"/>
      <c r="Q25" s="8"/>
      <c r="R25" s="8"/>
      <c r="S25" s="8"/>
      <c r="T25" s="8"/>
      <c r="U25" s="8"/>
      <c r="V25" s="8"/>
      <c r="W25" s="8"/>
      <c r="X25" s="8"/>
      <c r="Y25" s="8"/>
      <c r="Z25" s="8"/>
      <c r="AA25" s="8"/>
      <c r="AB25" s="8"/>
      <c r="AD25" s="80" t="str">
        <f>A25</f>
        <v>Line</v>
      </c>
    </row>
    <row r="26" spans="1:30">
      <c r="A26" s="91">
        <v>200</v>
      </c>
      <c r="B26" s="140">
        <f>'1-DRR Corrected'!$K$2</f>
        <v>2021</v>
      </c>
      <c r="C26" s="272">
        <v>60917644.943082191</v>
      </c>
      <c r="D26" s="121">
        <f>$C26*'6-PlantJurisdiction'!E$85</f>
        <v>29642055.830609772</v>
      </c>
      <c r="E26" s="121">
        <f>$C26*'6-PlantJurisdiction'!F$85</f>
        <v>28443582.935109645</v>
      </c>
      <c r="F26" s="111" t="s">
        <v>988</v>
      </c>
      <c r="G26" s="8"/>
      <c r="H26" s="8"/>
      <c r="I26" s="8"/>
      <c r="J26" s="8"/>
      <c r="K26" s="8"/>
      <c r="L26" s="8"/>
      <c r="M26" s="8"/>
      <c r="N26" s="8"/>
      <c r="O26" s="8"/>
      <c r="P26" s="8"/>
      <c r="Q26" s="8"/>
      <c r="R26" s="8"/>
      <c r="S26" s="8"/>
      <c r="T26" s="8"/>
      <c r="U26" s="8"/>
      <c r="V26" s="8"/>
      <c r="W26" s="8"/>
      <c r="X26" s="8"/>
      <c r="Y26" s="8"/>
      <c r="Z26" s="8"/>
      <c r="AA26" s="8"/>
      <c r="AB26" s="8"/>
      <c r="AD26" s="91">
        <f>A26</f>
        <v>200</v>
      </c>
    </row>
    <row r="27" spans="1:30">
      <c r="A27" s="107"/>
      <c r="B27" s="11"/>
      <c r="C27" s="11"/>
      <c r="D27" s="11"/>
      <c r="E27" s="11"/>
      <c r="F27" s="11"/>
      <c r="G27" s="11"/>
      <c r="H27" s="11"/>
      <c r="I27" s="11"/>
      <c r="J27" s="11"/>
      <c r="K27" s="11"/>
      <c r="L27" s="11"/>
      <c r="M27" s="11"/>
      <c r="N27" s="8"/>
      <c r="O27" s="8"/>
      <c r="P27" s="8"/>
      <c r="Q27" s="8"/>
      <c r="R27" s="8"/>
      <c r="S27" s="8"/>
      <c r="T27" s="8"/>
      <c r="U27" s="8"/>
      <c r="V27" s="8"/>
      <c r="W27" s="8"/>
      <c r="X27" s="8"/>
      <c r="Y27" s="8"/>
      <c r="Z27" s="8"/>
      <c r="AA27" s="8"/>
      <c r="AB27" s="8"/>
      <c r="AD27" s="21"/>
    </row>
    <row r="28" spans="1:30">
      <c r="A28" s="107"/>
      <c r="B28" s="11"/>
      <c r="C28" s="11"/>
      <c r="D28" s="11"/>
      <c r="E28" s="11"/>
      <c r="F28" s="11"/>
      <c r="G28" s="11"/>
      <c r="H28" s="11"/>
      <c r="I28" s="11"/>
      <c r="J28" s="11"/>
      <c r="K28" s="11"/>
      <c r="L28" s="11"/>
      <c r="M28" s="11"/>
      <c r="N28" s="8"/>
      <c r="O28" s="8"/>
      <c r="P28" s="8"/>
      <c r="Q28" s="8"/>
      <c r="R28" s="8"/>
      <c r="S28" s="8"/>
      <c r="T28" s="8"/>
      <c r="U28" s="8"/>
      <c r="V28" s="8"/>
      <c r="W28" s="8"/>
      <c r="X28" s="8"/>
      <c r="Y28" s="8"/>
      <c r="Z28" s="8"/>
      <c r="AA28" s="8"/>
      <c r="AB28" s="8"/>
      <c r="AD28" s="21"/>
    </row>
    <row r="29" spans="1:30">
      <c r="B29" s="45" t="s">
        <v>989</v>
      </c>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43"/>
      <c r="AD29" s="21"/>
    </row>
    <row r="30" spans="1:30">
      <c r="B30" s="741" t="s">
        <v>990</v>
      </c>
      <c r="C30" s="741"/>
      <c r="D30" s="741"/>
      <c r="E30" s="741"/>
      <c r="F30" s="741"/>
      <c r="G30" s="741"/>
      <c r="H30" s="741"/>
      <c r="I30" s="741"/>
      <c r="J30" s="741"/>
      <c r="K30" s="741"/>
      <c r="L30" s="741"/>
      <c r="M30" s="741"/>
      <c r="N30" s="741"/>
    </row>
    <row r="31" spans="1:30">
      <c r="B31" s="741"/>
      <c r="C31" s="741"/>
      <c r="D31" s="741"/>
      <c r="E31" s="741"/>
      <c r="F31" s="741"/>
      <c r="G31" s="741"/>
      <c r="H31" s="741"/>
      <c r="I31" s="741"/>
      <c r="J31" s="741"/>
      <c r="K31" s="741"/>
      <c r="L31" s="741"/>
      <c r="M31" s="741"/>
      <c r="N31" s="741"/>
    </row>
    <row r="32" spans="1:30">
      <c r="B32" s="8"/>
      <c r="C32" s="83" t="s">
        <v>122</v>
      </c>
      <c r="D32" s="83" t="s">
        <v>123</v>
      </c>
      <c r="E32" s="83" t="s">
        <v>124</v>
      </c>
      <c r="F32" s="83" t="s">
        <v>125</v>
      </c>
      <c r="G32" s="83" t="s">
        <v>490</v>
      </c>
      <c r="H32" s="83"/>
      <c r="I32" s="83"/>
      <c r="J32" s="83"/>
      <c r="K32" s="83"/>
      <c r="L32" s="83"/>
      <c r="M32" s="83"/>
      <c r="O32" s="8"/>
      <c r="P32" s="8"/>
      <c r="Q32" s="8"/>
      <c r="R32" s="8"/>
      <c r="S32" s="8"/>
      <c r="T32" s="8"/>
      <c r="U32" s="8"/>
      <c r="V32" s="8"/>
      <c r="W32" s="8"/>
      <c r="X32" s="8"/>
      <c r="Y32" s="8"/>
      <c r="Z32" s="8"/>
      <c r="AA32" s="8"/>
      <c r="AB32" s="8"/>
      <c r="AD32" s="21"/>
    </row>
    <row r="33" spans="1:31" ht="43.5">
      <c r="A33" s="391"/>
      <c r="B33" s="392"/>
      <c r="C33" s="133" t="s">
        <v>496</v>
      </c>
      <c r="D33" s="387" t="str">
        <f>"24-Allocators, Line " &amp; '24-Allocators'!$A$24</f>
        <v>24-Allocators, Line 113</v>
      </c>
      <c r="E33" s="387" t="s">
        <v>877</v>
      </c>
      <c r="F33" s="133" t="s">
        <v>878</v>
      </c>
      <c r="G33" s="133" t="s">
        <v>879</v>
      </c>
      <c r="H33" s="133"/>
      <c r="I33" s="133"/>
      <c r="J33" s="133"/>
      <c r="K33" s="133"/>
      <c r="L33" s="133"/>
      <c r="M33" s="133"/>
      <c r="O33" s="393"/>
      <c r="P33" s="393"/>
      <c r="Q33" s="393"/>
      <c r="R33" s="393"/>
      <c r="S33" s="393"/>
      <c r="T33" s="393"/>
      <c r="U33" s="393"/>
      <c r="V33" s="393"/>
      <c r="W33" s="393"/>
      <c r="X33" s="393"/>
      <c r="Y33" s="393"/>
      <c r="Z33" s="393"/>
      <c r="AA33" s="393"/>
      <c r="AB33" s="393"/>
      <c r="AC33" s="392"/>
      <c r="AD33" s="21"/>
    </row>
    <row r="34" spans="1:31">
      <c r="E34" s="100"/>
      <c r="H34" s="394"/>
      <c r="I34" s="394"/>
      <c r="J34" s="394"/>
      <c r="K34" s="394"/>
      <c r="L34" s="394"/>
      <c r="M34" s="394"/>
      <c r="O34" s="8"/>
      <c r="P34" s="8"/>
      <c r="Q34" s="8"/>
      <c r="R34" s="8"/>
      <c r="S34" s="8"/>
      <c r="T34" s="8"/>
      <c r="U34" s="8"/>
      <c r="V34" s="8"/>
      <c r="W34" s="8"/>
      <c r="X34" s="8"/>
      <c r="Y34" s="8"/>
      <c r="Z34" s="8"/>
      <c r="AA34" s="8"/>
      <c r="AB34" s="8"/>
      <c r="AD34" s="21"/>
    </row>
    <row r="35" spans="1:31">
      <c r="C35" s="84" t="s">
        <v>882</v>
      </c>
      <c r="D35" s="4" t="s">
        <v>880</v>
      </c>
      <c r="E35" s="4" t="s">
        <v>881</v>
      </c>
      <c r="H35" s="4"/>
      <c r="I35" s="4"/>
      <c r="J35" s="4"/>
      <c r="K35" s="4"/>
      <c r="L35" s="4"/>
      <c r="M35" s="4"/>
      <c r="O35" s="8"/>
      <c r="P35" s="8"/>
      <c r="Q35" s="8"/>
      <c r="R35" s="8"/>
      <c r="S35" s="8"/>
      <c r="T35" s="8"/>
      <c r="U35" s="8"/>
      <c r="V35" s="8"/>
      <c r="W35" s="8"/>
      <c r="X35" s="8"/>
      <c r="Y35" s="8"/>
      <c r="Z35" s="8"/>
      <c r="AA35" s="8"/>
      <c r="AB35" s="8"/>
      <c r="AD35" s="21"/>
    </row>
    <row r="36" spans="1:31">
      <c r="C36" s="4" t="s">
        <v>991</v>
      </c>
      <c r="D36" s="4" t="s">
        <v>737</v>
      </c>
      <c r="E36" s="4" t="s">
        <v>737</v>
      </c>
      <c r="F36" s="4" t="s">
        <v>505</v>
      </c>
      <c r="G36" s="4" t="s">
        <v>536</v>
      </c>
      <c r="H36" s="4"/>
      <c r="I36" s="4"/>
      <c r="J36" s="4"/>
      <c r="K36" s="4"/>
      <c r="L36" s="4"/>
      <c r="M36" s="4"/>
      <c r="O36" s="8"/>
      <c r="P36" s="8"/>
      <c r="Q36" s="8"/>
      <c r="R36" s="8"/>
      <c r="S36" s="8"/>
      <c r="T36" s="8"/>
      <c r="U36" s="8"/>
      <c r="V36" s="8"/>
      <c r="W36" s="8"/>
      <c r="X36" s="8"/>
      <c r="Y36" s="8"/>
      <c r="Z36" s="8"/>
      <c r="AA36" s="8"/>
      <c r="AB36" s="8"/>
      <c r="AD36" s="21"/>
    </row>
    <row r="37" spans="1:31">
      <c r="A37" s="80" t="s">
        <v>90</v>
      </c>
      <c r="B37" s="80" t="s">
        <v>512</v>
      </c>
      <c r="C37" s="110" t="s">
        <v>883</v>
      </c>
      <c r="D37" s="110" t="s">
        <v>884</v>
      </c>
      <c r="E37" s="382" t="s">
        <v>885</v>
      </c>
      <c r="F37" s="3" t="s">
        <v>737</v>
      </c>
      <c r="G37" s="3" t="s">
        <v>737</v>
      </c>
      <c r="H37" s="110"/>
      <c r="I37" s="110"/>
      <c r="J37" s="110"/>
      <c r="K37" s="110"/>
      <c r="L37" s="110"/>
      <c r="M37" s="110"/>
      <c r="O37" s="8"/>
      <c r="P37" s="8"/>
      <c r="Q37" s="8"/>
      <c r="R37" s="8"/>
      <c r="S37" s="8"/>
      <c r="T37" s="8"/>
      <c r="U37" s="8"/>
      <c r="V37" s="8"/>
      <c r="W37" s="8"/>
      <c r="X37" s="8"/>
      <c r="Y37" s="8"/>
      <c r="Z37" s="8"/>
      <c r="AA37" s="8"/>
      <c r="AB37" s="8"/>
      <c r="AD37" s="80" t="str">
        <f>A37</f>
        <v>Line</v>
      </c>
    </row>
    <row r="38" spans="1:31">
      <c r="A38" s="91">
        <v>300</v>
      </c>
      <c r="B38" s="140">
        <f>'1-DRR Corrected'!$K$2</f>
        <v>2021</v>
      </c>
      <c r="C38" s="272">
        <v>247599424.99509785</v>
      </c>
      <c r="D38" s="19">
        <f>'24-Allocators'!$C$24</f>
        <v>0.30680154907006396</v>
      </c>
      <c r="E38" s="265">
        <f>+D38*C38</f>
        <v>75963887.137353137</v>
      </c>
      <c r="F38" s="121">
        <f>$E38*'6-PlantJurisdiction'!E$85</f>
        <v>36963441.146476351</v>
      </c>
      <c r="G38" s="121">
        <f>$E38*'6-PlantJurisdiction'!F$85</f>
        <v>35468953.632127896</v>
      </c>
      <c r="H38" s="111"/>
      <c r="I38" s="22"/>
      <c r="J38" s="22"/>
      <c r="K38" s="22"/>
      <c r="L38" s="22"/>
      <c r="M38" s="22"/>
      <c r="O38" s="8"/>
      <c r="P38" s="8"/>
      <c r="Q38" s="8"/>
      <c r="R38" s="8"/>
      <c r="S38" s="8"/>
      <c r="T38" s="8"/>
      <c r="U38" s="8"/>
      <c r="V38" s="8"/>
      <c r="W38" s="8"/>
      <c r="X38" s="8"/>
      <c r="Y38" s="8"/>
      <c r="Z38" s="8"/>
      <c r="AA38" s="8"/>
      <c r="AB38" s="8"/>
      <c r="AD38" s="91">
        <f>A38</f>
        <v>300</v>
      </c>
    </row>
    <row r="39" spans="1:31">
      <c r="A39" s="91"/>
      <c r="B39" s="378"/>
      <c r="C39" s="111"/>
      <c r="D39" s="19"/>
      <c r="E39" s="395"/>
      <c r="F39" s="395"/>
      <c r="G39" s="395"/>
      <c r="H39" s="395"/>
      <c r="I39" s="395"/>
      <c r="J39" s="395"/>
      <c r="K39" s="395"/>
      <c r="L39" s="395"/>
      <c r="M39" s="395"/>
      <c r="N39" s="11"/>
      <c r="O39" s="8"/>
      <c r="P39" s="8"/>
      <c r="Q39" s="8"/>
      <c r="R39" s="8"/>
      <c r="S39" s="8"/>
      <c r="T39" s="8"/>
      <c r="U39" s="8"/>
      <c r="V39" s="8"/>
      <c r="W39" s="8"/>
      <c r="X39" s="8"/>
      <c r="Y39" s="8"/>
      <c r="Z39" s="8"/>
      <c r="AA39" s="8"/>
      <c r="AB39" s="8"/>
      <c r="AD39" s="21"/>
    </row>
    <row r="40" spans="1:31">
      <c r="A40" s="91"/>
      <c r="B40" s="378"/>
      <c r="C40" s="111"/>
      <c r="D40" s="395"/>
      <c r="E40" s="395"/>
      <c r="F40" s="395"/>
      <c r="G40" s="395"/>
      <c r="H40" s="395"/>
      <c r="I40" s="395"/>
      <c r="J40" s="395"/>
      <c r="K40" s="395"/>
      <c r="L40" s="395"/>
      <c r="M40" s="395"/>
      <c r="N40" s="11"/>
      <c r="O40" s="8"/>
      <c r="P40" s="8"/>
      <c r="Q40" s="8"/>
      <c r="R40" s="8"/>
      <c r="S40" s="8"/>
      <c r="T40" s="8"/>
      <c r="U40" s="8"/>
      <c r="V40" s="8"/>
      <c r="W40" s="8"/>
      <c r="X40" s="8"/>
      <c r="Y40" s="8"/>
      <c r="Z40" s="8"/>
      <c r="AA40" s="8"/>
      <c r="AB40" s="8"/>
      <c r="AD40" s="21"/>
    </row>
    <row r="41" spans="1:31">
      <c r="B41" s="45" t="s">
        <v>992</v>
      </c>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43"/>
      <c r="AD41" s="21"/>
    </row>
    <row r="42" spans="1:31">
      <c r="B42" s="741" t="s">
        <v>993</v>
      </c>
      <c r="C42" s="741"/>
      <c r="D42" s="741"/>
      <c r="E42" s="741"/>
      <c r="F42" s="741"/>
      <c r="G42" s="741"/>
      <c r="H42" s="741"/>
      <c r="I42" s="741"/>
      <c r="J42" s="741"/>
      <c r="K42" s="741"/>
      <c r="L42" s="741"/>
      <c r="M42" s="741"/>
      <c r="N42" s="741"/>
    </row>
    <row r="43" spans="1:31">
      <c r="B43" s="741"/>
      <c r="C43" s="741"/>
      <c r="D43" s="741"/>
      <c r="E43" s="741"/>
      <c r="F43" s="741"/>
      <c r="G43" s="741"/>
      <c r="H43" s="741"/>
      <c r="I43" s="741"/>
      <c r="J43" s="741"/>
      <c r="K43" s="741"/>
      <c r="L43" s="741"/>
      <c r="M43" s="741"/>
      <c r="N43" s="741"/>
      <c r="AE43" s="105"/>
    </row>
    <row r="44" spans="1:31">
      <c r="B44" s="8"/>
      <c r="C44" s="83" t="s">
        <v>122</v>
      </c>
      <c r="D44" s="83" t="s">
        <v>123</v>
      </c>
      <c r="E44" s="83" t="s">
        <v>124</v>
      </c>
      <c r="F44" s="83" t="s">
        <v>125</v>
      </c>
      <c r="G44" s="83" t="s">
        <v>490</v>
      </c>
      <c r="H44" s="83"/>
      <c r="I44" s="83"/>
      <c r="J44" s="83"/>
      <c r="K44" s="83"/>
      <c r="L44" s="83"/>
      <c r="M44" s="83"/>
      <c r="O44" s="8"/>
      <c r="P44" s="8"/>
      <c r="Q44" s="8"/>
      <c r="R44" s="8"/>
      <c r="S44" s="8"/>
      <c r="T44" s="8"/>
      <c r="U44" s="8"/>
      <c r="V44" s="8"/>
      <c r="W44" s="8"/>
      <c r="X44" s="8"/>
      <c r="Y44" s="8"/>
      <c r="Z44" s="8"/>
      <c r="AA44" s="8"/>
      <c r="AB44" s="8"/>
      <c r="AD44" s="21"/>
    </row>
    <row r="45" spans="1:31" ht="43.5">
      <c r="A45" s="391"/>
      <c r="B45" s="392"/>
      <c r="C45" s="133" t="s">
        <v>497</v>
      </c>
      <c r="D45" s="387" t="str">
        <f>"24-Allocators, Line " &amp; '24-Allocators'!$A$23</f>
        <v>24-Allocators, Line 112</v>
      </c>
      <c r="E45" s="387" t="s">
        <v>877</v>
      </c>
      <c r="F45" s="133" t="s">
        <v>878</v>
      </c>
      <c r="G45" s="133" t="s">
        <v>879</v>
      </c>
      <c r="H45" s="133"/>
      <c r="I45" s="133"/>
      <c r="J45" s="133"/>
      <c r="K45" s="133"/>
      <c r="L45" s="133"/>
      <c r="M45" s="133"/>
      <c r="O45" s="393"/>
      <c r="P45" s="393"/>
      <c r="Q45" s="393"/>
      <c r="R45" s="393"/>
      <c r="S45" s="393"/>
      <c r="T45" s="393"/>
      <c r="U45" s="393"/>
      <c r="V45" s="393"/>
      <c r="W45" s="393"/>
      <c r="X45" s="393"/>
      <c r="Y45" s="393"/>
      <c r="Z45" s="393"/>
      <c r="AA45" s="393"/>
      <c r="AB45" s="393"/>
      <c r="AC45" s="392"/>
      <c r="AD45" s="21"/>
    </row>
    <row r="46" spans="1:31">
      <c r="E46" s="100"/>
      <c r="G46" s="11"/>
      <c r="H46" s="394"/>
      <c r="I46" s="394"/>
      <c r="J46" s="394"/>
      <c r="K46" s="394"/>
      <c r="L46" s="394"/>
      <c r="M46" s="394"/>
      <c r="O46" s="8"/>
      <c r="P46" s="8"/>
      <c r="Q46" s="8"/>
      <c r="R46" s="8"/>
      <c r="S46" s="8"/>
      <c r="T46" s="8"/>
      <c r="U46" s="8"/>
      <c r="V46" s="8"/>
      <c r="W46" s="8"/>
      <c r="X46" s="8"/>
      <c r="Y46" s="8"/>
      <c r="Z46" s="8"/>
      <c r="AA46" s="8"/>
      <c r="AB46" s="8"/>
      <c r="AD46" s="21"/>
    </row>
    <row r="47" spans="1:31">
      <c r="C47" s="84" t="s">
        <v>882</v>
      </c>
      <c r="D47" s="4" t="s">
        <v>880</v>
      </c>
      <c r="E47" s="4" t="s">
        <v>881</v>
      </c>
      <c r="G47" s="11"/>
      <c r="H47" s="4"/>
      <c r="I47" s="4"/>
      <c r="J47" s="4"/>
      <c r="K47" s="4"/>
      <c r="L47" s="4"/>
      <c r="M47" s="4"/>
      <c r="O47" s="8"/>
      <c r="P47" s="8"/>
      <c r="Q47" s="8"/>
      <c r="R47" s="8"/>
      <c r="S47" s="8"/>
      <c r="T47" s="8"/>
      <c r="U47" s="8"/>
      <c r="V47" s="8"/>
      <c r="W47" s="8"/>
      <c r="X47" s="8"/>
      <c r="Y47" s="8"/>
      <c r="Z47" s="8"/>
      <c r="AA47" s="8"/>
      <c r="AB47" s="8"/>
      <c r="AD47" s="21"/>
    </row>
    <row r="48" spans="1:31">
      <c r="C48" s="84" t="s">
        <v>683</v>
      </c>
      <c r="D48" s="4" t="s">
        <v>737</v>
      </c>
      <c r="E48" s="4" t="s">
        <v>737</v>
      </c>
      <c r="F48" s="4" t="s">
        <v>505</v>
      </c>
      <c r="G48" s="4" t="s">
        <v>536</v>
      </c>
      <c r="H48" s="4"/>
      <c r="I48" s="4"/>
      <c r="J48" s="4"/>
      <c r="K48" s="4"/>
      <c r="L48" s="4"/>
      <c r="M48" s="4"/>
      <c r="O48" s="8"/>
      <c r="P48" s="8"/>
      <c r="Q48" s="8"/>
      <c r="R48" s="8"/>
      <c r="S48" s="8"/>
      <c r="T48" s="8"/>
      <c r="U48" s="8"/>
      <c r="V48" s="8"/>
      <c r="W48" s="8"/>
      <c r="X48" s="8"/>
      <c r="Y48" s="8"/>
      <c r="Z48" s="8"/>
      <c r="AA48" s="8"/>
      <c r="AB48" s="8"/>
      <c r="AD48" s="21"/>
    </row>
    <row r="49" spans="1:30">
      <c r="A49" s="80" t="s">
        <v>90</v>
      </c>
      <c r="B49" s="80" t="s">
        <v>512</v>
      </c>
      <c r="C49" s="110" t="s">
        <v>883</v>
      </c>
      <c r="D49" s="110" t="s">
        <v>884</v>
      </c>
      <c r="E49" s="382" t="s">
        <v>885</v>
      </c>
      <c r="F49" s="3" t="s">
        <v>737</v>
      </c>
      <c r="G49" s="3" t="s">
        <v>737</v>
      </c>
      <c r="H49" s="110"/>
      <c r="I49" s="110"/>
      <c r="J49" s="110"/>
      <c r="K49" s="110"/>
      <c r="L49" s="110"/>
      <c r="M49" s="110"/>
      <c r="O49" s="8"/>
      <c r="P49" s="8"/>
      <c r="Q49" s="8"/>
      <c r="R49" s="8"/>
      <c r="S49" s="8"/>
      <c r="T49" s="8"/>
      <c r="U49" s="8"/>
      <c r="V49" s="8"/>
      <c r="W49" s="8"/>
      <c r="X49" s="8"/>
      <c r="Y49" s="8"/>
      <c r="Z49" s="8"/>
      <c r="AA49" s="8"/>
      <c r="AB49" s="8"/>
      <c r="AD49" s="80" t="str">
        <f>A49</f>
        <v>Line</v>
      </c>
    </row>
    <row r="50" spans="1:30">
      <c r="A50" s="91">
        <v>400</v>
      </c>
      <c r="B50" s="140">
        <f>'1-DRR Corrected'!$K$2</f>
        <v>2021</v>
      </c>
      <c r="C50" s="272">
        <v>3679122.3953759712</v>
      </c>
      <c r="D50" s="19">
        <f>'24-Allocators'!$C$23</f>
        <v>0.43638724816634106</v>
      </c>
      <c r="E50" s="265">
        <f>+D50*C50</f>
        <v>1605522.0977852771</v>
      </c>
      <c r="F50" s="121">
        <f>$E50*'6-PlantJurisdiction'!E$85</f>
        <v>781234.66040578345</v>
      </c>
      <c r="G50" s="121">
        <f>$E50*'6-PlantJurisdiction'!F$85</f>
        <v>749648.16819781973</v>
      </c>
      <c r="H50" s="111"/>
      <c r="I50" s="22"/>
      <c r="J50" s="22"/>
      <c r="K50" s="22"/>
      <c r="L50" s="22"/>
      <c r="M50" s="22"/>
      <c r="O50" s="8"/>
      <c r="P50" s="8"/>
      <c r="Q50" s="8"/>
      <c r="R50" s="8"/>
      <c r="S50" s="8"/>
      <c r="T50" s="8"/>
      <c r="U50" s="8"/>
      <c r="V50" s="8"/>
      <c r="W50" s="8"/>
      <c r="X50" s="8"/>
      <c r="Y50" s="8"/>
      <c r="Z50" s="8"/>
      <c r="AA50" s="8"/>
      <c r="AB50" s="8"/>
      <c r="AD50" s="91">
        <f>A50</f>
        <v>400</v>
      </c>
    </row>
    <row r="51" spans="1:30">
      <c r="A51" s="91"/>
      <c r="B51" s="378"/>
      <c r="C51" s="111"/>
      <c r="D51" s="429"/>
      <c r="E51" s="395"/>
      <c r="F51" s="395"/>
      <c r="G51" s="395"/>
      <c r="H51" s="395"/>
      <c r="I51" s="395"/>
      <c r="J51" s="395"/>
      <c r="K51" s="395"/>
      <c r="L51" s="395"/>
      <c r="M51" s="395"/>
      <c r="N51" s="11"/>
      <c r="O51" s="8"/>
      <c r="P51" s="8"/>
      <c r="Q51" s="8"/>
      <c r="R51" s="8"/>
      <c r="S51" s="8"/>
      <c r="T51" s="8"/>
      <c r="U51" s="8"/>
      <c r="V51" s="8"/>
      <c r="W51" s="8"/>
      <c r="X51" s="8"/>
      <c r="Y51" s="8"/>
      <c r="Z51" s="8"/>
      <c r="AA51" s="8"/>
      <c r="AB51" s="8"/>
      <c r="AD51" s="21"/>
    </row>
    <row r="52" spans="1:30">
      <c r="A52" s="91"/>
      <c r="B52" s="378"/>
      <c r="C52" s="111"/>
      <c r="D52" s="395"/>
      <c r="E52" s="395"/>
      <c r="F52" s="395"/>
      <c r="G52" s="395"/>
      <c r="H52" s="395"/>
      <c r="I52" s="395"/>
      <c r="J52" s="395"/>
      <c r="K52" s="395"/>
      <c r="L52" s="395"/>
      <c r="M52" s="395"/>
      <c r="N52" s="11"/>
      <c r="O52" s="8"/>
      <c r="P52" s="8"/>
      <c r="Q52" s="8"/>
      <c r="R52" s="8"/>
      <c r="S52" s="8"/>
      <c r="T52" s="8"/>
      <c r="U52" s="8"/>
      <c r="V52" s="8"/>
      <c r="W52" s="8"/>
      <c r="X52" s="8"/>
      <c r="Y52" s="8"/>
      <c r="Z52" s="8"/>
      <c r="AA52" s="8"/>
      <c r="AB52" s="8"/>
      <c r="AD52" s="21"/>
    </row>
    <row r="53" spans="1:30">
      <c r="B53" s="45" t="s">
        <v>994</v>
      </c>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43"/>
      <c r="AD53" s="21"/>
    </row>
    <row r="54" spans="1:30">
      <c r="B54" s="378" t="s">
        <v>995</v>
      </c>
    </row>
    <row r="56" spans="1:30">
      <c r="B56" s="8"/>
      <c r="C56" s="83" t="s">
        <v>122</v>
      </c>
      <c r="D56" s="83" t="s">
        <v>123</v>
      </c>
      <c r="E56" s="83"/>
      <c r="F56" s="8"/>
      <c r="G56" s="8"/>
      <c r="H56" s="8"/>
      <c r="I56" s="8"/>
      <c r="J56" s="8"/>
      <c r="K56" s="8"/>
      <c r="L56" s="8"/>
      <c r="M56" s="8"/>
      <c r="N56" s="8"/>
      <c r="O56" s="8"/>
      <c r="P56" s="8"/>
      <c r="Q56" s="8"/>
      <c r="R56" s="8"/>
      <c r="S56" s="8"/>
      <c r="T56" s="8"/>
      <c r="U56" s="8"/>
      <c r="V56" s="8"/>
      <c r="W56" s="8"/>
      <c r="X56" s="8"/>
      <c r="Y56" s="8"/>
      <c r="Z56" s="8"/>
      <c r="AA56" s="8"/>
      <c r="AB56" s="8"/>
      <c r="AD56" s="21"/>
    </row>
    <row r="57" spans="1:30" ht="29">
      <c r="B57" s="8"/>
      <c r="C57" s="133" t="s">
        <v>996</v>
      </c>
      <c r="D57" s="133" t="s">
        <v>996</v>
      </c>
      <c r="E57" s="133"/>
      <c r="F57" s="8"/>
      <c r="G57" s="8"/>
      <c r="H57" s="8"/>
      <c r="I57" s="8"/>
      <c r="J57" s="8"/>
      <c r="K57" s="8"/>
      <c r="L57" s="8"/>
      <c r="M57" s="8"/>
      <c r="N57" s="8"/>
      <c r="O57" s="8"/>
      <c r="P57" s="8"/>
      <c r="Q57" s="8"/>
      <c r="R57" s="8"/>
      <c r="S57" s="8"/>
      <c r="T57" s="8"/>
      <c r="U57" s="8"/>
      <c r="V57" s="8"/>
      <c r="W57" s="8"/>
      <c r="X57" s="8"/>
      <c r="Y57" s="8"/>
      <c r="Z57" s="8"/>
      <c r="AA57" s="8"/>
      <c r="AB57" s="8"/>
      <c r="AD57" s="21"/>
    </row>
    <row r="58" spans="1:30">
      <c r="B58" s="8"/>
      <c r="C58" s="8"/>
      <c r="D58" s="8"/>
      <c r="E58" s="8"/>
      <c r="F58" s="8"/>
      <c r="G58" s="8"/>
      <c r="H58" s="8"/>
      <c r="I58" s="8"/>
      <c r="J58" s="8"/>
      <c r="K58" s="8"/>
      <c r="L58" s="8"/>
      <c r="M58" s="8"/>
      <c r="N58" s="8"/>
      <c r="O58" s="8"/>
      <c r="P58" s="8"/>
      <c r="Q58" s="8"/>
      <c r="R58" s="8"/>
      <c r="S58" s="8"/>
      <c r="T58" s="8"/>
      <c r="U58" s="8"/>
      <c r="V58" s="8"/>
      <c r="W58" s="8"/>
      <c r="X58" s="8"/>
      <c r="Y58" s="8"/>
      <c r="Z58" s="8"/>
      <c r="AA58" s="8"/>
      <c r="AC58" s="21"/>
    </row>
    <row r="59" spans="1:30">
      <c r="C59" s="4" t="s">
        <v>505</v>
      </c>
      <c r="D59" s="4" t="s">
        <v>536</v>
      </c>
      <c r="E59" s="8"/>
      <c r="F59" s="8"/>
      <c r="G59" s="8"/>
      <c r="H59" s="8"/>
      <c r="I59" s="8"/>
      <c r="J59" s="8"/>
      <c r="K59" s="8"/>
      <c r="L59" s="8"/>
      <c r="M59" s="8"/>
      <c r="N59" s="8"/>
      <c r="O59" s="8"/>
      <c r="P59" s="8"/>
      <c r="Q59" s="8"/>
      <c r="R59" s="8"/>
      <c r="S59" s="8"/>
      <c r="T59" s="8"/>
      <c r="U59" s="8"/>
      <c r="V59" s="8"/>
      <c r="W59" s="8"/>
      <c r="X59" s="8"/>
      <c r="Y59" s="8"/>
      <c r="Z59" s="8"/>
      <c r="AA59" s="8"/>
      <c r="AC59" s="21"/>
    </row>
    <row r="60" spans="1:30">
      <c r="A60" s="80" t="s">
        <v>90</v>
      </c>
      <c r="B60" s="80" t="s">
        <v>512</v>
      </c>
      <c r="C60" s="3" t="s">
        <v>737</v>
      </c>
      <c r="D60" s="3" t="s">
        <v>737</v>
      </c>
      <c r="E60" s="8"/>
      <c r="F60" s="8"/>
      <c r="G60" s="8"/>
      <c r="H60" s="8"/>
      <c r="I60" s="8"/>
      <c r="J60" s="8"/>
      <c r="K60" s="8"/>
      <c r="L60" s="8"/>
      <c r="M60" s="8"/>
      <c r="N60" s="8"/>
      <c r="O60" s="8"/>
      <c r="P60" s="8"/>
      <c r="Q60" s="8"/>
      <c r="R60" s="8"/>
      <c r="S60" s="8"/>
      <c r="T60" s="8"/>
      <c r="U60" s="8"/>
      <c r="V60" s="8"/>
      <c r="W60" s="8"/>
      <c r="X60" s="8"/>
      <c r="Y60" s="8"/>
      <c r="Z60" s="8"/>
      <c r="AA60" s="8"/>
      <c r="AD60" s="80" t="str">
        <f>A60</f>
        <v>Line</v>
      </c>
    </row>
    <row r="61" spans="1:30">
      <c r="A61" s="91">
        <v>500</v>
      </c>
      <c r="B61" s="140">
        <f>'1-DRR Corrected'!$K$2</f>
        <v>2021</v>
      </c>
      <c r="C61" s="396">
        <f>+D26+F38+F50</f>
        <v>67386731.637491912</v>
      </c>
      <c r="D61" s="396">
        <f>+E26+G38+G50</f>
        <v>64662184.735435359</v>
      </c>
      <c r="E61" s="111" t="s">
        <v>997</v>
      </c>
      <c r="F61" s="111"/>
      <c r="G61" s="111"/>
      <c r="H61" s="111"/>
      <c r="I61" s="111"/>
      <c r="J61" s="111"/>
      <c r="K61" s="111"/>
      <c r="L61" s="111"/>
      <c r="M61" s="8"/>
      <c r="N61" s="8"/>
      <c r="O61" s="8"/>
      <c r="P61" s="8"/>
      <c r="Q61" s="8"/>
      <c r="R61" s="8"/>
      <c r="S61" s="8"/>
      <c r="T61" s="8"/>
      <c r="U61" s="8"/>
      <c r="V61" s="8"/>
      <c r="W61" s="8"/>
      <c r="X61" s="8"/>
      <c r="Y61" s="8"/>
      <c r="Z61" s="8"/>
      <c r="AA61" s="8"/>
      <c r="AD61" s="91">
        <f>A61</f>
        <v>500</v>
      </c>
    </row>
    <row r="62" spans="1:30">
      <c r="M62" s="8"/>
      <c r="N62" s="8"/>
      <c r="O62" s="8"/>
      <c r="P62" s="8"/>
      <c r="Q62" s="8"/>
      <c r="R62" s="8"/>
      <c r="S62" s="8"/>
      <c r="T62" s="8"/>
      <c r="U62" s="8"/>
      <c r="V62" s="8"/>
      <c r="W62" s="8"/>
      <c r="X62" s="8"/>
      <c r="Y62" s="8"/>
      <c r="Z62" s="8"/>
      <c r="AA62" s="8"/>
      <c r="AC62" s="21"/>
    </row>
    <row r="63" spans="1:30">
      <c r="A63" s="18"/>
      <c r="B63" s="8"/>
      <c r="C63" s="8"/>
      <c r="G63" s="8"/>
      <c r="H63" s="8"/>
      <c r="I63" s="8"/>
      <c r="J63" s="8"/>
      <c r="K63" s="8"/>
      <c r="L63" s="8"/>
      <c r="M63" s="8"/>
      <c r="N63" s="8"/>
      <c r="O63" s="8"/>
      <c r="P63" s="8"/>
      <c r="Q63" s="8"/>
      <c r="R63" s="8"/>
      <c r="S63" s="8"/>
      <c r="T63" s="8"/>
      <c r="U63" s="8"/>
      <c r="V63" s="8"/>
      <c r="W63" s="8"/>
      <c r="X63" s="8"/>
      <c r="Y63" s="8"/>
      <c r="Z63" s="8"/>
      <c r="AA63" s="8"/>
      <c r="AB63" s="8"/>
      <c r="AD63" s="21"/>
    </row>
    <row r="64" spans="1:30">
      <c r="B64" s="7" t="s">
        <v>674</v>
      </c>
      <c r="C64" s="83"/>
      <c r="D64" s="83"/>
      <c r="E64" s="83"/>
      <c r="F64" s="83"/>
      <c r="G64" s="83"/>
      <c r="H64" s="83"/>
      <c r="I64" s="83"/>
      <c r="J64" s="83"/>
      <c r="K64" s="83"/>
      <c r="L64" s="83"/>
      <c r="M64" s="83"/>
    </row>
    <row r="65" spans="2:29">
      <c r="B65" s="739" t="s">
        <v>998</v>
      </c>
      <c r="C65" s="739"/>
      <c r="D65" s="739"/>
      <c r="E65" s="739"/>
      <c r="F65" s="739"/>
      <c r="G65" s="739"/>
      <c r="H65" s="739"/>
      <c r="I65" s="739"/>
      <c r="J65" s="739"/>
      <c r="K65" s="739"/>
      <c r="L65" s="739"/>
      <c r="M65" s="739"/>
      <c r="N65" s="739"/>
      <c r="O65" s="8"/>
      <c r="P65" s="8"/>
      <c r="Q65" s="8"/>
      <c r="R65" s="8"/>
      <c r="S65" s="8"/>
      <c r="T65" s="8"/>
      <c r="U65" s="8"/>
      <c r="V65" s="8"/>
      <c r="W65" s="8"/>
      <c r="X65" s="8"/>
      <c r="Y65" s="8"/>
      <c r="Z65" s="8"/>
      <c r="AA65" s="8"/>
      <c r="AB65" s="8"/>
      <c r="AC65" s="8"/>
    </row>
    <row r="66" spans="2:29">
      <c r="B66" s="739"/>
      <c r="C66" s="739"/>
      <c r="D66" s="739"/>
      <c r="E66" s="739"/>
      <c r="F66" s="739"/>
      <c r="G66" s="739"/>
      <c r="H66" s="739"/>
      <c r="I66" s="739"/>
      <c r="J66" s="739"/>
      <c r="K66" s="739"/>
      <c r="L66" s="739"/>
      <c r="M66" s="739"/>
      <c r="N66" s="739"/>
      <c r="O66" s="106"/>
      <c r="P66" s="106"/>
      <c r="Q66" s="106"/>
      <c r="R66" s="106"/>
      <c r="S66" s="106"/>
      <c r="T66" s="106"/>
      <c r="U66" s="106"/>
      <c r="V66" s="106"/>
      <c r="W66" s="106"/>
      <c r="X66" s="106"/>
      <c r="Y66" s="106"/>
      <c r="Z66" s="106"/>
      <c r="AA66" s="106"/>
      <c r="AB66" s="106"/>
      <c r="AC66" s="106"/>
    </row>
    <row r="67" spans="2:29">
      <c r="B67" s="739" t="s">
        <v>999</v>
      </c>
      <c r="C67" s="739"/>
      <c r="D67" s="739"/>
      <c r="E67" s="739"/>
      <c r="F67" s="739"/>
      <c r="G67" s="739"/>
      <c r="H67" s="739"/>
      <c r="I67" s="739"/>
      <c r="J67" s="739"/>
      <c r="K67" s="739"/>
      <c r="L67" s="739"/>
      <c r="M67" s="739"/>
      <c r="N67" s="739"/>
      <c r="O67" s="8"/>
      <c r="P67" s="8"/>
      <c r="Q67" s="8"/>
      <c r="R67" s="8"/>
      <c r="S67" s="8"/>
      <c r="T67" s="8"/>
      <c r="U67" s="8"/>
      <c r="V67" s="8"/>
      <c r="W67" s="8"/>
      <c r="X67" s="8"/>
      <c r="Y67" s="8"/>
      <c r="Z67" s="8"/>
      <c r="AA67" s="8"/>
      <c r="AB67" s="8"/>
      <c r="AC67" s="8"/>
    </row>
    <row r="68" spans="2:29">
      <c r="B68" s="739"/>
      <c r="C68" s="739"/>
      <c r="D68" s="739"/>
      <c r="E68" s="739"/>
      <c r="F68" s="739"/>
      <c r="G68" s="739"/>
      <c r="H68" s="739"/>
      <c r="I68" s="739"/>
      <c r="J68" s="739"/>
      <c r="K68" s="739"/>
      <c r="L68" s="739"/>
      <c r="M68" s="739"/>
      <c r="N68" s="739"/>
      <c r="O68" s="106"/>
      <c r="P68" s="106"/>
      <c r="Q68" s="106"/>
      <c r="R68" s="106"/>
      <c r="S68" s="106"/>
      <c r="T68" s="106"/>
      <c r="U68" s="106"/>
      <c r="V68" s="106"/>
      <c r="W68" s="106"/>
      <c r="X68" s="106"/>
      <c r="Y68" s="106"/>
      <c r="Z68" s="106"/>
      <c r="AA68" s="106"/>
      <c r="AB68" s="106"/>
      <c r="AC68" s="106"/>
    </row>
    <row r="69" spans="2:29">
      <c r="B69" s="739" t="s">
        <v>1000</v>
      </c>
      <c r="C69" s="739"/>
      <c r="D69" s="739"/>
      <c r="E69" s="739"/>
      <c r="F69" s="739"/>
      <c r="G69" s="739"/>
      <c r="H69" s="739"/>
      <c r="I69" s="739"/>
      <c r="J69" s="739"/>
      <c r="K69" s="739"/>
      <c r="L69" s="739"/>
      <c r="M69" s="739"/>
      <c r="N69" s="739"/>
      <c r="O69" s="8"/>
      <c r="P69" s="8"/>
      <c r="Q69" s="8"/>
      <c r="R69" s="8"/>
      <c r="S69" s="8"/>
      <c r="T69" s="8"/>
      <c r="U69" s="8"/>
      <c r="V69" s="8"/>
      <c r="W69" s="8"/>
      <c r="X69" s="8"/>
      <c r="Y69" s="8"/>
      <c r="Z69" s="8"/>
      <c r="AA69" s="8"/>
      <c r="AB69" s="8"/>
      <c r="AC69" s="8"/>
    </row>
    <row r="70" spans="2:29">
      <c r="B70" s="739"/>
      <c r="C70" s="739"/>
      <c r="D70" s="739"/>
      <c r="E70" s="739"/>
      <c r="F70" s="739"/>
      <c r="G70" s="739"/>
      <c r="H70" s="739"/>
      <c r="I70" s="739"/>
      <c r="J70" s="739"/>
      <c r="K70" s="739"/>
      <c r="L70" s="739"/>
      <c r="M70" s="739"/>
      <c r="N70" s="739"/>
      <c r="O70" s="106"/>
      <c r="P70" s="106"/>
      <c r="Q70" s="106"/>
      <c r="R70" s="106"/>
      <c r="S70" s="106"/>
      <c r="T70" s="106"/>
      <c r="U70" s="106"/>
      <c r="V70" s="106"/>
      <c r="W70" s="106"/>
      <c r="X70" s="106"/>
      <c r="Y70" s="106"/>
      <c r="Z70" s="106"/>
      <c r="AA70" s="106"/>
      <c r="AB70" s="106"/>
      <c r="AC70" s="106"/>
    </row>
    <row r="71" spans="2:29">
      <c r="B71" s="747" t="s">
        <v>763</v>
      </c>
      <c r="C71" s="747"/>
      <c r="D71" s="747"/>
      <c r="E71" s="747"/>
      <c r="F71" s="747"/>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row>
  </sheetData>
  <mergeCells count="6">
    <mergeCell ref="B71:AC71"/>
    <mergeCell ref="B30:N31"/>
    <mergeCell ref="B42:N43"/>
    <mergeCell ref="B65:N66"/>
    <mergeCell ref="B67:N68"/>
    <mergeCell ref="B69:N70"/>
  </mergeCells>
  <printOptions horizontalCentered="1"/>
  <pageMargins left="1" right="1" top="1" bottom="1" header="0.5" footer="0.5"/>
  <pageSetup scale="26" orientation="landscape" r:id="rId1"/>
  <headerFooter>
    <oddHeader>&amp;RDocket No. ER20-2878-000, et al.- Annual Update RY2024
&amp;F</oddHeader>
  </headerFooter>
  <rowBreaks count="1" manualBreakCount="1">
    <brk id="3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H88"/>
  <sheetViews>
    <sheetView view="pageBreakPreview" topLeftCell="A20" zoomScale="40" zoomScaleNormal="90" zoomScaleSheetLayoutView="40" zoomScalePageLayoutView="55" workbookViewId="0">
      <selection activeCell="W98" sqref="W98"/>
    </sheetView>
  </sheetViews>
  <sheetFormatPr defaultColWidth="8.81640625" defaultRowHeight="14.5"/>
  <cols>
    <col min="1" max="1" width="6.7265625" style="4" bestFit="1" customWidth="1"/>
    <col min="2" max="2" width="16.54296875" customWidth="1"/>
    <col min="3" max="3" width="14.54296875" style="33" customWidth="1"/>
    <col min="4" max="4" width="15.26953125" style="21" customWidth="1"/>
    <col min="5" max="5" width="66.1796875" bestFit="1" customWidth="1"/>
    <col min="6" max="6" width="17.7265625" customWidth="1"/>
    <col min="7" max="7" width="6.7265625" bestFit="1" customWidth="1"/>
    <col min="8" max="8" width="14.453125" customWidth="1"/>
  </cols>
  <sheetData>
    <row r="1" spans="1:7">
      <c r="B1" s="105" t="s">
        <v>1001</v>
      </c>
      <c r="F1" s="6" t="str">
        <f>CONCATENATE("Prior Year: ",'1-DRR Corrected'!$K$2)</f>
        <v>Prior Year: 2021</v>
      </c>
    </row>
    <row r="2" spans="1:7">
      <c r="B2" s="105"/>
    </row>
    <row r="3" spans="1:7">
      <c r="B3" s="45" t="s">
        <v>1002</v>
      </c>
      <c r="C3" s="42"/>
      <c r="D3" s="433"/>
      <c r="E3" s="43"/>
      <c r="F3" s="43"/>
    </row>
    <row r="4" spans="1:7">
      <c r="B4" s="2"/>
      <c r="D4" s="4"/>
    </row>
    <row r="5" spans="1:7">
      <c r="B5" s="2"/>
      <c r="C5" s="4"/>
      <c r="D5" s="4"/>
      <c r="F5" s="4" t="s">
        <v>1003</v>
      </c>
    </row>
    <row r="6" spans="1:7">
      <c r="A6" s="3" t="s">
        <v>90</v>
      </c>
      <c r="B6" s="3" t="s">
        <v>1004</v>
      </c>
      <c r="C6" s="3" t="s">
        <v>684</v>
      </c>
      <c r="D6" s="3" t="s">
        <v>1005</v>
      </c>
      <c r="E6" s="3" t="s">
        <v>1006</v>
      </c>
      <c r="F6" s="110" t="s">
        <v>1007</v>
      </c>
      <c r="G6" s="3" t="str">
        <f t="shared" ref="G6:G25" si="0">A6</f>
        <v>Line</v>
      </c>
    </row>
    <row r="7" spans="1:7">
      <c r="A7" s="4">
        <v>100</v>
      </c>
      <c r="B7" t="s">
        <v>1008</v>
      </c>
      <c r="C7" s="33">
        <v>360.01</v>
      </c>
      <c r="D7" s="21" t="s">
        <v>787</v>
      </c>
      <c r="E7" t="s">
        <v>1009</v>
      </c>
      <c r="F7" s="20">
        <v>0</v>
      </c>
      <c r="G7" s="4">
        <f t="shared" si="0"/>
        <v>100</v>
      </c>
    </row>
    <row r="8" spans="1:7">
      <c r="A8" s="4">
        <f t="shared" ref="A8:A25" si="1">+A7+1</f>
        <v>101</v>
      </c>
      <c r="B8" t="s">
        <v>1008</v>
      </c>
      <c r="C8" s="33">
        <v>360.02</v>
      </c>
      <c r="D8" s="21" t="s">
        <v>788</v>
      </c>
      <c r="E8" t="s">
        <v>1010</v>
      </c>
      <c r="F8" s="20">
        <v>3.3099999999999997E-2</v>
      </c>
      <c r="G8" s="4">
        <f t="shared" si="0"/>
        <v>101</v>
      </c>
    </row>
    <row r="9" spans="1:7">
      <c r="A9" s="4">
        <f t="shared" si="1"/>
        <v>102</v>
      </c>
      <c r="B9" t="s">
        <v>1008</v>
      </c>
      <c r="C9" s="33">
        <v>361.01</v>
      </c>
      <c r="D9" s="21" t="s">
        <v>789</v>
      </c>
      <c r="E9" t="s">
        <v>1011</v>
      </c>
      <c r="F9" s="20">
        <v>1.5900000000000001E-2</v>
      </c>
      <c r="G9" s="4">
        <f t="shared" si="0"/>
        <v>102</v>
      </c>
    </row>
    <row r="10" spans="1:7">
      <c r="A10" s="4">
        <f t="shared" si="1"/>
        <v>103</v>
      </c>
      <c r="B10" t="s">
        <v>1008</v>
      </c>
      <c r="C10" s="33">
        <v>361.02</v>
      </c>
      <c r="D10" s="21" t="s">
        <v>790</v>
      </c>
      <c r="E10" t="s">
        <v>1012</v>
      </c>
      <c r="F10" s="20">
        <v>1.66E-2</v>
      </c>
      <c r="G10" s="4">
        <f t="shared" si="0"/>
        <v>103</v>
      </c>
    </row>
    <row r="11" spans="1:7">
      <c r="A11" s="4">
        <f t="shared" si="1"/>
        <v>104</v>
      </c>
      <c r="B11" t="s">
        <v>1008</v>
      </c>
      <c r="C11" s="33">
        <v>362</v>
      </c>
      <c r="D11" s="21" t="s">
        <v>791</v>
      </c>
      <c r="E11" t="s">
        <v>1013</v>
      </c>
      <c r="F11" s="20">
        <v>3.0599999999999999E-2</v>
      </c>
      <c r="G11" s="4">
        <f t="shared" si="0"/>
        <v>104</v>
      </c>
    </row>
    <row r="12" spans="1:7">
      <c r="A12" s="4">
        <f t="shared" si="1"/>
        <v>105</v>
      </c>
      <c r="B12" t="s">
        <v>1008</v>
      </c>
      <c r="C12" s="33">
        <v>363</v>
      </c>
      <c r="D12" s="21" t="s">
        <v>792</v>
      </c>
      <c r="E12" t="s">
        <v>1014</v>
      </c>
      <c r="F12" s="20">
        <v>3.7400000000000003E-2</v>
      </c>
      <c r="G12" s="4">
        <f t="shared" si="0"/>
        <v>105</v>
      </c>
    </row>
    <row r="13" spans="1:7">
      <c r="A13" s="4">
        <f t="shared" si="1"/>
        <v>106</v>
      </c>
      <c r="B13" t="s">
        <v>1008</v>
      </c>
      <c r="C13" s="33">
        <v>363.01</v>
      </c>
      <c r="D13" s="21" t="s">
        <v>793</v>
      </c>
      <c r="E13" t="s">
        <v>1015</v>
      </c>
      <c r="F13" s="20">
        <v>6.6199999999999995E-2</v>
      </c>
      <c r="G13" s="4">
        <f t="shared" si="0"/>
        <v>106</v>
      </c>
    </row>
    <row r="14" spans="1:7">
      <c r="A14" s="4">
        <f t="shared" si="1"/>
        <v>107</v>
      </c>
      <c r="B14" t="s">
        <v>1008</v>
      </c>
      <c r="C14" s="33">
        <v>364</v>
      </c>
      <c r="D14" s="21" t="s">
        <v>794</v>
      </c>
      <c r="E14" t="s">
        <v>1016</v>
      </c>
      <c r="F14" s="20">
        <v>6.0699999999999997E-2</v>
      </c>
      <c r="G14" s="4">
        <f t="shared" si="0"/>
        <v>107</v>
      </c>
    </row>
    <row r="15" spans="1:7">
      <c r="A15" s="4">
        <f t="shared" si="1"/>
        <v>108</v>
      </c>
      <c r="B15" t="s">
        <v>1008</v>
      </c>
      <c r="C15" s="33">
        <v>365</v>
      </c>
      <c r="D15" s="21" t="s">
        <v>795</v>
      </c>
      <c r="E15" t="s">
        <v>1017</v>
      </c>
      <c r="F15" s="20">
        <v>3.9600000000000003E-2</v>
      </c>
      <c r="G15" s="4">
        <f t="shared" si="0"/>
        <v>108</v>
      </c>
    </row>
    <row r="16" spans="1:7">
      <c r="A16" s="4">
        <f t="shared" si="1"/>
        <v>109</v>
      </c>
      <c r="B16" t="s">
        <v>1008</v>
      </c>
      <c r="C16" s="33">
        <v>366</v>
      </c>
      <c r="D16" s="21" t="s">
        <v>796</v>
      </c>
      <c r="E16" t="s">
        <v>1018</v>
      </c>
      <c r="F16" s="20">
        <v>2.41E-2</v>
      </c>
      <c r="G16" s="4">
        <f t="shared" si="0"/>
        <v>109</v>
      </c>
    </row>
    <row r="17" spans="1:8">
      <c r="A17" s="4">
        <f t="shared" si="1"/>
        <v>110</v>
      </c>
      <c r="B17" t="s">
        <v>1008</v>
      </c>
      <c r="C17" s="33">
        <v>367</v>
      </c>
      <c r="D17" s="21" t="s">
        <v>797</v>
      </c>
      <c r="E17" t="s">
        <v>1019</v>
      </c>
      <c r="F17" s="20">
        <v>3.1199999999999999E-2</v>
      </c>
      <c r="G17" s="4">
        <f t="shared" si="0"/>
        <v>110</v>
      </c>
    </row>
    <row r="18" spans="1:8">
      <c r="A18" s="4">
        <f t="shared" si="1"/>
        <v>111</v>
      </c>
      <c r="B18" t="s">
        <v>1008</v>
      </c>
      <c r="C18" s="33">
        <v>368.01</v>
      </c>
      <c r="D18" s="21" t="s">
        <v>798</v>
      </c>
      <c r="E18" t="s">
        <v>1020</v>
      </c>
      <c r="F18" s="20">
        <v>4.3900000000000002E-2</v>
      </c>
      <c r="G18" s="4">
        <f t="shared" si="0"/>
        <v>111</v>
      </c>
    </row>
    <row r="19" spans="1:8">
      <c r="A19" s="4">
        <f t="shared" si="1"/>
        <v>112</v>
      </c>
      <c r="B19" t="s">
        <v>1008</v>
      </c>
      <c r="C19" s="33">
        <v>368.02</v>
      </c>
      <c r="D19" s="21" t="s">
        <v>799</v>
      </c>
      <c r="E19" t="s">
        <v>1021</v>
      </c>
      <c r="F19" s="20">
        <v>3.9100000000000003E-2</v>
      </c>
      <c r="G19" s="4">
        <f t="shared" si="0"/>
        <v>112</v>
      </c>
    </row>
    <row r="20" spans="1:8">
      <c r="A20" s="4">
        <f t="shared" si="1"/>
        <v>113</v>
      </c>
      <c r="B20" t="s">
        <v>1008</v>
      </c>
      <c r="C20" s="33">
        <v>369.01</v>
      </c>
      <c r="D20" s="21" t="s">
        <v>800</v>
      </c>
      <c r="E20" t="s">
        <v>1022</v>
      </c>
      <c r="F20" s="20">
        <v>3.9800000000000002E-2</v>
      </c>
      <c r="G20" s="4">
        <f t="shared" si="0"/>
        <v>113</v>
      </c>
    </row>
    <row r="21" spans="1:8">
      <c r="A21" s="4">
        <f t="shared" si="1"/>
        <v>114</v>
      </c>
      <c r="B21" t="s">
        <v>1008</v>
      </c>
      <c r="C21" s="33">
        <v>369.02</v>
      </c>
      <c r="D21" s="21" t="s">
        <v>801</v>
      </c>
      <c r="E21" t="s">
        <v>1023</v>
      </c>
      <c r="F21" s="20">
        <v>2.7099999999999999E-2</v>
      </c>
      <c r="G21" s="4">
        <f t="shared" si="0"/>
        <v>114</v>
      </c>
    </row>
    <row r="22" spans="1:8">
      <c r="A22" s="4">
        <f t="shared" si="1"/>
        <v>115</v>
      </c>
      <c r="B22" t="s">
        <v>1008</v>
      </c>
      <c r="C22" s="33">
        <v>370</v>
      </c>
      <c r="D22" s="21" t="s">
        <v>802</v>
      </c>
      <c r="E22" t="s">
        <v>1024</v>
      </c>
      <c r="F22" s="20">
        <v>6.8599999999999994E-2</v>
      </c>
      <c r="G22" s="4">
        <f t="shared" si="0"/>
        <v>115</v>
      </c>
    </row>
    <row r="23" spans="1:8">
      <c r="A23" s="4">
        <f t="shared" si="1"/>
        <v>116</v>
      </c>
      <c r="B23" t="s">
        <v>1008</v>
      </c>
      <c r="C23" s="33">
        <v>370.01</v>
      </c>
      <c r="D23" s="21" t="s">
        <v>803</v>
      </c>
      <c r="E23" t="s">
        <v>1024</v>
      </c>
      <c r="F23" s="364">
        <v>6.8599999999999994E-2</v>
      </c>
      <c r="G23" s="4">
        <f t="shared" si="0"/>
        <v>116</v>
      </c>
    </row>
    <row r="24" spans="1:8">
      <c r="A24" s="4">
        <f t="shared" si="1"/>
        <v>117</v>
      </c>
      <c r="B24" t="s">
        <v>1008</v>
      </c>
      <c r="C24" s="33">
        <v>371</v>
      </c>
      <c r="D24" s="21" t="s">
        <v>804</v>
      </c>
      <c r="E24" t="s">
        <v>1025</v>
      </c>
      <c r="F24" s="20">
        <v>0</v>
      </c>
      <c r="G24" s="4">
        <f t="shared" si="0"/>
        <v>117</v>
      </c>
    </row>
    <row r="25" spans="1:8">
      <c r="A25" s="4">
        <f t="shared" si="1"/>
        <v>118</v>
      </c>
      <c r="B25" t="s">
        <v>1008</v>
      </c>
      <c r="C25" s="33">
        <v>372</v>
      </c>
      <c r="D25" s="21" t="s">
        <v>807</v>
      </c>
      <c r="E25" t="s">
        <v>1026</v>
      </c>
      <c r="F25" s="20">
        <v>0</v>
      </c>
      <c r="G25" s="4">
        <f t="shared" si="0"/>
        <v>118</v>
      </c>
    </row>
    <row r="26" spans="1:8">
      <c r="F26" s="20"/>
    </row>
    <row r="27" spans="1:8">
      <c r="F27" s="20"/>
    </row>
    <row r="28" spans="1:8">
      <c r="A28"/>
    </row>
    <row r="29" spans="1:8">
      <c r="A29"/>
      <c r="B29" s="45" t="s">
        <v>1027</v>
      </c>
      <c r="C29" s="42"/>
      <c r="D29" s="389"/>
      <c r="E29" s="43"/>
      <c r="F29" s="43"/>
      <c r="H29" s="19"/>
    </row>
    <row r="30" spans="1:8">
      <c r="A30"/>
      <c r="H30" s="19"/>
    </row>
    <row r="31" spans="1:8">
      <c r="A31"/>
      <c r="D31" s="4"/>
      <c r="F31" s="4" t="s">
        <v>1003</v>
      </c>
      <c r="H31" s="19"/>
    </row>
    <row r="32" spans="1:8">
      <c r="A32" s="3" t="s">
        <v>90</v>
      </c>
      <c r="B32" s="3" t="s">
        <v>1004</v>
      </c>
      <c r="C32" s="3" t="s">
        <v>684</v>
      </c>
      <c r="D32" s="3" t="s">
        <v>1005</v>
      </c>
      <c r="E32" s="3" t="s">
        <v>1006</v>
      </c>
      <c r="F32" s="110" t="s">
        <v>1007</v>
      </c>
      <c r="G32" s="3" t="s">
        <v>90</v>
      </c>
      <c r="H32" s="19"/>
    </row>
    <row r="33" spans="1:8">
      <c r="A33" s="4">
        <v>200</v>
      </c>
      <c r="D33" s="21" t="s">
        <v>1028</v>
      </c>
      <c r="E33" t="s">
        <v>1029</v>
      </c>
      <c r="F33" s="20">
        <v>0</v>
      </c>
      <c r="G33" s="4">
        <f t="shared" ref="G33:G81" si="2">A33</f>
        <v>200</v>
      </c>
      <c r="H33" s="19"/>
    </row>
    <row r="34" spans="1:8">
      <c r="A34" s="4">
        <f>A33+1</f>
        <v>201</v>
      </c>
      <c r="D34" s="21" t="s">
        <v>1030</v>
      </c>
      <c r="E34" t="s">
        <v>1031</v>
      </c>
      <c r="F34" s="20">
        <v>0</v>
      </c>
      <c r="G34" s="4">
        <f t="shared" si="2"/>
        <v>201</v>
      </c>
      <c r="H34" s="19"/>
    </row>
    <row r="35" spans="1:8">
      <c r="A35" s="4">
        <f t="shared" ref="A35:A81" si="3">A34+1</f>
        <v>202</v>
      </c>
      <c r="D35" s="21" t="s">
        <v>1032</v>
      </c>
      <c r="E35" t="s">
        <v>1033</v>
      </c>
      <c r="F35" s="20">
        <v>3.39E-2</v>
      </c>
      <c r="G35" s="4">
        <f t="shared" si="2"/>
        <v>202</v>
      </c>
      <c r="H35" s="19"/>
    </row>
    <row r="36" spans="1:8">
      <c r="A36" s="4">
        <f t="shared" si="3"/>
        <v>203</v>
      </c>
      <c r="D36" s="21" t="s">
        <v>1034</v>
      </c>
      <c r="E36" t="s">
        <v>1035</v>
      </c>
      <c r="F36" s="20">
        <v>0.1736</v>
      </c>
      <c r="G36" s="4">
        <f t="shared" si="2"/>
        <v>203</v>
      </c>
      <c r="H36" s="19"/>
    </row>
    <row r="37" spans="1:8">
      <c r="A37" s="4">
        <f t="shared" si="3"/>
        <v>204</v>
      </c>
      <c r="D37" s="21" t="s">
        <v>1036</v>
      </c>
      <c r="E37" t="s">
        <v>1037</v>
      </c>
      <c r="F37" s="20">
        <v>9.01E-2</v>
      </c>
      <c r="G37" s="4">
        <f t="shared" si="2"/>
        <v>204</v>
      </c>
      <c r="H37" s="19"/>
    </row>
    <row r="38" spans="1:8">
      <c r="A38" s="4">
        <f t="shared" si="3"/>
        <v>205</v>
      </c>
      <c r="D38" s="21" t="s">
        <v>1038</v>
      </c>
      <c r="E38" t="s">
        <v>1039</v>
      </c>
      <c r="F38" s="20">
        <v>0</v>
      </c>
      <c r="G38" s="4">
        <f t="shared" si="2"/>
        <v>205</v>
      </c>
      <c r="H38" s="19"/>
    </row>
    <row r="39" spans="1:8">
      <c r="A39" s="4">
        <f t="shared" si="3"/>
        <v>206</v>
      </c>
      <c r="D39" s="21" t="s">
        <v>1040</v>
      </c>
      <c r="E39" t="s">
        <v>1010</v>
      </c>
      <c r="F39" s="20">
        <v>2.58E-2</v>
      </c>
      <c r="G39" s="4">
        <f t="shared" si="2"/>
        <v>206</v>
      </c>
      <c r="H39" s="19"/>
    </row>
    <row r="40" spans="1:8">
      <c r="A40" s="4">
        <f t="shared" si="3"/>
        <v>207</v>
      </c>
      <c r="D40" s="21" t="s">
        <v>1041</v>
      </c>
      <c r="E40" t="s">
        <v>1011</v>
      </c>
      <c r="F40" s="20">
        <v>1.9699999999999999E-2</v>
      </c>
      <c r="G40" s="4">
        <f t="shared" si="2"/>
        <v>207</v>
      </c>
      <c r="H40" s="19"/>
    </row>
    <row r="41" spans="1:8">
      <c r="A41" s="4">
        <f t="shared" si="3"/>
        <v>208</v>
      </c>
      <c r="D41" s="21" t="s">
        <v>1042</v>
      </c>
      <c r="E41" t="s">
        <v>1043</v>
      </c>
      <c r="F41" s="20">
        <v>0.2</v>
      </c>
      <c r="G41" s="4">
        <f t="shared" si="2"/>
        <v>208</v>
      </c>
      <c r="H41" s="19"/>
    </row>
    <row r="42" spans="1:8">
      <c r="A42" s="4">
        <f t="shared" si="3"/>
        <v>209</v>
      </c>
      <c r="D42" s="21" t="s">
        <v>1044</v>
      </c>
      <c r="E42" t="s">
        <v>1045</v>
      </c>
      <c r="F42" s="20">
        <v>0.27310000000000001</v>
      </c>
      <c r="G42" s="4">
        <f t="shared" si="2"/>
        <v>209</v>
      </c>
      <c r="H42" s="19"/>
    </row>
    <row r="43" spans="1:8">
      <c r="A43" s="4">
        <f t="shared" si="3"/>
        <v>210</v>
      </c>
      <c r="D43" s="21" t="s">
        <v>1046</v>
      </c>
      <c r="E43" t="s">
        <v>1047</v>
      </c>
      <c r="F43" s="20">
        <v>0.14169999999999999</v>
      </c>
      <c r="G43" s="4">
        <f t="shared" si="2"/>
        <v>210</v>
      </c>
      <c r="H43" s="19"/>
    </row>
    <row r="44" spans="1:8">
      <c r="A44" s="4">
        <f t="shared" si="3"/>
        <v>211</v>
      </c>
      <c r="D44" s="21" t="s">
        <v>1048</v>
      </c>
      <c r="E44" t="s">
        <v>1049</v>
      </c>
      <c r="F44" s="20">
        <v>7.4999999999999997E-2</v>
      </c>
      <c r="G44" s="4">
        <f t="shared" si="2"/>
        <v>211</v>
      </c>
      <c r="H44" s="19"/>
    </row>
    <row r="45" spans="1:8">
      <c r="A45" s="4">
        <f t="shared" si="3"/>
        <v>212</v>
      </c>
      <c r="D45" s="21" t="s">
        <v>1050</v>
      </c>
      <c r="E45" t="s">
        <v>1051</v>
      </c>
      <c r="F45" s="20">
        <v>0.27310000000000001</v>
      </c>
      <c r="G45" s="4">
        <f t="shared" si="2"/>
        <v>212</v>
      </c>
      <c r="H45" s="19"/>
    </row>
    <row r="46" spans="1:8">
      <c r="A46" s="4">
        <f t="shared" si="3"/>
        <v>213</v>
      </c>
      <c r="D46" s="21" t="s">
        <v>1052</v>
      </c>
      <c r="E46" t="s">
        <v>1053</v>
      </c>
      <c r="F46" s="20">
        <v>1.3600000000000001E-2</v>
      </c>
      <c r="G46" s="4">
        <f t="shared" si="2"/>
        <v>213</v>
      </c>
      <c r="H46" s="19"/>
    </row>
    <row r="47" spans="1:8">
      <c r="A47" s="4">
        <f t="shared" si="3"/>
        <v>214</v>
      </c>
      <c r="D47" s="21" t="s">
        <v>1054</v>
      </c>
      <c r="E47" t="s">
        <v>1055</v>
      </c>
      <c r="F47" s="20">
        <v>0.1348</v>
      </c>
      <c r="G47" s="4">
        <f t="shared" si="2"/>
        <v>214</v>
      </c>
      <c r="H47" s="19"/>
    </row>
    <row r="48" spans="1:8">
      <c r="A48" s="4">
        <f t="shared" si="3"/>
        <v>215</v>
      </c>
      <c r="D48" s="21" t="s">
        <v>1056</v>
      </c>
      <c r="E48" t="s">
        <v>1057</v>
      </c>
      <c r="F48" s="20">
        <v>9.9199999999999997E-2</v>
      </c>
      <c r="G48" s="4">
        <f t="shared" si="2"/>
        <v>215</v>
      </c>
      <c r="H48" s="19"/>
    </row>
    <row r="49" spans="1:8">
      <c r="A49" s="4">
        <f t="shared" si="3"/>
        <v>216</v>
      </c>
      <c r="D49" s="21" t="s">
        <v>1058</v>
      </c>
      <c r="E49" t="s">
        <v>1059</v>
      </c>
      <c r="F49" s="20">
        <v>0.1013</v>
      </c>
      <c r="G49" s="4">
        <f t="shared" si="2"/>
        <v>216</v>
      </c>
      <c r="H49" s="19"/>
    </row>
    <row r="50" spans="1:8">
      <c r="A50" s="4">
        <f t="shared" si="3"/>
        <v>217</v>
      </c>
      <c r="D50" s="21" t="s">
        <v>1060</v>
      </c>
      <c r="E50" t="s">
        <v>1061</v>
      </c>
      <c r="F50" s="20">
        <v>0.1011</v>
      </c>
      <c r="G50" s="4">
        <f t="shared" si="2"/>
        <v>217</v>
      </c>
      <c r="H50" s="19"/>
    </row>
    <row r="51" spans="1:8">
      <c r="A51" s="4">
        <f t="shared" si="3"/>
        <v>218</v>
      </c>
      <c r="D51" s="21" t="s">
        <v>1062</v>
      </c>
      <c r="E51" t="s">
        <v>1063</v>
      </c>
      <c r="F51" s="20">
        <v>9.0999999999999998E-2</v>
      </c>
      <c r="G51" s="4">
        <f t="shared" si="2"/>
        <v>218</v>
      </c>
      <c r="H51" s="19"/>
    </row>
    <row r="52" spans="1:8">
      <c r="A52" s="4">
        <f t="shared" si="3"/>
        <v>219</v>
      </c>
      <c r="D52" s="21" t="s">
        <v>1064</v>
      </c>
      <c r="E52" t="s">
        <v>1065</v>
      </c>
      <c r="F52" s="20">
        <v>6.8199999999999997E-2</v>
      </c>
      <c r="G52" s="4">
        <f t="shared" si="2"/>
        <v>219</v>
      </c>
      <c r="H52" s="19"/>
    </row>
    <row r="53" spans="1:8">
      <c r="A53" s="4">
        <f t="shared" si="3"/>
        <v>220</v>
      </c>
      <c r="D53" s="21" t="s">
        <v>1066</v>
      </c>
      <c r="E53" t="s">
        <v>1067</v>
      </c>
      <c r="F53" s="20">
        <v>4.1500000000000002E-2</v>
      </c>
      <c r="G53" s="4">
        <f t="shared" si="2"/>
        <v>220</v>
      </c>
      <c r="H53" s="19"/>
    </row>
    <row r="54" spans="1:8">
      <c r="A54" s="4">
        <f t="shared" si="3"/>
        <v>221</v>
      </c>
      <c r="D54" s="21" t="s">
        <v>1068</v>
      </c>
      <c r="E54" t="s">
        <v>1069</v>
      </c>
      <c r="F54" s="20">
        <v>3.0699999999999998E-2</v>
      </c>
      <c r="G54" s="4">
        <f t="shared" si="2"/>
        <v>221</v>
      </c>
      <c r="H54" s="19"/>
    </row>
    <row r="55" spans="1:8">
      <c r="A55" s="4">
        <f t="shared" si="3"/>
        <v>222</v>
      </c>
      <c r="D55" s="21" t="s">
        <v>1070</v>
      </c>
      <c r="E55" t="s">
        <v>1071</v>
      </c>
      <c r="F55" s="20">
        <v>6.25E-2</v>
      </c>
      <c r="G55" s="4">
        <f t="shared" si="2"/>
        <v>222</v>
      </c>
      <c r="H55" s="19"/>
    </row>
    <row r="56" spans="1:8">
      <c r="A56" s="4">
        <f t="shared" si="3"/>
        <v>223</v>
      </c>
      <c r="D56" s="21" t="s">
        <v>1072</v>
      </c>
      <c r="E56" t="s">
        <v>1073</v>
      </c>
      <c r="F56" s="20">
        <v>3.3399999999999999E-2</v>
      </c>
      <c r="G56" s="4">
        <f t="shared" si="2"/>
        <v>223</v>
      </c>
      <c r="H56" s="19"/>
    </row>
    <row r="57" spans="1:8">
      <c r="A57" s="4">
        <f t="shared" si="3"/>
        <v>224</v>
      </c>
      <c r="D57" s="21" t="s">
        <v>1074</v>
      </c>
      <c r="E57" t="s">
        <v>1075</v>
      </c>
      <c r="F57" s="20">
        <v>7.7699999999999991E-2</v>
      </c>
      <c r="G57" s="4">
        <f t="shared" si="2"/>
        <v>224</v>
      </c>
      <c r="H57" s="19"/>
    </row>
    <row r="58" spans="1:8">
      <c r="A58" s="4">
        <f t="shared" si="3"/>
        <v>225</v>
      </c>
      <c r="D58" s="21" t="s">
        <v>1076</v>
      </c>
      <c r="E58" t="s">
        <v>1077</v>
      </c>
      <c r="F58" s="20">
        <v>6.4500000000000002E-2</v>
      </c>
      <c r="G58" s="4">
        <f t="shared" si="2"/>
        <v>225</v>
      </c>
      <c r="H58" s="19"/>
    </row>
    <row r="59" spans="1:8">
      <c r="A59" s="4">
        <f t="shared" si="3"/>
        <v>226</v>
      </c>
      <c r="D59" s="21" t="s">
        <v>1078</v>
      </c>
      <c r="E59" t="s">
        <v>1079</v>
      </c>
      <c r="F59" s="20">
        <v>0.14449999999999999</v>
      </c>
      <c r="G59" s="4">
        <f t="shared" si="2"/>
        <v>226</v>
      </c>
      <c r="H59" s="19"/>
    </row>
    <row r="60" spans="1:8">
      <c r="A60" s="4">
        <f t="shared" si="3"/>
        <v>227</v>
      </c>
      <c r="D60" s="21" t="s">
        <v>1080</v>
      </c>
      <c r="E60" t="s">
        <v>1081</v>
      </c>
      <c r="F60" s="20">
        <v>0.20469999999999999</v>
      </c>
      <c r="G60" s="4">
        <f t="shared" si="2"/>
        <v>227</v>
      </c>
      <c r="H60" s="19"/>
    </row>
    <row r="61" spans="1:8">
      <c r="A61" s="4">
        <f t="shared" si="3"/>
        <v>228</v>
      </c>
      <c r="D61" s="21" t="s">
        <v>1082</v>
      </c>
      <c r="E61" t="s">
        <v>1083</v>
      </c>
      <c r="F61" s="20">
        <v>0.1525</v>
      </c>
      <c r="G61" s="4">
        <f t="shared" si="2"/>
        <v>228</v>
      </c>
      <c r="H61" s="19"/>
    </row>
    <row r="62" spans="1:8">
      <c r="A62" s="4">
        <f t="shared" si="3"/>
        <v>229</v>
      </c>
      <c r="D62" s="21" t="s">
        <v>1084</v>
      </c>
      <c r="E62" t="s">
        <v>1085</v>
      </c>
      <c r="F62" s="20">
        <v>0.14610000000000001</v>
      </c>
      <c r="G62" s="4">
        <f t="shared" si="2"/>
        <v>229</v>
      </c>
      <c r="H62" s="19"/>
    </row>
    <row r="63" spans="1:8">
      <c r="A63" s="4">
        <f t="shared" si="3"/>
        <v>230</v>
      </c>
      <c r="D63" s="21" t="s">
        <v>1086</v>
      </c>
      <c r="E63" t="s">
        <v>1087</v>
      </c>
      <c r="F63" s="20">
        <v>4.7899999999999998E-2</v>
      </c>
      <c r="G63" s="4">
        <f t="shared" si="2"/>
        <v>230</v>
      </c>
      <c r="H63" s="19"/>
    </row>
    <row r="64" spans="1:8">
      <c r="A64" s="4">
        <f t="shared" si="3"/>
        <v>231</v>
      </c>
      <c r="D64" s="21" t="s">
        <v>1088</v>
      </c>
      <c r="E64" t="s">
        <v>1089</v>
      </c>
      <c r="F64" s="20">
        <v>5.1399999999999994E-2</v>
      </c>
      <c r="G64" s="4">
        <f t="shared" si="2"/>
        <v>231</v>
      </c>
      <c r="H64" s="19"/>
    </row>
    <row r="65" spans="1:8">
      <c r="A65" s="4">
        <f t="shared" si="3"/>
        <v>232</v>
      </c>
      <c r="D65" s="21" t="s">
        <v>1090</v>
      </c>
      <c r="E65" t="s">
        <v>1091</v>
      </c>
      <c r="F65" s="20">
        <v>8.3000000000000001E-3</v>
      </c>
      <c r="G65" s="4">
        <f t="shared" si="2"/>
        <v>232</v>
      </c>
      <c r="H65" s="19"/>
    </row>
    <row r="66" spans="1:8">
      <c r="A66" s="4">
        <f t="shared" si="3"/>
        <v>233</v>
      </c>
      <c r="D66" s="21" t="s">
        <v>1092</v>
      </c>
      <c r="E66" t="s">
        <v>1093</v>
      </c>
      <c r="F66" s="20">
        <v>4.87E-2</v>
      </c>
      <c r="G66" s="4">
        <f t="shared" si="2"/>
        <v>233</v>
      </c>
      <c r="H66" s="19"/>
    </row>
    <row r="67" spans="1:8">
      <c r="A67" s="4">
        <f t="shared" si="3"/>
        <v>234</v>
      </c>
      <c r="D67" s="21" t="s">
        <v>1094</v>
      </c>
      <c r="E67" t="s">
        <v>1095</v>
      </c>
      <c r="F67" s="20">
        <v>5.3600000000000002E-2</v>
      </c>
      <c r="G67" s="4">
        <f t="shared" si="2"/>
        <v>234</v>
      </c>
      <c r="H67" s="19"/>
    </row>
    <row r="68" spans="1:8">
      <c r="A68" s="4">
        <f t="shared" si="3"/>
        <v>235</v>
      </c>
      <c r="D68" s="21" t="s">
        <v>1096</v>
      </c>
      <c r="E68" t="s">
        <v>1097</v>
      </c>
      <c r="F68" s="20">
        <v>2.0999999999999999E-3</v>
      </c>
      <c r="G68" s="4">
        <f t="shared" si="2"/>
        <v>235</v>
      </c>
      <c r="H68" s="19"/>
    </row>
    <row r="69" spans="1:8">
      <c r="A69" s="4">
        <f t="shared" si="3"/>
        <v>236</v>
      </c>
      <c r="D69" s="21" t="s">
        <v>1098</v>
      </c>
      <c r="E69" t="s">
        <v>1009</v>
      </c>
      <c r="F69" s="20">
        <v>0</v>
      </c>
      <c r="G69" s="4">
        <f t="shared" si="2"/>
        <v>236</v>
      </c>
      <c r="H69" s="19"/>
    </row>
    <row r="70" spans="1:8">
      <c r="A70" s="4">
        <f t="shared" si="3"/>
        <v>237</v>
      </c>
      <c r="D70" s="21" t="s">
        <v>1099</v>
      </c>
      <c r="E70" t="s">
        <v>1010</v>
      </c>
      <c r="F70" s="20">
        <v>2.9900000000000003E-2</v>
      </c>
      <c r="G70" s="4">
        <f t="shared" si="2"/>
        <v>237</v>
      </c>
      <c r="H70" s="19"/>
    </row>
    <row r="71" spans="1:8">
      <c r="A71" s="4">
        <f t="shared" si="3"/>
        <v>238</v>
      </c>
      <c r="D71" s="21" t="s">
        <v>1100</v>
      </c>
      <c r="E71" t="s">
        <v>1011</v>
      </c>
      <c r="F71" s="20">
        <v>1.5800000000000002E-2</v>
      </c>
      <c r="G71" s="4">
        <f t="shared" si="2"/>
        <v>238</v>
      </c>
      <c r="H71" s="19"/>
    </row>
    <row r="72" spans="1:8">
      <c r="A72" s="4">
        <f t="shared" si="3"/>
        <v>239</v>
      </c>
      <c r="D72" s="21" t="s">
        <v>1101</v>
      </c>
      <c r="E72" t="s">
        <v>1049</v>
      </c>
      <c r="F72" s="20">
        <v>5.9299999999999999E-2</v>
      </c>
      <c r="G72" s="4">
        <f t="shared" si="2"/>
        <v>239</v>
      </c>
      <c r="H72" s="19"/>
    </row>
    <row r="73" spans="1:8">
      <c r="A73" s="4">
        <f t="shared" si="3"/>
        <v>240</v>
      </c>
      <c r="D73" s="21" t="s">
        <v>1102</v>
      </c>
      <c r="E73" t="s">
        <v>1103</v>
      </c>
      <c r="F73" s="20">
        <v>3.9399999999999998E-2</v>
      </c>
      <c r="G73" s="4">
        <f t="shared" si="2"/>
        <v>240</v>
      </c>
      <c r="H73" s="19"/>
    </row>
    <row r="74" spans="1:8">
      <c r="A74" s="4">
        <f t="shared" si="3"/>
        <v>241</v>
      </c>
      <c r="D74" s="21" t="s">
        <v>1104</v>
      </c>
      <c r="E74" t="s">
        <v>1075</v>
      </c>
      <c r="F74" s="20">
        <v>4.7400000000000005E-2</v>
      </c>
      <c r="G74" s="4">
        <f t="shared" si="2"/>
        <v>241</v>
      </c>
      <c r="H74" s="19"/>
    </row>
    <row r="75" spans="1:8">
      <c r="A75" s="4">
        <f t="shared" si="3"/>
        <v>242</v>
      </c>
      <c r="D75" s="21" t="s">
        <v>1105</v>
      </c>
      <c r="E75" t="s">
        <v>1077</v>
      </c>
      <c r="F75" s="20">
        <v>7.8899999999999998E-2</v>
      </c>
      <c r="G75" s="4">
        <f t="shared" si="2"/>
        <v>242</v>
      </c>
      <c r="H75" s="19"/>
    </row>
    <row r="76" spans="1:8">
      <c r="A76" s="4">
        <f t="shared" si="3"/>
        <v>243</v>
      </c>
      <c r="D76" s="21" t="s">
        <v>1106</v>
      </c>
      <c r="E76" t="s">
        <v>1107</v>
      </c>
      <c r="F76" s="20">
        <v>6.9199999999999998E-2</v>
      </c>
      <c r="G76" s="4">
        <f t="shared" si="2"/>
        <v>243</v>
      </c>
    </row>
    <row r="77" spans="1:8">
      <c r="A77" s="4">
        <f t="shared" si="3"/>
        <v>244</v>
      </c>
      <c r="D77" s="21" t="s">
        <v>1108</v>
      </c>
      <c r="E77" t="s">
        <v>1093</v>
      </c>
      <c r="F77" s="20">
        <v>4.9599999999999998E-2</v>
      </c>
      <c r="G77" s="4">
        <f t="shared" si="2"/>
        <v>244</v>
      </c>
    </row>
    <row r="78" spans="1:8">
      <c r="A78" s="4">
        <f t="shared" si="3"/>
        <v>245</v>
      </c>
      <c r="D78" s="21" t="s">
        <v>1109</v>
      </c>
      <c r="E78" t="s">
        <v>1095</v>
      </c>
      <c r="F78" s="20">
        <v>6.8499999999999991E-2</v>
      </c>
      <c r="G78" s="4">
        <f t="shared" si="2"/>
        <v>245</v>
      </c>
    </row>
    <row r="79" spans="1:8">
      <c r="A79" s="4">
        <f t="shared" si="3"/>
        <v>246</v>
      </c>
      <c r="D79" s="21" t="s">
        <v>1110</v>
      </c>
      <c r="E79" t="s">
        <v>1111</v>
      </c>
      <c r="F79" s="20">
        <v>2.4E-2</v>
      </c>
      <c r="G79" s="4">
        <f t="shared" si="2"/>
        <v>246</v>
      </c>
    </row>
    <row r="80" spans="1:8">
      <c r="A80" s="4">
        <f t="shared" si="3"/>
        <v>247</v>
      </c>
      <c r="D80" s="21" t="s">
        <v>1112</v>
      </c>
      <c r="E80" t="s">
        <v>1113</v>
      </c>
      <c r="F80" s="20">
        <v>0</v>
      </c>
      <c r="G80" s="4">
        <f t="shared" si="2"/>
        <v>247</v>
      </c>
    </row>
    <row r="81" spans="1:7">
      <c r="A81" s="4">
        <f t="shared" si="3"/>
        <v>248</v>
      </c>
      <c r="D81" s="21" t="s">
        <v>1114</v>
      </c>
      <c r="E81" t="s">
        <v>1115</v>
      </c>
      <c r="F81" s="20">
        <v>0.20420000000000002</v>
      </c>
      <c r="G81" s="4">
        <f t="shared" si="2"/>
        <v>248</v>
      </c>
    </row>
    <row r="82" spans="1:7" ht="15" customHeight="1"/>
    <row r="83" spans="1:7">
      <c r="B83" s="236" t="s">
        <v>674</v>
      </c>
      <c r="C83"/>
    </row>
    <row r="84" spans="1:7" ht="32.25" customHeight="1">
      <c r="B84" s="739" t="s">
        <v>1116</v>
      </c>
      <c r="C84" s="739"/>
      <c r="D84" s="739"/>
      <c r="E84" s="739"/>
      <c r="F84" s="739"/>
    </row>
    <row r="85" spans="1:7">
      <c r="B85" s="739" t="s">
        <v>763</v>
      </c>
      <c r="C85" s="739"/>
      <c r="D85" s="739"/>
      <c r="E85" s="739"/>
      <c r="F85" s="739"/>
    </row>
    <row r="86" spans="1:7">
      <c r="C86"/>
      <c r="E86" s="33"/>
      <c r="F86" s="33"/>
    </row>
    <row r="88" spans="1:7">
      <c r="C88"/>
    </row>
  </sheetData>
  <mergeCells count="2">
    <mergeCell ref="B84:F84"/>
    <mergeCell ref="B85:F85"/>
  </mergeCells>
  <phoneticPr fontId="104" type="noConversion"/>
  <printOptions horizontalCentered="1"/>
  <pageMargins left="1" right="1" top="1" bottom="1" header="0.5" footer="0.5"/>
  <pageSetup scale="37" orientation="landscape" r:id="rId1"/>
  <headerFooter>
    <oddHeader>&amp;RDocket No. ER20-2878-000, et al.- Annual Update RY2024
&amp;F</oddHeader>
  </headerFooter>
  <rowBreaks count="1" manualBreakCount="1">
    <brk id="28" max="16383" man="1"/>
  </rowBreaks>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92D050"/>
    <pageSetUpPr fitToPage="1"/>
  </sheetPr>
  <dimension ref="A1:R74"/>
  <sheetViews>
    <sheetView view="pageBreakPreview" topLeftCell="A23" zoomScale="40" zoomScaleNormal="85" zoomScaleSheetLayoutView="40" zoomScalePageLayoutView="55" workbookViewId="0">
      <selection activeCell="W98" sqref="W98"/>
    </sheetView>
  </sheetViews>
  <sheetFormatPr defaultColWidth="9.1796875" defaultRowHeight="14.5"/>
  <cols>
    <col min="1" max="1" width="5.453125" customWidth="1"/>
    <col min="2" max="2" width="27.453125" customWidth="1"/>
    <col min="3" max="3" width="18.81640625" customWidth="1"/>
    <col min="4" max="4" width="25.1796875" bestFit="1" customWidth="1"/>
    <col min="5" max="5" width="19.26953125" customWidth="1"/>
    <col min="6" max="6" width="20" customWidth="1"/>
    <col min="7" max="7" width="20.453125" customWidth="1"/>
    <col min="8" max="9" width="17.81640625" customWidth="1"/>
    <col min="10" max="10" width="8.1796875" customWidth="1"/>
    <col min="11" max="11" width="4.54296875" bestFit="1" customWidth="1"/>
    <col min="12" max="14" width="12.7265625" customWidth="1"/>
    <col min="15" max="15" width="2.453125" customWidth="1"/>
    <col min="16" max="18" width="12.7265625" customWidth="1"/>
  </cols>
  <sheetData>
    <row r="1" spans="1:10">
      <c r="B1" s="105" t="s">
        <v>39</v>
      </c>
      <c r="I1" s="6" t="str">
        <f>CONCATENATE("Prior Year: ",'1-DRR Corrected'!$K$2)</f>
        <v>Prior Year: 2021</v>
      </c>
    </row>
    <row r="2" spans="1:10">
      <c r="B2" s="78" t="s">
        <v>120</v>
      </c>
      <c r="C2" s="38"/>
      <c r="I2" s="6"/>
    </row>
    <row r="4" spans="1:10">
      <c r="B4" s="79" t="s">
        <v>1117</v>
      </c>
      <c r="C4" s="43"/>
      <c r="D4" s="43"/>
      <c r="E4" s="43"/>
      <c r="F4" s="43"/>
      <c r="G4" s="43"/>
      <c r="H4" s="43"/>
      <c r="I4" s="43"/>
    </row>
    <row r="5" spans="1:10">
      <c r="B5" s="8" t="s">
        <v>1118</v>
      </c>
      <c r="D5" s="130"/>
      <c r="E5" s="131"/>
    </row>
    <row r="6" spans="1:10">
      <c r="D6" s="130"/>
      <c r="E6" s="131"/>
    </row>
    <row r="7" spans="1:10">
      <c r="D7" s="83" t="s">
        <v>122</v>
      </c>
      <c r="E7" s="83" t="s">
        <v>123</v>
      </c>
      <c r="F7" s="83"/>
      <c r="G7" s="83"/>
      <c r="H7" s="83"/>
    </row>
    <row r="8" spans="1:10">
      <c r="B8" s="132"/>
      <c r="C8" s="133"/>
      <c r="D8" s="120" t="s">
        <v>101</v>
      </c>
      <c r="E8" s="430" t="s">
        <v>496</v>
      </c>
      <c r="F8" s="133"/>
      <c r="G8" s="133"/>
    </row>
    <row r="9" spans="1:10">
      <c r="D9" s="134"/>
      <c r="E9" s="131"/>
      <c r="F9" s="463"/>
      <c r="G9" s="463"/>
    </row>
    <row r="10" spans="1:10">
      <c r="D10" s="135" t="s">
        <v>1119</v>
      </c>
      <c r="E10" s="135"/>
      <c r="F10" s="463"/>
      <c r="G10" s="463"/>
    </row>
    <row r="11" spans="1:10">
      <c r="B11" s="136"/>
      <c r="C11" s="137"/>
      <c r="D11" s="135" t="s">
        <v>1120</v>
      </c>
      <c r="E11" s="135" t="s">
        <v>683</v>
      </c>
      <c r="F11" s="135"/>
      <c r="G11" s="135"/>
    </row>
    <row r="12" spans="1:10">
      <c r="A12" s="138" t="s">
        <v>1121</v>
      </c>
      <c r="B12" s="139" t="s">
        <v>511</v>
      </c>
      <c r="C12" s="139" t="s">
        <v>512</v>
      </c>
      <c r="D12" s="139" t="s">
        <v>1122</v>
      </c>
      <c r="E12" s="139" t="s">
        <v>737</v>
      </c>
      <c r="F12" s="139"/>
      <c r="G12" s="139"/>
      <c r="J12" s="138" t="str">
        <f t="shared" ref="J12:J26" si="0">A12</f>
        <v xml:space="preserve">Line </v>
      </c>
    </row>
    <row r="13" spans="1:10">
      <c r="A13" s="91">
        <v>100</v>
      </c>
      <c r="B13" s="137" t="s">
        <v>520</v>
      </c>
      <c r="C13" s="140">
        <f>'1-DRR Corrected'!$K$2-1</f>
        <v>2020</v>
      </c>
      <c r="D13" s="276">
        <v>533278843</v>
      </c>
      <c r="E13" s="431">
        <v>251152243.22217691</v>
      </c>
      <c r="F13" s="462"/>
      <c r="G13" s="462"/>
      <c r="J13" s="91">
        <f t="shared" si="0"/>
        <v>100</v>
      </c>
    </row>
    <row r="14" spans="1:10">
      <c r="A14" s="91">
        <f t="shared" ref="A14:A26" si="1">A13+1</f>
        <v>101</v>
      </c>
      <c r="B14" s="137" t="s">
        <v>522</v>
      </c>
      <c r="C14" s="140">
        <f>'1-DRR Corrected'!$K$2</f>
        <v>2021</v>
      </c>
      <c r="D14" s="220">
        <v>533671882.76999998</v>
      </c>
      <c r="E14" s="220">
        <v>242307861.95388573</v>
      </c>
      <c r="F14" s="462"/>
      <c r="G14" s="462"/>
      <c r="J14" s="91">
        <f t="shared" si="0"/>
        <v>101</v>
      </c>
    </row>
    <row r="15" spans="1:10">
      <c r="A15" s="91">
        <f t="shared" si="1"/>
        <v>102</v>
      </c>
      <c r="B15" s="137" t="s">
        <v>523</v>
      </c>
      <c r="C15" s="140">
        <f>'1-DRR Corrected'!$K$2</f>
        <v>2021</v>
      </c>
      <c r="D15" s="220">
        <v>541749268.45000005</v>
      </c>
      <c r="E15" s="220">
        <v>245288575.94645947</v>
      </c>
      <c r="F15" s="462"/>
      <c r="G15" s="462"/>
      <c r="J15" s="91">
        <f t="shared" si="0"/>
        <v>102</v>
      </c>
    </row>
    <row r="16" spans="1:10">
      <c r="A16" s="91">
        <f t="shared" si="1"/>
        <v>103</v>
      </c>
      <c r="B16" s="137" t="s">
        <v>524</v>
      </c>
      <c r="C16" s="140">
        <f>'1-DRR Corrected'!$K$2</f>
        <v>2021</v>
      </c>
      <c r="D16" s="220">
        <v>532623926.12</v>
      </c>
      <c r="E16" s="220">
        <v>239035011.9110533</v>
      </c>
      <c r="F16" s="462"/>
      <c r="G16" s="462"/>
      <c r="J16" s="91">
        <f t="shared" si="0"/>
        <v>103</v>
      </c>
    </row>
    <row r="17" spans="1:10">
      <c r="A17" s="91">
        <f t="shared" si="1"/>
        <v>104</v>
      </c>
      <c r="B17" s="137" t="s">
        <v>525</v>
      </c>
      <c r="C17" s="140">
        <f>'1-DRR Corrected'!$K$2</f>
        <v>2021</v>
      </c>
      <c r="D17" s="220">
        <v>522616735.30000001</v>
      </c>
      <c r="E17" s="220">
        <v>232223471.40071726</v>
      </c>
      <c r="F17" s="462"/>
      <c r="G17" s="462"/>
      <c r="J17" s="91">
        <f t="shared" si="0"/>
        <v>104</v>
      </c>
    </row>
    <row r="18" spans="1:10">
      <c r="A18" s="91">
        <f t="shared" si="1"/>
        <v>105</v>
      </c>
      <c r="B18" s="137" t="s">
        <v>526</v>
      </c>
      <c r="C18" s="140">
        <f>'1-DRR Corrected'!$K$2</f>
        <v>2021</v>
      </c>
      <c r="D18" s="220">
        <v>515834186.42000002</v>
      </c>
      <c r="E18" s="220">
        <v>228850746.78129414</v>
      </c>
      <c r="F18" s="462"/>
      <c r="G18" s="462"/>
      <c r="J18" s="91">
        <f t="shared" si="0"/>
        <v>105</v>
      </c>
    </row>
    <row r="19" spans="1:10">
      <c r="A19" s="91">
        <f t="shared" si="1"/>
        <v>106</v>
      </c>
      <c r="B19" s="137" t="s">
        <v>812</v>
      </c>
      <c r="C19" s="140">
        <f>'1-DRR Corrected'!$K$2</f>
        <v>2021</v>
      </c>
      <c r="D19" s="220">
        <v>521271396.97000003</v>
      </c>
      <c r="E19" s="220">
        <v>231616784.99656507</v>
      </c>
      <c r="F19" s="462"/>
      <c r="G19" s="462"/>
      <c r="J19" s="91">
        <f t="shared" si="0"/>
        <v>106</v>
      </c>
    </row>
    <row r="20" spans="1:10">
      <c r="A20" s="91">
        <f t="shared" si="1"/>
        <v>107</v>
      </c>
      <c r="B20" s="137" t="s">
        <v>528</v>
      </c>
      <c r="C20" s="140">
        <f>'1-DRR Corrected'!$K$2</f>
        <v>2021</v>
      </c>
      <c r="D20" s="220">
        <v>515096025.41000003</v>
      </c>
      <c r="E20" s="220">
        <v>227730932.74720165</v>
      </c>
      <c r="F20" s="462"/>
      <c r="G20" s="462"/>
      <c r="J20" s="91">
        <f t="shared" si="0"/>
        <v>107</v>
      </c>
    </row>
    <row r="21" spans="1:10">
      <c r="A21" s="91">
        <f t="shared" si="1"/>
        <v>108</v>
      </c>
      <c r="B21" s="137" t="s">
        <v>529</v>
      </c>
      <c r="C21" s="140">
        <f>'1-DRR Corrected'!$K$2</f>
        <v>2021</v>
      </c>
      <c r="D21" s="220">
        <v>514258914.19</v>
      </c>
      <c r="E21" s="220">
        <v>230086096.80869797</v>
      </c>
      <c r="F21" s="462"/>
      <c r="G21" s="462"/>
      <c r="J21" s="91">
        <f t="shared" si="0"/>
        <v>108</v>
      </c>
    </row>
    <row r="22" spans="1:10">
      <c r="A22" s="91">
        <f t="shared" si="1"/>
        <v>109</v>
      </c>
      <c r="B22" s="137" t="s">
        <v>530</v>
      </c>
      <c r="C22" s="140">
        <f>'1-DRR Corrected'!$K$2</f>
        <v>2021</v>
      </c>
      <c r="D22" s="220">
        <v>521893760.02999997</v>
      </c>
      <c r="E22" s="220">
        <v>236034373.38662291</v>
      </c>
      <c r="F22" s="462"/>
      <c r="G22" s="462"/>
      <c r="J22" s="91">
        <f t="shared" si="0"/>
        <v>109</v>
      </c>
    </row>
    <row r="23" spans="1:10">
      <c r="A23" s="91">
        <f t="shared" si="1"/>
        <v>110</v>
      </c>
      <c r="B23" s="137" t="s">
        <v>531</v>
      </c>
      <c r="C23" s="140">
        <f>'1-DRR Corrected'!$K$2</f>
        <v>2021</v>
      </c>
      <c r="D23" s="220">
        <v>526851821.22000003</v>
      </c>
      <c r="E23" s="220">
        <v>238509534.55739158</v>
      </c>
      <c r="F23" s="462"/>
      <c r="G23" s="462"/>
      <c r="J23" s="91">
        <f t="shared" si="0"/>
        <v>110</v>
      </c>
    </row>
    <row r="24" spans="1:10">
      <c r="A24" s="91">
        <f t="shared" si="1"/>
        <v>111</v>
      </c>
      <c r="B24" s="137" t="s">
        <v>532</v>
      </c>
      <c r="C24" s="140">
        <f>'1-DRR Corrected'!$K$2</f>
        <v>2021</v>
      </c>
      <c r="D24" s="256">
        <v>544346981.88999999</v>
      </c>
      <c r="E24" s="256">
        <v>246205635.01256308</v>
      </c>
      <c r="F24" s="462"/>
      <c r="G24" s="462"/>
      <c r="J24" s="91">
        <f t="shared" si="0"/>
        <v>111</v>
      </c>
    </row>
    <row r="25" spans="1:10">
      <c r="A25" s="91">
        <f t="shared" si="1"/>
        <v>112</v>
      </c>
      <c r="B25" s="141" t="s">
        <v>520</v>
      </c>
      <c r="C25" s="142">
        <f>'1-DRR Corrected'!$K$2</f>
        <v>2021</v>
      </c>
      <c r="D25" s="277">
        <v>552298301.95000005</v>
      </c>
      <c r="E25" s="431">
        <v>243542773.03879631</v>
      </c>
      <c r="F25" s="462"/>
      <c r="G25" s="462"/>
      <c r="J25" s="91">
        <f t="shared" si="0"/>
        <v>112</v>
      </c>
    </row>
    <row r="26" spans="1:10">
      <c r="A26" s="91">
        <f t="shared" si="1"/>
        <v>113</v>
      </c>
      <c r="B26" s="143" t="s">
        <v>813</v>
      </c>
      <c r="C26" s="143"/>
      <c r="D26" s="221">
        <f>SUM(D13:D25)/13</f>
        <v>528907080.28615385</v>
      </c>
      <c r="E26" s="680">
        <f t="shared" ref="E26" si="2">SUM(E13:E25)/13</f>
        <v>237891080.13564813</v>
      </c>
      <c r="F26" s="461"/>
      <c r="G26" s="461"/>
      <c r="J26" s="91">
        <f t="shared" si="0"/>
        <v>113</v>
      </c>
    </row>
    <row r="27" spans="1:10">
      <c r="C27" s="8"/>
    </row>
    <row r="28" spans="1:10">
      <c r="C28" s="8"/>
    </row>
    <row r="29" spans="1:10">
      <c r="B29" s="79" t="s">
        <v>1123</v>
      </c>
      <c r="C29" s="43"/>
      <c r="D29" s="43"/>
      <c r="E29" s="43"/>
      <c r="F29" s="43"/>
      <c r="G29" s="43"/>
      <c r="H29" s="43"/>
      <c r="I29" s="43"/>
    </row>
    <row r="30" spans="1:10" ht="15" customHeight="1">
      <c r="B30" s="748" t="s">
        <v>1124</v>
      </c>
      <c r="C30" s="748"/>
      <c r="D30" s="748"/>
      <c r="E30" s="748"/>
      <c r="F30" s="748"/>
      <c r="G30" s="748"/>
      <c r="H30" s="748"/>
      <c r="I30" s="748"/>
      <c r="J30" s="144"/>
    </row>
    <row r="31" spans="1:10">
      <c r="B31" s="748"/>
      <c r="C31" s="748"/>
      <c r="D31" s="748"/>
      <c r="E31" s="748"/>
      <c r="F31" s="748"/>
      <c r="G31" s="748"/>
      <c r="H31" s="748"/>
      <c r="I31" s="748"/>
      <c r="J31" s="144"/>
    </row>
    <row r="32" spans="1:10">
      <c r="B32" s="144"/>
      <c r="C32" s="144"/>
      <c r="D32" s="144"/>
      <c r="E32" s="144"/>
      <c r="F32" s="144"/>
      <c r="G32" s="749"/>
      <c r="H32" s="749"/>
      <c r="I32" s="749"/>
    </row>
    <row r="33" spans="1:18">
      <c r="B33" s="83" t="s">
        <v>122</v>
      </c>
      <c r="C33" s="83" t="s">
        <v>123</v>
      </c>
      <c r="D33" s="83" t="s">
        <v>124</v>
      </c>
      <c r="E33" s="83" t="s">
        <v>125</v>
      </c>
      <c r="F33" s="83" t="s">
        <v>490</v>
      </c>
      <c r="G33" s="83" t="s">
        <v>491</v>
      </c>
      <c r="H33" s="83" t="s">
        <v>492</v>
      </c>
      <c r="I33" s="83" t="s">
        <v>493</v>
      </c>
      <c r="J33" s="83"/>
    </row>
    <row r="34" spans="1:18">
      <c r="B34" s="100" t="s">
        <v>1125</v>
      </c>
      <c r="C34" s="83"/>
      <c r="D34" s="581" t="s">
        <v>1126</v>
      </c>
      <c r="E34" s="100" t="s">
        <v>497</v>
      </c>
      <c r="F34" s="100" t="s">
        <v>1127</v>
      </c>
      <c r="G34" s="100" t="s">
        <v>498</v>
      </c>
      <c r="H34" s="100" t="s">
        <v>499</v>
      </c>
      <c r="I34" s="100" t="s">
        <v>500</v>
      </c>
    </row>
    <row r="35" spans="1:18" ht="15" customHeight="1">
      <c r="E35" s="145" t="s">
        <v>1128</v>
      </c>
      <c r="G35" s="750" t="s">
        <v>1129</v>
      </c>
      <c r="H35" s="750"/>
      <c r="I35" s="750"/>
    </row>
    <row r="36" spans="1:18" ht="15" customHeight="1">
      <c r="A36" s="138" t="s">
        <v>90</v>
      </c>
      <c r="B36" s="138" t="s">
        <v>511</v>
      </c>
      <c r="C36" s="138" t="s">
        <v>512</v>
      </c>
      <c r="D36" s="138" t="s">
        <v>1130</v>
      </c>
      <c r="E36" s="138" t="s">
        <v>1131</v>
      </c>
      <c r="F36" s="138" t="s">
        <v>1132</v>
      </c>
      <c r="G36" s="138" t="s">
        <v>1133</v>
      </c>
      <c r="H36" s="138" t="s">
        <v>1134</v>
      </c>
      <c r="I36" s="138" t="s">
        <v>1135</v>
      </c>
      <c r="J36" s="146" t="str">
        <f t="shared" ref="J36:J49" si="3">A36</f>
        <v>Line</v>
      </c>
    </row>
    <row r="37" spans="1:18">
      <c r="A37" s="91">
        <v>200</v>
      </c>
      <c r="B37" s="137" t="s">
        <v>520</v>
      </c>
      <c r="C37" s="140">
        <f>'1-DRR Corrected'!$K$2-1</f>
        <v>2020</v>
      </c>
      <c r="D37" s="220">
        <v>698753381.11000013</v>
      </c>
      <c r="E37" s="220">
        <v>50539331.940000005</v>
      </c>
      <c r="F37" s="24">
        <f t="shared" ref="F37:F49" si="4">+D37-E37</f>
        <v>648214049.17000008</v>
      </c>
      <c r="G37" s="302">
        <v>23113163.519999996</v>
      </c>
      <c r="H37" s="302">
        <v>482456962.94</v>
      </c>
      <c r="I37" s="302">
        <v>142643922.70999998</v>
      </c>
      <c r="J37" s="91">
        <f t="shared" si="3"/>
        <v>200</v>
      </c>
      <c r="K37" s="24"/>
      <c r="L37" s="147"/>
      <c r="M37" s="147"/>
      <c r="N37" s="147"/>
      <c r="O37" s="147"/>
      <c r="P37" s="148"/>
      <c r="Q37" s="149"/>
      <c r="R37" s="149"/>
    </row>
    <row r="38" spans="1:18">
      <c r="A38" s="91">
        <f t="shared" ref="A38:A49" si="5">A37+1</f>
        <v>201</v>
      </c>
      <c r="B38" s="137" t="s">
        <v>522</v>
      </c>
      <c r="C38" s="140">
        <f>'1-DRR Corrected'!$K$2</f>
        <v>2021</v>
      </c>
      <c r="D38" s="220">
        <v>679333937.68000007</v>
      </c>
      <c r="E38" s="220">
        <v>51412418.420000002</v>
      </c>
      <c r="F38" s="24">
        <f t="shared" si="4"/>
        <v>627921519.26000011</v>
      </c>
      <c r="G38" s="302">
        <v>22411828.279999997</v>
      </c>
      <c r="H38" s="302">
        <v>412618392.56999999</v>
      </c>
      <c r="I38" s="302">
        <v>192891298.41000003</v>
      </c>
      <c r="J38" s="91">
        <f t="shared" si="3"/>
        <v>201</v>
      </c>
      <c r="K38" s="24"/>
      <c r="L38" s="147"/>
      <c r="M38" s="147"/>
      <c r="N38" s="147"/>
      <c r="O38" s="147"/>
      <c r="P38" s="148"/>
      <c r="Q38" s="149"/>
      <c r="R38" s="149"/>
    </row>
    <row r="39" spans="1:18">
      <c r="A39" s="91">
        <f t="shared" si="5"/>
        <v>202</v>
      </c>
      <c r="B39" s="137" t="s">
        <v>523</v>
      </c>
      <c r="C39" s="140">
        <f>'1-DRR Corrected'!$K$2</f>
        <v>2021</v>
      </c>
      <c r="D39" s="220">
        <v>594312809.91000009</v>
      </c>
      <c r="E39" s="220">
        <v>50982041.410000004</v>
      </c>
      <c r="F39" s="24">
        <f t="shared" si="4"/>
        <v>543330768.50000012</v>
      </c>
      <c r="G39" s="302">
        <v>23680466.25</v>
      </c>
      <c r="H39" s="302">
        <v>343512070.19999993</v>
      </c>
      <c r="I39" s="302">
        <v>176138232.05000001</v>
      </c>
      <c r="J39" s="91">
        <f t="shared" si="3"/>
        <v>202</v>
      </c>
      <c r="K39" s="24"/>
      <c r="L39" s="147"/>
      <c r="M39" s="147"/>
      <c r="N39" s="147"/>
      <c r="O39" s="147"/>
      <c r="P39" s="148"/>
      <c r="Q39" s="149"/>
      <c r="R39" s="149"/>
    </row>
    <row r="40" spans="1:18">
      <c r="A40" s="91">
        <f t="shared" si="5"/>
        <v>203</v>
      </c>
      <c r="B40" s="137" t="s">
        <v>524</v>
      </c>
      <c r="C40" s="140">
        <f>'1-DRR Corrected'!$K$2</f>
        <v>2021</v>
      </c>
      <c r="D40" s="220">
        <v>499559035.59000003</v>
      </c>
      <c r="E40" s="220">
        <v>34969127.74000001</v>
      </c>
      <c r="F40" s="24">
        <f t="shared" si="4"/>
        <v>464589907.85000002</v>
      </c>
      <c r="G40" s="302">
        <v>20886706.91</v>
      </c>
      <c r="H40" s="302">
        <v>272805170.90999997</v>
      </c>
      <c r="I40" s="302">
        <v>170898030.03</v>
      </c>
      <c r="J40" s="91">
        <f t="shared" si="3"/>
        <v>203</v>
      </c>
      <c r="K40" s="24"/>
      <c r="L40" s="147"/>
      <c r="M40" s="147"/>
      <c r="N40" s="147"/>
      <c r="O40" s="147"/>
      <c r="P40" s="148"/>
      <c r="Q40" s="149"/>
      <c r="R40" s="149"/>
    </row>
    <row r="41" spans="1:18">
      <c r="A41" s="91">
        <f t="shared" si="5"/>
        <v>204</v>
      </c>
      <c r="B41" s="137" t="s">
        <v>525</v>
      </c>
      <c r="C41" s="140">
        <f>'1-DRR Corrected'!$K$2</f>
        <v>2021</v>
      </c>
      <c r="D41" s="220">
        <v>580018381.20999992</v>
      </c>
      <c r="E41" s="220">
        <v>21889218.970000006</v>
      </c>
      <c r="F41" s="24">
        <f t="shared" si="4"/>
        <v>558129162.23999989</v>
      </c>
      <c r="G41" s="302">
        <v>23772941.579999998</v>
      </c>
      <c r="H41" s="302">
        <v>285805610.53999996</v>
      </c>
      <c r="I41" s="302">
        <v>248550610.12</v>
      </c>
      <c r="J41" s="91">
        <f t="shared" si="3"/>
        <v>204</v>
      </c>
      <c r="K41" s="24"/>
      <c r="L41" s="147"/>
      <c r="M41" s="147"/>
      <c r="N41" s="147"/>
      <c r="O41" s="147"/>
      <c r="P41" s="148"/>
      <c r="Q41" s="149"/>
      <c r="R41" s="149"/>
    </row>
    <row r="42" spans="1:18">
      <c r="A42" s="91">
        <f t="shared" si="5"/>
        <v>205</v>
      </c>
      <c r="B42" s="137" t="s">
        <v>526</v>
      </c>
      <c r="C42" s="140">
        <f>'1-DRR Corrected'!$K$2</f>
        <v>2021</v>
      </c>
      <c r="D42" s="220">
        <v>515186535.23000008</v>
      </c>
      <c r="E42" s="220">
        <v>21551946.49000001</v>
      </c>
      <c r="F42" s="24">
        <f t="shared" si="4"/>
        <v>493634588.74000007</v>
      </c>
      <c r="G42" s="302">
        <v>21140642.220000003</v>
      </c>
      <c r="H42" s="302">
        <v>281423463.38999999</v>
      </c>
      <c r="I42" s="302">
        <v>191070483.13000003</v>
      </c>
      <c r="J42" s="91">
        <f t="shared" si="3"/>
        <v>205</v>
      </c>
      <c r="K42" s="24"/>
      <c r="L42" s="147"/>
      <c r="M42" s="147"/>
      <c r="N42" s="147"/>
      <c r="O42" s="147"/>
      <c r="P42" s="148"/>
      <c r="Q42" s="149"/>
      <c r="R42" s="149"/>
    </row>
    <row r="43" spans="1:18">
      <c r="A43" s="91">
        <f t="shared" si="5"/>
        <v>206</v>
      </c>
      <c r="B43" s="137" t="s">
        <v>812</v>
      </c>
      <c r="C43" s="140">
        <f>'1-DRR Corrected'!$K$2</f>
        <v>2021</v>
      </c>
      <c r="D43" s="220">
        <v>484704890.90999997</v>
      </c>
      <c r="E43" s="220">
        <v>22464959.320000008</v>
      </c>
      <c r="F43" s="24">
        <f t="shared" si="4"/>
        <v>462239931.58999997</v>
      </c>
      <c r="G43" s="302">
        <v>18331610.43</v>
      </c>
      <c r="H43" s="302">
        <v>278716840.95999992</v>
      </c>
      <c r="I43" s="302">
        <v>165191480.20000002</v>
      </c>
      <c r="J43" s="91">
        <f t="shared" si="3"/>
        <v>206</v>
      </c>
      <c r="K43" s="24"/>
      <c r="L43" s="147"/>
      <c r="M43" s="147"/>
      <c r="N43" s="147"/>
      <c r="O43" s="147"/>
      <c r="P43" s="148"/>
      <c r="Q43" s="149"/>
      <c r="R43" s="149"/>
    </row>
    <row r="44" spans="1:18">
      <c r="A44" s="91">
        <f t="shared" si="5"/>
        <v>207</v>
      </c>
      <c r="B44" s="137" t="s">
        <v>528</v>
      </c>
      <c r="C44" s="140">
        <f>'1-DRR Corrected'!$K$2</f>
        <v>2021</v>
      </c>
      <c r="D44" s="220">
        <v>972596793.1099999</v>
      </c>
      <c r="E44" s="220">
        <v>22215202.860000007</v>
      </c>
      <c r="F44" s="24">
        <f t="shared" si="4"/>
        <v>950381590.24999988</v>
      </c>
      <c r="G44" s="302">
        <v>15522578.639999999</v>
      </c>
      <c r="H44" s="302">
        <v>737903456.84000003</v>
      </c>
      <c r="I44" s="302">
        <v>196955554.76999992</v>
      </c>
      <c r="J44" s="91">
        <f t="shared" si="3"/>
        <v>207</v>
      </c>
      <c r="K44" s="24"/>
      <c r="L44" s="147"/>
      <c r="M44" s="147"/>
      <c r="N44" s="147"/>
      <c r="O44" s="147"/>
      <c r="P44" s="148"/>
      <c r="Q44" s="149"/>
      <c r="R44" s="149"/>
    </row>
    <row r="45" spans="1:18">
      <c r="A45" s="91">
        <f t="shared" si="5"/>
        <v>208</v>
      </c>
      <c r="B45" s="137" t="s">
        <v>529</v>
      </c>
      <c r="C45" s="140">
        <f>'1-DRR Corrected'!$K$2</f>
        <v>2021</v>
      </c>
      <c r="D45" s="220">
        <v>900525635.2299999</v>
      </c>
      <c r="E45" s="220">
        <v>23832557.260000005</v>
      </c>
      <c r="F45" s="24">
        <f t="shared" si="4"/>
        <v>876693077.96999991</v>
      </c>
      <c r="G45" s="302">
        <v>12713546.85</v>
      </c>
      <c r="H45" s="302">
        <v>666550941.39999998</v>
      </c>
      <c r="I45" s="302">
        <v>197428589.72000015</v>
      </c>
      <c r="J45" s="91">
        <f t="shared" si="3"/>
        <v>208</v>
      </c>
      <c r="K45" s="24"/>
      <c r="L45" s="147"/>
      <c r="M45" s="147"/>
      <c r="N45" s="147"/>
      <c r="O45" s="147"/>
      <c r="P45" s="148"/>
      <c r="Q45" s="149"/>
      <c r="R45" s="149"/>
    </row>
    <row r="46" spans="1:18">
      <c r="A46" s="91">
        <f t="shared" si="5"/>
        <v>209</v>
      </c>
      <c r="B46" s="137" t="s">
        <v>530</v>
      </c>
      <c r="C46" s="140">
        <f>'1-DRR Corrected'!$K$2</f>
        <v>2021</v>
      </c>
      <c r="D46" s="220">
        <v>706961619.45000005</v>
      </c>
      <c r="E46" s="220">
        <v>26076356.690000009</v>
      </c>
      <c r="F46" s="24">
        <f t="shared" si="4"/>
        <v>680885262.75999999</v>
      </c>
      <c r="G46" s="302">
        <v>9904515.0599999987</v>
      </c>
      <c r="H46" s="302">
        <v>491468749.5</v>
      </c>
      <c r="I46" s="302">
        <v>179511998.20000005</v>
      </c>
      <c r="J46" s="91">
        <f t="shared" si="3"/>
        <v>209</v>
      </c>
      <c r="K46" s="24"/>
      <c r="L46" s="147"/>
      <c r="M46" s="147"/>
      <c r="N46" s="147"/>
      <c r="O46" s="147"/>
      <c r="P46" s="148"/>
      <c r="Q46" s="149"/>
      <c r="R46" s="149"/>
    </row>
    <row r="47" spans="1:18">
      <c r="A47" s="91">
        <f t="shared" si="5"/>
        <v>210</v>
      </c>
      <c r="B47" s="137" t="s">
        <v>531</v>
      </c>
      <c r="C47" s="140">
        <f>'1-DRR Corrected'!$K$2</f>
        <v>2021</v>
      </c>
      <c r="D47" s="220">
        <v>641537683.36999989</v>
      </c>
      <c r="E47" s="220">
        <v>36024139.420000009</v>
      </c>
      <c r="F47" s="24">
        <f t="shared" si="4"/>
        <v>605513543.94999993</v>
      </c>
      <c r="G47" s="302">
        <v>10605181.260000002</v>
      </c>
      <c r="H47" s="302">
        <v>437404513.47000003</v>
      </c>
      <c r="I47" s="302">
        <v>157503849.21999997</v>
      </c>
      <c r="J47" s="91">
        <f t="shared" si="3"/>
        <v>210</v>
      </c>
      <c r="K47" s="24"/>
      <c r="L47" s="147"/>
      <c r="M47" s="147"/>
      <c r="N47" s="147"/>
      <c r="O47" s="147"/>
      <c r="P47" s="148"/>
      <c r="Q47" s="149"/>
      <c r="R47" s="149"/>
    </row>
    <row r="48" spans="1:18">
      <c r="A48" s="91">
        <f t="shared" si="5"/>
        <v>211</v>
      </c>
      <c r="B48" s="137" t="s">
        <v>532</v>
      </c>
      <c r="C48" s="140">
        <f>'1-DRR Corrected'!$K$2</f>
        <v>2021</v>
      </c>
      <c r="D48" s="220">
        <v>566089864.61000001</v>
      </c>
      <c r="E48" s="220">
        <v>35774382.960000008</v>
      </c>
      <c r="F48" s="24">
        <f t="shared" si="4"/>
        <v>530315481.64999998</v>
      </c>
      <c r="G48" s="302">
        <v>7895427.4699999997</v>
      </c>
      <c r="H48" s="302">
        <v>383340277.44</v>
      </c>
      <c r="I48" s="302">
        <v>139079776.74000001</v>
      </c>
      <c r="J48" s="91">
        <f t="shared" si="3"/>
        <v>211</v>
      </c>
      <c r="K48" s="24"/>
      <c r="L48" s="147"/>
      <c r="M48" s="147"/>
      <c r="N48" s="147"/>
      <c r="O48" s="147"/>
      <c r="P48" s="148"/>
      <c r="Q48" s="149"/>
      <c r="R48" s="149"/>
    </row>
    <row r="49" spans="1:18">
      <c r="A49" s="91">
        <f t="shared" si="5"/>
        <v>212</v>
      </c>
      <c r="B49" s="136" t="s">
        <v>520</v>
      </c>
      <c r="C49" s="140">
        <f>'1-DRR Corrected'!$K$2</f>
        <v>2021</v>
      </c>
      <c r="D49" s="220">
        <v>520256194.68000007</v>
      </c>
      <c r="E49" s="220">
        <v>36907971.290000007</v>
      </c>
      <c r="F49" s="24">
        <f t="shared" si="4"/>
        <v>483348223.39000005</v>
      </c>
      <c r="G49" s="302">
        <v>5341192.0999999996</v>
      </c>
      <c r="H49" s="302">
        <v>329276041.40999997</v>
      </c>
      <c r="I49" s="302">
        <v>148730989.88</v>
      </c>
      <c r="J49" s="91">
        <f t="shared" si="3"/>
        <v>212</v>
      </c>
      <c r="K49" s="24"/>
      <c r="L49" s="147"/>
      <c r="M49" s="147"/>
      <c r="N49" s="147"/>
      <c r="O49" s="147"/>
      <c r="P49" s="148"/>
      <c r="Q49" s="149"/>
      <c r="R49" s="149"/>
    </row>
    <row r="50" spans="1:18">
      <c r="A50" s="91"/>
      <c r="B50" s="136"/>
      <c r="C50" s="140"/>
      <c r="D50" s="11"/>
      <c r="E50" s="11"/>
      <c r="F50" s="11"/>
      <c r="G50" s="150"/>
      <c r="H50" s="150"/>
      <c r="I50" s="150"/>
      <c r="J50" s="91"/>
      <c r="L50" s="147"/>
      <c r="M50" s="147"/>
      <c r="N50" s="147"/>
      <c r="O50" s="147"/>
      <c r="P50" s="148"/>
      <c r="Q50" s="149"/>
      <c r="R50" s="149"/>
    </row>
    <row r="51" spans="1:18">
      <c r="B51" s="136"/>
      <c r="C51" s="140"/>
      <c r="D51" s="151"/>
      <c r="E51" s="11"/>
      <c r="F51" s="151"/>
      <c r="G51" s="26"/>
      <c r="H51" s="21"/>
      <c r="J51" s="91"/>
    </row>
    <row r="52" spans="1:18">
      <c r="A52" s="91"/>
      <c r="C52" s="140"/>
      <c r="D52" s="151"/>
      <c r="E52" s="11"/>
      <c r="F52" s="151"/>
      <c r="G52" s="4"/>
      <c r="H52" s="109" t="s">
        <v>1136</v>
      </c>
      <c r="I52" s="4"/>
      <c r="J52" s="91"/>
    </row>
    <row r="53" spans="1:18">
      <c r="A53" s="91"/>
      <c r="B53" s="143" t="s">
        <v>1137</v>
      </c>
      <c r="C53" s="140"/>
      <c r="D53" s="151"/>
      <c r="E53" s="11"/>
      <c r="F53" s="151"/>
      <c r="G53" s="129" t="s">
        <v>1138</v>
      </c>
      <c r="H53" s="290" t="s">
        <v>1139</v>
      </c>
      <c r="I53" s="129" t="s">
        <v>1140</v>
      </c>
      <c r="J53" s="91"/>
    </row>
    <row r="54" spans="1:18">
      <c r="A54" s="91">
        <f>A49+1</f>
        <v>213</v>
      </c>
      <c r="B54" s="136" t="s">
        <v>1141</v>
      </c>
      <c r="C54" s="152" t="s">
        <v>1142</v>
      </c>
      <c r="D54" s="151"/>
      <c r="E54" s="11"/>
      <c r="F54" s="151"/>
      <c r="G54" s="709">
        <f>'24-Allocators'!C29</f>
        <v>0.40851933046607769</v>
      </c>
      <c r="H54" s="710">
        <f>'24-Allocators'!C36</f>
        <v>0.35766043976807083</v>
      </c>
      <c r="I54" s="711">
        <f>'24-Allocators'!C24</f>
        <v>0.30680154907006396</v>
      </c>
      <c r="J54" s="91">
        <f>A54</f>
        <v>213</v>
      </c>
    </row>
    <row r="55" spans="1:18">
      <c r="B55" s="136"/>
      <c r="C55" s="140"/>
      <c r="D55" s="151"/>
      <c r="E55" s="11"/>
      <c r="F55" s="151"/>
      <c r="G55" s="26"/>
      <c r="J55" s="91"/>
    </row>
    <row r="56" spans="1:18" ht="29.25" customHeight="1">
      <c r="A56" s="91">
        <f>+A54+1</f>
        <v>214</v>
      </c>
      <c r="B56" s="143" t="s">
        <v>1143</v>
      </c>
      <c r="C56" s="108" t="str">
        <f>"(Sum Line "&amp;A37&amp;" to Line "&amp;A49&amp;") / 13"</f>
        <v>(Sum Line 200 to Line 212) / 13</v>
      </c>
      <c r="D56" s="278">
        <f>SUM(D37:D49)/13</f>
        <v>643064366.31461537</v>
      </c>
      <c r="E56" s="278">
        <f t="shared" ref="E56:I56" si="6">SUM(E37:E49)/13</f>
        <v>33433819.597692311</v>
      </c>
      <c r="F56" s="278">
        <f t="shared" si="6"/>
        <v>609630546.71692312</v>
      </c>
      <c r="G56" s="278">
        <f t="shared" si="6"/>
        <v>16563061.582307689</v>
      </c>
      <c r="H56" s="278">
        <f t="shared" si="6"/>
        <v>415637114.73615384</v>
      </c>
      <c r="I56" s="278">
        <f t="shared" si="6"/>
        <v>177430370.39846155</v>
      </c>
      <c r="J56" s="91">
        <f>A56</f>
        <v>214</v>
      </c>
      <c r="L56" s="11"/>
    </row>
    <row r="57" spans="1:18">
      <c r="A57" s="91">
        <f>A56+1</f>
        <v>215</v>
      </c>
      <c r="B57" s="136" t="s">
        <v>1144</v>
      </c>
      <c r="C57" s="18" t="str">
        <f>"Line "&amp;A54&amp;" * Line "&amp;A56&amp;""</f>
        <v>Line 213 * Line 214</v>
      </c>
      <c r="D57" s="279"/>
      <c r="E57" s="279"/>
      <c r="F57" s="279">
        <f>+G57+H57+I57</f>
        <v>209859196</v>
      </c>
      <c r="G57" s="278">
        <f>ROUND(G56*G54,0)</f>
        <v>6766331</v>
      </c>
      <c r="H57" s="278">
        <f>ROUND(H56*H54,0)</f>
        <v>148656953</v>
      </c>
      <c r="I57" s="278">
        <f>ROUND(I56*I54,0)</f>
        <v>54435912</v>
      </c>
      <c r="J57" s="91">
        <f>A57</f>
        <v>215</v>
      </c>
      <c r="L57" s="11"/>
    </row>
    <row r="58" spans="1:18">
      <c r="B58" s="136"/>
      <c r="C58" s="134"/>
      <c r="D58" s="151"/>
      <c r="E58" s="151"/>
      <c r="F58" s="151"/>
      <c r="G58" s="151"/>
      <c r="H58" s="151"/>
      <c r="I58" s="151"/>
      <c r="J58" s="91"/>
    </row>
    <row r="59" spans="1:18">
      <c r="A59" s="91">
        <f>A57+1</f>
        <v>216</v>
      </c>
      <c r="B59" s="143" t="s">
        <v>1145</v>
      </c>
      <c r="C59" s="134" t="str">
        <f>"Line "&amp;A49&amp;""</f>
        <v>Line 212</v>
      </c>
      <c r="D59" s="278">
        <f t="shared" ref="D59:I59" si="7">+D49</f>
        <v>520256194.68000007</v>
      </c>
      <c r="E59" s="278">
        <f t="shared" si="7"/>
        <v>36907971.290000007</v>
      </c>
      <c r="F59" s="278">
        <f t="shared" si="7"/>
        <v>483348223.39000005</v>
      </c>
      <c r="G59" s="278">
        <f t="shared" si="7"/>
        <v>5341192.0999999996</v>
      </c>
      <c r="H59" s="278">
        <f t="shared" si="7"/>
        <v>329276041.40999997</v>
      </c>
      <c r="I59" s="278">
        <f t="shared" si="7"/>
        <v>148730989.88</v>
      </c>
      <c r="J59" s="91">
        <f>A59</f>
        <v>216</v>
      </c>
      <c r="L59" s="11"/>
    </row>
    <row r="60" spans="1:18">
      <c r="A60" s="91">
        <f>A59+1</f>
        <v>217</v>
      </c>
      <c r="B60" s="136" t="s">
        <v>1144</v>
      </c>
      <c r="C60" s="18" t="str">
        <f>"Line "&amp;A54&amp;" * Line "&amp;A59&amp;""</f>
        <v>Line 213 * Line 216</v>
      </c>
      <c r="D60" s="278"/>
      <c r="E60" s="278"/>
      <c r="F60" s="279">
        <f>+G60+H60+I60</f>
        <v>165581892</v>
      </c>
      <c r="G60" s="278">
        <f>ROUND(G59*G54,0)</f>
        <v>2181980</v>
      </c>
      <c r="H60" s="278">
        <f>ROUND(H59*H54,0)</f>
        <v>117769014</v>
      </c>
      <c r="I60" s="278">
        <f>ROUND(I59*I54,0)</f>
        <v>45630898</v>
      </c>
      <c r="J60" s="91">
        <f>A60</f>
        <v>217</v>
      </c>
      <c r="L60" s="11"/>
    </row>
    <row r="61" spans="1:18">
      <c r="A61" s="91"/>
      <c r="B61" s="143"/>
      <c r="C61" s="140"/>
      <c r="D61" s="151"/>
      <c r="E61" s="151"/>
      <c r="F61" s="151"/>
      <c r="G61" s="151"/>
      <c r="H61" s="151"/>
      <c r="I61" s="151"/>
      <c r="J61" s="91"/>
      <c r="L61" s="11"/>
    </row>
    <row r="62" spans="1:18">
      <c r="A62" s="91"/>
      <c r="B62" s="143" t="s">
        <v>674</v>
      </c>
      <c r="C62" s="140"/>
      <c r="D62" s="151"/>
      <c r="E62" s="151"/>
      <c r="F62" s="151"/>
      <c r="G62" s="151"/>
      <c r="H62" s="151"/>
      <c r="I62" s="151"/>
      <c r="J62" s="91"/>
      <c r="L62" s="11"/>
    </row>
    <row r="63" spans="1:18">
      <c r="A63" s="91"/>
      <c r="B63" s="136" t="s">
        <v>1146</v>
      </c>
      <c r="C63" s="140"/>
      <c r="D63" s="151"/>
      <c r="E63" s="151"/>
      <c r="F63" s="151"/>
      <c r="G63" s="151"/>
      <c r="H63" s="151"/>
      <c r="I63" s="151"/>
      <c r="J63" s="91"/>
      <c r="L63" s="11"/>
    </row>
    <row r="64" spans="1:18">
      <c r="A64" s="91"/>
      <c r="B64" s="136" t="s">
        <v>1147</v>
      </c>
      <c r="C64" s="140"/>
      <c r="D64" s="151"/>
      <c r="E64" s="151"/>
      <c r="F64" s="151"/>
      <c r="G64" s="151"/>
      <c r="H64" s="151"/>
      <c r="I64" s="151"/>
      <c r="J64" s="91"/>
      <c r="L64" s="11"/>
    </row>
    <row r="65" spans="1:12">
      <c r="A65" s="91"/>
      <c r="B65" s="136" t="s">
        <v>1148</v>
      </c>
      <c r="C65" s="140"/>
      <c r="D65" s="151"/>
      <c r="E65" s="151"/>
      <c r="F65" s="151"/>
      <c r="G65" s="151"/>
      <c r="H65" s="151"/>
      <c r="I65" s="151"/>
      <c r="J65" s="91"/>
      <c r="L65" s="11"/>
    </row>
    <row r="66" spans="1:12">
      <c r="A66" s="91"/>
      <c r="B66" s="136" t="s">
        <v>1149</v>
      </c>
      <c r="C66" s="140"/>
      <c r="D66" s="151"/>
      <c r="E66" s="151"/>
      <c r="F66" s="151"/>
      <c r="G66" s="151"/>
      <c r="H66" s="151"/>
      <c r="I66" s="151"/>
      <c r="J66" s="91"/>
      <c r="L66" s="11"/>
    </row>
    <row r="67" spans="1:12">
      <c r="A67" s="91"/>
      <c r="B67" s="136" t="s">
        <v>1150</v>
      </c>
      <c r="C67" s="140"/>
      <c r="D67" s="151"/>
      <c r="E67" s="151"/>
      <c r="F67" s="151"/>
      <c r="G67" s="151"/>
      <c r="H67" s="151"/>
      <c r="I67" s="151"/>
      <c r="J67" s="91"/>
      <c r="L67" s="11"/>
    </row>
    <row r="68" spans="1:12">
      <c r="A68" s="91"/>
      <c r="B68" s="136" t="s">
        <v>1151</v>
      </c>
      <c r="C68" s="140"/>
      <c r="D68" s="151"/>
      <c r="E68" s="151"/>
      <c r="F68" s="151"/>
      <c r="G68" s="151"/>
      <c r="H68" s="151"/>
      <c r="I68" s="151"/>
      <c r="J68" s="91"/>
      <c r="L68" s="11"/>
    </row>
    <row r="69" spans="1:12">
      <c r="B69" s="136" t="s">
        <v>1152</v>
      </c>
    </row>
    <row r="72" spans="1:12">
      <c r="H72" s="12"/>
    </row>
    <row r="74" spans="1:12">
      <c r="H74" s="153"/>
    </row>
  </sheetData>
  <mergeCells count="3">
    <mergeCell ref="B30:I31"/>
    <mergeCell ref="G32:I32"/>
    <mergeCell ref="G35:I35"/>
  </mergeCells>
  <printOptions horizontalCentered="1"/>
  <pageMargins left="1" right="1" top="1" bottom="1" header="0.5" footer="0.5"/>
  <pageSetup scale="45" orientation="landscape" r:id="rId1"/>
  <headerFooter>
    <oddHeader>&amp;RDocket No. ER20-2878-000, et al.- Annual Update RY2024
&amp;F</oddHead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AE1ED-2579-45F3-ADEC-4B470B45BF34}">
  <sheetPr>
    <tabColor rgb="FFFF0000"/>
    <pageSetUpPr fitToPage="1"/>
  </sheetPr>
  <dimension ref="A1:R74"/>
  <sheetViews>
    <sheetView view="pageBreakPreview" topLeftCell="A23" zoomScale="40" zoomScaleNormal="85" zoomScaleSheetLayoutView="40" zoomScalePageLayoutView="55" workbookViewId="0">
      <selection activeCell="W98" sqref="W98"/>
    </sheetView>
  </sheetViews>
  <sheetFormatPr defaultColWidth="9.1796875" defaultRowHeight="14.5"/>
  <cols>
    <col min="1" max="1" width="5.453125" customWidth="1"/>
    <col min="2" max="2" width="27.453125" customWidth="1"/>
    <col min="3" max="3" width="18.81640625" customWidth="1"/>
    <col min="4" max="4" width="25.1796875" bestFit="1" customWidth="1"/>
    <col min="5" max="5" width="19.26953125" customWidth="1"/>
    <col min="6" max="6" width="20" customWidth="1"/>
    <col min="7" max="7" width="20.453125" customWidth="1"/>
    <col min="8" max="9" width="17.81640625" customWidth="1"/>
    <col min="10" max="10" width="8.1796875" customWidth="1"/>
    <col min="11" max="11" width="4.54296875" bestFit="1" customWidth="1"/>
    <col min="12" max="14" width="12.7265625" customWidth="1"/>
    <col min="15" max="15" width="2.453125" customWidth="1"/>
    <col min="16" max="18" width="12.7265625" customWidth="1"/>
  </cols>
  <sheetData>
    <row r="1" spans="1:10">
      <c r="B1" s="105" t="s">
        <v>39</v>
      </c>
      <c r="I1" s="6" t="s">
        <v>384</v>
      </c>
    </row>
    <row r="2" spans="1:10">
      <c r="B2" s="78" t="s">
        <v>120</v>
      </c>
      <c r="C2" s="38"/>
      <c r="I2" s="6"/>
    </row>
    <row r="4" spans="1:10">
      <c r="B4" s="79" t="s">
        <v>1117</v>
      </c>
      <c r="C4" s="43"/>
      <c r="D4" s="43"/>
      <c r="E4" s="43"/>
      <c r="F4" s="43"/>
      <c r="G4" s="43"/>
      <c r="H4" s="43"/>
      <c r="I4" s="43"/>
    </row>
    <row r="5" spans="1:10">
      <c r="B5" s="8" t="s">
        <v>1118</v>
      </c>
      <c r="D5" s="130"/>
      <c r="E5" s="131"/>
    </row>
    <row r="6" spans="1:10">
      <c r="D6" s="130"/>
      <c r="E6" s="131"/>
    </row>
    <row r="7" spans="1:10">
      <c r="D7" s="83" t="s">
        <v>122</v>
      </c>
      <c r="E7" s="83" t="s">
        <v>123</v>
      </c>
      <c r="F7" s="83"/>
      <c r="G7" s="83"/>
      <c r="H7" s="83"/>
    </row>
    <row r="8" spans="1:10">
      <c r="B8" s="132"/>
      <c r="C8" s="133"/>
      <c r="D8" s="120" t="s">
        <v>101</v>
      </c>
      <c r="E8" s="430" t="s">
        <v>496</v>
      </c>
      <c r="F8" s="133"/>
      <c r="G8" s="133"/>
    </row>
    <row r="9" spans="1:10">
      <c r="D9" s="134"/>
      <c r="E9" s="131"/>
      <c r="F9" s="463"/>
      <c r="G9" s="463"/>
    </row>
    <row r="10" spans="1:10">
      <c r="D10" s="135" t="s">
        <v>1119</v>
      </c>
      <c r="E10" s="135"/>
      <c r="F10" s="463"/>
      <c r="G10" s="463"/>
    </row>
    <row r="11" spans="1:10">
      <c r="B11" s="136"/>
      <c r="C11" s="137"/>
      <c r="D11" s="135" t="s">
        <v>1120</v>
      </c>
      <c r="E11" s="135" t="s">
        <v>683</v>
      </c>
      <c r="F11" s="135"/>
      <c r="G11" s="135"/>
    </row>
    <row r="12" spans="1:10">
      <c r="A12" s="138" t="s">
        <v>1121</v>
      </c>
      <c r="B12" s="139" t="s">
        <v>511</v>
      </c>
      <c r="C12" s="139" t="s">
        <v>512</v>
      </c>
      <c r="D12" s="139" t="s">
        <v>1122</v>
      </c>
      <c r="E12" s="139" t="s">
        <v>737</v>
      </c>
      <c r="F12" s="139"/>
      <c r="G12" s="139"/>
      <c r="J12" s="138" t="s">
        <v>1121</v>
      </c>
    </row>
    <row r="13" spans="1:10">
      <c r="A13" s="91">
        <v>100</v>
      </c>
      <c r="B13" s="137" t="s">
        <v>520</v>
      </c>
      <c r="C13" s="140">
        <v>2020</v>
      </c>
      <c r="D13" s="276">
        <v>533278843</v>
      </c>
      <c r="E13" s="431">
        <v>251152243.22217691</v>
      </c>
      <c r="F13" s="462"/>
      <c r="G13" s="462"/>
      <c r="J13" s="91">
        <v>100</v>
      </c>
    </row>
    <row r="14" spans="1:10">
      <c r="A14" s="91">
        <v>101</v>
      </c>
      <c r="B14" s="137" t="s">
        <v>522</v>
      </c>
      <c r="C14" s="140">
        <v>2021</v>
      </c>
      <c r="D14" s="220">
        <v>533671882.76999998</v>
      </c>
      <c r="E14" s="220">
        <v>242307861.95388573</v>
      </c>
      <c r="F14" s="462"/>
      <c r="G14" s="462"/>
      <c r="J14" s="91">
        <v>101</v>
      </c>
    </row>
    <row r="15" spans="1:10">
      <c r="A15" s="91">
        <v>102</v>
      </c>
      <c r="B15" s="137" t="s">
        <v>523</v>
      </c>
      <c r="C15" s="140">
        <v>2021</v>
      </c>
      <c r="D15" s="220">
        <v>541749268.45000005</v>
      </c>
      <c r="E15" s="220">
        <v>245288575.94645947</v>
      </c>
      <c r="F15" s="462"/>
      <c r="G15" s="462"/>
      <c r="J15" s="91">
        <v>102</v>
      </c>
    </row>
    <row r="16" spans="1:10">
      <c r="A16" s="91">
        <v>103</v>
      </c>
      <c r="B16" s="137" t="s">
        <v>524</v>
      </c>
      <c r="C16" s="140">
        <v>2021</v>
      </c>
      <c r="D16" s="220">
        <v>532623926.12</v>
      </c>
      <c r="E16" s="220">
        <v>239035011.9110533</v>
      </c>
      <c r="F16" s="462"/>
      <c r="G16" s="462"/>
      <c r="J16" s="91">
        <v>103</v>
      </c>
    </row>
    <row r="17" spans="1:10">
      <c r="A17" s="91">
        <v>104</v>
      </c>
      <c r="B17" s="137" t="s">
        <v>525</v>
      </c>
      <c r="C17" s="140">
        <v>2021</v>
      </c>
      <c r="D17" s="220">
        <v>522616735.30000001</v>
      </c>
      <c r="E17" s="220">
        <v>232223471.40071726</v>
      </c>
      <c r="F17" s="462"/>
      <c r="G17" s="462"/>
      <c r="J17" s="91">
        <v>104</v>
      </c>
    </row>
    <row r="18" spans="1:10">
      <c r="A18" s="91">
        <v>105</v>
      </c>
      <c r="B18" s="137" t="s">
        <v>526</v>
      </c>
      <c r="C18" s="140">
        <v>2021</v>
      </c>
      <c r="D18" s="220">
        <v>515834186.42000002</v>
      </c>
      <c r="E18" s="220">
        <v>228850746.78129414</v>
      </c>
      <c r="F18" s="462"/>
      <c r="G18" s="462"/>
      <c r="J18" s="91">
        <v>105</v>
      </c>
    </row>
    <row r="19" spans="1:10">
      <c r="A19" s="91">
        <v>106</v>
      </c>
      <c r="B19" s="137" t="s">
        <v>812</v>
      </c>
      <c r="C19" s="140">
        <v>2021</v>
      </c>
      <c r="D19" s="220">
        <v>521271396.97000003</v>
      </c>
      <c r="E19" s="220">
        <v>231616784.99656507</v>
      </c>
      <c r="F19" s="462"/>
      <c r="G19" s="462"/>
      <c r="J19" s="91">
        <v>106</v>
      </c>
    </row>
    <row r="20" spans="1:10">
      <c r="A20" s="91">
        <v>107</v>
      </c>
      <c r="B20" s="137" t="s">
        <v>528</v>
      </c>
      <c r="C20" s="140">
        <v>2021</v>
      </c>
      <c r="D20" s="220">
        <v>515096025.41000003</v>
      </c>
      <c r="E20" s="220">
        <v>227730932.74720165</v>
      </c>
      <c r="F20" s="462"/>
      <c r="G20" s="462"/>
      <c r="J20" s="91">
        <v>107</v>
      </c>
    </row>
    <row r="21" spans="1:10">
      <c r="A21" s="91">
        <v>108</v>
      </c>
      <c r="B21" s="137" t="s">
        <v>529</v>
      </c>
      <c r="C21" s="140">
        <v>2021</v>
      </c>
      <c r="D21" s="220">
        <v>514258914.19</v>
      </c>
      <c r="E21" s="220">
        <v>230086096.80869797</v>
      </c>
      <c r="F21" s="462"/>
      <c r="G21" s="462"/>
      <c r="J21" s="91">
        <v>108</v>
      </c>
    </row>
    <row r="22" spans="1:10">
      <c r="A22" s="91">
        <v>109</v>
      </c>
      <c r="B22" s="137" t="s">
        <v>530</v>
      </c>
      <c r="C22" s="140">
        <v>2021</v>
      </c>
      <c r="D22" s="220">
        <v>521893760.02999997</v>
      </c>
      <c r="E22" s="220">
        <v>236034373.38662291</v>
      </c>
      <c r="F22" s="462"/>
      <c r="G22" s="462"/>
      <c r="J22" s="91">
        <v>109</v>
      </c>
    </row>
    <row r="23" spans="1:10">
      <c r="A23" s="91">
        <v>110</v>
      </c>
      <c r="B23" s="137" t="s">
        <v>531</v>
      </c>
      <c r="C23" s="140">
        <v>2021</v>
      </c>
      <c r="D23" s="220">
        <v>526851821.22000003</v>
      </c>
      <c r="E23" s="220">
        <v>238509534.55739158</v>
      </c>
      <c r="F23" s="462"/>
      <c r="G23" s="462"/>
      <c r="J23" s="91">
        <v>110</v>
      </c>
    </row>
    <row r="24" spans="1:10">
      <c r="A24" s="91">
        <v>111</v>
      </c>
      <c r="B24" s="137" t="s">
        <v>532</v>
      </c>
      <c r="C24" s="140">
        <v>2021</v>
      </c>
      <c r="D24" s="256">
        <v>544346981.88999999</v>
      </c>
      <c r="E24" s="256">
        <v>246205635.01256308</v>
      </c>
      <c r="F24" s="462"/>
      <c r="G24" s="462"/>
      <c r="J24" s="91">
        <v>111</v>
      </c>
    </row>
    <row r="25" spans="1:10">
      <c r="A25" s="91">
        <v>112</v>
      </c>
      <c r="B25" s="141" t="s">
        <v>520</v>
      </c>
      <c r="C25" s="142">
        <v>2021</v>
      </c>
      <c r="D25" s="277">
        <v>552298301.95000005</v>
      </c>
      <c r="E25" s="431">
        <v>243542773.03879631</v>
      </c>
      <c r="F25" s="462"/>
      <c r="G25" s="462"/>
      <c r="J25" s="91">
        <v>112</v>
      </c>
    </row>
    <row r="26" spans="1:10">
      <c r="A26" s="91">
        <v>113</v>
      </c>
      <c r="B26" s="143" t="s">
        <v>813</v>
      </c>
      <c r="C26" s="143"/>
      <c r="D26" s="221">
        <v>528907080.28615385</v>
      </c>
      <c r="E26" s="680">
        <v>237891080.13564813</v>
      </c>
      <c r="F26" s="461"/>
      <c r="G26" s="461"/>
      <c r="J26" s="91">
        <v>113</v>
      </c>
    </row>
    <row r="27" spans="1:10">
      <c r="C27" s="8"/>
    </row>
    <row r="28" spans="1:10">
      <c r="C28" s="8"/>
    </row>
    <row r="29" spans="1:10">
      <c r="B29" s="79" t="s">
        <v>1123</v>
      </c>
      <c r="C29" s="43"/>
      <c r="D29" s="43"/>
      <c r="E29" s="43"/>
      <c r="F29" s="43"/>
      <c r="G29" s="43"/>
      <c r="H29" s="43"/>
      <c r="I29" s="43"/>
    </row>
    <row r="30" spans="1:10" ht="15" customHeight="1">
      <c r="B30" s="748" t="s">
        <v>1124</v>
      </c>
      <c r="C30" s="748"/>
      <c r="D30" s="748"/>
      <c r="E30" s="748"/>
      <c r="F30" s="748"/>
      <c r="G30" s="748"/>
      <c r="H30" s="748"/>
      <c r="I30" s="748"/>
      <c r="J30" s="144"/>
    </row>
    <row r="31" spans="1:10">
      <c r="B31" s="748"/>
      <c r="C31" s="748"/>
      <c r="D31" s="748"/>
      <c r="E31" s="748"/>
      <c r="F31" s="748"/>
      <c r="G31" s="748"/>
      <c r="H31" s="748"/>
      <c r="I31" s="748"/>
      <c r="J31" s="144"/>
    </row>
    <row r="32" spans="1:10">
      <c r="B32" s="144"/>
      <c r="C32" s="144"/>
      <c r="D32" s="144"/>
      <c r="E32" s="144"/>
      <c r="F32" s="144"/>
      <c r="G32" s="749"/>
      <c r="H32" s="749"/>
      <c r="I32" s="749"/>
    </row>
    <row r="33" spans="1:18">
      <c r="B33" s="83" t="s">
        <v>122</v>
      </c>
      <c r="C33" s="83" t="s">
        <v>123</v>
      </c>
      <c r="D33" s="83" t="s">
        <v>124</v>
      </c>
      <c r="E33" s="83" t="s">
        <v>125</v>
      </c>
      <c r="F33" s="83" t="s">
        <v>490</v>
      </c>
      <c r="G33" s="83" t="s">
        <v>491</v>
      </c>
      <c r="H33" s="83" t="s">
        <v>492</v>
      </c>
      <c r="I33" s="83" t="s">
        <v>493</v>
      </c>
      <c r="J33" s="83"/>
    </row>
    <row r="34" spans="1:18">
      <c r="B34" s="100" t="s">
        <v>1125</v>
      </c>
      <c r="C34" s="83"/>
      <c r="D34" s="581" t="s">
        <v>1126</v>
      </c>
      <c r="E34" s="100" t="s">
        <v>497</v>
      </c>
      <c r="F34" s="100" t="s">
        <v>1127</v>
      </c>
      <c r="G34" s="100" t="s">
        <v>498</v>
      </c>
      <c r="H34" s="100" t="s">
        <v>499</v>
      </c>
      <c r="I34" s="100" t="s">
        <v>500</v>
      </c>
    </row>
    <row r="35" spans="1:18" ht="15" customHeight="1">
      <c r="E35" s="145" t="s">
        <v>1128</v>
      </c>
      <c r="G35" s="750" t="s">
        <v>1129</v>
      </c>
      <c r="H35" s="750"/>
      <c r="I35" s="750"/>
    </row>
    <row r="36" spans="1:18" ht="15" customHeight="1">
      <c r="A36" s="138" t="s">
        <v>90</v>
      </c>
      <c r="B36" s="138" t="s">
        <v>511</v>
      </c>
      <c r="C36" s="138" t="s">
        <v>512</v>
      </c>
      <c r="D36" s="138" t="s">
        <v>1130</v>
      </c>
      <c r="E36" s="138" t="s">
        <v>1131</v>
      </c>
      <c r="F36" s="138" t="s">
        <v>1132</v>
      </c>
      <c r="G36" s="138" t="s">
        <v>1133</v>
      </c>
      <c r="H36" s="138" t="s">
        <v>1134</v>
      </c>
      <c r="I36" s="138" t="s">
        <v>1135</v>
      </c>
      <c r="J36" s="146" t="s">
        <v>90</v>
      </c>
    </row>
    <row r="37" spans="1:18">
      <c r="A37" s="91">
        <v>200</v>
      </c>
      <c r="B37" s="137" t="s">
        <v>520</v>
      </c>
      <c r="C37" s="140">
        <v>2020</v>
      </c>
      <c r="D37" s="220">
        <v>698753381.11000013</v>
      </c>
      <c r="E37" s="220">
        <v>50539331.940000005</v>
      </c>
      <c r="F37" s="24">
        <v>648214049.17000008</v>
      </c>
      <c r="G37" s="302">
        <v>23113163.519999996</v>
      </c>
      <c r="H37" s="302">
        <v>482456962.94</v>
      </c>
      <c r="I37" s="302">
        <v>142643922.70999998</v>
      </c>
      <c r="J37" s="91">
        <v>200</v>
      </c>
      <c r="K37" s="24"/>
      <c r="L37" s="147"/>
      <c r="M37" s="147"/>
      <c r="N37" s="147"/>
      <c r="O37" s="147"/>
      <c r="P37" s="148"/>
      <c r="Q37" s="149"/>
      <c r="R37" s="149"/>
    </row>
    <row r="38" spans="1:18">
      <c r="A38" s="91">
        <v>201</v>
      </c>
      <c r="B38" s="137" t="s">
        <v>522</v>
      </c>
      <c r="C38" s="140">
        <v>2021</v>
      </c>
      <c r="D38" s="220">
        <v>679333937.68000007</v>
      </c>
      <c r="E38" s="220">
        <v>51412418.420000002</v>
      </c>
      <c r="F38" s="24">
        <v>627921519.26000011</v>
      </c>
      <c r="G38" s="302">
        <v>22411828.279999997</v>
      </c>
      <c r="H38" s="302">
        <v>412618392.56999999</v>
      </c>
      <c r="I38" s="302">
        <v>192891298.41000003</v>
      </c>
      <c r="J38" s="91">
        <v>201</v>
      </c>
      <c r="K38" s="24"/>
      <c r="L38" s="147"/>
      <c r="M38" s="147"/>
      <c r="N38" s="147"/>
      <c r="O38" s="147"/>
      <c r="P38" s="148"/>
      <c r="Q38" s="149"/>
      <c r="R38" s="149"/>
    </row>
    <row r="39" spans="1:18">
      <c r="A39" s="91">
        <v>202</v>
      </c>
      <c r="B39" s="137" t="s">
        <v>523</v>
      </c>
      <c r="C39" s="140">
        <v>2021</v>
      </c>
      <c r="D39" s="220">
        <v>594312809.91000009</v>
      </c>
      <c r="E39" s="220">
        <v>50982041.410000004</v>
      </c>
      <c r="F39" s="24">
        <v>543330768.50000012</v>
      </c>
      <c r="G39" s="302">
        <v>23680466.25</v>
      </c>
      <c r="H39" s="302">
        <v>343512070.19999993</v>
      </c>
      <c r="I39" s="302">
        <v>176138232.05000001</v>
      </c>
      <c r="J39" s="91">
        <v>202</v>
      </c>
      <c r="K39" s="24"/>
      <c r="L39" s="147"/>
      <c r="M39" s="147"/>
      <c r="N39" s="147"/>
      <c r="O39" s="147"/>
      <c r="P39" s="148"/>
      <c r="Q39" s="149"/>
      <c r="R39" s="149"/>
    </row>
    <row r="40" spans="1:18">
      <c r="A40" s="91">
        <v>203</v>
      </c>
      <c r="B40" s="137" t="s">
        <v>524</v>
      </c>
      <c r="C40" s="140">
        <v>2021</v>
      </c>
      <c r="D40" s="220">
        <v>499559035.59000003</v>
      </c>
      <c r="E40" s="220">
        <v>34969127.74000001</v>
      </c>
      <c r="F40" s="24">
        <v>464589907.85000002</v>
      </c>
      <c r="G40" s="302">
        <v>20886706.91</v>
      </c>
      <c r="H40" s="302">
        <v>272805170.90999997</v>
      </c>
      <c r="I40" s="302">
        <v>170898030.03</v>
      </c>
      <c r="J40" s="91">
        <v>203</v>
      </c>
      <c r="K40" s="24"/>
      <c r="L40" s="147"/>
      <c r="M40" s="147"/>
      <c r="N40" s="147"/>
      <c r="O40" s="147"/>
      <c r="P40" s="148"/>
      <c r="Q40" s="149"/>
      <c r="R40" s="149"/>
    </row>
    <row r="41" spans="1:18">
      <c r="A41" s="91">
        <v>204</v>
      </c>
      <c r="B41" s="137" t="s">
        <v>525</v>
      </c>
      <c r="C41" s="140">
        <v>2021</v>
      </c>
      <c r="D41" s="220">
        <v>580018381.20999992</v>
      </c>
      <c r="E41" s="220">
        <v>21889218.970000006</v>
      </c>
      <c r="F41" s="24">
        <v>558129162.23999989</v>
      </c>
      <c r="G41" s="302">
        <v>23772941.579999998</v>
      </c>
      <c r="H41" s="302">
        <v>285805610.53999996</v>
      </c>
      <c r="I41" s="302">
        <v>248550610.12</v>
      </c>
      <c r="J41" s="91">
        <v>204</v>
      </c>
      <c r="K41" s="24"/>
      <c r="L41" s="147"/>
      <c r="M41" s="147"/>
      <c r="N41" s="147"/>
      <c r="O41" s="147"/>
      <c r="P41" s="148"/>
      <c r="Q41" s="149"/>
      <c r="R41" s="149"/>
    </row>
    <row r="42" spans="1:18">
      <c r="A42" s="91">
        <v>205</v>
      </c>
      <c r="B42" s="137" t="s">
        <v>526</v>
      </c>
      <c r="C42" s="140">
        <v>2021</v>
      </c>
      <c r="D42" s="220">
        <v>515186535.23000008</v>
      </c>
      <c r="E42" s="220">
        <v>21551946.49000001</v>
      </c>
      <c r="F42" s="24">
        <v>493634588.74000007</v>
      </c>
      <c r="G42" s="302">
        <v>21140642.220000003</v>
      </c>
      <c r="H42" s="302">
        <v>281423463.38999999</v>
      </c>
      <c r="I42" s="302">
        <v>191070483.13000003</v>
      </c>
      <c r="J42" s="91">
        <v>205</v>
      </c>
      <c r="K42" s="24"/>
      <c r="L42" s="147"/>
      <c r="M42" s="147"/>
      <c r="N42" s="147"/>
      <c r="O42" s="147"/>
      <c r="P42" s="148"/>
      <c r="Q42" s="149"/>
      <c r="R42" s="149"/>
    </row>
    <row r="43" spans="1:18">
      <c r="A43" s="91">
        <v>206</v>
      </c>
      <c r="B43" s="137" t="s">
        <v>812</v>
      </c>
      <c r="C43" s="140">
        <v>2021</v>
      </c>
      <c r="D43" s="220">
        <v>484704890.90999997</v>
      </c>
      <c r="E43" s="220">
        <v>22464959.320000008</v>
      </c>
      <c r="F43" s="24">
        <v>462239931.58999997</v>
      </c>
      <c r="G43" s="302">
        <v>18331610.43</v>
      </c>
      <c r="H43" s="302">
        <v>278716840.95999992</v>
      </c>
      <c r="I43" s="302">
        <v>165191480.20000002</v>
      </c>
      <c r="J43" s="91">
        <v>206</v>
      </c>
      <c r="K43" s="24"/>
      <c r="L43" s="147"/>
      <c r="M43" s="147"/>
      <c r="N43" s="147"/>
      <c r="O43" s="147"/>
      <c r="P43" s="148"/>
      <c r="Q43" s="149"/>
      <c r="R43" s="149"/>
    </row>
    <row r="44" spans="1:18">
      <c r="A44" s="91">
        <v>207</v>
      </c>
      <c r="B44" s="137" t="s">
        <v>528</v>
      </c>
      <c r="C44" s="140">
        <v>2021</v>
      </c>
      <c r="D44" s="220">
        <v>972596793.1099999</v>
      </c>
      <c r="E44" s="220">
        <v>22215202.860000007</v>
      </c>
      <c r="F44" s="24">
        <v>950381590.24999988</v>
      </c>
      <c r="G44" s="302">
        <v>15522578.639999999</v>
      </c>
      <c r="H44" s="302">
        <v>737903456.84000003</v>
      </c>
      <c r="I44" s="302">
        <v>196955554.76999992</v>
      </c>
      <c r="J44" s="91">
        <v>207</v>
      </c>
      <c r="K44" s="24"/>
      <c r="L44" s="147"/>
      <c r="M44" s="147"/>
      <c r="N44" s="147"/>
      <c r="O44" s="147"/>
      <c r="P44" s="148"/>
      <c r="Q44" s="149"/>
      <c r="R44" s="149"/>
    </row>
    <row r="45" spans="1:18">
      <c r="A45" s="91">
        <v>208</v>
      </c>
      <c r="B45" s="137" t="s">
        <v>529</v>
      </c>
      <c r="C45" s="140">
        <v>2021</v>
      </c>
      <c r="D45" s="220">
        <v>900525635.2299999</v>
      </c>
      <c r="E45" s="220">
        <v>23832557.260000005</v>
      </c>
      <c r="F45" s="24">
        <v>876693077.96999991</v>
      </c>
      <c r="G45" s="302">
        <v>12713546.85</v>
      </c>
      <c r="H45" s="302">
        <v>666550941.39999998</v>
      </c>
      <c r="I45" s="302">
        <v>197428589.72000015</v>
      </c>
      <c r="J45" s="91">
        <v>208</v>
      </c>
      <c r="K45" s="24"/>
      <c r="L45" s="147"/>
      <c r="M45" s="147"/>
      <c r="N45" s="147"/>
      <c r="O45" s="147"/>
      <c r="P45" s="148"/>
      <c r="Q45" s="149"/>
      <c r="R45" s="149"/>
    </row>
    <row r="46" spans="1:18">
      <c r="A46" s="91">
        <v>209</v>
      </c>
      <c r="B46" s="137" t="s">
        <v>530</v>
      </c>
      <c r="C46" s="140">
        <v>2021</v>
      </c>
      <c r="D46" s="220">
        <v>706961619.45000005</v>
      </c>
      <c r="E46" s="220">
        <v>26076356.690000009</v>
      </c>
      <c r="F46" s="24">
        <v>680885262.75999999</v>
      </c>
      <c r="G46" s="302">
        <v>9904515.0599999987</v>
      </c>
      <c r="H46" s="302">
        <v>491468749.5</v>
      </c>
      <c r="I46" s="302">
        <v>179511998.20000005</v>
      </c>
      <c r="J46" s="91">
        <v>209</v>
      </c>
      <c r="K46" s="24"/>
      <c r="L46" s="147"/>
      <c r="M46" s="147"/>
      <c r="N46" s="147"/>
      <c r="O46" s="147"/>
      <c r="P46" s="148"/>
      <c r="Q46" s="149"/>
      <c r="R46" s="149"/>
    </row>
    <row r="47" spans="1:18">
      <c r="A47" s="91">
        <v>210</v>
      </c>
      <c r="B47" s="137" t="s">
        <v>531</v>
      </c>
      <c r="C47" s="140">
        <v>2021</v>
      </c>
      <c r="D47" s="220">
        <v>641537683.36999989</v>
      </c>
      <c r="E47" s="220">
        <v>36024139.420000009</v>
      </c>
      <c r="F47" s="24">
        <v>605513543.94999993</v>
      </c>
      <c r="G47" s="302">
        <v>10605181.260000002</v>
      </c>
      <c r="H47" s="302">
        <v>437404513.47000003</v>
      </c>
      <c r="I47" s="302">
        <v>157503849.21999997</v>
      </c>
      <c r="J47" s="91">
        <v>210</v>
      </c>
      <c r="K47" s="24"/>
      <c r="L47" s="147"/>
      <c r="M47" s="147"/>
      <c r="N47" s="147"/>
      <c r="O47" s="147"/>
      <c r="P47" s="148"/>
      <c r="Q47" s="149"/>
      <c r="R47" s="149"/>
    </row>
    <row r="48" spans="1:18">
      <c r="A48" s="91">
        <v>211</v>
      </c>
      <c r="B48" s="137" t="s">
        <v>532</v>
      </c>
      <c r="C48" s="140">
        <v>2021</v>
      </c>
      <c r="D48" s="220">
        <v>566089864.61000001</v>
      </c>
      <c r="E48" s="220">
        <v>35774382.960000008</v>
      </c>
      <c r="F48" s="24">
        <v>530315481.64999998</v>
      </c>
      <c r="G48" s="302">
        <v>7895427.4699999997</v>
      </c>
      <c r="H48" s="302">
        <v>383340277.44</v>
      </c>
      <c r="I48" s="302">
        <v>139079776.74000001</v>
      </c>
      <c r="J48" s="91">
        <v>211</v>
      </c>
      <c r="K48" s="24"/>
      <c r="L48" s="147"/>
      <c r="M48" s="147"/>
      <c r="N48" s="147"/>
      <c r="O48" s="147"/>
      <c r="P48" s="148"/>
      <c r="Q48" s="149"/>
      <c r="R48" s="149"/>
    </row>
    <row r="49" spans="1:18">
      <c r="A49" s="91">
        <v>212</v>
      </c>
      <c r="B49" s="136" t="s">
        <v>520</v>
      </c>
      <c r="C49" s="140">
        <v>2021</v>
      </c>
      <c r="D49" s="220">
        <v>520256194.68000007</v>
      </c>
      <c r="E49" s="220">
        <v>36907971.290000007</v>
      </c>
      <c r="F49" s="24">
        <v>483348223.39000005</v>
      </c>
      <c r="G49" s="302">
        <v>5341192.0999999996</v>
      </c>
      <c r="H49" s="302">
        <v>329276041.40999997</v>
      </c>
      <c r="I49" s="302">
        <v>148730989.88</v>
      </c>
      <c r="J49" s="91">
        <v>212</v>
      </c>
      <c r="K49" s="24"/>
      <c r="L49" s="147"/>
      <c r="M49" s="147"/>
      <c r="N49" s="147"/>
      <c r="O49" s="147"/>
      <c r="P49" s="148"/>
      <c r="Q49" s="149"/>
      <c r="R49" s="149"/>
    </row>
    <row r="50" spans="1:18">
      <c r="A50" s="91"/>
      <c r="B50" s="136"/>
      <c r="C50" s="140"/>
      <c r="D50" s="11"/>
      <c r="E50" s="11"/>
      <c r="F50" s="11"/>
      <c r="G50" s="150"/>
      <c r="H50" s="150"/>
      <c r="I50" s="150"/>
      <c r="J50" s="91"/>
      <c r="L50" s="147"/>
      <c r="M50" s="147"/>
      <c r="N50" s="147"/>
      <c r="O50" s="147"/>
      <c r="P50" s="148"/>
      <c r="Q50" s="149"/>
      <c r="R50" s="149"/>
    </row>
    <row r="51" spans="1:18">
      <c r="B51" s="136"/>
      <c r="C51" s="140"/>
      <c r="D51" s="151"/>
      <c r="E51" s="11"/>
      <c r="F51" s="151"/>
      <c r="G51" s="26"/>
      <c r="H51" s="21"/>
      <c r="J51" s="91"/>
    </row>
    <row r="52" spans="1:18">
      <c r="A52" s="91"/>
      <c r="C52" s="140"/>
      <c r="D52" s="151"/>
      <c r="E52" s="11"/>
      <c r="F52" s="151"/>
      <c r="G52" s="4"/>
      <c r="H52" s="109" t="s">
        <v>1136</v>
      </c>
      <c r="I52" s="4"/>
      <c r="J52" s="91"/>
    </row>
    <row r="53" spans="1:18">
      <c r="A53" s="91"/>
      <c r="B53" s="143" t="s">
        <v>1137</v>
      </c>
      <c r="C53" s="140"/>
      <c r="D53" s="151"/>
      <c r="E53" s="11"/>
      <c r="F53" s="151"/>
      <c r="G53" s="129" t="s">
        <v>1138</v>
      </c>
      <c r="H53" s="290" t="s">
        <v>1139</v>
      </c>
      <c r="I53" s="129" t="s">
        <v>1140</v>
      </c>
      <c r="J53" s="91"/>
    </row>
    <row r="54" spans="1:18">
      <c r="A54" s="91">
        <v>213</v>
      </c>
      <c r="B54" s="136" t="s">
        <v>1141</v>
      </c>
      <c r="C54" s="152" t="s">
        <v>1142</v>
      </c>
      <c r="D54" s="151"/>
      <c r="E54" s="11"/>
      <c r="F54" s="151"/>
      <c r="G54" s="288">
        <v>0.4104584037578522</v>
      </c>
      <c r="H54" s="291">
        <v>0.35862997641395811</v>
      </c>
      <c r="I54" s="289">
        <v>0.30680154907006396</v>
      </c>
      <c r="J54" s="91">
        <v>213</v>
      </c>
    </row>
    <row r="55" spans="1:18">
      <c r="B55" s="136"/>
      <c r="C55" s="140"/>
      <c r="D55" s="151"/>
      <c r="E55" s="11"/>
      <c r="F55" s="151"/>
      <c r="G55" s="26"/>
      <c r="J55" s="91"/>
    </row>
    <row r="56" spans="1:18" ht="29.25" customHeight="1">
      <c r="A56" s="91">
        <v>214</v>
      </c>
      <c r="B56" s="143" t="s">
        <v>1143</v>
      </c>
      <c r="C56" s="108" t="s">
        <v>1937</v>
      </c>
      <c r="D56" s="278">
        <v>643064366.31461537</v>
      </c>
      <c r="E56" s="278">
        <v>33433819.597692311</v>
      </c>
      <c r="F56" s="278">
        <v>609630546.71692312</v>
      </c>
      <c r="G56" s="278">
        <v>16563061.582307689</v>
      </c>
      <c r="H56" s="278">
        <v>415637114.73615384</v>
      </c>
      <c r="I56" s="278">
        <v>177430370.39846155</v>
      </c>
      <c r="J56" s="91">
        <v>214</v>
      </c>
      <c r="L56" s="11"/>
    </row>
    <row r="57" spans="1:18">
      <c r="A57" s="91">
        <v>215</v>
      </c>
      <c r="B57" s="136" t="s">
        <v>1144</v>
      </c>
      <c r="C57" s="18" t="s">
        <v>1938</v>
      </c>
      <c r="D57" s="279"/>
      <c r="E57" s="279"/>
      <c r="F57" s="279">
        <v>210294289</v>
      </c>
      <c r="G57" s="278">
        <v>6798448</v>
      </c>
      <c r="H57" s="278">
        <v>149059929</v>
      </c>
      <c r="I57" s="278">
        <v>54435912</v>
      </c>
      <c r="J57" s="91">
        <v>215</v>
      </c>
      <c r="L57" s="11"/>
    </row>
    <row r="58" spans="1:18">
      <c r="B58" s="136"/>
      <c r="C58" s="134"/>
      <c r="D58" s="151"/>
      <c r="E58" s="151"/>
      <c r="F58" s="151"/>
      <c r="G58" s="151"/>
      <c r="H58" s="151"/>
      <c r="I58" s="151"/>
      <c r="J58" s="91"/>
    </row>
    <row r="59" spans="1:18">
      <c r="A59" s="91">
        <v>216</v>
      </c>
      <c r="B59" s="143" t="s">
        <v>1145</v>
      </c>
      <c r="C59" s="134" t="s">
        <v>1939</v>
      </c>
      <c r="D59" s="278">
        <v>520256194.68000007</v>
      </c>
      <c r="E59" s="278">
        <v>36907971.290000007</v>
      </c>
      <c r="F59" s="278">
        <v>483348223.39000005</v>
      </c>
      <c r="G59" s="278">
        <v>5341192.0999999996</v>
      </c>
      <c r="H59" s="278">
        <v>329276041.40999997</v>
      </c>
      <c r="I59" s="278">
        <v>148730989.88</v>
      </c>
      <c r="J59" s="91">
        <v>216</v>
      </c>
      <c r="L59" s="11"/>
    </row>
    <row r="60" spans="1:18">
      <c r="A60" s="91">
        <v>217</v>
      </c>
      <c r="B60" s="136" t="s">
        <v>1144</v>
      </c>
      <c r="C60" s="18" t="s">
        <v>1940</v>
      </c>
      <c r="D60" s="278"/>
      <c r="E60" s="278"/>
      <c r="F60" s="279">
        <v>165911494</v>
      </c>
      <c r="G60" s="278">
        <v>2192337</v>
      </c>
      <c r="H60" s="278">
        <v>118088259</v>
      </c>
      <c r="I60" s="278">
        <v>45630898</v>
      </c>
      <c r="J60" s="91">
        <v>217</v>
      </c>
      <c r="L60" s="11"/>
    </row>
    <row r="61" spans="1:18">
      <c r="A61" s="91"/>
      <c r="B61" s="143"/>
      <c r="C61" s="140"/>
      <c r="D61" s="151"/>
      <c r="E61" s="151"/>
      <c r="F61" s="151"/>
      <c r="G61" s="151"/>
      <c r="H61" s="151"/>
      <c r="I61" s="151"/>
      <c r="J61" s="91"/>
      <c r="L61" s="11"/>
    </row>
    <row r="62" spans="1:18">
      <c r="A62" s="91"/>
      <c r="B62" s="143" t="s">
        <v>674</v>
      </c>
      <c r="C62" s="140"/>
      <c r="D62" s="151"/>
      <c r="E62" s="151"/>
      <c r="F62" s="151"/>
      <c r="G62" s="151"/>
      <c r="H62" s="151"/>
      <c r="I62" s="151"/>
      <c r="J62" s="91"/>
      <c r="L62" s="11"/>
    </row>
    <row r="63" spans="1:18">
      <c r="A63" s="91"/>
      <c r="B63" s="136" t="s">
        <v>1146</v>
      </c>
      <c r="C63" s="140"/>
      <c r="D63" s="151"/>
      <c r="E63" s="151"/>
      <c r="F63" s="151"/>
      <c r="G63" s="151"/>
      <c r="H63" s="151"/>
      <c r="I63" s="151"/>
      <c r="J63" s="91"/>
      <c r="L63" s="11"/>
    </row>
    <row r="64" spans="1:18">
      <c r="A64" s="91"/>
      <c r="B64" s="136" t="s">
        <v>1147</v>
      </c>
      <c r="C64" s="140"/>
      <c r="D64" s="151"/>
      <c r="E64" s="151"/>
      <c r="F64" s="151"/>
      <c r="G64" s="151"/>
      <c r="H64" s="151"/>
      <c r="I64" s="151"/>
      <c r="J64" s="91"/>
      <c r="L64" s="11"/>
    </row>
    <row r="65" spans="1:12">
      <c r="A65" s="91"/>
      <c r="B65" s="136" t="s">
        <v>1148</v>
      </c>
      <c r="C65" s="140"/>
      <c r="D65" s="151"/>
      <c r="E65" s="151"/>
      <c r="F65" s="151"/>
      <c r="G65" s="151"/>
      <c r="H65" s="151"/>
      <c r="I65" s="151"/>
      <c r="J65" s="91"/>
      <c r="L65" s="11"/>
    </row>
    <row r="66" spans="1:12">
      <c r="A66" s="91"/>
      <c r="B66" s="136" t="s">
        <v>1149</v>
      </c>
      <c r="C66" s="140"/>
      <c r="D66" s="151"/>
      <c r="E66" s="151"/>
      <c r="F66" s="151"/>
      <c r="G66" s="151"/>
      <c r="H66" s="151"/>
      <c r="I66" s="151"/>
      <c r="J66" s="91"/>
      <c r="L66" s="11"/>
    </row>
    <row r="67" spans="1:12">
      <c r="A67" s="91"/>
      <c r="B67" s="136" t="s">
        <v>1150</v>
      </c>
      <c r="C67" s="140"/>
      <c r="D67" s="151"/>
      <c r="E67" s="151"/>
      <c r="F67" s="151"/>
      <c r="G67" s="151"/>
      <c r="H67" s="151"/>
      <c r="I67" s="151"/>
      <c r="J67" s="91"/>
      <c r="L67" s="11"/>
    </row>
    <row r="68" spans="1:12">
      <c r="A68" s="91"/>
      <c r="B68" s="136" t="s">
        <v>1151</v>
      </c>
      <c r="C68" s="140"/>
      <c r="D68" s="151"/>
      <c r="E68" s="151"/>
      <c r="F68" s="151"/>
      <c r="G68" s="151"/>
      <c r="H68" s="151"/>
      <c r="I68" s="151"/>
      <c r="J68" s="91"/>
      <c r="L68" s="11"/>
    </row>
    <row r="69" spans="1:12">
      <c r="B69" s="136" t="s">
        <v>1152</v>
      </c>
    </row>
    <row r="72" spans="1:12">
      <c r="H72" s="12"/>
    </row>
    <row r="74" spans="1:12">
      <c r="H74" s="153"/>
    </row>
  </sheetData>
  <mergeCells count="3">
    <mergeCell ref="B30:I31"/>
    <mergeCell ref="G32:I32"/>
    <mergeCell ref="G35:I35"/>
  </mergeCells>
  <printOptions horizontalCentered="1"/>
  <pageMargins left="1" right="1" top="1" bottom="1" header="0.5" footer="0.5"/>
  <pageSetup scale="45" orientation="landscape" r:id="rId1"/>
  <headerFooter>
    <oddHeader>&amp;RDocket No. ER20-2878-000, et al.- Annual Update RY2024
&amp;F</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92D050"/>
    <pageSetUpPr fitToPage="1"/>
  </sheetPr>
  <dimension ref="A1:N126"/>
  <sheetViews>
    <sheetView view="pageBreakPreview" topLeftCell="A37" zoomScale="25" zoomScaleNormal="70" zoomScaleSheetLayoutView="25" zoomScalePageLayoutView="55" workbookViewId="0">
      <selection activeCell="W98" sqref="W98"/>
    </sheetView>
  </sheetViews>
  <sheetFormatPr defaultColWidth="9.1796875" defaultRowHeight="14.5"/>
  <cols>
    <col min="1" max="1" width="6.7265625" bestFit="1" customWidth="1"/>
    <col min="2" max="2" width="9.54296875" customWidth="1"/>
    <col min="3" max="3" width="48.453125" customWidth="1"/>
    <col min="4" max="4" width="25.1796875" customWidth="1"/>
    <col min="5" max="5" width="28.26953125" customWidth="1"/>
    <col min="6" max="6" width="30.1796875" customWidth="1"/>
    <col min="7" max="7" width="25.26953125" customWidth="1"/>
    <col min="8" max="8" width="22.26953125" customWidth="1"/>
    <col min="9" max="9" width="53.54296875" bestFit="1" customWidth="1"/>
    <col min="10" max="10" width="34.7265625" customWidth="1"/>
    <col min="11" max="11" width="19.26953125" bestFit="1" customWidth="1"/>
    <col min="12" max="12" width="15" customWidth="1"/>
    <col min="13" max="13" width="18.7265625" customWidth="1"/>
    <col min="17" max="17" width="11.453125" bestFit="1" customWidth="1"/>
  </cols>
  <sheetData>
    <row r="1" spans="1:14">
      <c r="B1" s="2" t="s">
        <v>41</v>
      </c>
      <c r="I1" s="6"/>
      <c r="M1" s="6" t="str">
        <f>CONCATENATE("Prior Year: ",'1-DRR Corrected'!$K$2)</f>
        <v>Prior Year: 2021</v>
      </c>
    </row>
    <row r="2" spans="1:14">
      <c r="B2" s="78" t="s">
        <v>120</v>
      </c>
      <c r="C2" s="154"/>
      <c r="I2" s="6"/>
      <c r="J2" s="6"/>
    </row>
    <row r="3" spans="1:14">
      <c r="B3" s="105" t="s">
        <v>1153</v>
      </c>
      <c r="C3" s="114"/>
      <c r="D3" s="114"/>
    </row>
    <row r="4" spans="1:14">
      <c r="B4" s="116" t="s">
        <v>1154</v>
      </c>
      <c r="C4" s="117"/>
      <c r="D4" s="117"/>
      <c r="E4" s="43"/>
      <c r="F4" s="43"/>
      <c r="G4" s="43"/>
      <c r="H4" s="43"/>
      <c r="I4" s="43"/>
      <c r="J4" s="43"/>
      <c r="K4" s="43"/>
      <c r="L4" s="43"/>
      <c r="M4" s="43"/>
    </row>
    <row r="5" spans="1:14">
      <c r="B5" s="155" t="s">
        <v>1155</v>
      </c>
      <c r="C5" s="114"/>
      <c r="D5" s="114"/>
    </row>
    <row r="6" spans="1:14">
      <c r="B6" s="115"/>
      <c r="C6" s="83" t="s">
        <v>122</v>
      </c>
      <c r="D6" s="83" t="s">
        <v>123</v>
      </c>
      <c r="E6" s="83" t="s">
        <v>124</v>
      </c>
    </row>
    <row r="7" spans="1:14">
      <c r="C7" s="114"/>
    </row>
    <row r="8" spans="1:14">
      <c r="A8" s="80" t="s">
        <v>90</v>
      </c>
      <c r="B8" s="115"/>
      <c r="C8" s="7" t="s">
        <v>1156</v>
      </c>
      <c r="D8" s="80" t="s">
        <v>1157</v>
      </c>
      <c r="E8" s="3" t="s">
        <v>126</v>
      </c>
      <c r="N8" s="80" t="str">
        <f t="shared" ref="N8:N13" si="0">A8</f>
        <v>Line</v>
      </c>
    </row>
    <row r="9" spans="1:14">
      <c r="A9" s="91">
        <v>100</v>
      </c>
      <c r="B9" s="115"/>
      <c r="C9" s="8" t="s">
        <v>1158</v>
      </c>
      <c r="D9" s="242">
        <f>+D41</f>
        <v>774946874.25916171</v>
      </c>
      <c r="E9" s="9" t="str">
        <f>"Line "&amp;A41&amp;", Col. 2"</f>
        <v>Line 212, Col. 2</v>
      </c>
      <c r="N9" s="4">
        <f t="shared" si="0"/>
        <v>100</v>
      </c>
    </row>
    <row r="10" spans="1:14">
      <c r="A10" s="91">
        <f>A9+1</f>
        <v>101</v>
      </c>
      <c r="B10" s="115"/>
      <c r="C10" s="8" t="s">
        <v>1159</v>
      </c>
      <c r="D10" s="242">
        <f>+D60</f>
        <v>-3621803462.3736234</v>
      </c>
      <c r="E10" s="9" t="str">
        <f>"Line "&amp;A60&amp;", Col. 2"</f>
        <v>Line 309, Col. 2</v>
      </c>
      <c r="N10" s="4">
        <f t="shared" si="0"/>
        <v>101</v>
      </c>
    </row>
    <row r="11" spans="1:14">
      <c r="A11" s="91">
        <f>A10+1</f>
        <v>102</v>
      </c>
      <c r="B11" s="115"/>
      <c r="C11" s="8" t="s">
        <v>1160</v>
      </c>
      <c r="D11" s="242">
        <f>+D79</f>
        <v>0</v>
      </c>
      <c r="E11" s="9" t="str">
        <f>"Line "&amp;A79&amp;", Col. 2"</f>
        <v>Line 406, Col. 2</v>
      </c>
      <c r="I11" s="128"/>
      <c r="N11" s="4">
        <f t="shared" si="0"/>
        <v>102</v>
      </c>
    </row>
    <row r="12" spans="1:14">
      <c r="A12" s="91">
        <f>A11+1</f>
        <v>103</v>
      </c>
      <c r="B12" s="115"/>
      <c r="C12" s="8" t="s">
        <v>1161</v>
      </c>
      <c r="D12" s="242">
        <f>+D95</f>
        <v>-23684433.727480147</v>
      </c>
      <c r="E12" s="9" t="str">
        <f>"Line "&amp;A95&amp;", Col. 2"</f>
        <v>Line 506, Col. 2</v>
      </c>
      <c r="I12" s="128"/>
      <c r="N12" s="4">
        <f t="shared" si="0"/>
        <v>103</v>
      </c>
    </row>
    <row r="13" spans="1:14">
      <c r="A13" s="91">
        <f>A12+1</f>
        <v>104</v>
      </c>
      <c r="B13" s="115"/>
      <c r="C13" s="8" t="s">
        <v>1162</v>
      </c>
      <c r="D13" s="681">
        <f>SUM(D9:D12)</f>
        <v>-2870541021.8419418</v>
      </c>
      <c r="E13" s="156" t="str">
        <f>"Sum of Lines "&amp;A9&amp;" to "&amp;A12&amp;""</f>
        <v>Sum of Lines 100 to 103</v>
      </c>
      <c r="N13" s="4">
        <f t="shared" si="0"/>
        <v>104</v>
      </c>
    </row>
    <row r="14" spans="1:14">
      <c r="A14" s="91"/>
      <c r="B14" s="115"/>
      <c r="G14" s="157"/>
      <c r="H14" s="26"/>
      <c r="I14" s="128"/>
      <c r="N14" s="4"/>
    </row>
    <row r="15" spans="1:14">
      <c r="A15" s="91"/>
      <c r="B15" s="155" t="s">
        <v>1163</v>
      </c>
      <c r="G15" s="128"/>
      <c r="H15" s="158"/>
      <c r="I15" s="128"/>
      <c r="N15" s="4"/>
    </row>
    <row r="16" spans="1:14">
      <c r="A16" s="91"/>
      <c r="B16" s="115"/>
      <c r="D16" s="80" t="s">
        <v>1164</v>
      </c>
      <c r="E16" s="3" t="s">
        <v>126</v>
      </c>
      <c r="G16" s="159"/>
      <c r="H16" s="128"/>
      <c r="I16" s="128"/>
      <c r="N16" s="4"/>
    </row>
    <row r="17" spans="1:14" ht="15" thickBot="1">
      <c r="A17" s="91">
        <f>A13+1</f>
        <v>105</v>
      </c>
      <c r="B17" s="115"/>
      <c r="C17" s="8" t="s">
        <v>1162</v>
      </c>
      <c r="D17" s="703">
        <v>-2929432217.6915445</v>
      </c>
      <c r="E17" s="26" t="s">
        <v>1165</v>
      </c>
      <c r="G17" s="644"/>
      <c r="H17" s="128"/>
      <c r="I17" s="128"/>
      <c r="N17" s="4">
        <f>A17</f>
        <v>105</v>
      </c>
    </row>
    <row r="18" spans="1:14" ht="15" thickTop="1">
      <c r="A18" s="91"/>
      <c r="B18" s="115"/>
      <c r="F18" s="128"/>
      <c r="G18" s="128"/>
      <c r="H18" s="128"/>
      <c r="I18" s="128"/>
      <c r="N18" s="4"/>
    </row>
    <row r="19" spans="1:14">
      <c r="A19" s="91"/>
      <c r="B19" s="155" t="s">
        <v>1166</v>
      </c>
      <c r="F19" s="128"/>
      <c r="G19" s="128"/>
      <c r="H19" s="128"/>
      <c r="I19" s="128"/>
      <c r="N19" s="4"/>
    </row>
    <row r="20" spans="1:14">
      <c r="A20" s="91"/>
      <c r="B20" s="114"/>
      <c r="D20" s="80" t="s">
        <v>1167</v>
      </c>
      <c r="E20" s="3" t="s">
        <v>126</v>
      </c>
      <c r="G20" s="159"/>
      <c r="N20" s="4"/>
    </row>
    <row r="21" spans="1:14">
      <c r="A21" s="91">
        <f>A17+1</f>
        <v>106</v>
      </c>
      <c r="B21" s="114"/>
      <c r="C21" s="160" t="s">
        <v>1168</v>
      </c>
      <c r="D21" s="255">
        <f>J120</f>
        <v>-2902151341.8059635</v>
      </c>
      <c r="E21" s="9" t="str">
        <f>"Line "&amp;A120&amp;", Col. 8"</f>
        <v>Line 614, Col. 8</v>
      </c>
      <c r="G21" s="128"/>
      <c r="N21" s="4">
        <f>A21</f>
        <v>106</v>
      </c>
    </row>
    <row r="22" spans="1:14">
      <c r="A22" s="91"/>
      <c r="B22" s="114"/>
      <c r="C22" s="161"/>
      <c r="D22" s="162"/>
      <c r="N22" s="4"/>
    </row>
    <row r="23" spans="1:14">
      <c r="A23" s="91"/>
      <c r="B23" s="555" t="s">
        <v>1169</v>
      </c>
      <c r="C23" s="163"/>
      <c r="D23" s="164"/>
      <c r="E23" s="43"/>
      <c r="F23" s="43"/>
      <c r="G23" s="43"/>
      <c r="H23" s="43"/>
      <c r="I23" s="43"/>
      <c r="J23" s="43"/>
      <c r="K23" s="43"/>
      <c r="L23" s="43"/>
      <c r="M23" s="43"/>
      <c r="N23" s="21"/>
    </row>
    <row r="24" spans="1:14">
      <c r="A24" s="91"/>
      <c r="B24" s="115"/>
      <c r="C24" s="83" t="s">
        <v>122</v>
      </c>
      <c r="D24" s="83" t="s">
        <v>123</v>
      </c>
      <c r="E24" s="83" t="s">
        <v>124</v>
      </c>
      <c r="F24" s="83" t="s">
        <v>125</v>
      </c>
      <c r="G24" s="83" t="s">
        <v>490</v>
      </c>
      <c r="H24" s="83" t="s">
        <v>491</v>
      </c>
      <c r="I24" s="83" t="s">
        <v>492</v>
      </c>
      <c r="N24" s="21"/>
    </row>
    <row r="25" spans="1:14">
      <c r="A25" s="18"/>
      <c r="B25" s="122"/>
      <c r="C25" s="122"/>
      <c r="D25" s="122" t="s">
        <v>1170</v>
      </c>
      <c r="E25" s="122" t="s">
        <v>1171</v>
      </c>
      <c r="F25" s="122"/>
      <c r="G25" s="122" t="s">
        <v>1172</v>
      </c>
      <c r="H25" s="122" t="s">
        <v>1173</v>
      </c>
      <c r="I25" s="165"/>
      <c r="N25" s="21"/>
    </row>
    <row r="26" spans="1:14">
      <c r="A26" s="80" t="s">
        <v>90</v>
      </c>
      <c r="B26" s="166" t="s">
        <v>1174</v>
      </c>
      <c r="C26" s="166" t="s">
        <v>1175</v>
      </c>
      <c r="D26" s="166" t="s">
        <v>1176</v>
      </c>
      <c r="E26" s="166" t="s">
        <v>1177</v>
      </c>
      <c r="F26" s="166" t="s">
        <v>1178</v>
      </c>
      <c r="G26" s="166" t="s">
        <v>497</v>
      </c>
      <c r="H26" s="166" t="s">
        <v>497</v>
      </c>
      <c r="I26" s="166" t="s">
        <v>7</v>
      </c>
      <c r="J26" s="122" t="s">
        <v>631</v>
      </c>
      <c r="N26" s="80" t="str">
        <f>A26</f>
        <v>Line</v>
      </c>
    </row>
    <row r="27" spans="1:14">
      <c r="A27" s="91"/>
      <c r="B27" s="114" t="s">
        <v>1179</v>
      </c>
      <c r="C27" s="114"/>
      <c r="D27" s="114"/>
      <c r="N27" s="4"/>
    </row>
    <row r="28" spans="1:14">
      <c r="A28" s="91">
        <v>200</v>
      </c>
      <c r="B28" s="167">
        <v>190</v>
      </c>
      <c r="C28" s="154" t="s">
        <v>1180</v>
      </c>
      <c r="D28" s="282">
        <f t="shared" ref="D28:D37" si="1">SUM(E28:H28)</f>
        <v>-219094425</v>
      </c>
      <c r="E28" s="243">
        <v>-219094425</v>
      </c>
      <c r="F28" s="220"/>
      <c r="G28" s="244"/>
      <c r="H28" s="244"/>
      <c r="I28" s="168" t="s">
        <v>1181</v>
      </c>
      <c r="J28" s="26" t="s">
        <v>1182</v>
      </c>
      <c r="N28" s="4">
        <f t="shared" ref="N28:N37" si="2">A28</f>
        <v>200</v>
      </c>
    </row>
    <row r="29" spans="1:14">
      <c r="A29" s="91">
        <f t="shared" ref="A29:A37" si="3">A28+1</f>
        <v>201</v>
      </c>
      <c r="B29" s="167">
        <v>190</v>
      </c>
      <c r="C29" s="154" t="s">
        <v>1183</v>
      </c>
      <c r="D29" s="282">
        <f t="shared" si="1"/>
        <v>72055771</v>
      </c>
      <c r="E29" s="243">
        <v>72055771</v>
      </c>
      <c r="F29" s="220"/>
      <c r="G29" s="244"/>
      <c r="H29" s="244"/>
      <c r="I29" s="168" t="s">
        <v>1181</v>
      </c>
      <c r="J29" s="26" t="s">
        <v>1184</v>
      </c>
      <c r="N29" s="4">
        <f t="shared" si="2"/>
        <v>201</v>
      </c>
    </row>
    <row r="30" spans="1:14">
      <c r="A30" s="91">
        <f t="shared" si="3"/>
        <v>202</v>
      </c>
      <c r="B30" s="167">
        <v>190</v>
      </c>
      <c r="C30" s="154" t="s">
        <v>1185</v>
      </c>
      <c r="D30" s="282">
        <f t="shared" si="1"/>
        <v>46370272</v>
      </c>
      <c r="E30" s="243">
        <v>13693729</v>
      </c>
      <c r="F30" s="220"/>
      <c r="G30" s="244"/>
      <c r="H30" s="244">
        <v>32676543</v>
      </c>
      <c r="I30" s="168" t="s">
        <v>1186</v>
      </c>
      <c r="J30" s="26" t="s">
        <v>1187</v>
      </c>
      <c r="N30" s="4">
        <f t="shared" si="2"/>
        <v>202</v>
      </c>
    </row>
    <row r="31" spans="1:14">
      <c r="A31" s="91">
        <f t="shared" si="3"/>
        <v>203</v>
      </c>
      <c r="B31" s="167">
        <v>190</v>
      </c>
      <c r="C31" s="154" t="s">
        <v>1188</v>
      </c>
      <c r="D31" s="282">
        <f t="shared" si="1"/>
        <v>57294848</v>
      </c>
      <c r="E31" s="243">
        <v>57294848</v>
      </c>
      <c r="F31" s="244"/>
      <c r="G31" s="244"/>
      <c r="H31" s="244"/>
      <c r="I31" s="168" t="s">
        <v>1181</v>
      </c>
      <c r="J31" s="26" t="s">
        <v>1189</v>
      </c>
      <c r="N31" s="4">
        <f t="shared" si="2"/>
        <v>203</v>
      </c>
    </row>
    <row r="32" spans="1:14">
      <c r="A32" s="91">
        <f t="shared" si="3"/>
        <v>204</v>
      </c>
      <c r="B32" s="167">
        <v>190</v>
      </c>
      <c r="C32" s="154" t="s">
        <v>1190</v>
      </c>
      <c r="D32" s="282">
        <f t="shared" si="1"/>
        <v>1559521843</v>
      </c>
      <c r="E32" s="243">
        <v>1559521843</v>
      </c>
      <c r="F32" s="220"/>
      <c r="G32" s="244"/>
      <c r="H32" s="244"/>
      <c r="I32" s="168" t="s">
        <v>1181</v>
      </c>
      <c r="J32" s="26" t="s">
        <v>1191</v>
      </c>
      <c r="N32" s="4">
        <f t="shared" si="2"/>
        <v>204</v>
      </c>
    </row>
    <row r="33" spans="1:14" ht="15.75" customHeight="1">
      <c r="A33" s="91">
        <f t="shared" si="3"/>
        <v>205</v>
      </c>
      <c r="B33" s="167">
        <v>190</v>
      </c>
      <c r="C33" s="154" t="s">
        <v>1192</v>
      </c>
      <c r="D33" s="282">
        <f t="shared" si="1"/>
        <v>-244848194</v>
      </c>
      <c r="E33" s="243">
        <v>-275368549</v>
      </c>
      <c r="F33" s="256"/>
      <c r="G33" s="262">
        <v>30520355</v>
      </c>
      <c r="H33" s="244"/>
      <c r="I33" s="168" t="s">
        <v>1186</v>
      </c>
      <c r="J33" s="26" t="s">
        <v>1193</v>
      </c>
      <c r="N33" s="4">
        <f t="shared" si="2"/>
        <v>205</v>
      </c>
    </row>
    <row r="34" spans="1:14">
      <c r="A34" s="91">
        <f t="shared" si="3"/>
        <v>206</v>
      </c>
      <c r="B34" s="167">
        <v>190</v>
      </c>
      <c r="C34" s="154" t="s">
        <v>1194</v>
      </c>
      <c r="D34" s="282">
        <f t="shared" si="1"/>
        <v>5694993263</v>
      </c>
      <c r="E34" s="704">
        <f>5694993263-F34</f>
        <v>4921712111.479805</v>
      </c>
      <c r="F34" s="705">
        <v>773281151.52019501</v>
      </c>
      <c r="G34" s="244"/>
      <c r="H34" s="244"/>
      <c r="I34" s="168" t="s">
        <v>1195</v>
      </c>
      <c r="J34" s="26" t="s">
        <v>1196</v>
      </c>
      <c r="N34" s="4">
        <f t="shared" si="2"/>
        <v>206</v>
      </c>
    </row>
    <row r="35" spans="1:14">
      <c r="A35" s="91">
        <f t="shared" si="3"/>
        <v>207</v>
      </c>
      <c r="B35" s="167">
        <v>190</v>
      </c>
      <c r="C35" s="154" t="s">
        <v>1197</v>
      </c>
      <c r="D35" s="282">
        <f t="shared" si="1"/>
        <v>0</v>
      </c>
      <c r="E35" s="243">
        <v>0</v>
      </c>
      <c r="F35" s="220"/>
      <c r="G35" s="244"/>
      <c r="H35" s="244"/>
      <c r="I35" s="168" t="s">
        <v>1186</v>
      </c>
      <c r="J35" s="26" t="s">
        <v>1198</v>
      </c>
      <c r="N35" s="4">
        <f t="shared" si="2"/>
        <v>207</v>
      </c>
    </row>
    <row r="36" spans="1:14">
      <c r="A36" s="91">
        <f t="shared" si="3"/>
        <v>208</v>
      </c>
      <c r="B36" s="167">
        <v>190</v>
      </c>
      <c r="C36" s="154" t="s">
        <v>1199</v>
      </c>
      <c r="D36" s="282">
        <f t="shared" si="1"/>
        <v>-71624223</v>
      </c>
      <c r="E36" s="243">
        <v>-18188079</v>
      </c>
      <c r="F36" s="220"/>
      <c r="G36" s="244">
        <v>-53436144</v>
      </c>
      <c r="H36" s="244"/>
      <c r="I36" s="168" t="s">
        <v>1186</v>
      </c>
      <c r="J36" s="26" t="s">
        <v>1200</v>
      </c>
      <c r="N36" s="4">
        <f t="shared" si="2"/>
        <v>208</v>
      </c>
    </row>
    <row r="37" spans="1:14">
      <c r="A37" s="91">
        <f t="shared" si="3"/>
        <v>209</v>
      </c>
      <c r="B37" s="167">
        <v>190</v>
      </c>
      <c r="C37" s="154" t="s">
        <v>1201</v>
      </c>
      <c r="D37" s="282">
        <f t="shared" si="1"/>
        <v>1805629311</v>
      </c>
      <c r="E37" s="243">
        <v>1805629311</v>
      </c>
      <c r="F37" s="220"/>
      <c r="G37" s="244"/>
      <c r="H37" s="244"/>
      <c r="I37" s="168" t="s">
        <v>1181</v>
      </c>
      <c r="J37" s="26" t="s">
        <v>1202</v>
      </c>
      <c r="N37" s="4">
        <f t="shared" si="2"/>
        <v>209</v>
      </c>
    </row>
    <row r="38" spans="1:14">
      <c r="A38" s="91"/>
      <c r="B38" s="169"/>
      <c r="C38" s="114"/>
      <c r="D38" s="119"/>
      <c r="E38" s="11"/>
      <c r="F38" s="11"/>
      <c r="G38" s="11"/>
      <c r="H38" s="11"/>
      <c r="I38" s="3"/>
      <c r="N38" s="4"/>
    </row>
    <row r="39" spans="1:14">
      <c r="A39" s="91">
        <f>+A37+1</f>
        <v>210</v>
      </c>
      <c r="B39" s="114"/>
      <c r="C39" s="114" t="s">
        <v>1203</v>
      </c>
      <c r="D39" s="245">
        <f>SUM(D28:D37)</f>
        <v>8700298466</v>
      </c>
      <c r="E39" s="245">
        <f>SUM(E28:E37)</f>
        <v>7917256560.479805</v>
      </c>
      <c r="F39" s="246">
        <f>SUM(F28:F37)</f>
        <v>773281151.52019501</v>
      </c>
      <c r="G39" s="246">
        <f>SUM(G28:G37)</f>
        <v>-22915789</v>
      </c>
      <c r="H39" s="246">
        <f>SUM(H28:H37)</f>
        <v>32676543</v>
      </c>
      <c r="I39" s="26" t="str">
        <f>"Sum of Above Lines beginning on Line "&amp;A28&amp;""</f>
        <v>Sum of Above Lines beginning on Line 200</v>
      </c>
      <c r="N39" s="4">
        <f>A39</f>
        <v>210</v>
      </c>
    </row>
    <row r="40" spans="1:14">
      <c r="A40" s="91">
        <f>A39+1</f>
        <v>211</v>
      </c>
      <c r="B40" s="114"/>
      <c r="C40" s="114" t="s">
        <v>1204</v>
      </c>
      <c r="D40" s="171"/>
      <c r="E40" s="171"/>
      <c r="F40" s="171"/>
      <c r="G40" s="191">
        <f>'24-Allocators'!C33</f>
        <v>0.5495732195994798</v>
      </c>
      <c r="H40" s="191">
        <f>'24-Allocators'!C23</f>
        <v>0.43638724816634106</v>
      </c>
      <c r="I40" s="172" t="s">
        <v>1205</v>
      </c>
      <c r="N40" s="4">
        <f>A40</f>
        <v>211</v>
      </c>
    </row>
    <row r="41" spans="1:14">
      <c r="A41" s="91">
        <f>+A40+1</f>
        <v>212</v>
      </c>
      <c r="B41" s="114"/>
      <c r="C41" s="115" t="s">
        <v>1206</v>
      </c>
      <c r="D41" s="298">
        <f>SUM(F41:H41)</f>
        <v>774946874.25916171</v>
      </c>
      <c r="E41" s="246"/>
      <c r="F41" s="682">
        <f>+F39</f>
        <v>773281151.52019501</v>
      </c>
      <c r="G41" s="682">
        <f>+G39*G40</f>
        <v>-12593903.940392343</v>
      </c>
      <c r="H41" s="682">
        <f>+H39*H40</f>
        <v>14259626.679359114</v>
      </c>
      <c r="I41" s="173" t="str">
        <f>CONCATENATE("Line ",A39," * ","Line ",A40," for Cols 5 and 6")</f>
        <v>Line 210 * Line 211 for Cols 5 and 6</v>
      </c>
      <c r="N41" s="4">
        <f>A41</f>
        <v>212</v>
      </c>
    </row>
    <row r="42" spans="1:14">
      <c r="A42" s="91"/>
      <c r="B42" s="114"/>
      <c r="C42" s="174" t="s">
        <v>1207</v>
      </c>
      <c r="D42" s="171"/>
      <c r="E42" s="171"/>
      <c r="F42" s="171"/>
      <c r="G42" s="171"/>
      <c r="H42" s="171"/>
      <c r="I42" s="173"/>
      <c r="N42" s="4"/>
    </row>
    <row r="43" spans="1:14">
      <c r="A43" s="91"/>
      <c r="B43" s="114"/>
      <c r="C43" s="114"/>
      <c r="D43" s="171"/>
      <c r="E43" s="171"/>
      <c r="F43" s="171"/>
      <c r="G43" s="171"/>
      <c r="H43" s="171"/>
      <c r="I43" s="173"/>
      <c r="N43" s="4"/>
    </row>
    <row r="44" spans="1:14">
      <c r="A44" s="91">
        <f>+A41+1</f>
        <v>213</v>
      </c>
      <c r="B44" s="114"/>
      <c r="C44" s="114" t="s">
        <v>1208</v>
      </c>
      <c r="D44" s="247">
        <v>8700298466</v>
      </c>
      <c r="E44" s="175" t="str">
        <f>CONCATENATE("Must match amount on Line ",A39," ",D24)</f>
        <v>Must match amount on Line 210 Col 2</v>
      </c>
      <c r="G44" s="171"/>
      <c r="H44" s="171"/>
      <c r="J44" s="173" t="s">
        <v>1209</v>
      </c>
      <c r="N44" s="4">
        <f>A44</f>
        <v>213</v>
      </c>
    </row>
    <row r="45" spans="1:14">
      <c r="A45" s="91"/>
      <c r="B45" s="114"/>
      <c r="C45" s="114"/>
      <c r="D45" s="176"/>
      <c r="E45" s="176"/>
      <c r="F45" s="176"/>
      <c r="G45" s="176"/>
      <c r="H45" s="176"/>
      <c r="I45" s="126"/>
      <c r="N45" s="4"/>
    </row>
    <row r="46" spans="1:14">
      <c r="A46" s="18"/>
      <c r="B46" s="555" t="s">
        <v>1210</v>
      </c>
      <c r="C46" s="177"/>
      <c r="D46" s="178"/>
      <c r="E46" s="43"/>
      <c r="F46" s="43"/>
      <c r="G46" s="43"/>
      <c r="H46" s="43"/>
      <c r="I46" s="43"/>
      <c r="J46" s="43"/>
      <c r="K46" s="43"/>
      <c r="L46" s="43"/>
      <c r="M46" s="43"/>
      <c r="N46" s="4"/>
    </row>
    <row r="47" spans="1:14">
      <c r="A47" s="18"/>
      <c r="C47" s="83" t="s">
        <v>122</v>
      </c>
      <c r="D47" s="83" t="s">
        <v>123</v>
      </c>
      <c r="E47" s="83" t="s">
        <v>124</v>
      </c>
      <c r="F47" s="83" t="s">
        <v>125</v>
      </c>
      <c r="G47" s="83" t="s">
        <v>490</v>
      </c>
      <c r="H47" s="83" t="s">
        <v>491</v>
      </c>
      <c r="I47" s="83" t="s">
        <v>492</v>
      </c>
      <c r="N47" s="4"/>
    </row>
    <row r="48" spans="1:14">
      <c r="A48" s="18"/>
      <c r="B48" s="122"/>
      <c r="C48" s="122"/>
      <c r="D48" s="122" t="s">
        <v>1170</v>
      </c>
      <c r="E48" s="122" t="s">
        <v>1171</v>
      </c>
      <c r="F48" s="122"/>
      <c r="G48" s="122" t="s">
        <v>1211</v>
      </c>
      <c r="H48" s="122" t="s">
        <v>1212</v>
      </c>
      <c r="I48" s="165"/>
      <c r="N48" s="4"/>
    </row>
    <row r="49" spans="1:14">
      <c r="A49" s="80" t="s">
        <v>90</v>
      </c>
      <c r="B49" s="166" t="s">
        <v>1213</v>
      </c>
      <c r="C49" s="166" t="s">
        <v>1175</v>
      </c>
      <c r="D49" s="166" t="s">
        <v>1176</v>
      </c>
      <c r="E49" s="166" t="s">
        <v>1177</v>
      </c>
      <c r="F49" s="166" t="s">
        <v>1178</v>
      </c>
      <c r="G49" s="166" t="s">
        <v>498</v>
      </c>
      <c r="H49" s="166" t="s">
        <v>1214</v>
      </c>
      <c r="I49" s="166" t="s">
        <v>7</v>
      </c>
      <c r="N49" s="80" t="str">
        <f t="shared" ref="N49:N56" si="4">A49</f>
        <v>Line</v>
      </c>
    </row>
    <row r="50" spans="1:14">
      <c r="A50" s="91">
        <v>300</v>
      </c>
      <c r="B50" s="179">
        <v>282</v>
      </c>
      <c r="C50" s="55" t="s">
        <v>1215</v>
      </c>
      <c r="D50" s="283">
        <f t="shared" ref="D50:D55" si="5">SUM(E50:H50)</f>
        <v>-3425232153</v>
      </c>
      <c r="E50" s="244"/>
      <c r="F50" s="244">
        <v>-3425232153</v>
      </c>
      <c r="G50" s="244"/>
      <c r="H50" s="244"/>
      <c r="I50" s="168" t="s">
        <v>1195</v>
      </c>
      <c r="J50" s="26" t="s">
        <v>1216</v>
      </c>
      <c r="N50" s="4">
        <f t="shared" si="4"/>
        <v>300</v>
      </c>
    </row>
    <row r="51" spans="1:14">
      <c r="A51" s="91">
        <f t="shared" ref="A51:A56" si="6">A50+1</f>
        <v>301</v>
      </c>
      <c r="B51" s="179">
        <v>282</v>
      </c>
      <c r="C51" s="55" t="s">
        <v>1217</v>
      </c>
      <c r="D51" s="283">
        <f t="shared" si="5"/>
        <v>-5906703235</v>
      </c>
      <c r="E51" s="244">
        <v>-5906703235</v>
      </c>
      <c r="F51" s="244"/>
      <c r="G51" s="244"/>
      <c r="H51" s="244"/>
      <c r="I51" s="168" t="s">
        <v>1218</v>
      </c>
      <c r="J51" s="26"/>
      <c r="N51" s="4">
        <f t="shared" si="4"/>
        <v>301</v>
      </c>
    </row>
    <row r="52" spans="1:14">
      <c r="A52" s="91">
        <f t="shared" si="6"/>
        <v>302</v>
      </c>
      <c r="B52" s="179">
        <v>282</v>
      </c>
      <c r="C52" s="55" t="s">
        <v>1219</v>
      </c>
      <c r="D52" s="283">
        <f t="shared" si="5"/>
        <v>-481179946</v>
      </c>
      <c r="E52" s="244"/>
      <c r="F52" s="244"/>
      <c r="G52" s="244">
        <v>-481179946</v>
      </c>
      <c r="H52" s="244"/>
      <c r="I52" s="168" t="s">
        <v>1220</v>
      </c>
      <c r="J52" s="26"/>
      <c r="N52" s="4">
        <f t="shared" si="4"/>
        <v>302</v>
      </c>
    </row>
    <row r="53" spans="1:14">
      <c r="A53" s="91">
        <f t="shared" si="6"/>
        <v>303</v>
      </c>
      <c r="B53" s="179">
        <v>282</v>
      </c>
      <c r="C53" s="55" t="s">
        <v>1221</v>
      </c>
      <c r="D53" s="283">
        <f t="shared" si="5"/>
        <v>0</v>
      </c>
      <c r="E53" s="244"/>
      <c r="F53" s="244"/>
      <c r="G53" s="244"/>
      <c r="H53" s="244"/>
      <c r="I53" s="168" t="s">
        <v>1220</v>
      </c>
      <c r="J53" s="26"/>
      <c r="N53" s="4">
        <f t="shared" si="4"/>
        <v>303</v>
      </c>
    </row>
    <row r="54" spans="1:14">
      <c r="A54" s="91">
        <f t="shared" si="6"/>
        <v>304</v>
      </c>
      <c r="B54" s="179">
        <v>282</v>
      </c>
      <c r="C54" s="55" t="s">
        <v>1222</v>
      </c>
      <c r="D54" s="283">
        <f t="shared" si="5"/>
        <v>0</v>
      </c>
      <c r="E54" s="244"/>
      <c r="F54" s="244"/>
      <c r="G54" s="244"/>
      <c r="H54" s="244"/>
      <c r="I54" s="168" t="s">
        <v>1195</v>
      </c>
      <c r="J54" s="26" t="s">
        <v>1223</v>
      </c>
      <c r="N54" s="4">
        <f t="shared" si="4"/>
        <v>304</v>
      </c>
    </row>
    <row r="55" spans="1:14">
      <c r="A55" s="91">
        <f t="shared" si="6"/>
        <v>305</v>
      </c>
      <c r="B55" s="179">
        <v>282</v>
      </c>
      <c r="C55" s="55" t="s">
        <v>1217</v>
      </c>
      <c r="D55" s="283">
        <f t="shared" si="5"/>
        <v>0</v>
      </c>
      <c r="E55" s="244"/>
      <c r="F55" s="244"/>
      <c r="G55" s="244"/>
      <c r="H55" s="244"/>
      <c r="I55" s="168" t="s">
        <v>1181</v>
      </c>
      <c r="J55" s="26"/>
      <c r="N55" s="4">
        <f t="shared" si="4"/>
        <v>305</v>
      </c>
    </row>
    <row r="56" spans="1:14">
      <c r="A56" s="91">
        <f t="shared" si="6"/>
        <v>306</v>
      </c>
      <c r="B56" s="167" t="s">
        <v>117</v>
      </c>
      <c r="C56" s="180"/>
      <c r="D56" s="245"/>
      <c r="E56" s="220"/>
      <c r="F56" s="220"/>
      <c r="G56" s="220"/>
      <c r="H56" s="220"/>
      <c r="I56" s="38"/>
      <c r="N56" s="4">
        <f t="shared" si="4"/>
        <v>306</v>
      </c>
    </row>
    <row r="57" spans="1:14">
      <c r="A57" s="91"/>
      <c r="B57" s="100"/>
      <c r="C57" s="8"/>
      <c r="D57" s="170"/>
      <c r="E57" s="11"/>
      <c r="F57" s="11"/>
      <c r="G57" s="11"/>
      <c r="H57" s="11"/>
      <c r="N57" s="4"/>
    </row>
    <row r="58" spans="1:14">
      <c r="A58" s="91">
        <f>+A56+1</f>
        <v>307</v>
      </c>
      <c r="B58" s="18"/>
      <c r="C58" s="8" t="s">
        <v>1224</v>
      </c>
      <c r="D58" s="246">
        <f>SUM(D50:D56)</f>
        <v>-9813115334</v>
      </c>
      <c r="E58" s="246"/>
      <c r="F58" s="246">
        <f>SUM(F50:F56)</f>
        <v>-3425232153</v>
      </c>
      <c r="G58" s="246">
        <f>SUM(G50:G56)</f>
        <v>-481179946</v>
      </c>
      <c r="H58" s="246">
        <f>SUM(H50:H56)</f>
        <v>0</v>
      </c>
      <c r="I58" s="26" t="str">
        <f>"Sum of Above Lines beginning on Line "&amp;A50&amp;""</f>
        <v>Sum of Above Lines beginning on Line 300</v>
      </c>
      <c r="N58" s="4">
        <f>A58</f>
        <v>307</v>
      </c>
    </row>
    <row r="59" spans="1:14">
      <c r="A59" s="91">
        <f>+A58+1</f>
        <v>308</v>
      </c>
      <c r="B59" s="114"/>
      <c r="C59" s="114" t="s">
        <v>1204</v>
      </c>
      <c r="D59" s="171"/>
      <c r="E59" s="171"/>
      <c r="F59" s="171"/>
      <c r="G59" s="582">
        <f>'24-Allocators'!$C$29</f>
        <v>0.40851933046607769</v>
      </c>
      <c r="H59" s="191">
        <f>'24-Allocators'!$C$24</f>
        <v>0.30680154907006396</v>
      </c>
      <c r="I59" s="172" t="s">
        <v>1225</v>
      </c>
      <c r="N59" s="4">
        <f>A59</f>
        <v>308</v>
      </c>
    </row>
    <row r="60" spans="1:14">
      <c r="A60" s="91">
        <f>+A59+1</f>
        <v>309</v>
      </c>
      <c r="B60" s="114"/>
      <c r="C60" s="115" t="s">
        <v>1226</v>
      </c>
      <c r="D60" s="298">
        <f>SUM(F60:H60)</f>
        <v>-3621803462.3736234</v>
      </c>
      <c r="E60" s="249"/>
      <c r="F60" s="682">
        <f>+F58</f>
        <v>-3425232153</v>
      </c>
      <c r="G60" s="682">
        <f>+G58*G59</f>
        <v>-196571309.37362343</v>
      </c>
      <c r="H60" s="682">
        <f>+H58*H59</f>
        <v>0</v>
      </c>
      <c r="I60" s="173" t="str">
        <f>CONCATENATE("Line ",A58," * ","Line ",A59," for Cols 5 and 6")</f>
        <v>Line 307 * Line 308 for Cols 5 and 6</v>
      </c>
      <c r="N60" s="4">
        <f>A60</f>
        <v>309</v>
      </c>
    </row>
    <row r="61" spans="1:14">
      <c r="A61" s="91"/>
      <c r="B61" s="114"/>
      <c r="C61" s="174" t="s">
        <v>1207</v>
      </c>
      <c r="E61" s="171"/>
      <c r="F61" s="171"/>
      <c r="G61" s="171"/>
      <c r="H61" s="171"/>
      <c r="I61" s="173"/>
      <c r="N61" s="4"/>
    </row>
    <row r="62" spans="1:14">
      <c r="A62" s="91"/>
      <c r="B62" s="114"/>
      <c r="D62" s="174"/>
      <c r="E62" s="171"/>
      <c r="F62" s="171"/>
      <c r="G62" s="171"/>
      <c r="H62" s="171"/>
      <c r="I62" s="173"/>
      <c r="N62" s="4"/>
    </row>
    <row r="63" spans="1:14">
      <c r="A63" s="91">
        <f>+A60+1</f>
        <v>310</v>
      </c>
      <c r="B63" s="18"/>
      <c r="C63" s="114" t="s">
        <v>1227</v>
      </c>
      <c r="D63" s="492">
        <v>-9813115334</v>
      </c>
      <c r="E63" s="175"/>
      <c r="F63" s="171"/>
      <c r="G63" s="171"/>
      <c r="H63" s="171"/>
      <c r="J63" s="26" t="s">
        <v>1228</v>
      </c>
      <c r="N63" s="4">
        <f>A63</f>
        <v>310</v>
      </c>
    </row>
    <row r="64" spans="1:14">
      <c r="A64" s="91">
        <f>A63+1</f>
        <v>311</v>
      </c>
      <c r="B64" s="18"/>
      <c r="C64" s="114" t="s">
        <v>1229</v>
      </c>
      <c r="D64" s="245"/>
      <c r="E64" s="175"/>
      <c r="F64" s="171"/>
      <c r="G64" s="171"/>
      <c r="H64" s="171"/>
      <c r="J64" s="26"/>
      <c r="N64" s="4">
        <f>A64</f>
        <v>311</v>
      </c>
    </row>
    <row r="65" spans="1:14" ht="15" thickBot="1">
      <c r="A65" s="91">
        <f>A64+1</f>
        <v>312</v>
      </c>
      <c r="B65" s="18"/>
      <c r="C65" s="114" t="s">
        <v>1227</v>
      </c>
      <c r="D65" s="493">
        <f>SUM(D63:D64)</f>
        <v>-9813115334</v>
      </c>
      <c r="E65" s="175" t="str">
        <f>CONCATENATE("Must match amount on Line ",A58," ",D47)</f>
        <v>Must match amount on Line 307 Col 2</v>
      </c>
      <c r="F65" s="171"/>
      <c r="G65" s="171"/>
      <c r="H65" s="171"/>
      <c r="I65" s="126"/>
      <c r="N65" s="4">
        <f>A65</f>
        <v>312</v>
      </c>
    </row>
    <row r="66" spans="1:14" ht="15" thickTop="1">
      <c r="A66" s="91"/>
      <c r="B66" s="18"/>
      <c r="C66" s="8"/>
      <c r="D66" s="170"/>
      <c r="E66" s="175"/>
      <c r="F66" s="171"/>
      <c r="G66" s="171"/>
      <c r="H66" s="171"/>
      <c r="I66" s="126"/>
      <c r="N66" s="4"/>
    </row>
    <row r="67" spans="1:14">
      <c r="A67" s="18"/>
      <c r="B67" s="116" t="s">
        <v>1230</v>
      </c>
      <c r="C67" s="117"/>
      <c r="D67" s="181"/>
      <c r="E67" s="46"/>
      <c r="F67" s="46"/>
      <c r="G67" s="46"/>
      <c r="H67" s="46"/>
      <c r="I67" s="43"/>
      <c r="J67" s="43"/>
      <c r="K67" s="43"/>
      <c r="L67" s="43"/>
      <c r="M67" s="43"/>
      <c r="N67" s="4"/>
    </row>
    <row r="68" spans="1:14">
      <c r="A68" s="18"/>
      <c r="B68" s="115"/>
      <c r="C68" s="83" t="s">
        <v>122</v>
      </c>
      <c r="D68" s="83" t="s">
        <v>123</v>
      </c>
      <c r="E68" s="83" t="s">
        <v>124</v>
      </c>
      <c r="F68" s="83" t="s">
        <v>125</v>
      </c>
      <c r="G68" s="83" t="s">
        <v>490</v>
      </c>
      <c r="H68" s="83" t="s">
        <v>491</v>
      </c>
      <c r="I68" s="83" t="s">
        <v>492</v>
      </c>
      <c r="N68" s="4"/>
    </row>
    <row r="69" spans="1:14">
      <c r="A69" s="18"/>
      <c r="B69" s="122"/>
      <c r="C69" s="122"/>
      <c r="D69" s="122" t="s">
        <v>1170</v>
      </c>
      <c r="E69" s="182" t="s">
        <v>1171</v>
      </c>
      <c r="F69" s="182"/>
      <c r="G69" s="182" t="s">
        <v>1211</v>
      </c>
      <c r="H69" s="182" t="s">
        <v>1173</v>
      </c>
      <c r="I69" s="165"/>
      <c r="N69" s="4"/>
    </row>
    <row r="70" spans="1:14">
      <c r="A70" s="80" t="s">
        <v>90</v>
      </c>
      <c r="B70" s="166" t="s">
        <v>1231</v>
      </c>
      <c r="C70" s="166" t="s">
        <v>1175</v>
      </c>
      <c r="D70" s="166" t="s">
        <v>1176</v>
      </c>
      <c r="E70" s="183" t="s">
        <v>1177</v>
      </c>
      <c r="F70" s="183" t="s">
        <v>1178</v>
      </c>
      <c r="G70" s="550"/>
      <c r="H70" s="550"/>
      <c r="I70" s="166" t="s">
        <v>7</v>
      </c>
      <c r="N70" s="80" t="str">
        <f>A70</f>
        <v>Line</v>
      </c>
    </row>
    <row r="71" spans="1:14">
      <c r="A71" s="91"/>
      <c r="B71" s="114" t="s">
        <v>1179</v>
      </c>
      <c r="D71" s="11"/>
      <c r="E71" s="11"/>
      <c r="F71" s="11"/>
      <c r="G71" s="11"/>
      <c r="H71" s="11"/>
      <c r="N71" s="4"/>
    </row>
    <row r="72" spans="1:14">
      <c r="A72" s="91">
        <v>400</v>
      </c>
      <c r="B72" s="179">
        <v>283</v>
      </c>
      <c r="C72" s="55" t="s">
        <v>1232</v>
      </c>
      <c r="D72" s="283">
        <f>SUM(E72:H72)</f>
        <v>-39328848</v>
      </c>
      <c r="E72" s="247">
        <v>-39328848</v>
      </c>
      <c r="F72" s="248"/>
      <c r="G72" s="248"/>
      <c r="H72" s="248"/>
      <c r="I72" s="168" t="s">
        <v>1181</v>
      </c>
      <c r="J72" s="26" t="s">
        <v>1233</v>
      </c>
      <c r="N72" s="4">
        <f>A72</f>
        <v>400</v>
      </c>
    </row>
    <row r="73" spans="1:14">
      <c r="A73" s="91">
        <f>A72+1</f>
        <v>401</v>
      </c>
      <c r="B73" s="179">
        <v>283</v>
      </c>
      <c r="C73" s="55" t="s">
        <v>1234</v>
      </c>
      <c r="D73" s="283">
        <f>SUM(E73:H73)</f>
        <v>-2005703135</v>
      </c>
      <c r="E73" s="247">
        <v>-2005703135</v>
      </c>
      <c r="F73" s="248"/>
      <c r="G73" s="248"/>
      <c r="H73" s="248"/>
      <c r="I73" s="168" t="s">
        <v>1235</v>
      </c>
      <c r="J73" s="26" t="s">
        <v>1236</v>
      </c>
      <c r="N73" s="4">
        <f>A73</f>
        <v>401</v>
      </c>
    </row>
    <row r="74" spans="1:14">
      <c r="A74" s="91">
        <f>A73+1</f>
        <v>402</v>
      </c>
      <c r="B74" s="179">
        <v>283</v>
      </c>
      <c r="C74" s="55" t="s">
        <v>1201</v>
      </c>
      <c r="D74" s="283">
        <f>SUM(E74:H74)</f>
        <v>-365098002</v>
      </c>
      <c r="E74" s="247">
        <v>-365098002</v>
      </c>
      <c r="F74" s="248"/>
      <c r="G74" s="248"/>
      <c r="H74" s="248"/>
      <c r="I74" s="168" t="s">
        <v>1181</v>
      </c>
      <c r="J74" s="26" t="s">
        <v>1237</v>
      </c>
      <c r="N74" s="4">
        <f>A74</f>
        <v>402</v>
      </c>
    </row>
    <row r="75" spans="1:14">
      <c r="A75" s="91">
        <f>A74+1</f>
        <v>403</v>
      </c>
      <c r="B75" s="179"/>
      <c r="C75" s="55"/>
      <c r="D75" s="283"/>
      <c r="E75" s="248"/>
      <c r="F75" s="248"/>
      <c r="G75" s="248"/>
      <c r="H75" s="248"/>
      <c r="I75" s="168"/>
      <c r="J75" s="26"/>
      <c r="N75" s="4">
        <f>A75</f>
        <v>403</v>
      </c>
    </row>
    <row r="76" spans="1:14">
      <c r="A76" s="91"/>
      <c r="B76" s="77"/>
      <c r="C76" s="8"/>
      <c r="D76" s="111"/>
      <c r="E76" s="11"/>
      <c r="F76" s="11"/>
      <c r="G76" s="11"/>
      <c r="H76" s="11"/>
      <c r="N76" s="4"/>
    </row>
    <row r="77" spans="1:14">
      <c r="A77" s="91">
        <f>A75+1</f>
        <v>404</v>
      </c>
      <c r="B77" s="8"/>
      <c r="C77" s="8" t="s">
        <v>1238</v>
      </c>
      <c r="D77" s="246">
        <f>SUM(D72:D75)</f>
        <v>-2410129985</v>
      </c>
      <c r="E77" s="246">
        <f>SUM(E72:E75)</f>
        <v>-2410129985</v>
      </c>
      <c r="F77" s="246">
        <f>SUM(F72:F75)</f>
        <v>0</v>
      </c>
      <c r="G77" s="246">
        <f>SUM(G72:G75)</f>
        <v>0</v>
      </c>
      <c r="H77" s="246">
        <f>SUM(H72:H75)</f>
        <v>0</v>
      </c>
      <c r="I77" s="26" t="str">
        <f>"Sum of Above Lines beginning on Line "&amp;A72&amp;""</f>
        <v>Sum of Above Lines beginning on Line 400</v>
      </c>
      <c r="N77" s="4">
        <f>A77</f>
        <v>404</v>
      </c>
    </row>
    <row r="78" spans="1:14">
      <c r="A78" s="91">
        <f>A77+1</f>
        <v>405</v>
      </c>
      <c r="B78" s="114"/>
      <c r="C78" s="114" t="s">
        <v>1204</v>
      </c>
      <c r="D78" s="184"/>
      <c r="E78" s="184"/>
      <c r="F78" s="171"/>
      <c r="G78" s="582">
        <f>'24-Allocators'!$C$29</f>
        <v>0.40851933046607769</v>
      </c>
      <c r="H78" s="191">
        <f>'24-Allocators'!$C$24</f>
        <v>0.30680154907006396</v>
      </c>
      <c r="I78" s="172" t="s">
        <v>1239</v>
      </c>
      <c r="N78" s="4">
        <f>A78</f>
        <v>405</v>
      </c>
    </row>
    <row r="79" spans="1:14">
      <c r="A79" s="91">
        <f>+A78+1</f>
        <v>406</v>
      </c>
      <c r="B79" s="114"/>
      <c r="C79" s="115" t="s">
        <v>1240</v>
      </c>
      <c r="D79" s="299">
        <f>SUM(F79:H79)</f>
        <v>0</v>
      </c>
      <c r="E79" s="171"/>
      <c r="F79" s="683">
        <f>+F77</f>
        <v>0</v>
      </c>
      <c r="G79" s="683">
        <f>+G77*G78</f>
        <v>0</v>
      </c>
      <c r="H79" s="684">
        <f>+H77*H78</f>
        <v>0</v>
      </c>
      <c r="I79" s="173" t="str">
        <f>CONCATENATE("Line ",A77," * ","Line ",A78," for Cols 5 and 6")</f>
        <v>Line 404 * Line 405 for Cols 5 and 6</v>
      </c>
      <c r="N79" s="4">
        <f>A79</f>
        <v>406</v>
      </c>
    </row>
    <row r="80" spans="1:14">
      <c r="A80" s="91"/>
      <c r="C80" s="174" t="s">
        <v>1207</v>
      </c>
      <c r="D80" s="111"/>
      <c r="E80" s="111"/>
      <c r="F80" s="111"/>
      <c r="G80" s="111"/>
      <c r="H80" s="111"/>
      <c r="I80" s="173"/>
      <c r="J80" s="11"/>
      <c r="N80" s="4"/>
    </row>
    <row r="81" spans="1:14">
      <c r="A81" s="91"/>
      <c r="C81" s="8"/>
      <c r="D81" s="111"/>
      <c r="E81" s="111"/>
      <c r="F81" s="111"/>
      <c r="G81" s="111"/>
      <c r="H81" s="111"/>
      <c r="I81" s="173"/>
      <c r="N81" s="4"/>
    </row>
    <row r="82" spans="1:14">
      <c r="A82" s="91">
        <f>A79+1</f>
        <v>407</v>
      </c>
      <c r="C82" s="114" t="s">
        <v>1241</v>
      </c>
      <c r="D82" s="247">
        <v>-2410129985</v>
      </c>
      <c r="E82" s="175" t="s">
        <v>1242</v>
      </c>
      <c r="F82" s="171"/>
      <c r="G82" s="171"/>
      <c r="H82" s="171"/>
      <c r="J82" s="26" t="s">
        <v>1243</v>
      </c>
      <c r="N82" s="4">
        <f>A82</f>
        <v>407</v>
      </c>
    </row>
    <row r="83" spans="1:14">
      <c r="A83" s="91"/>
      <c r="C83" s="114"/>
      <c r="D83" s="175"/>
      <c r="E83" s="175"/>
      <c r="F83" s="171"/>
      <c r="G83" s="171"/>
      <c r="H83" s="171"/>
      <c r="I83" s="26"/>
      <c r="N83" s="4"/>
    </row>
    <row r="84" spans="1:14">
      <c r="A84" s="18"/>
      <c r="B84" s="116" t="s">
        <v>1244</v>
      </c>
      <c r="C84" s="117"/>
      <c r="D84" s="181"/>
      <c r="E84" s="46"/>
      <c r="F84" s="46"/>
      <c r="G84" s="46"/>
      <c r="H84" s="46"/>
      <c r="I84" s="43"/>
      <c r="J84" s="43"/>
      <c r="K84" s="43"/>
      <c r="L84" s="43"/>
      <c r="M84" s="43"/>
      <c r="N84" s="4"/>
    </row>
    <row r="85" spans="1:14">
      <c r="A85" s="18"/>
      <c r="B85" s="115"/>
      <c r="C85" s="83" t="s">
        <v>122</v>
      </c>
      <c r="D85" s="83" t="s">
        <v>123</v>
      </c>
      <c r="E85" s="83" t="s">
        <v>124</v>
      </c>
      <c r="F85" s="83" t="s">
        <v>125</v>
      </c>
      <c r="G85" s="83" t="s">
        <v>490</v>
      </c>
      <c r="H85" s="83" t="s">
        <v>491</v>
      </c>
      <c r="I85" s="83" t="s">
        <v>492</v>
      </c>
      <c r="N85" s="4"/>
    </row>
    <row r="86" spans="1:14">
      <c r="A86" s="18"/>
      <c r="B86" s="122"/>
      <c r="C86" s="122"/>
      <c r="D86" s="122" t="s">
        <v>1170</v>
      </c>
      <c r="E86" s="182" t="s">
        <v>1171</v>
      </c>
      <c r="F86" s="182"/>
      <c r="G86" s="182" t="s">
        <v>1211</v>
      </c>
      <c r="H86" s="182" t="s">
        <v>1212</v>
      </c>
      <c r="I86" s="165"/>
      <c r="N86" s="4"/>
    </row>
    <row r="87" spans="1:14">
      <c r="A87" s="80" t="s">
        <v>90</v>
      </c>
      <c r="B87" s="166" t="s">
        <v>1245</v>
      </c>
      <c r="C87" s="166" t="s">
        <v>1175</v>
      </c>
      <c r="D87" s="166" t="s">
        <v>1176</v>
      </c>
      <c r="E87" s="183" t="s">
        <v>1177</v>
      </c>
      <c r="F87" s="183" t="s">
        <v>1178</v>
      </c>
      <c r="G87" s="183" t="s">
        <v>498</v>
      </c>
      <c r="H87" s="183" t="s">
        <v>1214</v>
      </c>
      <c r="I87" s="166" t="s">
        <v>7</v>
      </c>
      <c r="N87" s="80" t="str">
        <f>A87</f>
        <v>Line</v>
      </c>
    </row>
    <row r="88" spans="1:14">
      <c r="A88" s="91"/>
      <c r="B88" s="114" t="s">
        <v>1179</v>
      </c>
      <c r="D88" s="11"/>
      <c r="E88" s="11"/>
      <c r="F88" s="11"/>
      <c r="G88" s="11"/>
      <c r="H88" s="11"/>
      <c r="N88" s="4"/>
    </row>
    <row r="89" spans="1:14">
      <c r="A89" s="91">
        <v>500</v>
      </c>
      <c r="B89" s="179">
        <v>255</v>
      </c>
      <c r="C89" s="55" t="s">
        <v>1246</v>
      </c>
      <c r="D89" s="283">
        <f>SUM(E89:H89)</f>
        <v>-19661366</v>
      </c>
      <c r="E89" s="248"/>
      <c r="F89" s="248">
        <v>-19661366</v>
      </c>
      <c r="G89" s="248"/>
      <c r="H89" s="248"/>
      <c r="I89" s="168" t="s">
        <v>1195</v>
      </c>
      <c r="J89" s="26" t="s">
        <v>1247</v>
      </c>
      <c r="N89" s="4">
        <f>A89</f>
        <v>500</v>
      </c>
    </row>
    <row r="90" spans="1:14">
      <c r="A90" s="91">
        <f>A89+1</f>
        <v>501</v>
      </c>
      <c r="B90" s="179">
        <v>255</v>
      </c>
      <c r="C90" s="55" t="s">
        <v>1248</v>
      </c>
      <c r="D90" s="283">
        <f>SUM(E90:H90)</f>
        <v>-9847925</v>
      </c>
      <c r="E90" s="248"/>
      <c r="F90" s="248"/>
      <c r="G90" s="248">
        <v>-9847925</v>
      </c>
      <c r="H90" s="248"/>
      <c r="I90" s="168" t="s">
        <v>1249</v>
      </c>
      <c r="J90" s="26" t="s">
        <v>1250</v>
      </c>
      <c r="N90" s="4">
        <f>A90</f>
        <v>501</v>
      </c>
    </row>
    <row r="91" spans="1:14">
      <c r="A91" s="91">
        <f>+A90+1</f>
        <v>502</v>
      </c>
      <c r="B91" s="179">
        <v>255</v>
      </c>
      <c r="C91" s="55" t="s">
        <v>1251</v>
      </c>
      <c r="D91" s="283">
        <f>SUM(E91:H91)</f>
        <v>-67069203</v>
      </c>
      <c r="E91" s="248">
        <v>-67069203</v>
      </c>
      <c r="F91" s="248"/>
      <c r="G91" s="248"/>
      <c r="H91" s="248"/>
      <c r="I91" s="168" t="s">
        <v>1181</v>
      </c>
      <c r="N91" s="4">
        <f>A91</f>
        <v>502</v>
      </c>
    </row>
    <row r="92" spans="1:14">
      <c r="A92" s="91">
        <f t="shared" ref="A92:A95" si="7">+A91+1</f>
        <v>503</v>
      </c>
      <c r="B92" s="179">
        <v>256</v>
      </c>
      <c r="C92" s="55" t="s">
        <v>1251</v>
      </c>
      <c r="D92" s="283">
        <f>SUM(E92:H92)</f>
        <v>36396</v>
      </c>
      <c r="E92" s="248">
        <v>36396</v>
      </c>
      <c r="F92" s="248"/>
      <c r="G92" s="248"/>
      <c r="H92" s="248"/>
      <c r="I92" s="358"/>
      <c r="N92" s="4"/>
    </row>
    <row r="93" spans="1:14">
      <c r="A93" s="91">
        <f t="shared" si="7"/>
        <v>504</v>
      </c>
      <c r="B93" s="8"/>
      <c r="C93" s="8" t="s">
        <v>1252</v>
      </c>
      <c r="D93" s="246">
        <f>SUM(D89:D92)</f>
        <v>-96542098</v>
      </c>
      <c r="E93" s="246">
        <f>SUM(E89:E91)</f>
        <v>-67069203</v>
      </c>
      <c r="F93" s="246">
        <f t="shared" ref="F93:H93" si="8">SUM(F89:F91)</f>
        <v>-19661366</v>
      </c>
      <c r="G93" s="246">
        <f t="shared" si="8"/>
        <v>-9847925</v>
      </c>
      <c r="H93" s="246">
        <f t="shared" si="8"/>
        <v>0</v>
      </c>
      <c r="I93" s="26" t="str">
        <f>"Sum of Above Lines beginning on Line "&amp;A89&amp;""</f>
        <v>Sum of Above Lines beginning on Line 500</v>
      </c>
      <c r="N93" s="4">
        <f>A93</f>
        <v>504</v>
      </c>
    </row>
    <row r="94" spans="1:14">
      <c r="A94" s="91">
        <f t="shared" si="7"/>
        <v>505</v>
      </c>
      <c r="B94" s="114"/>
      <c r="C94" s="114" t="s">
        <v>1204</v>
      </c>
      <c r="D94" s="184"/>
      <c r="E94" s="184"/>
      <c r="F94" s="171"/>
      <c r="G94" s="582">
        <f>'24-Allocators'!$C$29</f>
        <v>0.40851933046607769</v>
      </c>
      <c r="H94" s="191">
        <f>'24-Allocators'!$C$24</f>
        <v>0.30680154907006396</v>
      </c>
      <c r="I94" s="172" t="s">
        <v>1225</v>
      </c>
      <c r="N94" s="4">
        <f>A94</f>
        <v>505</v>
      </c>
    </row>
    <row r="95" spans="1:14">
      <c r="A95" s="91">
        <f t="shared" si="7"/>
        <v>506</v>
      </c>
      <c r="B95" s="114"/>
      <c r="C95" s="115" t="s">
        <v>1253</v>
      </c>
      <c r="D95" s="300">
        <f>SUM(F95:H95)</f>
        <v>-23684433.727480147</v>
      </c>
      <c r="E95" s="246"/>
      <c r="F95" s="682">
        <f>+F93</f>
        <v>-19661366</v>
      </c>
      <c r="G95" s="682">
        <f>+G93*G94</f>
        <v>-4023067.727480148</v>
      </c>
      <c r="H95" s="685">
        <f>+H93*H94</f>
        <v>0</v>
      </c>
      <c r="I95" s="173" t="str">
        <f>CONCATENATE("Line ",A93," * ","Line ",A94," for Cols 5 and 6")</f>
        <v>Line 504 * Line 505 for Cols 5 and 6</v>
      </c>
      <c r="N95" s="4">
        <f>A95</f>
        <v>506</v>
      </c>
    </row>
    <row r="96" spans="1:14">
      <c r="A96" s="91"/>
      <c r="C96" s="174" t="s">
        <v>1207</v>
      </c>
      <c r="D96" s="111"/>
      <c r="E96" s="111"/>
      <c r="F96" s="111"/>
      <c r="G96" s="111"/>
      <c r="H96" s="111"/>
      <c r="I96" s="173"/>
      <c r="J96" s="11"/>
      <c r="N96" s="4"/>
    </row>
    <row r="97" spans="1:14">
      <c r="A97" s="91"/>
      <c r="C97" s="8"/>
      <c r="D97" s="111"/>
      <c r="E97" s="111"/>
      <c r="F97" s="111"/>
      <c r="G97" s="111"/>
      <c r="H97" s="111"/>
      <c r="I97" s="173"/>
      <c r="N97" s="4"/>
    </row>
    <row r="98" spans="1:14">
      <c r="A98" s="91">
        <f>A95+1</f>
        <v>507</v>
      </c>
      <c r="C98" s="114" t="s">
        <v>1254</v>
      </c>
      <c r="D98" s="247">
        <v>-96542098</v>
      </c>
      <c r="E98" s="175" t="str">
        <f>CONCATENATE("Must match amount on Line ",A93," ",D85)</f>
        <v>Must match amount on Line 504 Col 2</v>
      </c>
      <c r="F98" s="171"/>
      <c r="G98" s="171"/>
      <c r="H98" s="171"/>
      <c r="J98" s="26" t="s">
        <v>1255</v>
      </c>
      <c r="N98" s="4">
        <f>A98</f>
        <v>507</v>
      </c>
    </row>
    <row r="99" spans="1:14">
      <c r="A99" s="91"/>
      <c r="C99" s="114"/>
      <c r="D99" s="175"/>
      <c r="E99" s="175"/>
      <c r="F99" s="171"/>
      <c r="G99" s="171"/>
      <c r="H99" s="171"/>
      <c r="I99" s="26"/>
      <c r="N99" s="4"/>
    </row>
    <row r="100" spans="1:14">
      <c r="A100" s="91"/>
      <c r="B100" s="79" t="s">
        <v>1256</v>
      </c>
      <c r="C100" s="117"/>
      <c r="D100" s="185"/>
      <c r="E100" s="185"/>
      <c r="F100" s="181"/>
      <c r="G100" s="181"/>
      <c r="H100" s="181"/>
      <c r="I100" s="186"/>
      <c r="J100" s="103"/>
      <c r="K100" s="43"/>
      <c r="L100" s="43"/>
      <c r="M100" s="43"/>
      <c r="N100" s="4"/>
    </row>
    <row r="101" spans="1:14">
      <c r="A101" s="91"/>
      <c r="B101" s="8"/>
      <c r="C101" s="83" t="s">
        <v>122</v>
      </c>
      <c r="D101" s="83" t="s">
        <v>123</v>
      </c>
      <c r="E101" s="83" t="s">
        <v>124</v>
      </c>
      <c r="F101" s="83" t="s">
        <v>125</v>
      </c>
      <c r="G101" s="83" t="s">
        <v>490</v>
      </c>
      <c r="H101" s="83" t="s">
        <v>491</v>
      </c>
      <c r="I101" s="83" t="s">
        <v>492</v>
      </c>
      <c r="J101" s="83" t="s">
        <v>493</v>
      </c>
      <c r="N101" s="4"/>
    </row>
    <row r="102" spans="1:14">
      <c r="A102" s="91"/>
      <c r="B102" s="8"/>
      <c r="C102" s="114"/>
      <c r="D102" s="187" t="s">
        <v>1257</v>
      </c>
      <c r="E102" s="187" t="s">
        <v>1258</v>
      </c>
      <c r="F102" s="171"/>
      <c r="G102" s="171"/>
      <c r="H102" s="187" t="s">
        <v>1259</v>
      </c>
      <c r="I102" s="188" t="s">
        <v>1260</v>
      </c>
      <c r="J102" s="187" t="s">
        <v>1261</v>
      </c>
      <c r="N102" s="4"/>
    </row>
    <row r="103" spans="1:14">
      <c r="A103" s="91"/>
      <c r="B103" s="8"/>
      <c r="C103" s="114"/>
      <c r="D103" s="175"/>
      <c r="E103" s="175"/>
      <c r="F103" s="171"/>
      <c r="G103" s="171"/>
      <c r="H103" s="171"/>
      <c r="I103" s="9"/>
      <c r="J103" s="8"/>
      <c r="N103" s="4"/>
    </row>
    <row r="104" spans="1:14">
      <c r="A104" s="91"/>
      <c r="B104" s="8"/>
      <c r="C104" s="118"/>
      <c r="D104" s="187" t="s">
        <v>1262</v>
      </c>
      <c r="E104" s="187" t="s">
        <v>1263</v>
      </c>
      <c r="F104" s="187"/>
      <c r="G104" s="187" t="s">
        <v>1264</v>
      </c>
      <c r="H104" s="187" t="s">
        <v>1265</v>
      </c>
      <c r="I104" s="91" t="s">
        <v>1266</v>
      </c>
      <c r="J104" s="91" t="s">
        <v>1267</v>
      </c>
      <c r="N104" s="4"/>
    </row>
    <row r="105" spans="1:14">
      <c r="A105" s="80" t="s">
        <v>90</v>
      </c>
      <c r="B105" s="80" t="s">
        <v>512</v>
      </c>
      <c r="C105" s="118" t="s">
        <v>1268</v>
      </c>
      <c r="D105" s="189" t="s">
        <v>1269</v>
      </c>
      <c r="E105" s="189" t="s">
        <v>1270</v>
      </c>
      <c r="F105" s="189" t="s">
        <v>1271</v>
      </c>
      <c r="G105" s="189" t="s">
        <v>1272</v>
      </c>
      <c r="H105" s="189" t="s">
        <v>1273</v>
      </c>
      <c r="I105" s="80" t="s">
        <v>1274</v>
      </c>
      <c r="J105" s="80" t="s">
        <v>1275</v>
      </c>
      <c r="N105" s="80" t="str">
        <f t="shared" ref="N105:N120" si="9">A105</f>
        <v>Line</v>
      </c>
    </row>
    <row r="106" spans="1:14">
      <c r="A106" s="91">
        <v>600</v>
      </c>
      <c r="B106" s="8"/>
      <c r="C106" s="190" t="s">
        <v>1276</v>
      </c>
      <c r="D106" s="250"/>
      <c r="E106" s="124">
        <f>D17</f>
        <v>-2929432217.6915445</v>
      </c>
      <c r="F106" s="171"/>
      <c r="G106" s="34">
        <f>+F107+G107-G118</f>
        <v>365</v>
      </c>
      <c r="H106" s="191">
        <f>1</f>
        <v>1</v>
      </c>
      <c r="I106" s="192"/>
      <c r="J106" s="252">
        <f>+E106</f>
        <v>-2929432217.6915445</v>
      </c>
      <c r="N106" s="4">
        <f t="shared" si="9"/>
        <v>600</v>
      </c>
    </row>
    <row r="107" spans="1:14">
      <c r="A107" s="91">
        <f t="shared" ref="A107:A120" si="10">A106+1</f>
        <v>601</v>
      </c>
      <c r="B107" s="18">
        <f>'1-DRR Corrected'!$K$2</f>
        <v>2021</v>
      </c>
      <c r="C107" s="190" t="s">
        <v>522</v>
      </c>
      <c r="D107" s="124">
        <f t="shared" ref="D107:D118" si="11">($D$13-$D$17)/12</f>
        <v>4907599.6541335583</v>
      </c>
      <c r="E107" s="124">
        <f t="shared" ref="E107:E118" si="12">E106+D107</f>
        <v>-2924524618.0374107</v>
      </c>
      <c r="F107" s="34">
        <v>31</v>
      </c>
      <c r="G107" s="34">
        <f t="shared" ref="G107:G116" si="13">+F108+G108</f>
        <v>335</v>
      </c>
      <c r="H107" s="191">
        <f>G107/G106</f>
        <v>0.9178082191780822</v>
      </c>
      <c r="I107" s="251">
        <f t="shared" ref="I107:I118" si="14">D107*H107</f>
        <v>4504235.2989992928</v>
      </c>
      <c r="J107" s="128">
        <f t="shared" ref="J107:J118" si="15">J106+I107</f>
        <v>-2924927982.3925452</v>
      </c>
      <c r="N107" s="4">
        <f t="shared" si="9"/>
        <v>601</v>
      </c>
    </row>
    <row r="108" spans="1:14">
      <c r="A108" s="91">
        <f t="shared" si="10"/>
        <v>602</v>
      </c>
      <c r="B108" s="18">
        <f>'1-DRR Corrected'!$K$2</f>
        <v>2021</v>
      </c>
      <c r="C108" s="190" t="s">
        <v>523</v>
      </c>
      <c r="D108" s="124">
        <f t="shared" si="11"/>
        <v>4907599.6541335583</v>
      </c>
      <c r="E108" s="124">
        <f t="shared" si="12"/>
        <v>-2919617018.3832769</v>
      </c>
      <c r="F108" s="190">
        <f>IF(OR(MOD(RIGHT($M$1,4),400)=0,AND(MOD(RIGHT($M$1,4),4)=0,MOD(RIGHT($M$1,4),100)&lt;&gt;0)),29,28)</f>
        <v>28</v>
      </c>
      <c r="G108" s="34">
        <f t="shared" si="13"/>
        <v>307</v>
      </c>
      <c r="H108" s="191">
        <f>G108/G106</f>
        <v>0.84109589041095889</v>
      </c>
      <c r="I108" s="251">
        <f t="shared" si="14"/>
        <v>4127761.9008739791</v>
      </c>
      <c r="J108" s="128">
        <f t="shared" si="15"/>
        <v>-2920800220.4916711</v>
      </c>
      <c r="N108" s="4">
        <f t="shared" si="9"/>
        <v>602</v>
      </c>
    </row>
    <row r="109" spans="1:14">
      <c r="A109" s="91">
        <f t="shared" si="10"/>
        <v>603</v>
      </c>
      <c r="B109" s="18">
        <f>'1-DRR Corrected'!$K$2</f>
        <v>2021</v>
      </c>
      <c r="C109" s="190" t="s">
        <v>524</v>
      </c>
      <c r="D109" s="124">
        <f t="shared" si="11"/>
        <v>4907599.6541335583</v>
      </c>
      <c r="E109" s="124">
        <f t="shared" si="12"/>
        <v>-2914709418.7291431</v>
      </c>
      <c r="F109" s="34">
        <v>31</v>
      </c>
      <c r="G109" s="34">
        <f t="shared" si="13"/>
        <v>276</v>
      </c>
      <c r="H109" s="191">
        <f>G109/G106</f>
        <v>0.75616438356164384</v>
      </c>
      <c r="I109" s="251">
        <f t="shared" si="14"/>
        <v>3710952.0672352384</v>
      </c>
      <c r="J109" s="128">
        <f t="shared" si="15"/>
        <v>-2917089268.4244356</v>
      </c>
      <c r="N109" s="4">
        <f t="shared" si="9"/>
        <v>603</v>
      </c>
    </row>
    <row r="110" spans="1:14">
      <c r="A110" s="91">
        <f t="shared" si="10"/>
        <v>604</v>
      </c>
      <c r="B110" s="18">
        <f>'1-DRR Corrected'!$K$2</f>
        <v>2021</v>
      </c>
      <c r="C110" s="190" t="s">
        <v>525</v>
      </c>
      <c r="D110" s="124">
        <f t="shared" si="11"/>
        <v>4907599.6541335583</v>
      </c>
      <c r="E110" s="124">
        <f t="shared" si="12"/>
        <v>-2909801819.0750093</v>
      </c>
      <c r="F110" s="34">
        <v>30</v>
      </c>
      <c r="G110" s="34">
        <f t="shared" si="13"/>
        <v>246</v>
      </c>
      <c r="H110" s="191">
        <f>G110/G106</f>
        <v>0.67397260273972603</v>
      </c>
      <c r="I110" s="251">
        <f t="shared" si="14"/>
        <v>3307587.7121009734</v>
      </c>
      <c r="J110" s="128">
        <f t="shared" si="15"/>
        <v>-2913781680.7123346</v>
      </c>
      <c r="N110" s="4">
        <f t="shared" si="9"/>
        <v>604</v>
      </c>
    </row>
    <row r="111" spans="1:14">
      <c r="A111" s="91">
        <f t="shared" si="10"/>
        <v>605</v>
      </c>
      <c r="B111" s="18">
        <f>'1-DRR Corrected'!$K$2</f>
        <v>2021</v>
      </c>
      <c r="C111" s="190" t="s">
        <v>526</v>
      </c>
      <c r="D111" s="124">
        <f t="shared" si="11"/>
        <v>4907599.6541335583</v>
      </c>
      <c r="E111" s="124">
        <f t="shared" si="12"/>
        <v>-2904894219.4208755</v>
      </c>
      <c r="F111" s="34">
        <v>31</v>
      </c>
      <c r="G111" s="34">
        <f t="shared" si="13"/>
        <v>215</v>
      </c>
      <c r="H111" s="191">
        <f>G111/G106</f>
        <v>0.58904109589041098</v>
      </c>
      <c r="I111" s="251">
        <f t="shared" si="14"/>
        <v>2890777.8784622331</v>
      </c>
      <c r="J111" s="128">
        <f t="shared" si="15"/>
        <v>-2910890902.8338723</v>
      </c>
      <c r="N111" s="4">
        <f t="shared" si="9"/>
        <v>605</v>
      </c>
    </row>
    <row r="112" spans="1:14">
      <c r="A112" s="91">
        <f t="shared" si="10"/>
        <v>606</v>
      </c>
      <c r="B112" s="18">
        <f>'1-DRR Corrected'!$K$2</f>
        <v>2021</v>
      </c>
      <c r="C112" s="190" t="s">
        <v>812</v>
      </c>
      <c r="D112" s="124">
        <f t="shared" si="11"/>
        <v>4907599.6541335583</v>
      </c>
      <c r="E112" s="124">
        <f t="shared" si="12"/>
        <v>-2899986619.7667418</v>
      </c>
      <c r="F112" s="34">
        <v>30</v>
      </c>
      <c r="G112" s="34">
        <f t="shared" si="13"/>
        <v>185</v>
      </c>
      <c r="H112" s="191">
        <f>G112/G106</f>
        <v>0.50684931506849318</v>
      </c>
      <c r="I112" s="251">
        <f t="shared" si="14"/>
        <v>2487413.5233279681</v>
      </c>
      <c r="J112" s="128">
        <f t="shared" si="15"/>
        <v>-2908403489.3105445</v>
      </c>
      <c r="N112" s="4">
        <f t="shared" si="9"/>
        <v>606</v>
      </c>
    </row>
    <row r="113" spans="1:14">
      <c r="A113" s="91">
        <f t="shared" si="10"/>
        <v>607</v>
      </c>
      <c r="B113" s="18">
        <f>'1-DRR Corrected'!$K$2</f>
        <v>2021</v>
      </c>
      <c r="C113" s="190" t="s">
        <v>528</v>
      </c>
      <c r="D113" s="124">
        <f t="shared" si="11"/>
        <v>4907599.6541335583</v>
      </c>
      <c r="E113" s="124">
        <f t="shared" si="12"/>
        <v>-2895079020.112608</v>
      </c>
      <c r="F113" s="34">
        <v>31</v>
      </c>
      <c r="G113" s="34">
        <f t="shared" si="13"/>
        <v>154</v>
      </c>
      <c r="H113" s="191">
        <f>G113/G106</f>
        <v>0.42191780821917807</v>
      </c>
      <c r="I113" s="251">
        <f t="shared" si="14"/>
        <v>2070603.6896892274</v>
      </c>
      <c r="J113" s="128">
        <f t="shared" si="15"/>
        <v>-2906332885.6208553</v>
      </c>
      <c r="N113" s="4">
        <f t="shared" si="9"/>
        <v>607</v>
      </c>
    </row>
    <row r="114" spans="1:14">
      <c r="A114" s="91">
        <f t="shared" si="10"/>
        <v>608</v>
      </c>
      <c r="B114" s="18">
        <f>'1-DRR Corrected'!$K$2</f>
        <v>2021</v>
      </c>
      <c r="C114" s="190" t="s">
        <v>529</v>
      </c>
      <c r="D114" s="124">
        <f t="shared" si="11"/>
        <v>4907599.6541335583</v>
      </c>
      <c r="E114" s="124">
        <f t="shared" si="12"/>
        <v>-2890171420.4584742</v>
      </c>
      <c r="F114" s="34">
        <v>31</v>
      </c>
      <c r="G114" s="34">
        <f t="shared" si="13"/>
        <v>123</v>
      </c>
      <c r="H114" s="191">
        <f>G114/G106</f>
        <v>0.33698630136986302</v>
      </c>
      <c r="I114" s="251">
        <f t="shared" si="14"/>
        <v>1653793.8560504867</v>
      </c>
      <c r="J114" s="128">
        <f t="shared" si="15"/>
        <v>-2904679091.7648048</v>
      </c>
      <c r="N114" s="4">
        <f t="shared" si="9"/>
        <v>608</v>
      </c>
    </row>
    <row r="115" spans="1:14">
      <c r="A115" s="91">
        <f t="shared" si="10"/>
        <v>609</v>
      </c>
      <c r="B115" s="18">
        <f>'1-DRR Corrected'!$K$2</f>
        <v>2021</v>
      </c>
      <c r="C115" s="190" t="s">
        <v>530</v>
      </c>
      <c r="D115" s="124">
        <f t="shared" si="11"/>
        <v>4907599.6541335583</v>
      </c>
      <c r="E115" s="124">
        <f t="shared" si="12"/>
        <v>-2885263820.8043404</v>
      </c>
      <c r="F115" s="34">
        <v>30</v>
      </c>
      <c r="G115" s="34">
        <f t="shared" si="13"/>
        <v>93</v>
      </c>
      <c r="H115" s="191">
        <f>G115/G106</f>
        <v>0.25479452054794521</v>
      </c>
      <c r="I115" s="251">
        <f t="shared" si="14"/>
        <v>1250429.5009162216</v>
      </c>
      <c r="J115" s="128">
        <f t="shared" si="15"/>
        <v>-2903428662.2638888</v>
      </c>
      <c r="N115" s="4">
        <f t="shared" si="9"/>
        <v>609</v>
      </c>
    </row>
    <row r="116" spans="1:14">
      <c r="A116" s="91">
        <f t="shared" si="10"/>
        <v>610</v>
      </c>
      <c r="B116" s="18">
        <f>'1-DRR Corrected'!$K$2</f>
        <v>2021</v>
      </c>
      <c r="C116" s="190" t="s">
        <v>531</v>
      </c>
      <c r="D116" s="124">
        <f t="shared" si="11"/>
        <v>4907599.6541335583</v>
      </c>
      <c r="E116" s="124">
        <f t="shared" si="12"/>
        <v>-2880356221.1502066</v>
      </c>
      <c r="F116" s="34">
        <v>31</v>
      </c>
      <c r="G116" s="34">
        <f t="shared" si="13"/>
        <v>62</v>
      </c>
      <c r="H116" s="191">
        <f>G116/G106</f>
        <v>0.16986301369863013</v>
      </c>
      <c r="I116" s="251">
        <f t="shared" si="14"/>
        <v>833619.66727748106</v>
      </c>
      <c r="J116" s="128">
        <f t="shared" si="15"/>
        <v>-2902595042.5966115</v>
      </c>
      <c r="N116" s="4">
        <f t="shared" si="9"/>
        <v>610</v>
      </c>
    </row>
    <row r="117" spans="1:14">
      <c r="A117" s="91">
        <f t="shared" si="10"/>
        <v>611</v>
      </c>
      <c r="B117" s="18">
        <f>'1-DRR Corrected'!$K$2</f>
        <v>2021</v>
      </c>
      <c r="C117" s="190" t="s">
        <v>532</v>
      </c>
      <c r="D117" s="124">
        <f t="shared" si="11"/>
        <v>4907599.6541335583</v>
      </c>
      <c r="E117" s="124">
        <f t="shared" si="12"/>
        <v>-2875448621.4960728</v>
      </c>
      <c r="F117" s="34">
        <v>30</v>
      </c>
      <c r="G117" s="34">
        <f>+F118+G118</f>
        <v>32</v>
      </c>
      <c r="H117" s="191">
        <f>G117/G106</f>
        <v>8.7671232876712329E-2</v>
      </c>
      <c r="I117" s="251">
        <f t="shared" si="14"/>
        <v>430255.31214321608</v>
      </c>
      <c r="J117" s="128">
        <f t="shared" si="15"/>
        <v>-2902164787.2844682</v>
      </c>
      <c r="N117" s="4">
        <f t="shared" si="9"/>
        <v>611</v>
      </c>
    </row>
    <row r="118" spans="1:14">
      <c r="A118" s="91">
        <f t="shared" si="10"/>
        <v>612</v>
      </c>
      <c r="B118" s="18">
        <f>'1-DRR Corrected'!$K$2</f>
        <v>2021</v>
      </c>
      <c r="C118" s="190" t="s">
        <v>520</v>
      </c>
      <c r="D118" s="124">
        <f t="shared" si="11"/>
        <v>4907599.6541335583</v>
      </c>
      <c r="E118" s="124">
        <f t="shared" si="12"/>
        <v>-2870541021.841939</v>
      </c>
      <c r="F118" s="34">
        <v>31</v>
      </c>
      <c r="G118" s="34">
        <v>1</v>
      </c>
      <c r="H118" s="191">
        <f>G118/G106</f>
        <v>2.7397260273972603E-3</v>
      </c>
      <c r="I118" s="251">
        <f t="shared" si="14"/>
        <v>13445.478504475503</v>
      </c>
      <c r="J118" s="253">
        <f t="shared" si="15"/>
        <v>-2902151341.8059635</v>
      </c>
      <c r="N118" s="4">
        <f t="shared" si="9"/>
        <v>612</v>
      </c>
    </row>
    <row r="119" spans="1:14">
      <c r="A119" s="91">
        <f t="shared" si="10"/>
        <v>613</v>
      </c>
      <c r="B119" s="8"/>
      <c r="C119" s="190" t="s">
        <v>1277</v>
      </c>
      <c r="D119" s="124"/>
      <c r="E119" s="124">
        <f>D13</f>
        <v>-2870541021.8419418</v>
      </c>
      <c r="F119" s="171"/>
      <c r="G119" s="171"/>
      <c r="H119" s="171"/>
      <c r="I119" s="9"/>
      <c r="J119" s="254"/>
      <c r="N119" s="4">
        <f t="shared" si="9"/>
        <v>613</v>
      </c>
    </row>
    <row r="120" spans="1:14">
      <c r="A120" s="91">
        <f t="shared" si="10"/>
        <v>614</v>
      </c>
      <c r="B120" s="8"/>
      <c r="C120" s="114"/>
      <c r="D120" s="175"/>
      <c r="E120" s="175"/>
      <c r="F120" s="171"/>
      <c r="G120" s="171"/>
      <c r="H120" s="171"/>
      <c r="I120" s="194" t="s">
        <v>1278</v>
      </c>
      <c r="J120" s="301">
        <f>+J118</f>
        <v>-2902151341.8059635</v>
      </c>
      <c r="N120" s="4">
        <f t="shared" si="9"/>
        <v>614</v>
      </c>
    </row>
    <row r="121" spans="1:14">
      <c r="A121" s="21"/>
      <c r="C121" s="8"/>
      <c r="K121" s="4"/>
    </row>
    <row r="122" spans="1:14">
      <c r="A122" s="21"/>
      <c r="B122" s="123" t="s">
        <v>674</v>
      </c>
      <c r="K122" s="4"/>
    </row>
    <row r="123" spans="1:14">
      <c r="A123" s="21"/>
      <c r="B123" s="747" t="s">
        <v>1279</v>
      </c>
      <c r="C123" s="747"/>
      <c r="D123" s="747"/>
      <c r="E123" s="747"/>
      <c r="F123" s="747"/>
      <c r="G123" s="747"/>
      <c r="H123" s="747"/>
      <c r="I123" s="747"/>
      <c r="J123" s="747"/>
      <c r="K123" s="4"/>
    </row>
    <row r="124" spans="1:14">
      <c r="A124" s="21"/>
      <c r="B124" s="747" t="s">
        <v>1280</v>
      </c>
      <c r="C124" s="747"/>
      <c r="D124" s="747"/>
      <c r="E124" s="747"/>
      <c r="F124" s="747"/>
      <c r="G124" s="747"/>
      <c r="H124" s="747"/>
      <c r="I124" s="747"/>
      <c r="J124" s="747"/>
      <c r="K124" s="4"/>
    </row>
    <row r="125" spans="1:14">
      <c r="B125" s="8" t="s">
        <v>1281</v>
      </c>
    </row>
    <row r="126" spans="1:14">
      <c r="B126" s="8" t="s">
        <v>1282</v>
      </c>
    </row>
  </sheetData>
  <protectedRanges>
    <protectedRange password="F1C4" sqref="D13:D14 D16 D21 F18 D18:E20 D22:F27 B7:C27 E14:E17 D48:D49 D69:D70 D86:D87 J50:J53 J89:J90 J28:J37 J72:J75 J55" name="AAReport1_23_1_1_2"/>
    <protectedRange password="F1C4" sqref="F29:F30" name="AAReport1_23_1_1_2_1"/>
    <protectedRange password="F1C4" sqref="D17" name="AAReport1_23_1_1_2_2"/>
    <protectedRange password="F1C4" sqref="J54" name="AAReport1_23_1_1_2_3"/>
  </protectedRanges>
  <mergeCells count="2">
    <mergeCell ref="B123:J123"/>
    <mergeCell ref="B124:J124"/>
  </mergeCells>
  <phoneticPr fontId="104" type="noConversion"/>
  <conditionalFormatting sqref="B76 D76">
    <cfRule type="expression" dxfId="9" priority="8" stopIfTrue="1">
      <formula>Formulas</formula>
    </cfRule>
  </conditionalFormatting>
  <conditionalFormatting sqref="C72:C75">
    <cfRule type="expression" dxfId="8" priority="6" stopIfTrue="1">
      <formula>#REF!&lt;&gt;""</formula>
    </cfRule>
  </conditionalFormatting>
  <conditionalFormatting sqref="C76">
    <cfRule type="expression" dxfId="7" priority="7" stopIfTrue="1">
      <formula>#REF!&lt;&gt;""</formula>
    </cfRule>
  </conditionalFormatting>
  <conditionalFormatting sqref="C89">
    <cfRule type="expression" dxfId="6" priority="3" stopIfTrue="1">
      <formula>#REF!&lt;&gt;""</formula>
    </cfRule>
  </conditionalFormatting>
  <conditionalFormatting sqref="C90:C92">
    <cfRule type="expression" dxfId="5" priority="1" stopIfTrue="1">
      <formula>#REF!&lt;&gt;""</formula>
    </cfRule>
  </conditionalFormatting>
  <printOptions horizontalCentered="1"/>
  <pageMargins left="1" right="1" top="1" bottom="1" header="0.5" footer="0.5"/>
  <pageSetup scale="25" orientation="landscape" r:id="rId1"/>
  <headerFooter>
    <oddHeader>&amp;RDocket No. ER20-2878-000, et al.- Annual Update RY2024
&amp;F</oddHeader>
  </headerFooter>
  <rowBreaks count="1" manualBreakCount="1">
    <brk id="65" max="13" man="1"/>
  </rowBreaks>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FDF31-F25C-4971-93AF-8C8669EB2162}">
  <sheetPr>
    <tabColor rgb="FFFF0000"/>
    <pageSetUpPr fitToPage="1"/>
  </sheetPr>
  <dimension ref="A1:N126"/>
  <sheetViews>
    <sheetView view="pageBreakPreview" zoomScale="10" zoomScaleNormal="70" zoomScaleSheetLayoutView="10" zoomScalePageLayoutView="55" workbookViewId="0">
      <selection activeCell="W98" sqref="W98"/>
    </sheetView>
  </sheetViews>
  <sheetFormatPr defaultColWidth="9.1796875" defaultRowHeight="14.5"/>
  <cols>
    <col min="1" max="1" width="6.7265625" bestFit="1" customWidth="1"/>
    <col min="2" max="2" width="9.54296875" customWidth="1"/>
    <col min="3" max="3" width="48.453125" customWidth="1"/>
    <col min="4" max="4" width="25.1796875" customWidth="1"/>
    <col min="5" max="5" width="28.26953125" customWidth="1"/>
    <col min="6" max="6" width="30.1796875" customWidth="1"/>
    <col min="7" max="7" width="25.26953125" customWidth="1"/>
    <col min="8" max="8" width="22.26953125" customWidth="1"/>
    <col min="9" max="9" width="53.54296875" bestFit="1" customWidth="1"/>
    <col min="10" max="10" width="34.7265625" customWidth="1"/>
    <col min="11" max="11" width="19.26953125" bestFit="1" customWidth="1"/>
    <col min="12" max="12" width="15" customWidth="1"/>
    <col min="13" max="13" width="18.7265625" customWidth="1"/>
    <col min="17" max="17" width="11.453125" bestFit="1" customWidth="1"/>
  </cols>
  <sheetData>
    <row r="1" spans="1:14">
      <c r="B1" s="2" t="s">
        <v>41</v>
      </c>
      <c r="I1" s="6"/>
      <c r="M1" s="6" t="s">
        <v>384</v>
      </c>
    </row>
    <row r="2" spans="1:14">
      <c r="B2" s="78" t="s">
        <v>120</v>
      </c>
      <c r="C2" s="154"/>
      <c r="I2" s="6"/>
      <c r="J2" s="6"/>
    </row>
    <row r="3" spans="1:14">
      <c r="B3" s="105" t="s">
        <v>1153</v>
      </c>
      <c r="C3" s="114"/>
      <c r="D3" s="114"/>
    </row>
    <row r="4" spans="1:14">
      <c r="B4" s="116" t="s">
        <v>1154</v>
      </c>
      <c r="C4" s="117"/>
      <c r="D4" s="117"/>
      <c r="E4" s="43"/>
      <c r="F4" s="43"/>
      <c r="G4" s="43"/>
      <c r="H4" s="43"/>
      <c r="I4" s="43"/>
      <c r="J4" s="43"/>
      <c r="K4" s="43"/>
      <c r="L4" s="43"/>
      <c r="M4" s="43"/>
    </row>
    <row r="5" spans="1:14">
      <c r="B5" s="155" t="s">
        <v>1155</v>
      </c>
      <c r="C5" s="114"/>
      <c r="D5" s="114"/>
    </row>
    <row r="6" spans="1:14">
      <c r="B6" s="115"/>
      <c r="C6" s="83" t="s">
        <v>122</v>
      </c>
      <c r="D6" s="83" t="s">
        <v>123</v>
      </c>
      <c r="E6" s="83" t="s">
        <v>124</v>
      </c>
    </row>
    <row r="7" spans="1:14">
      <c r="C7" s="114"/>
    </row>
    <row r="8" spans="1:14">
      <c r="A8" s="80" t="s">
        <v>90</v>
      </c>
      <c r="B8" s="115"/>
      <c r="C8" s="7" t="s">
        <v>1156</v>
      </c>
      <c r="D8" s="80" t="s">
        <v>1157</v>
      </c>
      <c r="E8" s="3" t="s">
        <v>126</v>
      </c>
      <c r="N8" s="80" t="s">
        <v>90</v>
      </c>
    </row>
    <row r="9" spans="1:14">
      <c r="A9" s="91">
        <v>100</v>
      </c>
      <c r="B9" s="115"/>
      <c r="C9" s="8" t="s">
        <v>1158</v>
      </c>
      <c r="D9" s="242">
        <v>775790717.45761204</v>
      </c>
      <c r="E9" s="9" t="s">
        <v>1920</v>
      </c>
      <c r="N9" s="4">
        <v>100</v>
      </c>
    </row>
    <row r="10" spans="1:14">
      <c r="A10" s="91">
        <v>101</v>
      </c>
      <c r="B10" s="115"/>
      <c r="C10" s="8" t="s">
        <v>1159</v>
      </c>
      <c r="D10" s="242">
        <v>-3622736505.5554495</v>
      </c>
      <c r="E10" s="9" t="s">
        <v>1921</v>
      </c>
      <c r="N10" s="4">
        <v>101</v>
      </c>
    </row>
    <row r="11" spans="1:14">
      <c r="A11" s="91">
        <v>102</v>
      </c>
      <c r="B11" s="115"/>
      <c r="C11" s="8" t="s">
        <v>1160</v>
      </c>
      <c r="D11" s="242">
        <v>0</v>
      </c>
      <c r="E11" s="9" t="s">
        <v>1922</v>
      </c>
      <c r="I11" s="128"/>
      <c r="N11" s="4">
        <v>102</v>
      </c>
    </row>
    <row r="12" spans="1:14">
      <c r="A12" s="91">
        <v>103</v>
      </c>
      <c r="B12" s="115"/>
      <c r="C12" s="8" t="s">
        <v>1161</v>
      </c>
      <c r="D12" s="242">
        <v>-23703529.575827047</v>
      </c>
      <c r="E12" s="9" t="s">
        <v>1923</v>
      </c>
      <c r="I12" s="128"/>
      <c r="N12" s="4">
        <v>103</v>
      </c>
    </row>
    <row r="13" spans="1:14">
      <c r="A13" s="91">
        <v>104</v>
      </c>
      <c r="B13" s="115"/>
      <c r="C13" s="8" t="s">
        <v>1162</v>
      </c>
      <c r="D13" s="681">
        <v>-2870649317.6736646</v>
      </c>
      <c r="E13" s="156" t="s">
        <v>1924</v>
      </c>
      <c r="N13" s="4">
        <v>104</v>
      </c>
    </row>
    <row r="14" spans="1:14">
      <c r="A14" s="91"/>
      <c r="B14" s="115"/>
      <c r="G14" s="157"/>
      <c r="H14" s="26"/>
      <c r="I14" s="128"/>
      <c r="N14" s="4"/>
    </row>
    <row r="15" spans="1:14">
      <c r="A15" s="91"/>
      <c r="B15" s="155" t="s">
        <v>1163</v>
      </c>
      <c r="G15" s="128"/>
      <c r="H15" s="158"/>
      <c r="I15" s="128"/>
      <c r="N15" s="4"/>
    </row>
    <row r="16" spans="1:14">
      <c r="A16" s="91"/>
      <c r="B16" s="115"/>
      <c r="D16" s="80" t="s">
        <v>1164</v>
      </c>
      <c r="E16" s="3" t="s">
        <v>126</v>
      </c>
      <c r="G16" s="159"/>
      <c r="H16" s="128"/>
      <c r="I16" s="128"/>
      <c r="N16" s="4"/>
    </row>
    <row r="17" spans="1:14" ht="15" thickBot="1">
      <c r="A17" s="91">
        <v>105</v>
      </c>
      <c r="B17" s="115"/>
      <c r="C17" s="8" t="s">
        <v>1162</v>
      </c>
      <c r="D17" s="643">
        <v>-2930469780.5325403</v>
      </c>
      <c r="E17" s="26" t="s">
        <v>1165</v>
      </c>
      <c r="G17" s="644"/>
      <c r="H17" s="128"/>
      <c r="I17" s="128"/>
      <c r="N17" s="4">
        <v>105</v>
      </c>
    </row>
    <row r="18" spans="1:14" ht="15" thickTop="1">
      <c r="A18" s="91"/>
      <c r="B18" s="115"/>
      <c r="F18" s="128"/>
      <c r="G18" s="128"/>
      <c r="H18" s="128"/>
      <c r="I18" s="128"/>
      <c r="N18" s="4"/>
    </row>
    <row r="19" spans="1:14">
      <c r="A19" s="91"/>
      <c r="B19" s="155" t="s">
        <v>1166</v>
      </c>
      <c r="F19" s="128"/>
      <c r="G19" s="128"/>
      <c r="H19" s="128"/>
      <c r="I19" s="128"/>
      <c r="N19" s="4"/>
    </row>
    <row r="20" spans="1:14">
      <c r="A20" s="91"/>
      <c r="B20" s="114"/>
      <c r="D20" s="80" t="s">
        <v>1167</v>
      </c>
      <c r="E20" s="3" t="s">
        <v>126</v>
      </c>
      <c r="G20" s="159"/>
      <c r="N20" s="4"/>
    </row>
    <row r="21" spans="1:14">
      <c r="A21" s="91">
        <v>106</v>
      </c>
      <c r="B21" s="114"/>
      <c r="C21" s="160" t="s">
        <v>1168</v>
      </c>
      <c r="D21" s="255">
        <v>-2902758429.1305637</v>
      </c>
      <c r="E21" s="9" t="s">
        <v>1925</v>
      </c>
      <c r="G21" s="128"/>
      <c r="N21" s="4">
        <v>106</v>
      </c>
    </row>
    <row r="22" spans="1:14">
      <c r="A22" s="91"/>
      <c r="B22" s="114"/>
      <c r="C22" s="161"/>
      <c r="D22" s="162"/>
      <c r="N22" s="4"/>
    </row>
    <row r="23" spans="1:14">
      <c r="A23" s="91"/>
      <c r="B23" s="555" t="s">
        <v>1169</v>
      </c>
      <c r="C23" s="163"/>
      <c r="D23" s="164"/>
      <c r="E23" s="43"/>
      <c r="F23" s="43"/>
      <c r="G23" s="43"/>
      <c r="H23" s="43"/>
      <c r="I23" s="43"/>
      <c r="J23" s="43"/>
      <c r="K23" s="43"/>
      <c r="L23" s="43"/>
      <c r="M23" s="43"/>
      <c r="N23" s="21"/>
    </row>
    <row r="24" spans="1:14">
      <c r="A24" s="91"/>
      <c r="B24" s="115"/>
      <c r="C24" s="83" t="s">
        <v>122</v>
      </c>
      <c r="D24" s="83" t="s">
        <v>123</v>
      </c>
      <c r="E24" s="83" t="s">
        <v>124</v>
      </c>
      <c r="F24" s="83" t="s">
        <v>125</v>
      </c>
      <c r="G24" s="83" t="s">
        <v>490</v>
      </c>
      <c r="H24" s="83" t="s">
        <v>491</v>
      </c>
      <c r="I24" s="83" t="s">
        <v>492</v>
      </c>
      <c r="N24" s="21"/>
    </row>
    <row r="25" spans="1:14">
      <c r="A25" s="18"/>
      <c r="B25" s="122"/>
      <c r="C25" s="122"/>
      <c r="D25" s="122" t="s">
        <v>1170</v>
      </c>
      <c r="E25" s="122" t="s">
        <v>1171</v>
      </c>
      <c r="F25" s="122"/>
      <c r="G25" s="122" t="s">
        <v>1172</v>
      </c>
      <c r="H25" s="122" t="s">
        <v>1173</v>
      </c>
      <c r="I25" s="165"/>
      <c r="N25" s="21"/>
    </row>
    <row r="26" spans="1:14">
      <c r="A26" s="80" t="s">
        <v>90</v>
      </c>
      <c r="B26" s="166" t="s">
        <v>1174</v>
      </c>
      <c r="C26" s="166" t="s">
        <v>1175</v>
      </c>
      <c r="D26" s="166" t="s">
        <v>1176</v>
      </c>
      <c r="E26" s="166" t="s">
        <v>1177</v>
      </c>
      <c r="F26" s="166" t="s">
        <v>1178</v>
      </c>
      <c r="G26" s="166" t="s">
        <v>497</v>
      </c>
      <c r="H26" s="166" t="s">
        <v>497</v>
      </c>
      <c r="I26" s="166" t="s">
        <v>7</v>
      </c>
      <c r="J26" s="122" t="s">
        <v>631</v>
      </c>
      <c r="N26" s="80" t="s">
        <v>90</v>
      </c>
    </row>
    <row r="27" spans="1:14">
      <c r="A27" s="91"/>
      <c r="B27" s="114" t="s">
        <v>1179</v>
      </c>
      <c r="C27" s="114"/>
      <c r="D27" s="114"/>
      <c r="N27" s="4"/>
    </row>
    <row r="28" spans="1:14">
      <c r="A28" s="91">
        <v>200</v>
      </c>
      <c r="B28" s="167">
        <v>190</v>
      </c>
      <c r="C28" s="154" t="s">
        <v>1180</v>
      </c>
      <c r="D28" s="282">
        <v>-219094425</v>
      </c>
      <c r="E28" s="243">
        <v>-219094425</v>
      </c>
      <c r="F28" s="220"/>
      <c r="G28" s="244"/>
      <c r="H28" s="244"/>
      <c r="I28" s="168" t="s">
        <v>1181</v>
      </c>
      <c r="J28" s="26" t="s">
        <v>1182</v>
      </c>
      <c r="N28" s="4">
        <v>200</v>
      </c>
    </row>
    <row r="29" spans="1:14">
      <c r="A29" s="91">
        <v>201</v>
      </c>
      <c r="B29" s="167">
        <v>190</v>
      </c>
      <c r="C29" s="154" t="s">
        <v>1183</v>
      </c>
      <c r="D29" s="282">
        <v>72055771</v>
      </c>
      <c r="E29" s="243">
        <v>72055771</v>
      </c>
      <c r="F29" s="220"/>
      <c r="G29" s="244"/>
      <c r="H29" s="244"/>
      <c r="I29" s="168" t="s">
        <v>1181</v>
      </c>
      <c r="J29" s="26" t="s">
        <v>1184</v>
      </c>
      <c r="N29" s="4">
        <v>201</v>
      </c>
    </row>
    <row r="30" spans="1:14">
      <c r="A30" s="91">
        <v>202</v>
      </c>
      <c r="B30" s="167">
        <v>190</v>
      </c>
      <c r="C30" s="154" t="s">
        <v>1185</v>
      </c>
      <c r="D30" s="282">
        <v>46370272</v>
      </c>
      <c r="E30" s="243">
        <v>13693729</v>
      </c>
      <c r="F30" s="220"/>
      <c r="G30" s="244"/>
      <c r="H30" s="244">
        <v>32676543</v>
      </c>
      <c r="I30" s="168" t="s">
        <v>1186</v>
      </c>
      <c r="J30" s="26" t="s">
        <v>1187</v>
      </c>
      <c r="N30" s="4">
        <v>202</v>
      </c>
    </row>
    <row r="31" spans="1:14">
      <c r="A31" s="91">
        <v>203</v>
      </c>
      <c r="B31" s="167">
        <v>190</v>
      </c>
      <c r="C31" s="154" t="s">
        <v>1188</v>
      </c>
      <c r="D31" s="282">
        <v>57294848</v>
      </c>
      <c r="E31" s="243">
        <v>57294848</v>
      </c>
      <c r="F31" s="244"/>
      <c r="G31" s="244"/>
      <c r="H31" s="244"/>
      <c r="I31" s="168" t="s">
        <v>1181</v>
      </c>
      <c r="J31" s="26" t="s">
        <v>1189</v>
      </c>
      <c r="N31" s="4">
        <v>203</v>
      </c>
    </row>
    <row r="32" spans="1:14">
      <c r="A32" s="91">
        <v>204</v>
      </c>
      <c r="B32" s="167">
        <v>190</v>
      </c>
      <c r="C32" s="154" t="s">
        <v>1190</v>
      </c>
      <c r="D32" s="282">
        <v>1559521843</v>
      </c>
      <c r="E32" s="243">
        <v>1559521843</v>
      </c>
      <c r="F32" s="220"/>
      <c r="G32" s="244"/>
      <c r="H32" s="244"/>
      <c r="I32" s="168" t="s">
        <v>1181</v>
      </c>
      <c r="J32" s="26" t="s">
        <v>1191</v>
      </c>
      <c r="N32" s="4">
        <v>204</v>
      </c>
    </row>
    <row r="33" spans="1:14" ht="15.75" customHeight="1">
      <c r="A33" s="91">
        <v>205</v>
      </c>
      <c r="B33" s="167">
        <v>190</v>
      </c>
      <c r="C33" s="154" t="s">
        <v>1192</v>
      </c>
      <c r="D33" s="282">
        <v>-244848194</v>
      </c>
      <c r="E33" s="243">
        <v>-275368549</v>
      </c>
      <c r="F33" s="256"/>
      <c r="G33" s="262">
        <v>30520355</v>
      </c>
      <c r="H33" s="244"/>
      <c r="I33" s="168" t="s">
        <v>1186</v>
      </c>
      <c r="J33" s="26" t="s">
        <v>1193</v>
      </c>
      <c r="N33" s="4">
        <v>205</v>
      </c>
    </row>
    <row r="34" spans="1:14">
      <c r="A34" s="91">
        <v>206</v>
      </c>
      <c r="B34" s="167">
        <v>190</v>
      </c>
      <c r="C34" s="154" t="s">
        <v>1194</v>
      </c>
      <c r="D34" s="282">
        <v>5694993263</v>
      </c>
      <c r="E34" s="243">
        <v>4920808490.1975555</v>
      </c>
      <c r="F34" s="642">
        <v>774184772.80244398</v>
      </c>
      <c r="G34" s="244"/>
      <c r="H34" s="244"/>
      <c r="I34" s="168" t="s">
        <v>1195</v>
      </c>
      <c r="J34" s="26" t="s">
        <v>1196</v>
      </c>
      <c r="N34" s="4">
        <v>206</v>
      </c>
    </row>
    <row r="35" spans="1:14">
      <c r="A35" s="91">
        <v>207</v>
      </c>
      <c r="B35" s="167">
        <v>190</v>
      </c>
      <c r="C35" s="154" t="s">
        <v>1197</v>
      </c>
      <c r="D35" s="282">
        <v>0</v>
      </c>
      <c r="E35" s="243">
        <v>0</v>
      </c>
      <c r="F35" s="220"/>
      <c r="G35" s="244"/>
      <c r="H35" s="244"/>
      <c r="I35" s="168" t="s">
        <v>1186</v>
      </c>
      <c r="J35" s="26" t="s">
        <v>1198</v>
      </c>
      <c r="N35" s="4">
        <v>207</v>
      </c>
    </row>
    <row r="36" spans="1:14">
      <c r="A36" s="91">
        <v>208</v>
      </c>
      <c r="B36" s="167">
        <v>190</v>
      </c>
      <c r="C36" s="154" t="s">
        <v>1199</v>
      </c>
      <c r="D36" s="282">
        <v>-71624223</v>
      </c>
      <c r="E36" s="243">
        <v>-18188079</v>
      </c>
      <c r="F36" s="220"/>
      <c r="G36" s="244">
        <v>-53436144</v>
      </c>
      <c r="H36" s="244"/>
      <c r="I36" s="168" t="s">
        <v>1186</v>
      </c>
      <c r="J36" s="26" t="s">
        <v>1200</v>
      </c>
      <c r="N36" s="4">
        <v>208</v>
      </c>
    </row>
    <row r="37" spans="1:14">
      <c r="A37" s="91">
        <v>209</v>
      </c>
      <c r="B37" s="167">
        <v>190</v>
      </c>
      <c r="C37" s="154" t="s">
        <v>1201</v>
      </c>
      <c r="D37" s="282">
        <v>1805629311</v>
      </c>
      <c r="E37" s="243">
        <v>1805629311</v>
      </c>
      <c r="F37" s="220"/>
      <c r="G37" s="244"/>
      <c r="H37" s="244"/>
      <c r="I37" s="168" t="s">
        <v>1181</v>
      </c>
      <c r="J37" s="26" t="s">
        <v>1202</v>
      </c>
      <c r="N37" s="4">
        <v>209</v>
      </c>
    </row>
    <row r="38" spans="1:14">
      <c r="A38" s="91"/>
      <c r="B38" s="169"/>
      <c r="C38" s="114"/>
      <c r="D38" s="119"/>
      <c r="E38" s="11"/>
      <c r="F38" s="11"/>
      <c r="G38" s="11"/>
      <c r="H38" s="11"/>
      <c r="I38" s="3"/>
      <c r="N38" s="4"/>
    </row>
    <row r="39" spans="1:14">
      <c r="A39" s="91">
        <v>210</v>
      </c>
      <c r="B39" s="114"/>
      <c r="C39" s="114" t="s">
        <v>1203</v>
      </c>
      <c r="D39" s="245">
        <v>8700298466</v>
      </c>
      <c r="E39" s="245">
        <v>7916352939.1975555</v>
      </c>
      <c r="F39" s="246">
        <v>774184772.80244398</v>
      </c>
      <c r="G39" s="246">
        <v>-22915789</v>
      </c>
      <c r="H39" s="246">
        <v>32676543</v>
      </c>
      <c r="I39" s="26" t="s">
        <v>1926</v>
      </c>
      <c r="N39" s="4">
        <v>210</v>
      </c>
    </row>
    <row r="40" spans="1:14">
      <c r="A40" s="91">
        <v>211</v>
      </c>
      <c r="B40" s="114"/>
      <c r="C40" s="114" t="s">
        <v>1204</v>
      </c>
      <c r="D40" s="171"/>
      <c r="E40" s="171"/>
      <c r="F40" s="171"/>
      <c r="G40" s="191">
        <v>0.55218181770616925</v>
      </c>
      <c r="H40" s="191">
        <v>0.43638724816634106</v>
      </c>
      <c r="I40" s="172" t="s">
        <v>1205</v>
      </c>
      <c r="N40" s="4">
        <v>211</v>
      </c>
    </row>
    <row r="41" spans="1:14">
      <c r="A41" s="91">
        <v>212</v>
      </c>
      <c r="B41" s="114"/>
      <c r="C41" s="115" t="s">
        <v>1206</v>
      </c>
      <c r="D41" s="298">
        <v>775790717.45761204</v>
      </c>
      <c r="E41" s="246"/>
      <c r="F41" s="682">
        <v>774184772.80244398</v>
      </c>
      <c r="G41" s="682">
        <v>-12653682.024191039</v>
      </c>
      <c r="H41" s="682">
        <v>14259626.679359114</v>
      </c>
      <c r="I41" s="173" t="s">
        <v>1927</v>
      </c>
      <c r="N41" s="4">
        <v>212</v>
      </c>
    </row>
    <row r="42" spans="1:14">
      <c r="A42" s="91"/>
      <c r="B42" s="114"/>
      <c r="C42" s="174" t="s">
        <v>1207</v>
      </c>
      <c r="D42" s="171"/>
      <c r="E42" s="171"/>
      <c r="F42" s="171"/>
      <c r="G42" s="171"/>
      <c r="H42" s="171"/>
      <c r="I42" s="173"/>
      <c r="N42" s="4"/>
    </row>
    <row r="43" spans="1:14">
      <c r="A43" s="91"/>
      <c r="B43" s="114"/>
      <c r="C43" s="114"/>
      <c r="D43" s="171"/>
      <c r="E43" s="171"/>
      <c r="F43" s="171"/>
      <c r="G43" s="171"/>
      <c r="H43" s="171"/>
      <c r="I43" s="173"/>
      <c r="N43" s="4"/>
    </row>
    <row r="44" spans="1:14">
      <c r="A44" s="91">
        <v>213</v>
      </c>
      <c r="B44" s="114"/>
      <c r="C44" s="114" t="s">
        <v>1208</v>
      </c>
      <c r="D44" s="247">
        <v>8700298466</v>
      </c>
      <c r="E44" s="175" t="s">
        <v>1928</v>
      </c>
      <c r="G44" s="171"/>
      <c r="H44" s="171"/>
      <c r="J44" s="173" t="s">
        <v>1209</v>
      </c>
      <c r="N44" s="4">
        <v>213</v>
      </c>
    </row>
    <row r="45" spans="1:14">
      <c r="A45" s="91"/>
      <c r="B45" s="114"/>
      <c r="C45" s="114"/>
      <c r="D45" s="176"/>
      <c r="E45" s="176"/>
      <c r="F45" s="176"/>
      <c r="G45" s="176"/>
      <c r="H45" s="176"/>
      <c r="I45" s="126"/>
      <c r="N45" s="4"/>
    </row>
    <row r="46" spans="1:14">
      <c r="A46" s="18"/>
      <c r="B46" s="555" t="s">
        <v>1210</v>
      </c>
      <c r="C46" s="177"/>
      <c r="D46" s="178"/>
      <c r="E46" s="43"/>
      <c r="F46" s="43"/>
      <c r="G46" s="43"/>
      <c r="H46" s="43"/>
      <c r="I46" s="43"/>
      <c r="J46" s="43"/>
      <c r="K46" s="43"/>
      <c r="L46" s="43"/>
      <c r="M46" s="43"/>
      <c r="N46" s="4"/>
    </row>
    <row r="47" spans="1:14">
      <c r="A47" s="18"/>
      <c r="C47" s="83" t="s">
        <v>122</v>
      </c>
      <c r="D47" s="83" t="s">
        <v>123</v>
      </c>
      <c r="E47" s="83" t="s">
        <v>124</v>
      </c>
      <c r="F47" s="83" t="s">
        <v>125</v>
      </c>
      <c r="G47" s="83" t="s">
        <v>490</v>
      </c>
      <c r="H47" s="83" t="s">
        <v>491</v>
      </c>
      <c r="I47" s="83" t="s">
        <v>492</v>
      </c>
      <c r="N47" s="4"/>
    </row>
    <row r="48" spans="1:14">
      <c r="A48" s="18"/>
      <c r="B48" s="122"/>
      <c r="C48" s="122"/>
      <c r="D48" s="122" t="s">
        <v>1170</v>
      </c>
      <c r="E48" s="122" t="s">
        <v>1171</v>
      </c>
      <c r="F48" s="122"/>
      <c r="G48" s="122" t="s">
        <v>1211</v>
      </c>
      <c r="H48" s="122" t="s">
        <v>1212</v>
      </c>
      <c r="I48" s="165"/>
      <c r="N48" s="4"/>
    </row>
    <row r="49" spans="1:14">
      <c r="A49" s="80" t="s">
        <v>90</v>
      </c>
      <c r="B49" s="166" t="s">
        <v>1213</v>
      </c>
      <c r="C49" s="166" t="s">
        <v>1175</v>
      </c>
      <c r="D49" s="166" t="s">
        <v>1176</v>
      </c>
      <c r="E49" s="166" t="s">
        <v>1177</v>
      </c>
      <c r="F49" s="166" t="s">
        <v>1178</v>
      </c>
      <c r="G49" s="166" t="s">
        <v>498</v>
      </c>
      <c r="H49" s="166" t="s">
        <v>1214</v>
      </c>
      <c r="I49" s="166" t="s">
        <v>7</v>
      </c>
      <c r="N49" s="80" t="s">
        <v>90</v>
      </c>
    </row>
    <row r="50" spans="1:14">
      <c r="A50" s="91">
        <v>300</v>
      </c>
      <c r="B50" s="179">
        <v>282</v>
      </c>
      <c r="C50" s="55" t="s">
        <v>1215</v>
      </c>
      <c r="D50" s="283">
        <v>-3425232153</v>
      </c>
      <c r="E50" s="244"/>
      <c r="F50" s="244">
        <v>-3425232153</v>
      </c>
      <c r="G50" s="244"/>
      <c r="H50" s="244"/>
      <c r="I50" s="168" t="s">
        <v>1195</v>
      </c>
      <c r="J50" s="26" t="s">
        <v>1216</v>
      </c>
      <c r="N50" s="4">
        <v>300</v>
      </c>
    </row>
    <row r="51" spans="1:14">
      <c r="A51" s="91">
        <v>301</v>
      </c>
      <c r="B51" s="179">
        <v>282</v>
      </c>
      <c r="C51" s="55" t="s">
        <v>1217</v>
      </c>
      <c r="D51" s="283">
        <v>-5906703235</v>
      </c>
      <c r="E51" s="244">
        <v>-5906703235</v>
      </c>
      <c r="F51" s="244"/>
      <c r="G51" s="244"/>
      <c r="H51" s="244"/>
      <c r="I51" s="168" t="s">
        <v>1218</v>
      </c>
      <c r="J51" s="26"/>
      <c r="N51" s="4">
        <v>301</v>
      </c>
    </row>
    <row r="52" spans="1:14">
      <c r="A52" s="91">
        <v>302</v>
      </c>
      <c r="B52" s="179">
        <v>282</v>
      </c>
      <c r="C52" s="55" t="s">
        <v>1219</v>
      </c>
      <c r="D52" s="283">
        <v>-481179946</v>
      </c>
      <c r="E52" s="244"/>
      <c r="F52" s="244"/>
      <c r="G52" s="244">
        <v>-481179946</v>
      </c>
      <c r="H52" s="244"/>
      <c r="I52" s="168" t="s">
        <v>1220</v>
      </c>
      <c r="J52" s="26"/>
      <c r="N52" s="4">
        <v>302</v>
      </c>
    </row>
    <row r="53" spans="1:14">
      <c r="A53" s="91">
        <v>303</v>
      </c>
      <c r="B53" s="179">
        <v>282</v>
      </c>
      <c r="C53" s="55" t="s">
        <v>1221</v>
      </c>
      <c r="D53" s="283">
        <v>0</v>
      </c>
      <c r="E53" s="244"/>
      <c r="F53" s="244"/>
      <c r="G53" s="244"/>
      <c r="H53" s="244"/>
      <c r="I53" s="168" t="s">
        <v>1220</v>
      </c>
      <c r="J53" s="26"/>
      <c r="N53" s="4">
        <v>303</v>
      </c>
    </row>
    <row r="54" spans="1:14">
      <c r="A54" s="91">
        <v>304</v>
      </c>
      <c r="B54" s="179">
        <v>282</v>
      </c>
      <c r="C54" s="55" t="s">
        <v>1222</v>
      </c>
      <c r="D54" s="283">
        <v>0</v>
      </c>
      <c r="E54" s="244"/>
      <c r="F54" s="244"/>
      <c r="G54" s="244"/>
      <c r="H54" s="244"/>
      <c r="I54" s="168" t="s">
        <v>1195</v>
      </c>
      <c r="J54" s="26" t="s">
        <v>1223</v>
      </c>
      <c r="N54" s="4">
        <v>304</v>
      </c>
    </row>
    <row r="55" spans="1:14">
      <c r="A55" s="91">
        <v>305</v>
      </c>
      <c r="B55" s="179">
        <v>282</v>
      </c>
      <c r="C55" s="55" t="s">
        <v>1217</v>
      </c>
      <c r="D55" s="283">
        <v>0</v>
      </c>
      <c r="E55" s="244"/>
      <c r="F55" s="244"/>
      <c r="G55" s="244"/>
      <c r="H55" s="244"/>
      <c r="I55" s="168" t="s">
        <v>1181</v>
      </c>
      <c r="J55" s="26"/>
      <c r="N55" s="4">
        <v>305</v>
      </c>
    </row>
    <row r="56" spans="1:14">
      <c r="A56" s="91">
        <v>306</v>
      </c>
      <c r="B56" s="167" t="s">
        <v>117</v>
      </c>
      <c r="C56" s="180"/>
      <c r="D56" s="245"/>
      <c r="E56" s="220"/>
      <c r="F56" s="220"/>
      <c r="G56" s="220"/>
      <c r="H56" s="220"/>
      <c r="I56" s="38"/>
      <c r="N56" s="4">
        <v>306</v>
      </c>
    </row>
    <row r="57" spans="1:14">
      <c r="A57" s="91"/>
      <c r="B57" s="100"/>
      <c r="C57" s="8"/>
      <c r="D57" s="170"/>
      <c r="E57" s="11"/>
      <c r="F57" s="11"/>
      <c r="G57" s="11"/>
      <c r="H57" s="11"/>
      <c r="N57" s="4"/>
    </row>
    <row r="58" spans="1:14">
      <c r="A58" s="91">
        <v>307</v>
      </c>
      <c r="B58" s="18"/>
      <c r="C58" s="8" t="s">
        <v>1224</v>
      </c>
      <c r="D58" s="246">
        <v>-9813115334</v>
      </c>
      <c r="E58" s="246"/>
      <c r="F58" s="246">
        <v>-3425232153</v>
      </c>
      <c r="G58" s="246">
        <v>-481179946</v>
      </c>
      <c r="H58" s="246">
        <v>0</v>
      </c>
      <c r="I58" s="26" t="s">
        <v>1929</v>
      </c>
      <c r="N58" s="4">
        <v>307</v>
      </c>
    </row>
    <row r="59" spans="1:14">
      <c r="A59" s="91">
        <v>308</v>
      </c>
      <c r="B59" s="114"/>
      <c r="C59" s="114" t="s">
        <v>1204</v>
      </c>
      <c r="D59" s="171"/>
      <c r="E59" s="171"/>
      <c r="F59" s="171"/>
      <c r="G59" s="582">
        <v>0.4104584037578522</v>
      </c>
      <c r="H59" s="191">
        <v>0.30680154907006396</v>
      </c>
      <c r="I59" s="172" t="s">
        <v>1225</v>
      </c>
      <c r="N59" s="4">
        <v>308</v>
      </c>
    </row>
    <row r="60" spans="1:14">
      <c r="A60" s="91">
        <v>309</v>
      </c>
      <c r="B60" s="114"/>
      <c r="C60" s="115" t="s">
        <v>1226</v>
      </c>
      <c r="D60" s="298">
        <v>-3622736505.5554495</v>
      </c>
      <c r="E60" s="249"/>
      <c r="F60" s="682">
        <v>-3425232153</v>
      </c>
      <c r="G60" s="682">
        <v>-197504352.55544952</v>
      </c>
      <c r="H60" s="682">
        <v>0</v>
      </c>
      <c r="I60" s="173" t="s">
        <v>1930</v>
      </c>
      <c r="N60" s="4">
        <v>309</v>
      </c>
    </row>
    <row r="61" spans="1:14">
      <c r="A61" s="91"/>
      <c r="B61" s="114"/>
      <c r="C61" s="174" t="s">
        <v>1207</v>
      </c>
      <c r="E61" s="171"/>
      <c r="F61" s="171"/>
      <c r="G61" s="171"/>
      <c r="H61" s="171"/>
      <c r="I61" s="173"/>
      <c r="N61" s="4"/>
    </row>
    <row r="62" spans="1:14">
      <c r="A62" s="91"/>
      <c r="B62" s="114"/>
      <c r="D62" s="174"/>
      <c r="E62" s="171"/>
      <c r="F62" s="171"/>
      <c r="G62" s="171"/>
      <c r="H62" s="171"/>
      <c r="I62" s="173"/>
      <c r="N62" s="4"/>
    </row>
    <row r="63" spans="1:14">
      <c r="A63" s="91">
        <v>310</v>
      </c>
      <c r="B63" s="18"/>
      <c r="C63" s="114" t="s">
        <v>1227</v>
      </c>
      <c r="D63" s="492">
        <v>-9813115334</v>
      </c>
      <c r="E63" s="175"/>
      <c r="F63" s="171"/>
      <c r="G63" s="171"/>
      <c r="H63" s="171"/>
      <c r="J63" s="26" t="s">
        <v>1228</v>
      </c>
      <c r="N63" s="4">
        <v>310</v>
      </c>
    </row>
    <row r="64" spans="1:14">
      <c r="A64" s="91">
        <v>311</v>
      </c>
      <c r="B64" s="18"/>
      <c r="C64" s="114" t="s">
        <v>1229</v>
      </c>
      <c r="D64" s="245"/>
      <c r="E64" s="175"/>
      <c r="F64" s="171"/>
      <c r="G64" s="171"/>
      <c r="H64" s="171"/>
      <c r="J64" s="26"/>
      <c r="N64" s="4">
        <v>311</v>
      </c>
    </row>
    <row r="65" spans="1:14" ht="15" thickBot="1">
      <c r="A65" s="91">
        <v>312</v>
      </c>
      <c r="B65" s="18"/>
      <c r="C65" s="114" t="s">
        <v>1227</v>
      </c>
      <c r="D65" s="493">
        <v>-9813115334</v>
      </c>
      <c r="E65" s="175" t="s">
        <v>1931</v>
      </c>
      <c r="F65" s="171"/>
      <c r="G65" s="171"/>
      <c r="H65" s="171"/>
      <c r="I65" s="126"/>
      <c r="N65" s="4">
        <v>312</v>
      </c>
    </row>
    <row r="66" spans="1:14" ht="15" thickTop="1">
      <c r="A66" s="91"/>
      <c r="B66" s="18"/>
      <c r="C66" s="8"/>
      <c r="D66" s="170"/>
      <c r="E66" s="175"/>
      <c r="F66" s="171"/>
      <c r="G66" s="171"/>
      <c r="H66" s="171"/>
      <c r="I66" s="126"/>
      <c r="N66" s="4"/>
    </row>
    <row r="67" spans="1:14">
      <c r="A67" s="18"/>
      <c r="B67" s="116" t="s">
        <v>1230</v>
      </c>
      <c r="C67" s="117"/>
      <c r="D67" s="181"/>
      <c r="E67" s="46"/>
      <c r="F67" s="46"/>
      <c r="G67" s="46"/>
      <c r="H67" s="46"/>
      <c r="I67" s="43"/>
      <c r="J67" s="43"/>
      <c r="K67" s="43"/>
      <c r="L67" s="43"/>
      <c r="M67" s="43"/>
      <c r="N67" s="4"/>
    </row>
    <row r="68" spans="1:14">
      <c r="A68" s="18"/>
      <c r="B68" s="115"/>
      <c r="C68" s="83" t="s">
        <v>122</v>
      </c>
      <c r="D68" s="83" t="s">
        <v>123</v>
      </c>
      <c r="E68" s="83" t="s">
        <v>124</v>
      </c>
      <c r="F68" s="83" t="s">
        <v>125</v>
      </c>
      <c r="G68" s="83" t="s">
        <v>490</v>
      </c>
      <c r="H68" s="83" t="s">
        <v>491</v>
      </c>
      <c r="I68" s="83" t="s">
        <v>492</v>
      </c>
      <c r="N68" s="4"/>
    </row>
    <row r="69" spans="1:14">
      <c r="A69" s="18"/>
      <c r="B69" s="122"/>
      <c r="C69" s="122"/>
      <c r="D69" s="122" t="s">
        <v>1170</v>
      </c>
      <c r="E69" s="182" t="s">
        <v>1171</v>
      </c>
      <c r="F69" s="182"/>
      <c r="G69" s="182" t="s">
        <v>1211</v>
      </c>
      <c r="H69" s="182" t="s">
        <v>1173</v>
      </c>
      <c r="I69" s="165"/>
      <c r="N69" s="4"/>
    </row>
    <row r="70" spans="1:14">
      <c r="A70" s="80" t="s">
        <v>90</v>
      </c>
      <c r="B70" s="166" t="s">
        <v>1231</v>
      </c>
      <c r="C70" s="166" t="s">
        <v>1175</v>
      </c>
      <c r="D70" s="166" t="s">
        <v>1176</v>
      </c>
      <c r="E70" s="183" t="s">
        <v>1177</v>
      </c>
      <c r="F70" s="183" t="s">
        <v>1178</v>
      </c>
      <c r="G70" s="550"/>
      <c r="H70" s="550"/>
      <c r="I70" s="166" t="s">
        <v>7</v>
      </c>
      <c r="N70" s="80" t="s">
        <v>90</v>
      </c>
    </row>
    <row r="71" spans="1:14">
      <c r="A71" s="91"/>
      <c r="B71" s="114" t="s">
        <v>1179</v>
      </c>
      <c r="D71" s="11"/>
      <c r="E71" s="11"/>
      <c r="F71" s="11"/>
      <c r="G71" s="11"/>
      <c r="H71" s="11"/>
      <c r="N71" s="4"/>
    </row>
    <row r="72" spans="1:14">
      <c r="A72" s="91">
        <v>400</v>
      </c>
      <c r="B72" s="179">
        <v>283</v>
      </c>
      <c r="C72" s="55" t="s">
        <v>1232</v>
      </c>
      <c r="D72" s="283">
        <v>-39328848</v>
      </c>
      <c r="E72" s="247">
        <v>-39328848</v>
      </c>
      <c r="F72" s="248"/>
      <c r="G72" s="248"/>
      <c r="H72" s="248"/>
      <c r="I72" s="168" t="s">
        <v>1181</v>
      </c>
      <c r="J72" s="26" t="s">
        <v>1233</v>
      </c>
      <c r="N72" s="4">
        <v>400</v>
      </c>
    </row>
    <row r="73" spans="1:14">
      <c r="A73" s="91">
        <v>401</v>
      </c>
      <c r="B73" s="179">
        <v>283</v>
      </c>
      <c r="C73" s="55" t="s">
        <v>1234</v>
      </c>
      <c r="D73" s="283">
        <v>-2005703135</v>
      </c>
      <c r="E73" s="247">
        <v>-2005703135</v>
      </c>
      <c r="F73" s="248"/>
      <c r="G73" s="248"/>
      <c r="H73" s="248"/>
      <c r="I73" s="168" t="s">
        <v>1235</v>
      </c>
      <c r="J73" s="26" t="s">
        <v>1236</v>
      </c>
      <c r="N73" s="4">
        <v>401</v>
      </c>
    </row>
    <row r="74" spans="1:14">
      <c r="A74" s="91">
        <v>402</v>
      </c>
      <c r="B74" s="179">
        <v>283</v>
      </c>
      <c r="C74" s="55" t="s">
        <v>1201</v>
      </c>
      <c r="D74" s="283">
        <v>-365098002</v>
      </c>
      <c r="E74" s="247">
        <v>-365098002</v>
      </c>
      <c r="F74" s="248"/>
      <c r="G74" s="248"/>
      <c r="H74" s="248"/>
      <c r="I74" s="168" t="s">
        <v>1181</v>
      </c>
      <c r="J74" s="26" t="s">
        <v>1237</v>
      </c>
      <c r="N74" s="4">
        <v>402</v>
      </c>
    </row>
    <row r="75" spans="1:14">
      <c r="A75" s="91">
        <v>403</v>
      </c>
      <c r="B75" s="179"/>
      <c r="C75" s="55"/>
      <c r="D75" s="283"/>
      <c r="E75" s="248"/>
      <c r="F75" s="248"/>
      <c r="G75" s="248"/>
      <c r="H75" s="248"/>
      <c r="I75" s="168"/>
      <c r="J75" s="26"/>
      <c r="N75" s="4">
        <v>403</v>
      </c>
    </row>
    <row r="76" spans="1:14">
      <c r="A76" s="91"/>
      <c r="B76" s="77"/>
      <c r="C76" s="8"/>
      <c r="D76" s="111"/>
      <c r="E76" s="11"/>
      <c r="F76" s="11"/>
      <c r="G76" s="11"/>
      <c r="H76" s="11"/>
      <c r="N76" s="4"/>
    </row>
    <row r="77" spans="1:14">
      <c r="A77" s="91">
        <v>404</v>
      </c>
      <c r="B77" s="8"/>
      <c r="C77" s="8" t="s">
        <v>1238</v>
      </c>
      <c r="D77" s="246">
        <v>-2410129985</v>
      </c>
      <c r="E77" s="246">
        <v>-2410129985</v>
      </c>
      <c r="F77" s="246">
        <v>0</v>
      </c>
      <c r="G77" s="246">
        <v>0</v>
      </c>
      <c r="H77" s="246">
        <v>0</v>
      </c>
      <c r="I77" s="26" t="s">
        <v>1932</v>
      </c>
      <c r="N77" s="4">
        <v>404</v>
      </c>
    </row>
    <row r="78" spans="1:14">
      <c r="A78" s="91">
        <v>405</v>
      </c>
      <c r="B78" s="114"/>
      <c r="C78" s="114" t="s">
        <v>1204</v>
      </c>
      <c r="D78" s="184"/>
      <c r="E78" s="184"/>
      <c r="F78" s="171"/>
      <c r="G78" s="582">
        <v>0.4104584037578522</v>
      </c>
      <c r="H78" s="191">
        <v>0.30680154907006396</v>
      </c>
      <c r="I78" s="172" t="s">
        <v>1239</v>
      </c>
      <c r="N78" s="4">
        <v>405</v>
      </c>
    </row>
    <row r="79" spans="1:14">
      <c r="A79" s="91">
        <v>406</v>
      </c>
      <c r="B79" s="114"/>
      <c r="C79" s="115" t="s">
        <v>1240</v>
      </c>
      <c r="D79" s="299">
        <v>0</v>
      </c>
      <c r="E79" s="171"/>
      <c r="F79" s="683">
        <v>0</v>
      </c>
      <c r="G79" s="683">
        <v>0</v>
      </c>
      <c r="H79" s="684">
        <v>0</v>
      </c>
      <c r="I79" s="173" t="s">
        <v>1933</v>
      </c>
      <c r="N79" s="4">
        <v>406</v>
      </c>
    </row>
    <row r="80" spans="1:14">
      <c r="A80" s="91"/>
      <c r="C80" s="174" t="s">
        <v>1207</v>
      </c>
      <c r="D80" s="111"/>
      <c r="E80" s="111"/>
      <c r="F80" s="111"/>
      <c r="G80" s="111"/>
      <c r="H80" s="111"/>
      <c r="I80" s="173"/>
      <c r="J80" s="11"/>
      <c r="N80" s="4"/>
    </row>
    <row r="81" spans="1:14">
      <c r="A81" s="91"/>
      <c r="C81" s="8"/>
      <c r="D81" s="111"/>
      <c r="E81" s="111"/>
      <c r="F81" s="111"/>
      <c r="G81" s="111"/>
      <c r="H81" s="111"/>
      <c r="I81" s="173"/>
      <c r="N81" s="4"/>
    </row>
    <row r="82" spans="1:14">
      <c r="A82" s="91">
        <v>407</v>
      </c>
      <c r="C82" s="114" t="s">
        <v>1241</v>
      </c>
      <c r="D82" s="247">
        <v>-2410129985</v>
      </c>
      <c r="E82" s="175" t="s">
        <v>1242</v>
      </c>
      <c r="F82" s="171"/>
      <c r="G82" s="171"/>
      <c r="H82" s="171"/>
      <c r="J82" s="26" t="s">
        <v>1243</v>
      </c>
      <c r="N82" s="4">
        <v>407</v>
      </c>
    </row>
    <row r="83" spans="1:14">
      <c r="A83" s="91"/>
      <c r="C83" s="114"/>
      <c r="D83" s="175"/>
      <c r="E83" s="175"/>
      <c r="F83" s="171"/>
      <c r="G83" s="171"/>
      <c r="H83" s="171"/>
      <c r="I83" s="26"/>
      <c r="N83" s="4"/>
    </row>
    <row r="84" spans="1:14">
      <c r="A84" s="18"/>
      <c r="B84" s="116" t="s">
        <v>1244</v>
      </c>
      <c r="C84" s="117"/>
      <c r="D84" s="181"/>
      <c r="E84" s="46"/>
      <c r="F84" s="46"/>
      <c r="G84" s="46"/>
      <c r="H84" s="46"/>
      <c r="I84" s="43"/>
      <c r="J84" s="43"/>
      <c r="K84" s="43"/>
      <c r="L84" s="43"/>
      <c r="M84" s="43"/>
      <c r="N84" s="4"/>
    </row>
    <row r="85" spans="1:14">
      <c r="A85" s="18"/>
      <c r="B85" s="115"/>
      <c r="C85" s="83" t="s">
        <v>122</v>
      </c>
      <c r="D85" s="83" t="s">
        <v>123</v>
      </c>
      <c r="E85" s="83" t="s">
        <v>124</v>
      </c>
      <c r="F85" s="83" t="s">
        <v>125</v>
      </c>
      <c r="G85" s="83" t="s">
        <v>490</v>
      </c>
      <c r="H85" s="83" t="s">
        <v>491</v>
      </c>
      <c r="I85" s="83" t="s">
        <v>492</v>
      </c>
      <c r="N85" s="4"/>
    </row>
    <row r="86" spans="1:14">
      <c r="A86" s="18"/>
      <c r="B86" s="122"/>
      <c r="C86" s="122"/>
      <c r="D86" s="122" t="s">
        <v>1170</v>
      </c>
      <c r="E86" s="182" t="s">
        <v>1171</v>
      </c>
      <c r="F86" s="182"/>
      <c r="G86" s="182" t="s">
        <v>1211</v>
      </c>
      <c r="H86" s="182" t="s">
        <v>1212</v>
      </c>
      <c r="I86" s="165"/>
      <c r="N86" s="4"/>
    </row>
    <row r="87" spans="1:14">
      <c r="A87" s="80" t="s">
        <v>90</v>
      </c>
      <c r="B87" s="166" t="s">
        <v>1245</v>
      </c>
      <c r="C87" s="166" t="s">
        <v>1175</v>
      </c>
      <c r="D87" s="166" t="s">
        <v>1176</v>
      </c>
      <c r="E87" s="183" t="s">
        <v>1177</v>
      </c>
      <c r="F87" s="183" t="s">
        <v>1178</v>
      </c>
      <c r="G87" s="183" t="s">
        <v>498</v>
      </c>
      <c r="H87" s="183" t="s">
        <v>1214</v>
      </c>
      <c r="I87" s="166" t="s">
        <v>7</v>
      </c>
      <c r="N87" s="80" t="s">
        <v>90</v>
      </c>
    </row>
    <row r="88" spans="1:14">
      <c r="A88" s="91"/>
      <c r="B88" s="114" t="s">
        <v>1179</v>
      </c>
      <c r="D88" s="11"/>
      <c r="E88" s="11"/>
      <c r="F88" s="11"/>
      <c r="G88" s="11"/>
      <c r="H88" s="11"/>
      <c r="N88" s="4"/>
    </row>
    <row r="89" spans="1:14">
      <c r="A89" s="91">
        <v>500</v>
      </c>
      <c r="B89" s="179">
        <v>255</v>
      </c>
      <c r="C89" s="55" t="s">
        <v>1246</v>
      </c>
      <c r="D89" s="283">
        <v>-19661366</v>
      </c>
      <c r="E89" s="248"/>
      <c r="F89" s="248">
        <v>-19661366</v>
      </c>
      <c r="G89" s="248"/>
      <c r="H89" s="248"/>
      <c r="I89" s="168" t="s">
        <v>1195</v>
      </c>
      <c r="J89" s="26" t="s">
        <v>1247</v>
      </c>
      <c r="N89" s="4">
        <v>500</v>
      </c>
    </row>
    <row r="90" spans="1:14">
      <c r="A90" s="91">
        <v>501</v>
      </c>
      <c r="B90" s="179">
        <v>255</v>
      </c>
      <c r="C90" s="55" t="s">
        <v>1248</v>
      </c>
      <c r="D90" s="283">
        <v>-9847925</v>
      </c>
      <c r="E90" s="248"/>
      <c r="F90" s="248"/>
      <c r="G90" s="248">
        <v>-9847925</v>
      </c>
      <c r="H90" s="248"/>
      <c r="I90" s="168" t="s">
        <v>1249</v>
      </c>
      <c r="J90" s="26" t="s">
        <v>1250</v>
      </c>
      <c r="N90" s="4">
        <v>501</v>
      </c>
    </row>
    <row r="91" spans="1:14">
      <c r="A91" s="91">
        <v>502</v>
      </c>
      <c r="B91" s="179">
        <v>255</v>
      </c>
      <c r="C91" s="55" t="s">
        <v>1251</v>
      </c>
      <c r="D91" s="283">
        <v>-67069203</v>
      </c>
      <c r="E91" s="248">
        <v>-67069203</v>
      </c>
      <c r="F91" s="248"/>
      <c r="G91" s="248"/>
      <c r="H91" s="248"/>
      <c r="I91" s="168" t="s">
        <v>1181</v>
      </c>
      <c r="N91" s="4">
        <v>502</v>
      </c>
    </row>
    <row r="92" spans="1:14">
      <c r="A92" s="91">
        <v>503</v>
      </c>
      <c r="B92" s="179">
        <v>256</v>
      </c>
      <c r="C92" s="55" t="s">
        <v>1251</v>
      </c>
      <c r="D92" s="283">
        <v>36396</v>
      </c>
      <c r="E92" s="248">
        <v>36396</v>
      </c>
      <c r="F92" s="248"/>
      <c r="G92" s="248"/>
      <c r="H92" s="248"/>
      <c r="I92" s="358"/>
      <c r="N92" s="4"/>
    </row>
    <row r="93" spans="1:14">
      <c r="A93" s="91">
        <v>504</v>
      </c>
      <c r="B93" s="8"/>
      <c r="C93" s="8" t="s">
        <v>1252</v>
      </c>
      <c r="D93" s="246">
        <v>-96542098</v>
      </c>
      <c r="E93" s="246">
        <v>-67069203</v>
      </c>
      <c r="F93" s="246">
        <v>-19661366</v>
      </c>
      <c r="G93" s="246">
        <v>-9847925</v>
      </c>
      <c r="H93" s="246">
        <v>0</v>
      </c>
      <c r="I93" s="26" t="s">
        <v>1934</v>
      </c>
      <c r="N93" s="4">
        <v>504</v>
      </c>
    </row>
    <row r="94" spans="1:14">
      <c r="A94" s="91">
        <v>505</v>
      </c>
      <c r="B94" s="114"/>
      <c r="C94" s="114" t="s">
        <v>1204</v>
      </c>
      <c r="D94" s="184"/>
      <c r="E94" s="184"/>
      <c r="F94" s="171"/>
      <c r="G94" s="582">
        <v>0.4104584037578522</v>
      </c>
      <c r="H94" s="191">
        <v>0.30680154907006396</v>
      </c>
      <c r="I94" s="172" t="s">
        <v>1225</v>
      </c>
      <c r="N94" s="4">
        <v>505</v>
      </c>
    </row>
    <row r="95" spans="1:14">
      <c r="A95" s="91">
        <v>506</v>
      </c>
      <c r="B95" s="114"/>
      <c r="C95" s="115" t="s">
        <v>1253</v>
      </c>
      <c r="D95" s="300">
        <v>-23703529.575827047</v>
      </c>
      <c r="E95" s="246"/>
      <c r="F95" s="682">
        <v>-19661366</v>
      </c>
      <c r="G95" s="682">
        <v>-4042163.5758270468</v>
      </c>
      <c r="H95" s="685">
        <v>0</v>
      </c>
      <c r="I95" s="173" t="s">
        <v>1935</v>
      </c>
      <c r="N95" s="4">
        <v>506</v>
      </c>
    </row>
    <row r="96" spans="1:14">
      <c r="A96" s="91"/>
      <c r="C96" s="174" t="s">
        <v>1207</v>
      </c>
      <c r="D96" s="111"/>
      <c r="E96" s="111"/>
      <c r="F96" s="111"/>
      <c r="G96" s="111"/>
      <c r="H96" s="111"/>
      <c r="I96" s="173"/>
      <c r="J96" s="11"/>
      <c r="N96" s="4"/>
    </row>
    <row r="97" spans="1:14">
      <c r="A97" s="91"/>
      <c r="C97" s="8"/>
      <c r="D97" s="111"/>
      <c r="E97" s="111"/>
      <c r="F97" s="111"/>
      <c r="G97" s="111"/>
      <c r="H97" s="111"/>
      <c r="I97" s="173"/>
      <c r="N97" s="4"/>
    </row>
    <row r="98" spans="1:14">
      <c r="A98" s="91">
        <v>507</v>
      </c>
      <c r="C98" s="114" t="s">
        <v>1254</v>
      </c>
      <c r="D98" s="247">
        <v>-96542098</v>
      </c>
      <c r="E98" s="175" t="s">
        <v>1936</v>
      </c>
      <c r="F98" s="171"/>
      <c r="G98" s="171"/>
      <c r="H98" s="171"/>
      <c r="J98" s="26" t="s">
        <v>1255</v>
      </c>
      <c r="N98" s="4">
        <v>507</v>
      </c>
    </row>
    <row r="99" spans="1:14">
      <c r="A99" s="91"/>
      <c r="C99" s="114"/>
      <c r="D99" s="175"/>
      <c r="E99" s="175"/>
      <c r="F99" s="171"/>
      <c r="G99" s="171"/>
      <c r="H99" s="171"/>
      <c r="I99" s="26"/>
      <c r="N99" s="4"/>
    </row>
    <row r="100" spans="1:14">
      <c r="A100" s="91"/>
      <c r="B100" s="79" t="s">
        <v>1256</v>
      </c>
      <c r="C100" s="117"/>
      <c r="D100" s="185"/>
      <c r="E100" s="185"/>
      <c r="F100" s="181"/>
      <c r="G100" s="181"/>
      <c r="H100" s="181"/>
      <c r="I100" s="186"/>
      <c r="J100" s="103"/>
      <c r="K100" s="43"/>
      <c r="L100" s="43"/>
      <c r="M100" s="43"/>
      <c r="N100" s="4"/>
    </row>
    <row r="101" spans="1:14">
      <c r="A101" s="91"/>
      <c r="B101" s="8"/>
      <c r="C101" s="83" t="s">
        <v>122</v>
      </c>
      <c r="D101" s="83" t="s">
        <v>123</v>
      </c>
      <c r="E101" s="83" t="s">
        <v>124</v>
      </c>
      <c r="F101" s="83" t="s">
        <v>125</v>
      </c>
      <c r="G101" s="83" t="s">
        <v>490</v>
      </c>
      <c r="H101" s="83" t="s">
        <v>491</v>
      </c>
      <c r="I101" s="83" t="s">
        <v>492</v>
      </c>
      <c r="J101" s="83" t="s">
        <v>493</v>
      </c>
      <c r="N101" s="4"/>
    </row>
    <row r="102" spans="1:14">
      <c r="A102" s="91"/>
      <c r="B102" s="8"/>
      <c r="C102" s="114"/>
      <c r="D102" s="187" t="s">
        <v>1257</v>
      </c>
      <c r="E102" s="187" t="s">
        <v>1258</v>
      </c>
      <c r="F102" s="171"/>
      <c r="G102" s="171"/>
      <c r="H102" s="187" t="s">
        <v>1259</v>
      </c>
      <c r="I102" s="188" t="s">
        <v>1260</v>
      </c>
      <c r="J102" s="187" t="s">
        <v>1261</v>
      </c>
      <c r="N102" s="4"/>
    </row>
    <row r="103" spans="1:14">
      <c r="A103" s="91"/>
      <c r="B103" s="8"/>
      <c r="C103" s="114"/>
      <c r="D103" s="175"/>
      <c r="E103" s="175"/>
      <c r="F103" s="171"/>
      <c r="G103" s="171"/>
      <c r="H103" s="171"/>
      <c r="I103" s="9"/>
      <c r="J103" s="8"/>
      <c r="N103" s="4"/>
    </row>
    <row r="104" spans="1:14">
      <c r="A104" s="91"/>
      <c r="B104" s="8"/>
      <c r="C104" s="118"/>
      <c r="D104" s="187" t="s">
        <v>1262</v>
      </c>
      <c r="E104" s="187" t="s">
        <v>1263</v>
      </c>
      <c r="F104" s="187"/>
      <c r="G104" s="187" t="s">
        <v>1264</v>
      </c>
      <c r="H104" s="187" t="s">
        <v>1265</v>
      </c>
      <c r="I104" s="91" t="s">
        <v>1266</v>
      </c>
      <c r="J104" s="91" t="s">
        <v>1267</v>
      </c>
      <c r="N104" s="4"/>
    </row>
    <row r="105" spans="1:14">
      <c r="A105" s="80" t="s">
        <v>90</v>
      </c>
      <c r="B105" s="80" t="s">
        <v>512</v>
      </c>
      <c r="C105" s="118" t="s">
        <v>1268</v>
      </c>
      <c r="D105" s="189" t="s">
        <v>1269</v>
      </c>
      <c r="E105" s="189" t="s">
        <v>1270</v>
      </c>
      <c r="F105" s="189" t="s">
        <v>1271</v>
      </c>
      <c r="G105" s="189" t="s">
        <v>1272</v>
      </c>
      <c r="H105" s="189" t="s">
        <v>1273</v>
      </c>
      <c r="I105" s="80" t="s">
        <v>1274</v>
      </c>
      <c r="J105" s="80" t="s">
        <v>1275</v>
      </c>
      <c r="N105" s="80" t="s">
        <v>90</v>
      </c>
    </row>
    <row r="106" spans="1:14">
      <c r="A106" s="91">
        <v>600</v>
      </c>
      <c r="B106" s="8"/>
      <c r="C106" s="190" t="s">
        <v>1276</v>
      </c>
      <c r="D106" s="250"/>
      <c r="E106" s="124">
        <v>-2930469780.5325403</v>
      </c>
      <c r="F106" s="171"/>
      <c r="G106" s="34">
        <v>365</v>
      </c>
      <c r="H106" s="191">
        <v>1</v>
      </c>
      <c r="I106" s="192"/>
      <c r="J106" s="252">
        <v>-2930469780.5325403</v>
      </c>
      <c r="N106" s="4">
        <v>600</v>
      </c>
    </row>
    <row r="107" spans="1:14">
      <c r="A107" s="91">
        <v>601</v>
      </c>
      <c r="B107" s="18">
        <v>2021</v>
      </c>
      <c r="C107" s="190" t="s">
        <v>522</v>
      </c>
      <c r="D107" s="124">
        <v>4985038.571572979</v>
      </c>
      <c r="E107" s="124">
        <v>-2925484741.9609675</v>
      </c>
      <c r="F107" s="34">
        <v>31</v>
      </c>
      <c r="G107" s="34">
        <v>335</v>
      </c>
      <c r="H107" s="191">
        <v>0.9178082191780822</v>
      </c>
      <c r="I107" s="251">
        <v>4575309.3739094464</v>
      </c>
      <c r="J107" s="128">
        <v>-2925894471.1586308</v>
      </c>
      <c r="N107" s="4">
        <v>601</v>
      </c>
    </row>
    <row r="108" spans="1:14">
      <c r="A108" s="91">
        <v>602</v>
      </c>
      <c r="B108" s="18">
        <v>2021</v>
      </c>
      <c r="C108" s="190" t="s">
        <v>523</v>
      </c>
      <c r="D108" s="124">
        <v>4985038.571572979</v>
      </c>
      <c r="E108" s="124">
        <v>-2920499703.3893948</v>
      </c>
      <c r="F108" s="190">
        <v>28</v>
      </c>
      <c r="G108" s="34">
        <v>307</v>
      </c>
      <c r="H108" s="191">
        <v>0.84109589041095889</v>
      </c>
      <c r="I108" s="251">
        <v>4192895.4560901495</v>
      </c>
      <c r="J108" s="128">
        <v>-2921701575.7025409</v>
      </c>
      <c r="N108" s="4">
        <v>602</v>
      </c>
    </row>
    <row r="109" spans="1:14">
      <c r="A109" s="91">
        <v>603</v>
      </c>
      <c r="B109" s="18">
        <v>2021</v>
      </c>
      <c r="C109" s="190" t="s">
        <v>524</v>
      </c>
      <c r="D109" s="124">
        <v>4985038.571572979</v>
      </c>
      <c r="E109" s="124">
        <v>-2915514664.817822</v>
      </c>
      <c r="F109" s="34">
        <v>31</v>
      </c>
      <c r="G109" s="34">
        <v>276</v>
      </c>
      <c r="H109" s="191">
        <v>0.75616438356164384</v>
      </c>
      <c r="I109" s="251">
        <v>3769508.6185044991</v>
      </c>
      <c r="J109" s="128">
        <v>-2917932067.0840364</v>
      </c>
      <c r="N109" s="4">
        <v>603</v>
      </c>
    </row>
    <row r="110" spans="1:14">
      <c r="A110" s="91">
        <v>604</v>
      </c>
      <c r="B110" s="18">
        <v>2021</v>
      </c>
      <c r="C110" s="190" t="s">
        <v>525</v>
      </c>
      <c r="D110" s="124">
        <v>4985038.571572979</v>
      </c>
      <c r="E110" s="124">
        <v>-2910529626.2462492</v>
      </c>
      <c r="F110" s="34">
        <v>30</v>
      </c>
      <c r="G110" s="34">
        <v>246</v>
      </c>
      <c r="H110" s="191">
        <v>0.67397260273972603</v>
      </c>
      <c r="I110" s="251">
        <v>3359779.4208409665</v>
      </c>
      <c r="J110" s="128">
        <v>-2914572287.6631956</v>
      </c>
      <c r="N110" s="4">
        <v>604</v>
      </c>
    </row>
    <row r="111" spans="1:14">
      <c r="A111" s="91">
        <v>605</v>
      </c>
      <c r="B111" s="18">
        <v>2021</v>
      </c>
      <c r="C111" s="190" t="s">
        <v>526</v>
      </c>
      <c r="D111" s="124">
        <v>4985038.571572979</v>
      </c>
      <c r="E111" s="124">
        <v>-2905544587.6746764</v>
      </c>
      <c r="F111" s="34">
        <v>31</v>
      </c>
      <c r="G111" s="34">
        <v>215</v>
      </c>
      <c r="H111" s="191">
        <v>0.58904109589041098</v>
      </c>
      <c r="I111" s="251">
        <v>2936392.5832553166</v>
      </c>
      <c r="J111" s="128">
        <v>-2911635895.0799403</v>
      </c>
      <c r="N111" s="4">
        <v>605</v>
      </c>
    </row>
    <row r="112" spans="1:14">
      <c r="A112" s="91">
        <v>606</v>
      </c>
      <c r="B112" s="18">
        <v>2021</v>
      </c>
      <c r="C112" s="190" t="s">
        <v>812</v>
      </c>
      <c r="D112" s="124">
        <v>4985038.571572979</v>
      </c>
      <c r="E112" s="124">
        <v>-2900559549.1031036</v>
      </c>
      <c r="F112" s="34">
        <v>30</v>
      </c>
      <c r="G112" s="34">
        <v>185</v>
      </c>
      <c r="H112" s="191">
        <v>0.50684931506849318</v>
      </c>
      <c r="I112" s="251">
        <v>2526663.385591784</v>
      </c>
      <c r="J112" s="128">
        <v>-2909109231.6943483</v>
      </c>
      <c r="N112" s="4">
        <v>606</v>
      </c>
    </row>
    <row r="113" spans="1:14">
      <c r="A113" s="91">
        <v>607</v>
      </c>
      <c r="B113" s="18">
        <v>2021</v>
      </c>
      <c r="C113" s="190" t="s">
        <v>528</v>
      </c>
      <c r="D113" s="124">
        <v>4985038.571572979</v>
      </c>
      <c r="E113" s="124">
        <v>-2895574510.5315309</v>
      </c>
      <c r="F113" s="34">
        <v>31</v>
      </c>
      <c r="G113" s="34">
        <v>154</v>
      </c>
      <c r="H113" s="191">
        <v>0.42191780821917807</v>
      </c>
      <c r="I113" s="251">
        <v>2103276.5480061336</v>
      </c>
      <c r="J113" s="128">
        <v>-2907005955.1463423</v>
      </c>
      <c r="N113" s="4">
        <v>607</v>
      </c>
    </row>
    <row r="114" spans="1:14">
      <c r="A114" s="91">
        <v>608</v>
      </c>
      <c r="B114" s="18">
        <v>2021</v>
      </c>
      <c r="C114" s="190" t="s">
        <v>529</v>
      </c>
      <c r="D114" s="124">
        <v>4985038.571572979</v>
      </c>
      <c r="E114" s="124">
        <v>-2890589471.9599581</v>
      </c>
      <c r="F114" s="34">
        <v>31</v>
      </c>
      <c r="G114" s="34">
        <v>123</v>
      </c>
      <c r="H114" s="191">
        <v>0.33698630136986302</v>
      </c>
      <c r="I114" s="251">
        <v>1679889.7104204833</v>
      </c>
      <c r="J114" s="128">
        <v>-2905326065.4359217</v>
      </c>
      <c r="N114" s="4">
        <v>608</v>
      </c>
    </row>
    <row r="115" spans="1:14">
      <c r="A115" s="91">
        <v>609</v>
      </c>
      <c r="B115" s="18">
        <v>2021</v>
      </c>
      <c r="C115" s="190" t="s">
        <v>530</v>
      </c>
      <c r="D115" s="124">
        <v>4985038.571572979</v>
      </c>
      <c r="E115" s="124">
        <v>-2885604433.3883853</v>
      </c>
      <c r="F115" s="34">
        <v>30</v>
      </c>
      <c r="G115" s="34">
        <v>93</v>
      </c>
      <c r="H115" s="191">
        <v>0.25479452054794521</v>
      </c>
      <c r="I115" s="251">
        <v>1270160.5127569509</v>
      </c>
      <c r="J115" s="128">
        <v>-2904055904.9231648</v>
      </c>
      <c r="N115" s="4">
        <v>609</v>
      </c>
    </row>
    <row r="116" spans="1:14">
      <c r="A116" s="91">
        <v>610</v>
      </c>
      <c r="B116" s="18">
        <v>2021</v>
      </c>
      <c r="C116" s="190" t="s">
        <v>531</v>
      </c>
      <c r="D116" s="124">
        <v>4985038.571572979</v>
      </c>
      <c r="E116" s="124">
        <v>-2880619394.8168125</v>
      </c>
      <c r="F116" s="34">
        <v>31</v>
      </c>
      <c r="G116" s="34">
        <v>62</v>
      </c>
      <c r="H116" s="191">
        <v>0.16986301369863013</v>
      </c>
      <c r="I116" s="251">
        <v>846773.67517130054</v>
      </c>
      <c r="J116" s="128">
        <v>-2903209131.2479935</v>
      </c>
      <c r="N116" s="4">
        <v>610</v>
      </c>
    </row>
    <row r="117" spans="1:14">
      <c r="A117" s="91">
        <v>611</v>
      </c>
      <c r="B117" s="18">
        <v>2021</v>
      </c>
      <c r="C117" s="190" t="s">
        <v>532</v>
      </c>
      <c r="D117" s="124">
        <v>4985038.571572979</v>
      </c>
      <c r="E117" s="124">
        <v>-2875634356.2452397</v>
      </c>
      <c r="F117" s="34">
        <v>30</v>
      </c>
      <c r="G117" s="34">
        <v>32</v>
      </c>
      <c r="H117" s="191">
        <v>8.7671232876712329E-2</v>
      </c>
      <c r="I117" s="251">
        <v>437044.47750776802</v>
      </c>
      <c r="J117" s="128">
        <v>-2902772086.7704859</v>
      </c>
      <c r="N117" s="4">
        <v>611</v>
      </c>
    </row>
    <row r="118" spans="1:14">
      <c r="A118" s="91">
        <v>612</v>
      </c>
      <c r="B118" s="18">
        <v>2021</v>
      </c>
      <c r="C118" s="190" t="s">
        <v>520</v>
      </c>
      <c r="D118" s="124">
        <v>4985038.571572979</v>
      </c>
      <c r="E118" s="124">
        <v>-2870649317.673667</v>
      </c>
      <c r="F118" s="34">
        <v>31</v>
      </c>
      <c r="G118" s="34">
        <v>1</v>
      </c>
      <c r="H118" s="191">
        <v>2.7397260273972603E-3</v>
      </c>
      <c r="I118" s="251">
        <v>13657.639922117751</v>
      </c>
      <c r="J118" s="253">
        <v>-2902758429.1305637</v>
      </c>
      <c r="N118" s="4">
        <v>612</v>
      </c>
    </row>
    <row r="119" spans="1:14">
      <c r="A119" s="91">
        <v>613</v>
      </c>
      <c r="B119" s="8"/>
      <c r="C119" s="190" t="s">
        <v>1277</v>
      </c>
      <c r="D119" s="124"/>
      <c r="E119" s="124">
        <v>-2870649317.6736646</v>
      </c>
      <c r="F119" s="171"/>
      <c r="G119" s="171"/>
      <c r="H119" s="171"/>
      <c r="I119" s="9"/>
      <c r="J119" s="254"/>
      <c r="N119" s="4">
        <v>613</v>
      </c>
    </row>
    <row r="120" spans="1:14">
      <c r="A120" s="91">
        <v>614</v>
      </c>
      <c r="B120" s="8"/>
      <c r="C120" s="114"/>
      <c r="D120" s="175"/>
      <c r="E120" s="175"/>
      <c r="F120" s="171"/>
      <c r="G120" s="171"/>
      <c r="H120" s="171"/>
      <c r="I120" s="194" t="s">
        <v>1278</v>
      </c>
      <c r="J120" s="301">
        <v>-2902758429.1305637</v>
      </c>
      <c r="N120" s="4">
        <v>614</v>
      </c>
    </row>
    <row r="121" spans="1:14">
      <c r="A121" s="21"/>
      <c r="C121" s="8"/>
      <c r="K121" s="4"/>
    </row>
    <row r="122" spans="1:14">
      <c r="A122" s="21"/>
      <c r="B122" s="123" t="s">
        <v>674</v>
      </c>
      <c r="K122" s="4"/>
    </row>
    <row r="123" spans="1:14">
      <c r="A123" s="21"/>
      <c r="B123" s="747" t="s">
        <v>1279</v>
      </c>
      <c r="C123" s="747"/>
      <c r="D123" s="747"/>
      <c r="E123" s="747"/>
      <c r="F123" s="747"/>
      <c r="G123" s="747"/>
      <c r="H123" s="747"/>
      <c r="I123" s="747"/>
      <c r="J123" s="747"/>
      <c r="K123" s="4"/>
    </row>
    <row r="124" spans="1:14">
      <c r="A124" s="21"/>
      <c r="B124" s="747" t="s">
        <v>1280</v>
      </c>
      <c r="C124" s="747"/>
      <c r="D124" s="747"/>
      <c r="E124" s="747"/>
      <c r="F124" s="747"/>
      <c r="G124" s="747"/>
      <c r="H124" s="747"/>
      <c r="I124" s="747"/>
      <c r="J124" s="747"/>
      <c r="K124" s="4"/>
    </row>
    <row r="125" spans="1:14">
      <c r="B125" s="8" t="s">
        <v>1281</v>
      </c>
    </row>
    <row r="126" spans="1:14">
      <c r="B126" s="8" t="s">
        <v>1282</v>
      </c>
    </row>
  </sheetData>
  <protectedRanges>
    <protectedRange password="F1C4" sqref="D13:D14 D16 D21 F18 D18:E20 D22:F27 B7:C27 E14:E17 D48:D49 D69:D70 D86:D87 J50:J53 J89:J90 J28:J37 J72:J75 J55" name="AAReport1_23_1_1_2"/>
    <protectedRange password="F1C4" sqref="F29:F30" name="AAReport1_23_1_1_2_1"/>
    <protectedRange password="F1C4" sqref="D17" name="AAReport1_23_1_1_2_2"/>
    <protectedRange password="F1C4" sqref="J54" name="AAReport1_23_1_1_2_3"/>
  </protectedRanges>
  <mergeCells count="2">
    <mergeCell ref="B123:J123"/>
    <mergeCell ref="B124:J124"/>
  </mergeCells>
  <conditionalFormatting sqref="B76 D76">
    <cfRule type="expression" dxfId="4" priority="5" stopIfTrue="1">
      <formula>Formulas</formula>
    </cfRule>
  </conditionalFormatting>
  <conditionalFormatting sqref="C72:C75">
    <cfRule type="expression" dxfId="3" priority="3" stopIfTrue="1">
      <formula>#REF!&lt;&gt;""</formula>
    </cfRule>
  </conditionalFormatting>
  <conditionalFormatting sqref="C76">
    <cfRule type="expression" dxfId="2" priority="4" stopIfTrue="1">
      <formula>#REF!&lt;&gt;""</formula>
    </cfRule>
  </conditionalFormatting>
  <conditionalFormatting sqref="C89">
    <cfRule type="expression" dxfId="1" priority="2" stopIfTrue="1">
      <formula>#REF!&lt;&gt;""</formula>
    </cfRule>
  </conditionalFormatting>
  <conditionalFormatting sqref="C90:C92">
    <cfRule type="expression" dxfId="0" priority="1" stopIfTrue="1">
      <formula>#REF!&lt;&gt;""</formula>
    </cfRule>
  </conditionalFormatting>
  <printOptions horizontalCentered="1"/>
  <pageMargins left="1" right="1" top="1" bottom="1" header="0.5" footer="0.5"/>
  <pageSetup scale="25" orientation="landscape" r:id="rId1"/>
  <headerFooter>
    <oddHeader>&amp;RDocket No. ER20-2878-000, et al.- Annual Update RY2024
&amp;F</oddHeader>
  </headerFooter>
  <rowBreaks count="1" manualBreakCount="1">
    <brk id="65"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I42"/>
  <sheetViews>
    <sheetView view="pageBreakPreview" zoomScale="40" zoomScaleNormal="100" zoomScaleSheetLayoutView="40" workbookViewId="0">
      <selection activeCell="W98" sqref="W98"/>
    </sheetView>
  </sheetViews>
  <sheetFormatPr defaultRowHeight="14.5"/>
  <cols>
    <col min="1" max="1" width="19.7265625" customWidth="1"/>
    <col min="2" max="2" width="26.453125" bestFit="1" customWidth="1"/>
    <col min="3" max="3" width="28.54296875" bestFit="1" customWidth="1"/>
    <col min="4" max="4" width="97.26953125" bestFit="1" customWidth="1"/>
  </cols>
  <sheetData>
    <row r="1" spans="1:9">
      <c r="A1" s="2" t="s">
        <v>66</v>
      </c>
    </row>
    <row r="3" spans="1:9">
      <c r="A3" s="2" t="s">
        <v>67</v>
      </c>
    </row>
    <row r="4" spans="1:9" ht="28.5" customHeight="1">
      <c r="A4" s="735" t="s">
        <v>68</v>
      </c>
      <c r="B4" s="735"/>
      <c r="C4" s="735"/>
      <c r="D4" s="735"/>
      <c r="E4" s="34"/>
      <c r="F4" s="34"/>
      <c r="G4" s="34"/>
      <c r="H4" s="34"/>
      <c r="I4" s="34"/>
    </row>
    <row r="6" spans="1:9">
      <c r="A6" s="2" t="s">
        <v>69</v>
      </c>
    </row>
    <row r="7" spans="1:9">
      <c r="A7" s="735" t="s">
        <v>70</v>
      </c>
      <c r="B7" s="735"/>
      <c r="C7" s="735"/>
      <c r="D7" s="735"/>
      <c r="E7" s="34"/>
      <c r="F7" s="34"/>
      <c r="G7" s="34"/>
      <c r="H7" s="34"/>
      <c r="I7" s="34"/>
    </row>
    <row r="9" spans="1:9">
      <c r="A9" s="2" t="s">
        <v>71</v>
      </c>
    </row>
    <row r="10" spans="1:9" ht="29.25" customHeight="1">
      <c r="A10" s="735" t="s">
        <v>72</v>
      </c>
      <c r="B10" s="735"/>
      <c r="C10" s="735"/>
      <c r="D10" s="735"/>
      <c r="E10" s="34"/>
      <c r="F10" s="34"/>
      <c r="G10" s="34"/>
      <c r="H10" s="34"/>
      <c r="I10" s="34"/>
    </row>
    <row r="12" spans="1:9">
      <c r="A12" s="2" t="s">
        <v>73</v>
      </c>
    </row>
    <row r="13" spans="1:9" ht="45.75" customHeight="1">
      <c r="A13" s="735" t="s">
        <v>74</v>
      </c>
      <c r="B13" s="735"/>
      <c r="C13" s="735"/>
      <c r="D13" s="735"/>
      <c r="E13" s="34"/>
      <c r="F13" s="34"/>
      <c r="G13" s="34"/>
      <c r="H13" s="34"/>
      <c r="I13" s="34"/>
    </row>
    <row r="15" spans="1:9">
      <c r="A15" s="2" t="s">
        <v>75</v>
      </c>
    </row>
    <row r="16" spans="1:9" ht="30" customHeight="1">
      <c r="A16" s="735" t="s">
        <v>76</v>
      </c>
      <c r="B16" s="735"/>
      <c r="C16" s="735"/>
      <c r="D16" s="735"/>
      <c r="E16" s="34"/>
      <c r="F16" s="34"/>
      <c r="G16" s="34"/>
      <c r="H16" s="34"/>
      <c r="I16" s="34"/>
    </row>
    <row r="17" spans="1:9">
      <c r="A17" s="237"/>
      <c r="B17" s="237"/>
      <c r="C17" s="237"/>
      <c r="D17" s="237"/>
      <c r="E17" s="237"/>
      <c r="F17" s="237"/>
      <c r="G17" s="237"/>
      <c r="H17" s="237"/>
      <c r="I17" s="237"/>
    </row>
    <row r="18" spans="1:9" ht="30.75" customHeight="1">
      <c r="A18" s="735" t="s">
        <v>77</v>
      </c>
      <c r="B18" s="735"/>
      <c r="C18" s="735"/>
      <c r="D18" s="735"/>
      <c r="E18" s="34"/>
      <c r="F18" s="34"/>
      <c r="G18" s="34"/>
      <c r="H18" s="34"/>
      <c r="I18" s="34"/>
    </row>
    <row r="20" spans="1:9">
      <c r="A20" s="2" t="s">
        <v>78</v>
      </c>
    </row>
    <row r="21" spans="1:9">
      <c r="A21" s="238" t="s">
        <v>79</v>
      </c>
      <c r="B21" s="238" t="s">
        <v>80</v>
      </c>
      <c r="C21" s="238" t="s">
        <v>81</v>
      </c>
      <c r="D21" s="238" t="s">
        <v>82</v>
      </c>
    </row>
    <row r="22" spans="1:9">
      <c r="A22" s="241" t="s">
        <v>83</v>
      </c>
      <c r="B22" s="241" t="s">
        <v>84</v>
      </c>
      <c r="C22" s="241" t="s">
        <v>85</v>
      </c>
      <c r="D22" s="241"/>
    </row>
    <row r="23" spans="1:9">
      <c r="A23" s="240"/>
      <c r="B23" s="240"/>
      <c r="C23" s="240"/>
      <c r="D23" s="240"/>
    </row>
    <row r="24" spans="1:9">
      <c r="A24" s="241" t="s">
        <v>86</v>
      </c>
      <c r="B24" s="241" t="s">
        <v>87</v>
      </c>
      <c r="C24" s="241" t="s">
        <v>88</v>
      </c>
      <c r="D24" s="241"/>
    </row>
    <row r="25" spans="1:9">
      <c r="A25" s="240"/>
      <c r="B25" s="240"/>
      <c r="C25" s="240" t="s">
        <v>89</v>
      </c>
      <c r="D25" s="240"/>
    </row>
    <row r="26" spans="1:9">
      <c r="A26" s="241" t="s">
        <v>90</v>
      </c>
      <c r="B26" s="241" t="s">
        <v>91</v>
      </c>
      <c r="C26" s="241" t="s">
        <v>92</v>
      </c>
      <c r="D26" s="241" t="s">
        <v>93</v>
      </c>
    </row>
    <row r="27" spans="1:9">
      <c r="A27" s="240" t="s">
        <v>94</v>
      </c>
      <c r="B27" s="240"/>
      <c r="C27" s="240"/>
      <c r="D27" s="240"/>
    </row>
    <row r="28" spans="1:9">
      <c r="A28" s="241" t="s">
        <v>90</v>
      </c>
      <c r="B28" s="241" t="s">
        <v>95</v>
      </c>
      <c r="C28" s="241" t="s">
        <v>96</v>
      </c>
      <c r="D28" s="241" t="s">
        <v>97</v>
      </c>
    </row>
    <row r="29" spans="1:9">
      <c r="A29" s="240" t="s">
        <v>98</v>
      </c>
      <c r="B29" s="240"/>
      <c r="C29" s="240"/>
      <c r="D29" s="240"/>
    </row>
    <row r="30" spans="1:9">
      <c r="A30" s="241" t="s">
        <v>99</v>
      </c>
      <c r="B30" s="241" t="s">
        <v>100</v>
      </c>
      <c r="C30" s="241" t="s">
        <v>101</v>
      </c>
      <c r="D30" s="241"/>
    </row>
    <row r="31" spans="1:9">
      <c r="A31" s="239"/>
      <c r="B31" s="239"/>
      <c r="C31" s="239" t="s">
        <v>102</v>
      </c>
      <c r="D31" s="239"/>
    </row>
    <row r="32" spans="1:9">
      <c r="A32" s="240"/>
      <c r="B32" s="240"/>
      <c r="C32" s="240" t="s">
        <v>103</v>
      </c>
      <c r="D32" s="240"/>
    </row>
    <row r="33" spans="1:4">
      <c r="A33" s="241" t="s">
        <v>104</v>
      </c>
      <c r="B33" s="241" t="s">
        <v>105</v>
      </c>
      <c r="C33" s="241" t="s">
        <v>106</v>
      </c>
      <c r="D33" s="241" t="s">
        <v>107</v>
      </c>
    </row>
    <row r="34" spans="1:4">
      <c r="A34" s="240"/>
      <c r="B34" s="240"/>
      <c r="C34" s="240" t="s">
        <v>108</v>
      </c>
      <c r="D34" s="240"/>
    </row>
    <row r="35" spans="1:4">
      <c r="A35" s="241" t="s">
        <v>6</v>
      </c>
      <c r="B35" s="241" t="s">
        <v>109</v>
      </c>
      <c r="C35" s="241" t="s">
        <v>36</v>
      </c>
      <c r="D35" s="241" t="s">
        <v>110</v>
      </c>
    </row>
    <row r="36" spans="1:4">
      <c r="A36" s="240"/>
      <c r="B36" s="240"/>
      <c r="C36" s="240"/>
      <c r="D36" s="240"/>
    </row>
    <row r="37" spans="1:4">
      <c r="A37" s="241" t="s">
        <v>111</v>
      </c>
      <c r="B37" s="241" t="s">
        <v>112</v>
      </c>
      <c r="C37" s="241" t="s">
        <v>113</v>
      </c>
      <c r="D37" s="241" t="s">
        <v>114</v>
      </c>
    </row>
    <row r="38" spans="1:4">
      <c r="A38" s="239"/>
      <c r="B38" s="239"/>
      <c r="C38" s="239"/>
      <c r="D38" s="239"/>
    </row>
    <row r="39" spans="1:4">
      <c r="A39" s="239"/>
      <c r="B39" s="239"/>
      <c r="C39" s="239" t="s">
        <v>115</v>
      </c>
      <c r="D39" s="239"/>
    </row>
    <row r="40" spans="1:4">
      <c r="A40" s="240"/>
      <c r="B40" s="240"/>
      <c r="C40" s="240"/>
      <c r="D40" s="240"/>
    </row>
    <row r="41" spans="1:4">
      <c r="A41" s="241" t="s">
        <v>116</v>
      </c>
      <c r="B41" s="653" t="s">
        <v>117</v>
      </c>
      <c r="C41" s="294" t="s">
        <v>117</v>
      </c>
      <c r="D41" s="733" t="s">
        <v>118</v>
      </c>
    </row>
    <row r="42" spans="1:4">
      <c r="A42" s="240"/>
      <c r="B42" s="295"/>
      <c r="C42" s="240"/>
      <c r="D42" s="734"/>
    </row>
  </sheetData>
  <mergeCells count="7">
    <mergeCell ref="D41:D42"/>
    <mergeCell ref="A16:D16"/>
    <mergeCell ref="A18:D18"/>
    <mergeCell ref="A4:D4"/>
    <mergeCell ref="A7:D7"/>
    <mergeCell ref="A10:D10"/>
    <mergeCell ref="A13:D13"/>
  </mergeCells>
  <printOptions horizontalCentered="1"/>
  <pageMargins left="1" right="1" top="1" bottom="1" header="0.5" footer="0.5"/>
  <pageSetup scale="67" orientation="landscape" r:id="rId1"/>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49DE2-ED6C-4C72-BA2C-28D2FBD5F9DB}">
  <sheetPr codeName="Sheet21">
    <pageSetUpPr fitToPage="1"/>
  </sheetPr>
  <dimension ref="A1:BD1012"/>
  <sheetViews>
    <sheetView view="pageBreakPreview" zoomScale="55" zoomScaleNormal="100" zoomScaleSheetLayoutView="55" workbookViewId="0">
      <selection activeCell="W98" sqref="W98"/>
    </sheetView>
  </sheetViews>
  <sheetFormatPr defaultColWidth="10.1796875" defaultRowHeight="14.5"/>
  <cols>
    <col min="1" max="1" width="4.7265625" style="332" bestFit="1" customWidth="1"/>
    <col min="2" max="2" width="45.26953125" style="332" customWidth="1"/>
    <col min="3" max="4" width="14.7265625" style="332" customWidth="1"/>
    <col min="5" max="5" width="5.81640625" style="332" customWidth="1"/>
    <col min="6" max="7" width="14.7265625" style="332" customWidth="1"/>
    <col min="8" max="8" width="4.7265625" style="332" bestFit="1" customWidth="1"/>
    <col min="9" max="16384" width="10.1796875" style="332"/>
  </cols>
  <sheetData>
    <row r="1" spans="1:56">
      <c r="B1" s="336" t="s">
        <v>1283</v>
      </c>
      <c r="G1" s="6" t="str">
        <f>CONCATENATE("Prior Year: ",'1-DRR Corrected'!$K$2)</f>
        <v>Prior Year: 2021</v>
      </c>
    </row>
    <row r="2" spans="1:56">
      <c r="B2" s="78" t="s">
        <v>120</v>
      </c>
    </row>
    <row r="3" spans="1:56">
      <c r="B3" s="105"/>
    </row>
    <row r="4" spans="1:56">
      <c r="A4" s="752" t="s">
        <v>1284</v>
      </c>
      <c r="B4" s="752"/>
      <c r="C4" s="752"/>
      <c r="D4" s="752"/>
      <c r="E4" s="752"/>
      <c r="F4" s="752"/>
      <c r="G4" s="752"/>
    </row>
    <row r="5" spans="1:56">
      <c r="A5" s="753"/>
      <c r="B5" s="753"/>
      <c r="C5" s="753"/>
      <c r="D5" s="753"/>
      <c r="E5" s="753"/>
      <c r="F5" s="753"/>
      <c r="G5" s="753"/>
    </row>
    <row r="7" spans="1:56">
      <c r="C7" s="752" t="s">
        <v>1285</v>
      </c>
      <c r="D7" s="752"/>
      <c r="F7" s="752" t="s">
        <v>1286</v>
      </c>
      <c r="G7" s="752"/>
    </row>
    <row r="8" spans="1:56">
      <c r="C8" s="334" t="s">
        <v>122</v>
      </c>
      <c r="D8" s="334" t="s">
        <v>123</v>
      </c>
      <c r="E8" s="335"/>
      <c r="F8" s="334" t="s">
        <v>124</v>
      </c>
      <c r="G8" s="334" t="s">
        <v>125</v>
      </c>
    </row>
    <row r="10" spans="1:56">
      <c r="C10" s="333" t="s">
        <v>1287</v>
      </c>
      <c r="D10" s="333" t="s">
        <v>1288</v>
      </c>
      <c r="E10" s="336"/>
      <c r="F10" s="333" t="s">
        <v>1287</v>
      </c>
      <c r="G10" s="333" t="s">
        <v>1288</v>
      </c>
    </row>
    <row r="11" spans="1:56">
      <c r="A11" s="337" t="s">
        <v>90</v>
      </c>
      <c r="B11" s="337" t="s">
        <v>1289</v>
      </c>
      <c r="C11" s="337" t="s">
        <v>1290</v>
      </c>
      <c r="D11" s="337" t="s">
        <v>1291</v>
      </c>
      <c r="E11" s="335"/>
      <c r="F11" s="337" t="s">
        <v>1290</v>
      </c>
      <c r="G11" s="337" t="s">
        <v>1291</v>
      </c>
      <c r="H11" s="337" t="s">
        <v>90</v>
      </c>
    </row>
    <row r="12" spans="1:56">
      <c r="A12" s="333"/>
      <c r="C12" s="338"/>
      <c r="D12" s="338"/>
      <c r="E12" s="338"/>
      <c r="F12" s="338"/>
      <c r="G12" s="338"/>
      <c r="H12" s="333"/>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row>
    <row r="13" spans="1:56">
      <c r="A13" s="333">
        <v>100</v>
      </c>
      <c r="B13" s="332" t="s">
        <v>1292</v>
      </c>
      <c r="C13" s="340">
        <v>1.0021145</v>
      </c>
      <c r="D13" s="340">
        <v>0.99789000000000005</v>
      </c>
      <c r="E13" s="338"/>
      <c r="F13" s="340">
        <v>1.0018530000000001</v>
      </c>
      <c r="G13" s="340">
        <v>0.99814999999999998</v>
      </c>
      <c r="H13" s="333">
        <v>100</v>
      </c>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row>
    <row r="14" spans="1:56">
      <c r="A14" s="333"/>
      <c r="C14" s="338"/>
      <c r="D14" s="338"/>
      <c r="E14" s="338"/>
      <c r="F14" s="338"/>
      <c r="G14" s="338"/>
      <c r="H14" s="333"/>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row>
    <row r="15" spans="1:56">
      <c r="A15" s="333">
        <v>101</v>
      </c>
      <c r="B15" s="332" t="s">
        <v>1293</v>
      </c>
      <c r="C15" s="340">
        <v>1.0232026999999999</v>
      </c>
      <c r="D15" s="340">
        <v>0.97732300000000005</v>
      </c>
      <c r="E15" s="338"/>
      <c r="F15" s="340">
        <v>1.0199780000000001</v>
      </c>
      <c r="G15" s="340">
        <v>0.98041299999999998</v>
      </c>
      <c r="H15" s="333">
        <v>101</v>
      </c>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c r="BB15" s="339"/>
      <c r="BC15" s="339"/>
      <c r="BD15" s="339"/>
    </row>
    <row r="16" spans="1:56">
      <c r="A16" s="333"/>
      <c r="C16" s="338"/>
      <c r="D16" s="338"/>
      <c r="E16" s="338"/>
      <c r="F16" s="338"/>
      <c r="G16" s="338"/>
      <c r="H16" s="333"/>
      <c r="I16" s="339"/>
      <c r="J16" s="339"/>
      <c r="K16" s="339"/>
      <c r="L16" s="339"/>
      <c r="M16" s="339"/>
      <c r="N16" s="339"/>
      <c r="O16" s="339"/>
      <c r="P16" s="339"/>
      <c r="Q16" s="339"/>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c r="AV16" s="339"/>
      <c r="AW16" s="339"/>
      <c r="AX16" s="339"/>
      <c r="AY16" s="339"/>
      <c r="AZ16" s="339"/>
      <c r="BA16" s="339"/>
      <c r="BB16" s="339"/>
      <c r="BC16" s="339"/>
      <c r="BD16" s="339"/>
    </row>
    <row r="17" spans="1:56">
      <c r="A17" s="333">
        <v>102</v>
      </c>
      <c r="B17" s="332" t="s">
        <v>1294</v>
      </c>
      <c r="C17" s="340">
        <v>1.0435094</v>
      </c>
      <c r="D17" s="340">
        <v>0.95830499999999996</v>
      </c>
      <c r="E17" s="338"/>
      <c r="F17" s="340">
        <v>1.035974</v>
      </c>
      <c r="G17" s="340">
        <v>0.96527499999999999</v>
      </c>
      <c r="H17" s="333">
        <v>102</v>
      </c>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row>
    <row r="18" spans="1:56">
      <c r="A18" s="333"/>
      <c r="C18" s="338"/>
      <c r="D18" s="338"/>
      <c r="E18" s="338"/>
      <c r="F18" s="338"/>
      <c r="G18" s="338"/>
      <c r="H18" s="333"/>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9"/>
      <c r="AV18" s="339"/>
      <c r="AW18" s="339"/>
      <c r="AX18" s="339"/>
      <c r="AY18" s="339"/>
      <c r="AZ18" s="339"/>
      <c r="BA18" s="339"/>
      <c r="BB18" s="339"/>
      <c r="BC18" s="339"/>
      <c r="BD18" s="339"/>
    </row>
    <row r="19" spans="1:56">
      <c r="A19" s="333"/>
      <c r="B19" s="337" t="s">
        <v>1295</v>
      </c>
      <c r="C19" s="338"/>
      <c r="D19" s="338"/>
      <c r="E19" s="338"/>
      <c r="F19" s="338"/>
      <c r="G19" s="338"/>
      <c r="H19" s="333"/>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39"/>
      <c r="BA19" s="339"/>
      <c r="BB19" s="339"/>
      <c r="BC19" s="339"/>
      <c r="BD19" s="339"/>
    </row>
    <row r="20" spans="1:56">
      <c r="A20" s="333"/>
      <c r="C20" s="338"/>
      <c r="D20" s="338"/>
      <c r="E20" s="338"/>
      <c r="F20" s="338"/>
      <c r="G20" s="338"/>
      <c r="H20" s="333"/>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339"/>
      <c r="BC20" s="339"/>
      <c r="BD20" s="339"/>
    </row>
    <row r="21" spans="1:56">
      <c r="A21" s="333">
        <v>103</v>
      </c>
      <c r="B21" s="332" t="s">
        <v>1296</v>
      </c>
      <c r="C21" s="340">
        <v>1.0741400000000001</v>
      </c>
      <c r="D21" s="340">
        <v>0.93096999999999996</v>
      </c>
      <c r="E21" s="338"/>
      <c r="F21" s="340">
        <v>1.0554699999999999</v>
      </c>
      <c r="G21" s="340">
        <v>0.94745000000000001</v>
      </c>
      <c r="H21" s="333">
        <v>103</v>
      </c>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339"/>
      <c r="BC21" s="339"/>
      <c r="BD21" s="339"/>
    </row>
    <row r="22" spans="1:56">
      <c r="A22" s="333"/>
      <c r="C22" s="338"/>
      <c r="D22" s="338"/>
      <c r="E22" s="338"/>
      <c r="F22" s="338"/>
      <c r="G22" s="338"/>
      <c r="H22" s="333"/>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row>
    <row r="23" spans="1:56">
      <c r="A23" s="333">
        <v>104</v>
      </c>
      <c r="B23" s="332" t="s">
        <v>1297</v>
      </c>
      <c r="C23" s="340">
        <v>1.1384799999999999</v>
      </c>
      <c r="D23" s="340">
        <v>0.87836000000000003</v>
      </c>
      <c r="E23" s="338"/>
      <c r="F23" s="340">
        <v>1.1076999999999999</v>
      </c>
      <c r="G23" s="340">
        <v>0.90276999999999996</v>
      </c>
      <c r="H23" s="333">
        <v>104</v>
      </c>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339"/>
      <c r="BB23" s="339"/>
      <c r="BC23" s="339"/>
      <c r="BD23" s="339"/>
    </row>
    <row r="24" spans="1:56">
      <c r="C24" s="339"/>
      <c r="D24" s="338"/>
      <c r="E24" s="338"/>
      <c r="F24" s="338"/>
      <c r="G24" s="338"/>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39"/>
      <c r="AK24" s="339"/>
      <c r="AL24" s="339"/>
      <c r="AM24" s="339"/>
      <c r="AN24" s="339"/>
      <c r="AO24" s="339"/>
      <c r="AP24" s="339"/>
      <c r="AQ24" s="339"/>
      <c r="AR24" s="339"/>
      <c r="AS24" s="339"/>
      <c r="AT24" s="339"/>
      <c r="AU24" s="339"/>
      <c r="AV24" s="339"/>
      <c r="AW24" s="339"/>
      <c r="AX24" s="339"/>
      <c r="AY24" s="339"/>
      <c r="AZ24" s="339"/>
      <c r="BA24" s="339"/>
      <c r="BB24" s="339"/>
      <c r="BC24" s="339"/>
      <c r="BD24" s="339"/>
    </row>
    <row r="25" spans="1:56">
      <c r="C25" s="339"/>
      <c r="D25" s="338"/>
      <c r="E25" s="338"/>
      <c r="F25" s="338"/>
      <c r="G25" s="338"/>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9"/>
      <c r="BC25" s="339"/>
      <c r="BD25" s="339"/>
    </row>
    <row r="26" spans="1:56" ht="15" customHeight="1">
      <c r="B26" s="751" t="s">
        <v>1298</v>
      </c>
      <c r="C26" s="751"/>
      <c r="D26" s="751"/>
      <c r="E26" s="751"/>
      <c r="F26" s="751"/>
      <c r="G26" s="751"/>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9"/>
      <c r="BC26" s="339"/>
      <c r="BD26" s="339"/>
    </row>
    <row r="27" spans="1:56">
      <c r="B27" s="751"/>
      <c r="C27" s="751"/>
      <c r="D27" s="751"/>
      <c r="E27" s="751"/>
      <c r="F27" s="751"/>
      <c r="G27" s="751"/>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B27" s="339"/>
      <c r="BC27" s="339"/>
      <c r="BD27" s="339"/>
    </row>
    <row r="28" spans="1:56" ht="15" customHeight="1">
      <c r="B28" s="751" t="s">
        <v>1299</v>
      </c>
      <c r="C28" s="751"/>
      <c r="D28" s="751"/>
      <c r="E28" s="751"/>
      <c r="F28" s="751"/>
      <c r="G28" s="751"/>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39"/>
      <c r="AV28" s="339"/>
      <c r="AW28" s="339"/>
      <c r="AX28" s="339"/>
      <c r="AY28" s="339"/>
      <c r="AZ28" s="339"/>
      <c r="BA28" s="339"/>
      <c r="BB28" s="339"/>
      <c r="BC28" s="339"/>
      <c r="BD28" s="339"/>
    </row>
    <row r="29" spans="1:56">
      <c r="B29" s="751"/>
      <c r="C29" s="751"/>
      <c r="D29" s="751"/>
      <c r="E29" s="751"/>
      <c r="F29" s="751"/>
      <c r="G29" s="751"/>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9"/>
      <c r="BC29" s="339"/>
      <c r="BD29" s="339"/>
    </row>
    <row r="30" spans="1:56">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339"/>
      <c r="AG30" s="339"/>
      <c r="AH30" s="339"/>
      <c r="AI30" s="339"/>
      <c r="AJ30" s="339"/>
      <c r="AK30" s="339"/>
      <c r="AL30" s="339"/>
      <c r="AM30" s="339"/>
      <c r="AN30" s="339"/>
      <c r="AO30" s="339"/>
      <c r="AP30" s="339"/>
      <c r="AQ30" s="339"/>
      <c r="AR30" s="339"/>
      <c r="AS30" s="339"/>
      <c r="AT30" s="339"/>
      <c r="AU30" s="339"/>
      <c r="AV30" s="339"/>
      <c r="AW30" s="339"/>
      <c r="AX30" s="339"/>
      <c r="AY30" s="339"/>
      <c r="AZ30" s="339"/>
      <c r="BA30" s="339"/>
      <c r="BB30" s="339"/>
      <c r="BC30" s="339"/>
      <c r="BD30" s="339"/>
    </row>
    <row r="31" spans="1:56">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39"/>
      <c r="AO31" s="339"/>
      <c r="AP31" s="339"/>
      <c r="AQ31" s="339"/>
      <c r="AR31" s="339"/>
      <c r="AS31" s="339"/>
      <c r="AT31" s="339"/>
      <c r="AU31" s="339"/>
      <c r="AV31" s="339"/>
      <c r="AW31" s="339"/>
      <c r="AX31" s="339"/>
      <c r="AY31" s="339"/>
      <c r="AZ31" s="339"/>
      <c r="BA31" s="339"/>
      <c r="BB31" s="339"/>
      <c r="BC31" s="339"/>
      <c r="BD31" s="339"/>
    </row>
    <row r="32" spans="1:56">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c r="AG32" s="339"/>
      <c r="AH32" s="339"/>
      <c r="AI32" s="339"/>
      <c r="AJ32" s="339"/>
      <c r="AK32" s="339"/>
      <c r="AL32" s="339"/>
      <c r="AM32" s="339"/>
      <c r="AN32" s="339"/>
      <c r="AO32" s="339"/>
      <c r="AP32" s="339"/>
      <c r="AQ32" s="339"/>
      <c r="AR32" s="339"/>
      <c r="AS32" s="339"/>
      <c r="AT32" s="339"/>
      <c r="AU32" s="339"/>
      <c r="AV32" s="339"/>
      <c r="AW32" s="339"/>
      <c r="AX32" s="339"/>
      <c r="AY32" s="339"/>
      <c r="AZ32" s="339"/>
      <c r="BA32" s="339"/>
      <c r="BB32" s="339"/>
      <c r="BC32" s="339"/>
      <c r="BD32" s="339"/>
    </row>
    <row r="33" spans="3:56">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39"/>
      <c r="AV33" s="339"/>
      <c r="AW33" s="339"/>
      <c r="AX33" s="339"/>
      <c r="AY33" s="339"/>
      <c r="AZ33" s="339"/>
      <c r="BA33" s="339"/>
      <c r="BB33" s="339"/>
      <c r="BC33" s="339"/>
      <c r="BD33" s="339"/>
    </row>
    <row r="34" spans="3:56">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339"/>
      <c r="AX34" s="339"/>
      <c r="AY34" s="339"/>
      <c r="AZ34" s="339"/>
      <c r="BA34" s="339"/>
      <c r="BB34" s="339"/>
      <c r="BC34" s="339"/>
      <c r="BD34" s="339"/>
    </row>
    <row r="35" spans="3:56">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9"/>
      <c r="AY35" s="339"/>
      <c r="AZ35" s="339"/>
      <c r="BA35" s="339"/>
      <c r="BB35" s="339"/>
      <c r="BC35" s="339"/>
      <c r="BD35" s="339"/>
    </row>
    <row r="36" spans="3:56">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9"/>
      <c r="BC36" s="339"/>
      <c r="BD36" s="339"/>
    </row>
    <row r="37" spans="3:56">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9"/>
      <c r="BC37" s="339"/>
      <c r="BD37" s="339"/>
    </row>
    <row r="38" spans="3:56">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9"/>
      <c r="BC38" s="339"/>
      <c r="BD38" s="339"/>
    </row>
    <row r="39" spans="3:56">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row>
    <row r="40" spans="3:56">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9"/>
      <c r="BC40" s="339"/>
      <c r="BD40" s="339"/>
    </row>
    <row r="41" spans="3:56">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39"/>
      <c r="AV41" s="339"/>
      <c r="AW41" s="339"/>
      <c r="AX41" s="339"/>
      <c r="AY41" s="339"/>
      <c r="AZ41" s="339"/>
      <c r="BA41" s="339"/>
      <c r="BB41" s="339"/>
      <c r="BC41" s="339"/>
      <c r="BD41" s="339"/>
    </row>
    <row r="42" spans="3:56">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9"/>
      <c r="BC42" s="339"/>
      <c r="BD42" s="339"/>
    </row>
    <row r="43" spans="3:56">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9"/>
      <c r="AV43" s="339"/>
      <c r="AW43" s="339"/>
      <c r="AX43" s="339"/>
      <c r="AY43" s="339"/>
      <c r="AZ43" s="339"/>
      <c r="BA43" s="339"/>
      <c r="BB43" s="339"/>
      <c r="BC43" s="339"/>
      <c r="BD43" s="339"/>
    </row>
    <row r="44" spans="3:56">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c r="AU44" s="339"/>
      <c r="AV44" s="339"/>
      <c r="AW44" s="339"/>
      <c r="AX44" s="339"/>
      <c r="AY44" s="339"/>
      <c r="AZ44" s="339"/>
      <c r="BA44" s="339"/>
      <c r="BB44" s="339"/>
      <c r="BC44" s="339"/>
      <c r="BD44" s="339"/>
    </row>
    <row r="45" spans="3:56">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39"/>
      <c r="AV45" s="339"/>
      <c r="AW45" s="339"/>
      <c r="AX45" s="339"/>
      <c r="AY45" s="339"/>
      <c r="AZ45" s="339"/>
      <c r="BA45" s="339"/>
      <c r="BB45" s="339"/>
      <c r="BC45" s="339"/>
      <c r="BD45" s="339"/>
    </row>
    <row r="46" spans="3:56">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9"/>
      <c r="AV46" s="339"/>
      <c r="AW46" s="339"/>
      <c r="AX46" s="339"/>
      <c r="AY46" s="339"/>
      <c r="AZ46" s="339"/>
      <c r="BA46" s="339"/>
      <c r="BB46" s="339"/>
      <c r="BC46" s="339"/>
      <c r="BD46" s="339"/>
    </row>
    <row r="47" spans="3:56">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row>
    <row r="48" spans="3:56">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9"/>
      <c r="BC48" s="339"/>
      <c r="BD48" s="339"/>
    </row>
    <row r="49" spans="3:56">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39"/>
      <c r="AV49" s="339"/>
      <c r="AW49" s="339"/>
      <c r="AX49" s="339"/>
      <c r="AY49" s="339"/>
      <c r="AZ49" s="339"/>
      <c r="BA49" s="339"/>
      <c r="BB49" s="339"/>
      <c r="BC49" s="339"/>
      <c r="BD49" s="339"/>
    </row>
    <row r="50" spans="3:56">
      <c r="C50" s="339"/>
      <c r="D50" s="339"/>
      <c r="E50" s="339"/>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39"/>
      <c r="AV50" s="339"/>
      <c r="AW50" s="339"/>
      <c r="AX50" s="339"/>
      <c r="AY50" s="339"/>
      <c r="AZ50" s="339"/>
      <c r="BA50" s="339"/>
      <c r="BB50" s="339"/>
      <c r="BC50" s="339"/>
      <c r="BD50" s="339"/>
    </row>
    <row r="51" spans="3:56">
      <c r="C51" s="339"/>
      <c r="D51" s="339"/>
      <c r="E51" s="339"/>
      <c r="F51" s="339"/>
      <c r="G51" s="339"/>
      <c r="H51" s="339"/>
      <c r="I51" s="339"/>
      <c r="J51" s="339"/>
      <c r="K51" s="339"/>
      <c r="L51" s="339"/>
      <c r="M51" s="339"/>
      <c r="N51" s="339"/>
      <c r="O51" s="339"/>
      <c r="P51" s="339"/>
      <c r="Q51" s="339"/>
      <c r="R51" s="339"/>
      <c r="S51" s="339"/>
      <c r="T51" s="339"/>
      <c r="U51" s="339"/>
      <c r="V51" s="339"/>
      <c r="W51" s="339"/>
      <c r="X51" s="339"/>
      <c r="Y51" s="339"/>
      <c r="Z51" s="339"/>
      <c r="AA51" s="339"/>
      <c r="AB51" s="339"/>
      <c r="AC51" s="339"/>
      <c r="AD51" s="339"/>
      <c r="AE51" s="339"/>
      <c r="AF51" s="339"/>
      <c r="AG51" s="339"/>
      <c r="AH51" s="339"/>
      <c r="AI51" s="339"/>
      <c r="AJ51" s="339"/>
      <c r="AK51" s="339"/>
      <c r="AL51" s="339"/>
      <c r="AM51" s="339"/>
      <c r="AN51" s="339"/>
      <c r="AO51" s="339"/>
      <c r="AP51" s="339"/>
      <c r="AQ51" s="339"/>
      <c r="AR51" s="339"/>
      <c r="AS51" s="339"/>
      <c r="AT51" s="339"/>
      <c r="AU51" s="339"/>
      <c r="AV51" s="339"/>
      <c r="AW51" s="339"/>
      <c r="AX51" s="339"/>
      <c r="AY51" s="339"/>
      <c r="AZ51" s="339"/>
      <c r="BA51" s="339"/>
      <c r="BB51" s="339"/>
      <c r="BC51" s="339"/>
      <c r="BD51" s="339"/>
    </row>
    <row r="52" spans="3:56">
      <c r="C52" s="339"/>
      <c r="D52" s="339"/>
      <c r="E52" s="339"/>
      <c r="F52" s="339"/>
      <c r="G52" s="339"/>
      <c r="H52" s="339"/>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c r="AH52" s="339"/>
      <c r="AI52" s="339"/>
      <c r="AJ52" s="339"/>
      <c r="AK52" s="339"/>
      <c r="AL52" s="339"/>
      <c r="AM52" s="339"/>
      <c r="AN52" s="339"/>
      <c r="AO52" s="339"/>
      <c r="AP52" s="339"/>
      <c r="AQ52" s="339"/>
      <c r="AR52" s="339"/>
      <c r="AS52" s="339"/>
      <c r="AT52" s="339"/>
      <c r="AU52" s="339"/>
      <c r="AV52" s="339"/>
      <c r="AW52" s="339"/>
      <c r="AX52" s="339"/>
      <c r="AY52" s="339"/>
      <c r="AZ52" s="339"/>
      <c r="BA52" s="339"/>
      <c r="BB52" s="339"/>
      <c r="BC52" s="339"/>
      <c r="BD52" s="339"/>
    </row>
    <row r="53" spans="3:56">
      <c r="C53" s="339"/>
      <c r="D53" s="339"/>
      <c r="E53" s="339"/>
      <c r="F53" s="339"/>
      <c r="G53" s="339"/>
      <c r="H53" s="339"/>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c r="AG53" s="339"/>
      <c r="AH53" s="339"/>
      <c r="AI53" s="339"/>
      <c r="AJ53" s="339"/>
      <c r="AK53" s="339"/>
      <c r="AL53" s="339"/>
      <c r="AM53" s="339"/>
      <c r="AN53" s="339"/>
      <c r="AO53" s="339"/>
      <c r="AP53" s="339"/>
      <c r="AQ53" s="339"/>
      <c r="AR53" s="339"/>
      <c r="AS53" s="339"/>
      <c r="AT53" s="339"/>
      <c r="AU53" s="339"/>
      <c r="AV53" s="339"/>
      <c r="AW53" s="339"/>
      <c r="AX53" s="339"/>
      <c r="AY53" s="339"/>
      <c r="AZ53" s="339"/>
      <c r="BA53" s="339"/>
      <c r="BB53" s="339"/>
      <c r="BC53" s="339"/>
      <c r="BD53" s="339"/>
    </row>
    <row r="54" spans="3:56">
      <c r="C54" s="339"/>
      <c r="D54" s="339"/>
      <c r="E54" s="339"/>
      <c r="F54" s="339"/>
      <c r="G54" s="339"/>
      <c r="H54" s="339"/>
      <c r="I54" s="339"/>
      <c r="J54" s="339"/>
      <c r="K54" s="339"/>
      <c r="L54" s="339"/>
      <c r="M54" s="339"/>
      <c r="N54" s="339"/>
      <c r="O54" s="339"/>
      <c r="P54" s="339"/>
      <c r="Q54" s="339"/>
      <c r="R54" s="339"/>
      <c r="S54" s="339"/>
      <c r="T54" s="339"/>
      <c r="U54" s="339"/>
      <c r="V54" s="339"/>
      <c r="W54" s="339"/>
      <c r="X54" s="339"/>
      <c r="Y54" s="339"/>
      <c r="Z54" s="339"/>
      <c r="AA54" s="339"/>
      <c r="AB54" s="339"/>
      <c r="AC54" s="339"/>
      <c r="AD54" s="339"/>
      <c r="AE54" s="339"/>
      <c r="AF54" s="339"/>
      <c r="AG54" s="339"/>
      <c r="AH54" s="339"/>
      <c r="AI54" s="339"/>
      <c r="AJ54" s="339"/>
      <c r="AK54" s="339"/>
      <c r="AL54" s="339"/>
      <c r="AM54" s="339"/>
      <c r="AN54" s="339"/>
      <c r="AO54" s="339"/>
      <c r="AP54" s="339"/>
      <c r="AQ54" s="339"/>
      <c r="AR54" s="339"/>
      <c r="AS54" s="339"/>
      <c r="AT54" s="339"/>
      <c r="AU54" s="339"/>
      <c r="AV54" s="339"/>
      <c r="AW54" s="339"/>
      <c r="AX54" s="339"/>
      <c r="AY54" s="339"/>
      <c r="AZ54" s="339"/>
      <c r="BA54" s="339"/>
      <c r="BB54" s="339"/>
      <c r="BC54" s="339"/>
      <c r="BD54" s="339"/>
    </row>
    <row r="55" spans="3:56">
      <c r="C55" s="339"/>
      <c r="D55" s="339"/>
      <c r="E55" s="339"/>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c r="AH55" s="339"/>
      <c r="AI55" s="339"/>
      <c r="AJ55" s="339"/>
      <c r="AK55" s="339"/>
      <c r="AL55" s="339"/>
      <c r="AM55" s="339"/>
      <c r="AN55" s="339"/>
      <c r="AO55" s="339"/>
      <c r="AP55" s="339"/>
      <c r="AQ55" s="339"/>
      <c r="AR55" s="339"/>
      <c r="AS55" s="339"/>
      <c r="AT55" s="339"/>
      <c r="AU55" s="339"/>
      <c r="AV55" s="339"/>
      <c r="AW55" s="339"/>
      <c r="AX55" s="339"/>
      <c r="AY55" s="339"/>
      <c r="AZ55" s="339"/>
      <c r="BA55" s="339"/>
      <c r="BB55" s="339"/>
      <c r="BC55" s="339"/>
      <c r="BD55" s="339"/>
    </row>
    <row r="56" spans="3:56">
      <c r="C56" s="339"/>
      <c r="D56" s="339"/>
      <c r="E56" s="339"/>
      <c r="F56" s="339"/>
      <c r="G56" s="339"/>
      <c r="H56" s="339"/>
      <c r="I56" s="339"/>
      <c r="J56" s="339"/>
      <c r="K56" s="339"/>
      <c r="L56" s="339"/>
      <c r="M56" s="339"/>
      <c r="N56" s="339"/>
      <c r="O56" s="339"/>
      <c r="P56" s="339"/>
      <c r="Q56" s="339"/>
      <c r="R56" s="339"/>
      <c r="S56" s="339"/>
      <c r="T56" s="339"/>
      <c r="U56" s="339"/>
      <c r="V56" s="339"/>
      <c r="W56" s="339"/>
      <c r="X56" s="339"/>
      <c r="Y56" s="339"/>
      <c r="Z56" s="339"/>
      <c r="AA56" s="339"/>
      <c r="AB56" s="339"/>
      <c r="AC56" s="339"/>
      <c r="AD56" s="339"/>
      <c r="AE56" s="339"/>
      <c r="AF56" s="339"/>
      <c r="AG56" s="339"/>
      <c r="AH56" s="339"/>
      <c r="AI56" s="339"/>
      <c r="AJ56" s="339"/>
      <c r="AK56" s="339"/>
      <c r="AL56" s="339"/>
      <c r="AM56" s="339"/>
      <c r="AN56" s="339"/>
      <c r="AO56" s="339"/>
      <c r="AP56" s="339"/>
      <c r="AQ56" s="339"/>
      <c r="AR56" s="339"/>
      <c r="AS56" s="339"/>
      <c r="AT56" s="339"/>
      <c r="AU56" s="339"/>
      <c r="AV56" s="339"/>
      <c r="AW56" s="339"/>
      <c r="AX56" s="339"/>
      <c r="AY56" s="339"/>
      <c r="AZ56" s="339"/>
      <c r="BA56" s="339"/>
      <c r="BB56" s="339"/>
      <c r="BC56" s="339"/>
      <c r="BD56" s="339"/>
    </row>
    <row r="57" spans="3:56">
      <c r="C57" s="339"/>
      <c r="D57" s="339"/>
      <c r="E57" s="339"/>
      <c r="F57" s="339"/>
      <c r="G57" s="339"/>
      <c r="H57" s="339"/>
      <c r="I57" s="339"/>
      <c r="J57" s="339"/>
      <c r="K57" s="339"/>
      <c r="L57" s="339"/>
      <c r="M57" s="339"/>
      <c r="N57" s="339"/>
      <c r="O57" s="339"/>
      <c r="P57" s="339"/>
      <c r="Q57" s="339"/>
      <c r="R57" s="339"/>
      <c r="S57" s="339"/>
      <c r="T57" s="339"/>
      <c r="U57" s="339"/>
      <c r="V57" s="339"/>
      <c r="W57" s="339"/>
      <c r="X57" s="339"/>
      <c r="Y57" s="339"/>
      <c r="Z57" s="339"/>
      <c r="AA57" s="339"/>
      <c r="AB57" s="339"/>
      <c r="AC57" s="339"/>
      <c r="AD57" s="339"/>
      <c r="AE57" s="339"/>
      <c r="AF57" s="339"/>
      <c r="AG57" s="339"/>
      <c r="AH57" s="339"/>
      <c r="AI57" s="339"/>
      <c r="AJ57" s="339"/>
      <c r="AK57" s="339"/>
      <c r="AL57" s="339"/>
      <c r="AM57" s="339"/>
      <c r="AN57" s="339"/>
      <c r="AO57" s="339"/>
      <c r="AP57" s="339"/>
      <c r="AQ57" s="339"/>
      <c r="AR57" s="339"/>
      <c r="AS57" s="339"/>
      <c r="AT57" s="339"/>
      <c r="AU57" s="339"/>
      <c r="AV57" s="339"/>
      <c r="AW57" s="339"/>
      <c r="AX57" s="339"/>
      <c r="AY57" s="339"/>
      <c r="AZ57" s="339"/>
      <c r="BA57" s="339"/>
      <c r="BB57" s="339"/>
      <c r="BC57" s="339"/>
      <c r="BD57" s="339"/>
    </row>
    <row r="58" spans="3:56">
      <c r="C58" s="339"/>
      <c r="D58" s="339"/>
      <c r="E58" s="339"/>
      <c r="F58" s="339"/>
      <c r="G58" s="339"/>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L58" s="339"/>
      <c r="AM58" s="339"/>
      <c r="AN58" s="339"/>
      <c r="AO58" s="339"/>
      <c r="AP58" s="339"/>
      <c r="AQ58" s="339"/>
      <c r="AR58" s="339"/>
      <c r="AS58" s="339"/>
      <c r="AT58" s="339"/>
      <c r="AU58" s="339"/>
      <c r="AV58" s="339"/>
      <c r="AW58" s="339"/>
      <c r="AX58" s="339"/>
      <c r="AY58" s="339"/>
      <c r="AZ58" s="339"/>
      <c r="BA58" s="339"/>
      <c r="BB58" s="339"/>
      <c r="BC58" s="339"/>
      <c r="BD58" s="339"/>
    </row>
    <row r="59" spans="3:56">
      <c r="C59" s="339"/>
      <c r="D59" s="339"/>
      <c r="E59" s="339"/>
      <c r="F59" s="339"/>
      <c r="G59" s="339"/>
      <c r="H59" s="339"/>
      <c r="I59" s="339"/>
      <c r="J59" s="339"/>
      <c r="K59" s="339"/>
      <c r="L59" s="339"/>
      <c r="M59" s="339"/>
      <c r="N59" s="339"/>
      <c r="O59" s="339"/>
      <c r="P59" s="339"/>
      <c r="Q59" s="339"/>
      <c r="R59" s="339"/>
      <c r="S59" s="339"/>
      <c r="T59" s="339"/>
      <c r="U59" s="339"/>
      <c r="V59" s="339"/>
      <c r="W59" s="339"/>
      <c r="X59" s="339"/>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39"/>
      <c r="AV59" s="339"/>
      <c r="AW59" s="339"/>
      <c r="AX59" s="339"/>
      <c r="AY59" s="339"/>
      <c r="AZ59" s="339"/>
      <c r="BA59" s="339"/>
      <c r="BB59" s="339"/>
      <c r="BC59" s="339"/>
      <c r="BD59" s="339"/>
    </row>
    <row r="60" spans="3:56">
      <c r="C60" s="339"/>
      <c r="D60" s="339"/>
      <c r="E60" s="339"/>
      <c r="F60" s="339"/>
      <c r="G60" s="339"/>
      <c r="H60" s="339"/>
      <c r="I60" s="339"/>
      <c r="J60" s="339"/>
      <c r="K60" s="339"/>
      <c r="L60" s="339"/>
      <c r="M60" s="339"/>
      <c r="N60" s="339"/>
      <c r="O60" s="339"/>
      <c r="P60" s="339"/>
      <c r="Q60" s="339"/>
      <c r="R60" s="339"/>
      <c r="S60" s="339"/>
      <c r="T60" s="339"/>
      <c r="U60" s="339"/>
      <c r="V60" s="339"/>
      <c r="W60" s="339"/>
      <c r="X60" s="339"/>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39"/>
      <c r="AV60" s="339"/>
      <c r="AW60" s="339"/>
      <c r="AX60" s="339"/>
      <c r="AY60" s="339"/>
      <c r="AZ60" s="339"/>
      <c r="BA60" s="339"/>
      <c r="BB60" s="339"/>
      <c r="BC60" s="339"/>
      <c r="BD60" s="339"/>
    </row>
    <row r="61" spans="3:56">
      <c r="C61" s="339"/>
      <c r="D61" s="339"/>
      <c r="E61" s="339"/>
      <c r="F61" s="339"/>
      <c r="G61" s="339"/>
      <c r="H61" s="339"/>
      <c r="I61" s="339"/>
      <c r="J61" s="339"/>
      <c r="K61" s="339"/>
      <c r="L61" s="339"/>
      <c r="M61" s="339"/>
      <c r="N61" s="339"/>
      <c r="O61" s="339"/>
      <c r="P61" s="339"/>
      <c r="Q61" s="339"/>
      <c r="R61" s="339"/>
      <c r="S61" s="339"/>
      <c r="T61" s="339"/>
      <c r="U61" s="339"/>
      <c r="V61" s="339"/>
      <c r="W61" s="339"/>
      <c r="X61" s="339"/>
      <c r="Y61" s="339"/>
      <c r="Z61" s="339"/>
      <c r="AA61" s="339"/>
      <c r="AB61" s="339"/>
      <c r="AC61" s="339"/>
      <c r="AD61" s="339"/>
      <c r="AE61" s="339"/>
      <c r="AF61" s="339"/>
      <c r="AG61" s="339"/>
      <c r="AH61" s="339"/>
      <c r="AI61" s="339"/>
      <c r="AJ61" s="339"/>
      <c r="AK61" s="339"/>
      <c r="AL61" s="339"/>
      <c r="AM61" s="339"/>
      <c r="AN61" s="339"/>
      <c r="AO61" s="339"/>
      <c r="AP61" s="339"/>
      <c r="AQ61" s="339"/>
      <c r="AR61" s="339"/>
      <c r="AS61" s="339"/>
      <c r="AT61" s="339"/>
      <c r="AU61" s="339"/>
      <c r="AV61" s="339"/>
      <c r="AW61" s="339"/>
      <c r="AX61" s="339"/>
      <c r="AY61" s="339"/>
      <c r="AZ61" s="339"/>
      <c r="BA61" s="339"/>
      <c r="BB61" s="339"/>
      <c r="BC61" s="339"/>
      <c r="BD61" s="339"/>
    </row>
    <row r="62" spans="3:56">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c r="AP62" s="339"/>
      <c r="AQ62" s="339"/>
      <c r="AR62" s="339"/>
      <c r="AS62" s="339"/>
      <c r="AT62" s="339"/>
      <c r="AU62" s="339"/>
      <c r="AV62" s="339"/>
      <c r="AW62" s="339"/>
      <c r="AX62" s="339"/>
      <c r="AY62" s="339"/>
      <c r="AZ62" s="339"/>
      <c r="BA62" s="339"/>
      <c r="BB62" s="339"/>
      <c r="BC62" s="339"/>
      <c r="BD62" s="339"/>
    </row>
    <row r="63" spans="3:56">
      <c r="C63" s="339"/>
      <c r="D63" s="339"/>
      <c r="E63" s="339"/>
      <c r="F63" s="339"/>
      <c r="G63" s="339"/>
      <c r="H63" s="339"/>
      <c r="I63" s="339"/>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9"/>
      <c r="AG63" s="339"/>
      <c r="AH63" s="339"/>
      <c r="AI63" s="339"/>
      <c r="AJ63" s="339"/>
      <c r="AK63" s="339"/>
      <c r="AL63" s="339"/>
      <c r="AM63" s="339"/>
      <c r="AN63" s="339"/>
      <c r="AO63" s="339"/>
      <c r="AP63" s="339"/>
      <c r="AQ63" s="339"/>
      <c r="AR63" s="339"/>
      <c r="AS63" s="339"/>
      <c r="AT63" s="339"/>
      <c r="AU63" s="339"/>
      <c r="AV63" s="339"/>
      <c r="AW63" s="339"/>
      <c r="AX63" s="339"/>
      <c r="AY63" s="339"/>
      <c r="AZ63" s="339"/>
      <c r="BA63" s="339"/>
      <c r="BB63" s="339"/>
      <c r="BC63" s="339"/>
      <c r="BD63" s="339"/>
    </row>
    <row r="64" spans="3:56">
      <c r="C64" s="339"/>
      <c r="D64" s="339"/>
      <c r="E64" s="339"/>
      <c r="F64" s="339"/>
      <c r="G64" s="339"/>
      <c r="H64" s="339"/>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9"/>
      <c r="AG64" s="339"/>
      <c r="AH64" s="339"/>
      <c r="AI64" s="339"/>
      <c r="AJ64" s="339"/>
      <c r="AK64" s="339"/>
      <c r="AL64" s="339"/>
      <c r="AM64" s="339"/>
      <c r="AN64" s="339"/>
      <c r="AO64" s="339"/>
      <c r="AP64" s="339"/>
      <c r="AQ64" s="339"/>
      <c r="AR64" s="339"/>
      <c r="AS64" s="339"/>
      <c r="AT64" s="339"/>
      <c r="AU64" s="339"/>
      <c r="AV64" s="339"/>
      <c r="AW64" s="339"/>
      <c r="AX64" s="339"/>
      <c r="AY64" s="339"/>
      <c r="AZ64" s="339"/>
      <c r="BA64" s="339"/>
      <c r="BB64" s="339"/>
      <c r="BC64" s="339"/>
      <c r="BD64" s="339"/>
    </row>
    <row r="65" spans="3:56">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9"/>
      <c r="AN65" s="339"/>
      <c r="AO65" s="339"/>
      <c r="AP65" s="339"/>
      <c r="AQ65" s="339"/>
      <c r="AR65" s="339"/>
      <c r="AS65" s="339"/>
      <c r="AT65" s="339"/>
      <c r="AU65" s="339"/>
      <c r="AV65" s="339"/>
      <c r="AW65" s="339"/>
      <c r="AX65" s="339"/>
      <c r="AY65" s="339"/>
      <c r="AZ65" s="339"/>
      <c r="BA65" s="339"/>
      <c r="BB65" s="339"/>
      <c r="BC65" s="339"/>
      <c r="BD65" s="339"/>
    </row>
    <row r="66" spans="3:56">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c r="AG66" s="339"/>
      <c r="AH66" s="339"/>
      <c r="AI66" s="339"/>
      <c r="AJ66" s="339"/>
      <c r="AK66" s="339"/>
      <c r="AL66" s="339"/>
      <c r="AM66" s="339"/>
      <c r="AN66" s="339"/>
      <c r="AO66" s="339"/>
      <c r="AP66" s="339"/>
      <c r="AQ66" s="339"/>
      <c r="AR66" s="339"/>
      <c r="AS66" s="339"/>
      <c r="AT66" s="339"/>
      <c r="AU66" s="339"/>
      <c r="AV66" s="339"/>
      <c r="AW66" s="339"/>
      <c r="AX66" s="339"/>
      <c r="AY66" s="339"/>
      <c r="AZ66" s="339"/>
      <c r="BA66" s="339"/>
      <c r="BB66" s="339"/>
      <c r="BC66" s="339"/>
      <c r="BD66" s="339"/>
    </row>
    <row r="67" spans="3:56">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c r="AG67" s="339"/>
      <c r="AH67" s="339"/>
      <c r="AI67" s="339"/>
      <c r="AJ67" s="339"/>
      <c r="AK67" s="339"/>
      <c r="AL67" s="339"/>
      <c r="AM67" s="339"/>
      <c r="AN67" s="339"/>
      <c r="AO67" s="339"/>
      <c r="AP67" s="339"/>
      <c r="AQ67" s="339"/>
      <c r="AR67" s="339"/>
      <c r="AS67" s="339"/>
      <c r="AT67" s="339"/>
      <c r="AU67" s="339"/>
      <c r="AV67" s="339"/>
      <c r="AW67" s="339"/>
      <c r="AX67" s="339"/>
      <c r="AY67" s="339"/>
      <c r="AZ67" s="339"/>
      <c r="BA67" s="339"/>
      <c r="BB67" s="339"/>
      <c r="BC67" s="339"/>
      <c r="BD67" s="339"/>
    </row>
    <row r="68" spans="3:56">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H68" s="339"/>
      <c r="AI68" s="339"/>
      <c r="AJ68" s="339"/>
      <c r="AK68" s="339"/>
      <c r="AL68" s="339"/>
      <c r="AM68" s="339"/>
      <c r="AN68" s="339"/>
      <c r="AO68" s="339"/>
      <c r="AP68" s="339"/>
      <c r="AQ68" s="339"/>
      <c r="AR68" s="339"/>
      <c r="AS68" s="339"/>
      <c r="AT68" s="339"/>
      <c r="AU68" s="339"/>
      <c r="AV68" s="339"/>
      <c r="AW68" s="339"/>
      <c r="AX68" s="339"/>
      <c r="AY68" s="339"/>
      <c r="AZ68" s="339"/>
      <c r="BA68" s="339"/>
      <c r="BB68" s="339"/>
      <c r="BC68" s="339"/>
      <c r="BD68" s="339"/>
    </row>
    <row r="69" spans="3:56">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c r="AH69" s="339"/>
      <c r="AI69" s="339"/>
      <c r="AJ69" s="339"/>
      <c r="AK69" s="339"/>
      <c r="AL69" s="339"/>
      <c r="AM69" s="339"/>
      <c r="AN69" s="339"/>
      <c r="AO69" s="339"/>
      <c r="AP69" s="339"/>
      <c r="AQ69" s="339"/>
      <c r="AR69" s="339"/>
      <c r="AS69" s="339"/>
      <c r="AT69" s="339"/>
      <c r="AU69" s="339"/>
      <c r="AV69" s="339"/>
      <c r="AW69" s="339"/>
      <c r="AX69" s="339"/>
      <c r="AY69" s="339"/>
      <c r="AZ69" s="339"/>
      <c r="BA69" s="339"/>
      <c r="BB69" s="339"/>
      <c r="BC69" s="339"/>
      <c r="BD69" s="339"/>
    </row>
    <row r="70" spans="3:56">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c r="AH70" s="339"/>
      <c r="AI70" s="339"/>
      <c r="AJ70" s="339"/>
      <c r="AK70" s="339"/>
      <c r="AL70" s="339"/>
      <c r="AM70" s="339"/>
      <c r="AN70" s="339"/>
      <c r="AO70" s="339"/>
      <c r="AP70" s="339"/>
      <c r="AQ70" s="339"/>
      <c r="AR70" s="339"/>
      <c r="AS70" s="339"/>
      <c r="AT70" s="339"/>
      <c r="AU70" s="339"/>
      <c r="AV70" s="339"/>
      <c r="AW70" s="339"/>
      <c r="AX70" s="339"/>
      <c r="AY70" s="339"/>
      <c r="AZ70" s="339"/>
      <c r="BA70" s="339"/>
      <c r="BB70" s="339"/>
      <c r="BC70" s="339"/>
      <c r="BD70" s="339"/>
    </row>
    <row r="71" spans="3:56">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c r="AG71" s="339"/>
      <c r="AH71" s="339"/>
      <c r="AI71" s="339"/>
      <c r="AJ71" s="339"/>
      <c r="AK71" s="339"/>
      <c r="AL71" s="339"/>
      <c r="AM71" s="339"/>
      <c r="AN71" s="339"/>
      <c r="AO71" s="339"/>
      <c r="AP71" s="339"/>
      <c r="AQ71" s="339"/>
      <c r="AR71" s="339"/>
      <c r="AS71" s="339"/>
      <c r="AT71" s="339"/>
      <c r="AU71" s="339"/>
      <c r="AV71" s="339"/>
      <c r="AW71" s="339"/>
      <c r="AX71" s="339"/>
      <c r="AY71" s="339"/>
      <c r="AZ71" s="339"/>
      <c r="BA71" s="339"/>
      <c r="BB71" s="339"/>
      <c r="BC71" s="339"/>
      <c r="BD71" s="339"/>
    </row>
    <row r="72" spans="3:56">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39"/>
      <c r="AV72" s="339"/>
      <c r="AW72" s="339"/>
      <c r="AX72" s="339"/>
      <c r="AY72" s="339"/>
      <c r="AZ72" s="339"/>
      <c r="BA72" s="339"/>
      <c r="BB72" s="339"/>
      <c r="BC72" s="339"/>
      <c r="BD72" s="339"/>
    </row>
    <row r="73" spans="3:56">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39"/>
      <c r="AJ73" s="339"/>
      <c r="AK73" s="339"/>
      <c r="AL73" s="339"/>
      <c r="AM73" s="339"/>
      <c r="AN73" s="339"/>
      <c r="AO73" s="339"/>
      <c r="AP73" s="339"/>
      <c r="AQ73" s="339"/>
      <c r="AR73" s="339"/>
      <c r="AS73" s="339"/>
      <c r="AT73" s="339"/>
      <c r="AU73" s="339"/>
      <c r="AV73" s="339"/>
      <c r="AW73" s="339"/>
      <c r="AX73" s="339"/>
      <c r="AY73" s="339"/>
      <c r="AZ73" s="339"/>
      <c r="BA73" s="339"/>
      <c r="BB73" s="339"/>
      <c r="BC73" s="339"/>
      <c r="BD73" s="339"/>
    </row>
    <row r="74" spans="3:56">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c r="AG74" s="339"/>
      <c r="AH74" s="339"/>
      <c r="AI74" s="339"/>
      <c r="AJ74" s="339"/>
      <c r="AK74" s="339"/>
      <c r="AL74" s="339"/>
      <c r="AM74" s="339"/>
      <c r="AN74" s="339"/>
      <c r="AO74" s="339"/>
      <c r="AP74" s="339"/>
      <c r="AQ74" s="339"/>
      <c r="AR74" s="339"/>
      <c r="AS74" s="339"/>
      <c r="AT74" s="339"/>
      <c r="AU74" s="339"/>
      <c r="AV74" s="339"/>
      <c r="AW74" s="339"/>
      <c r="AX74" s="339"/>
      <c r="AY74" s="339"/>
      <c r="AZ74" s="339"/>
      <c r="BA74" s="339"/>
      <c r="BB74" s="339"/>
      <c r="BC74" s="339"/>
      <c r="BD74" s="339"/>
    </row>
    <row r="75" spans="3:56">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9"/>
      <c r="AG75" s="339"/>
      <c r="AH75" s="339"/>
      <c r="AI75" s="339"/>
      <c r="AJ75" s="339"/>
      <c r="AK75" s="339"/>
      <c r="AL75" s="339"/>
      <c r="AM75" s="339"/>
      <c r="AN75" s="339"/>
      <c r="AO75" s="339"/>
      <c r="AP75" s="339"/>
      <c r="AQ75" s="339"/>
      <c r="AR75" s="339"/>
      <c r="AS75" s="339"/>
      <c r="AT75" s="339"/>
      <c r="AU75" s="339"/>
      <c r="AV75" s="339"/>
      <c r="AW75" s="339"/>
      <c r="AX75" s="339"/>
      <c r="AY75" s="339"/>
      <c r="AZ75" s="339"/>
      <c r="BA75" s="339"/>
      <c r="BB75" s="339"/>
      <c r="BC75" s="339"/>
      <c r="BD75" s="339"/>
    </row>
    <row r="76" spans="3:56">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c r="AG76" s="339"/>
      <c r="AH76" s="339"/>
      <c r="AI76" s="339"/>
      <c r="AJ76" s="339"/>
      <c r="AK76" s="339"/>
      <c r="AL76" s="339"/>
      <c r="AM76" s="339"/>
      <c r="AN76" s="339"/>
      <c r="AO76" s="339"/>
      <c r="AP76" s="339"/>
      <c r="AQ76" s="339"/>
      <c r="AR76" s="339"/>
      <c r="AS76" s="339"/>
      <c r="AT76" s="339"/>
      <c r="AU76" s="339"/>
      <c r="AV76" s="339"/>
      <c r="AW76" s="339"/>
      <c r="AX76" s="339"/>
      <c r="AY76" s="339"/>
      <c r="AZ76" s="339"/>
      <c r="BA76" s="339"/>
      <c r="BB76" s="339"/>
      <c r="BC76" s="339"/>
      <c r="BD76" s="339"/>
    </row>
    <row r="77" spans="3:56">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339"/>
      <c r="AU77" s="339"/>
      <c r="AV77" s="339"/>
      <c r="AW77" s="339"/>
      <c r="AX77" s="339"/>
      <c r="AY77" s="339"/>
      <c r="AZ77" s="339"/>
      <c r="BA77" s="339"/>
      <c r="BB77" s="339"/>
      <c r="BC77" s="339"/>
      <c r="BD77" s="339"/>
    </row>
    <row r="78" spans="3:56">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9"/>
      <c r="AG78" s="339"/>
      <c r="AH78" s="339"/>
      <c r="AI78" s="339"/>
      <c r="AJ78" s="339"/>
      <c r="AK78" s="339"/>
      <c r="AL78" s="339"/>
      <c r="AM78" s="339"/>
      <c r="AN78" s="339"/>
      <c r="AO78" s="339"/>
      <c r="AP78" s="339"/>
      <c r="AQ78" s="339"/>
      <c r="AR78" s="339"/>
      <c r="AS78" s="339"/>
      <c r="AT78" s="339"/>
      <c r="AU78" s="339"/>
      <c r="AV78" s="339"/>
      <c r="AW78" s="339"/>
      <c r="AX78" s="339"/>
      <c r="AY78" s="339"/>
      <c r="AZ78" s="339"/>
      <c r="BA78" s="339"/>
      <c r="BB78" s="339"/>
      <c r="BC78" s="339"/>
      <c r="BD78" s="339"/>
    </row>
    <row r="79" spans="3:56">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c r="AH79" s="339"/>
      <c r="AI79" s="339"/>
      <c r="AJ79" s="339"/>
      <c r="AK79" s="339"/>
      <c r="AL79" s="339"/>
      <c r="AM79" s="339"/>
      <c r="AN79" s="339"/>
      <c r="AO79" s="339"/>
      <c r="AP79" s="339"/>
      <c r="AQ79" s="339"/>
      <c r="AR79" s="339"/>
      <c r="AS79" s="339"/>
      <c r="AT79" s="339"/>
      <c r="AU79" s="339"/>
      <c r="AV79" s="339"/>
      <c r="AW79" s="339"/>
      <c r="AX79" s="339"/>
      <c r="AY79" s="339"/>
      <c r="AZ79" s="339"/>
      <c r="BA79" s="339"/>
      <c r="BB79" s="339"/>
      <c r="BC79" s="339"/>
      <c r="BD79" s="339"/>
    </row>
    <row r="80" spans="3:56">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c r="AG80" s="339"/>
      <c r="AH80" s="339"/>
      <c r="AI80" s="339"/>
      <c r="AJ80" s="339"/>
      <c r="AK80" s="339"/>
      <c r="AL80" s="339"/>
      <c r="AM80" s="339"/>
      <c r="AN80" s="339"/>
      <c r="AO80" s="339"/>
      <c r="AP80" s="339"/>
      <c r="AQ80" s="339"/>
      <c r="AR80" s="339"/>
      <c r="AS80" s="339"/>
      <c r="AT80" s="339"/>
      <c r="AU80" s="339"/>
      <c r="AV80" s="339"/>
      <c r="AW80" s="339"/>
      <c r="AX80" s="339"/>
      <c r="AY80" s="339"/>
      <c r="AZ80" s="339"/>
      <c r="BA80" s="339"/>
      <c r="BB80" s="339"/>
      <c r="BC80" s="339"/>
      <c r="BD80" s="339"/>
    </row>
    <row r="81" spans="3:56">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339"/>
      <c r="AU81" s="339"/>
      <c r="AV81" s="339"/>
      <c r="AW81" s="339"/>
      <c r="AX81" s="339"/>
      <c r="AY81" s="339"/>
      <c r="AZ81" s="339"/>
      <c r="BA81" s="339"/>
      <c r="BB81" s="339"/>
      <c r="BC81" s="339"/>
      <c r="BD81" s="339"/>
    </row>
    <row r="82" spans="3:56">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9"/>
      <c r="BC82" s="339"/>
      <c r="BD82" s="339"/>
    </row>
    <row r="83" spans="3:56">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c r="AH83" s="339"/>
      <c r="AI83" s="339"/>
      <c r="AJ83" s="339"/>
      <c r="AK83" s="339"/>
      <c r="AL83" s="339"/>
      <c r="AM83" s="339"/>
      <c r="AN83" s="339"/>
      <c r="AO83" s="339"/>
      <c r="AP83" s="339"/>
      <c r="AQ83" s="339"/>
      <c r="AR83" s="339"/>
      <c r="AS83" s="339"/>
      <c r="AT83" s="339"/>
      <c r="AU83" s="339"/>
      <c r="AV83" s="339"/>
      <c r="AW83" s="339"/>
      <c r="AX83" s="339"/>
      <c r="AY83" s="339"/>
      <c r="AZ83" s="339"/>
      <c r="BA83" s="339"/>
      <c r="BB83" s="339"/>
      <c r="BC83" s="339"/>
      <c r="BD83" s="339"/>
    </row>
    <row r="84" spans="3:56">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c r="AP84" s="339"/>
      <c r="AQ84" s="339"/>
      <c r="AR84" s="339"/>
      <c r="AS84" s="339"/>
      <c r="AT84" s="339"/>
      <c r="AU84" s="339"/>
      <c r="AV84" s="339"/>
      <c r="AW84" s="339"/>
      <c r="AX84" s="339"/>
      <c r="AY84" s="339"/>
      <c r="AZ84" s="339"/>
      <c r="BA84" s="339"/>
      <c r="BB84" s="339"/>
      <c r="BC84" s="339"/>
      <c r="BD84" s="339"/>
    </row>
    <row r="85" spans="3:56">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c r="AH85" s="339"/>
      <c r="AI85" s="339"/>
      <c r="AJ85" s="339"/>
      <c r="AK85" s="339"/>
      <c r="AL85" s="339"/>
      <c r="AM85" s="339"/>
      <c r="AN85" s="339"/>
      <c r="AO85" s="339"/>
      <c r="AP85" s="339"/>
      <c r="AQ85" s="339"/>
      <c r="AR85" s="339"/>
      <c r="AS85" s="339"/>
      <c r="AT85" s="339"/>
      <c r="AU85" s="339"/>
      <c r="AV85" s="339"/>
      <c r="AW85" s="339"/>
      <c r="AX85" s="339"/>
      <c r="AY85" s="339"/>
      <c r="AZ85" s="339"/>
      <c r="BA85" s="339"/>
      <c r="BB85" s="339"/>
      <c r="BC85" s="339"/>
      <c r="BD85" s="339"/>
    </row>
    <row r="86" spans="3:56">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39"/>
    </row>
    <row r="87" spans="3:56">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39"/>
    </row>
    <row r="88" spans="3:56">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c r="AH88" s="339"/>
      <c r="AI88" s="339"/>
      <c r="AJ88" s="339"/>
      <c r="AK88" s="339"/>
      <c r="AL88" s="339"/>
      <c r="AM88" s="339"/>
      <c r="AN88" s="339"/>
      <c r="AO88" s="339"/>
      <c r="AP88" s="339"/>
      <c r="AQ88" s="339"/>
      <c r="AR88" s="339"/>
      <c r="AS88" s="339"/>
      <c r="AT88" s="339"/>
      <c r="AU88" s="339"/>
      <c r="AV88" s="339"/>
      <c r="AW88" s="339"/>
      <c r="AX88" s="339"/>
      <c r="AY88" s="339"/>
      <c r="AZ88" s="339"/>
      <c r="BA88" s="339"/>
      <c r="BB88" s="339"/>
      <c r="BC88" s="339"/>
      <c r="BD88" s="339"/>
    </row>
    <row r="89" spans="3:56">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c r="AP89" s="339"/>
      <c r="AQ89" s="339"/>
      <c r="AR89" s="339"/>
      <c r="AS89" s="339"/>
      <c r="AT89" s="339"/>
      <c r="AU89" s="339"/>
      <c r="AV89" s="339"/>
      <c r="AW89" s="339"/>
      <c r="AX89" s="339"/>
      <c r="AY89" s="339"/>
      <c r="AZ89" s="339"/>
      <c r="BA89" s="339"/>
      <c r="BB89" s="339"/>
      <c r="BC89" s="339"/>
      <c r="BD89" s="339"/>
    </row>
    <row r="90" spans="3:56">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39"/>
      <c r="AV90" s="339"/>
      <c r="AW90" s="339"/>
      <c r="AX90" s="339"/>
      <c r="AY90" s="339"/>
      <c r="AZ90" s="339"/>
      <c r="BA90" s="339"/>
      <c r="BB90" s="339"/>
      <c r="BC90" s="339"/>
      <c r="BD90" s="339"/>
    </row>
    <row r="91" spans="3:56">
      <c r="C91" s="339"/>
      <c r="D91" s="339"/>
      <c r="E91" s="339"/>
      <c r="F91" s="339"/>
      <c r="G91" s="339"/>
      <c r="H91" s="339"/>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39"/>
      <c r="AV91" s="339"/>
      <c r="AW91" s="339"/>
      <c r="AX91" s="339"/>
      <c r="AY91" s="339"/>
      <c r="AZ91" s="339"/>
      <c r="BA91" s="339"/>
      <c r="BB91" s="339"/>
      <c r="BC91" s="339"/>
      <c r="BD91" s="339"/>
    </row>
    <row r="92" spans="3:56">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9"/>
      <c r="BC92" s="339"/>
      <c r="BD92" s="339"/>
    </row>
    <row r="93" spans="3:56">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39"/>
      <c r="AV93" s="339"/>
      <c r="AW93" s="339"/>
      <c r="AX93" s="339"/>
      <c r="AY93" s="339"/>
      <c r="AZ93" s="339"/>
      <c r="BA93" s="339"/>
      <c r="BB93" s="339"/>
      <c r="BC93" s="339"/>
      <c r="BD93" s="339"/>
    </row>
    <row r="94" spans="3:56">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9"/>
      <c r="BC94" s="339"/>
      <c r="BD94" s="339"/>
    </row>
    <row r="95" spans="3:56">
      <c r="C95" s="339"/>
      <c r="D95" s="339"/>
      <c r="E95" s="339"/>
      <c r="F95" s="339"/>
      <c r="G95" s="339"/>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9"/>
      <c r="BC95" s="339"/>
      <c r="BD95" s="339"/>
    </row>
    <row r="96" spans="3:56">
      <c r="C96" s="339"/>
      <c r="D96" s="339"/>
      <c r="E96" s="339"/>
      <c r="F96" s="339"/>
      <c r="G96" s="339"/>
      <c r="H96" s="339"/>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39"/>
      <c r="AV96" s="339"/>
      <c r="AW96" s="339"/>
      <c r="AX96" s="339"/>
      <c r="AY96" s="339"/>
      <c r="AZ96" s="339"/>
      <c r="BA96" s="339"/>
      <c r="BB96" s="339"/>
      <c r="BC96" s="339"/>
      <c r="BD96" s="339"/>
    </row>
    <row r="97" spans="3:56">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c r="AA97" s="339"/>
      <c r="AB97" s="339"/>
      <c r="AC97" s="339"/>
      <c r="AD97" s="339"/>
      <c r="AE97" s="339"/>
      <c r="AF97" s="339"/>
      <c r="AG97" s="339"/>
      <c r="AH97" s="339"/>
      <c r="AI97" s="339"/>
      <c r="AJ97" s="339"/>
      <c r="AK97" s="339"/>
      <c r="AL97" s="339"/>
      <c r="AM97" s="339"/>
      <c r="AN97" s="339"/>
      <c r="AO97" s="339"/>
      <c r="AP97" s="339"/>
      <c r="AQ97" s="339"/>
      <c r="AR97" s="339"/>
      <c r="AS97" s="339"/>
      <c r="AT97" s="339"/>
      <c r="AU97" s="339"/>
      <c r="AV97" s="339"/>
      <c r="AW97" s="339"/>
      <c r="AX97" s="339"/>
      <c r="AY97" s="339"/>
      <c r="AZ97" s="339"/>
      <c r="BA97" s="339"/>
      <c r="BB97" s="339"/>
      <c r="BC97" s="339"/>
      <c r="BD97" s="339"/>
    </row>
    <row r="98" spans="3:56">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39"/>
      <c r="AV98" s="339"/>
      <c r="AW98" s="339"/>
      <c r="AX98" s="339"/>
      <c r="AY98" s="339"/>
      <c r="AZ98" s="339"/>
      <c r="BA98" s="339"/>
      <c r="BB98" s="339"/>
      <c r="BC98" s="339"/>
      <c r="BD98" s="339"/>
    </row>
    <row r="99" spans="3:56">
      <c r="C99" s="339"/>
      <c r="D99" s="339"/>
      <c r="E99" s="339"/>
      <c r="F99" s="339"/>
      <c r="G99" s="339"/>
      <c r="H99" s="339"/>
      <c r="I99" s="339"/>
      <c r="J99" s="339"/>
      <c r="K99" s="339"/>
      <c r="L99" s="339"/>
      <c r="M99" s="339"/>
      <c r="N99" s="339"/>
      <c r="O99" s="339"/>
      <c r="P99" s="339"/>
      <c r="Q99" s="339"/>
      <c r="R99" s="339"/>
      <c r="S99" s="339"/>
      <c r="T99" s="339"/>
      <c r="U99" s="339"/>
      <c r="V99" s="339"/>
      <c r="W99" s="339"/>
      <c r="X99" s="339"/>
      <c r="Y99" s="339"/>
      <c r="Z99" s="339"/>
      <c r="AA99" s="339"/>
      <c r="AB99" s="339"/>
      <c r="AC99" s="339"/>
      <c r="AD99" s="339"/>
      <c r="AE99" s="339"/>
      <c r="AF99" s="339"/>
      <c r="AG99" s="339"/>
      <c r="AH99" s="339"/>
      <c r="AI99" s="339"/>
      <c r="AJ99" s="339"/>
      <c r="AK99" s="339"/>
      <c r="AL99" s="339"/>
      <c r="AM99" s="339"/>
      <c r="AN99" s="339"/>
      <c r="AO99" s="339"/>
      <c r="AP99" s="339"/>
      <c r="AQ99" s="339"/>
      <c r="AR99" s="339"/>
      <c r="AS99" s="339"/>
      <c r="AT99" s="339"/>
      <c r="AU99" s="339"/>
      <c r="AV99" s="339"/>
      <c r="AW99" s="339"/>
      <c r="AX99" s="339"/>
      <c r="AY99" s="339"/>
      <c r="AZ99" s="339"/>
      <c r="BA99" s="339"/>
      <c r="BB99" s="339"/>
      <c r="BC99" s="339"/>
      <c r="BD99" s="339"/>
    </row>
    <row r="100" spans="3:56">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row>
    <row r="101" spans="3:56">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row>
    <row r="102" spans="3:56">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row>
    <row r="103" spans="3:56">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row>
    <row r="104" spans="3:56">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row>
    <row r="105" spans="3:56">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row>
    <row r="106" spans="3:56">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row>
    <row r="107" spans="3:56">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row>
    <row r="108" spans="3:56">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row>
    <row r="109" spans="3:56">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row>
    <row r="110" spans="3:56">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c r="AJ110" s="339"/>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row>
    <row r="111" spans="3:56">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row>
    <row r="112" spans="3:56">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row>
    <row r="113" spans="3:56">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row>
    <row r="114" spans="3:56">
      <c r="C114" s="339"/>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row>
    <row r="115" spans="3:56">
      <c r="C115" s="339"/>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row>
    <row r="116" spans="3:56">
      <c r="C116" s="339"/>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row>
    <row r="117" spans="3:56">
      <c r="C117" s="339"/>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row>
    <row r="118" spans="3:56">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row>
    <row r="119" spans="3:56">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row>
    <row r="120" spans="3:56">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row>
    <row r="121" spans="3:56">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row>
    <row r="122" spans="3:56">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row>
    <row r="123" spans="3:56">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row>
    <row r="124" spans="3:56">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row>
    <row r="125" spans="3:56">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row>
    <row r="126" spans="3:56">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39"/>
      <c r="AV126" s="339"/>
      <c r="AW126" s="339"/>
      <c r="AX126" s="339"/>
      <c r="AY126" s="339"/>
      <c r="AZ126" s="339"/>
      <c r="BA126" s="339"/>
      <c r="BB126" s="339"/>
      <c r="BC126" s="339"/>
      <c r="BD126" s="339"/>
    </row>
    <row r="127" spans="3:56">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39"/>
      <c r="AV127" s="339"/>
      <c r="AW127" s="339"/>
      <c r="AX127" s="339"/>
      <c r="AY127" s="339"/>
      <c r="AZ127" s="339"/>
      <c r="BA127" s="339"/>
      <c r="BB127" s="339"/>
      <c r="BC127" s="339"/>
      <c r="BD127" s="339"/>
    </row>
    <row r="128" spans="3:56">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c r="BC128" s="339"/>
      <c r="BD128" s="339"/>
    </row>
    <row r="129" spans="3:56">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c r="BC129" s="339"/>
      <c r="BD129" s="339"/>
    </row>
    <row r="130" spans="3:56">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c r="BC130" s="339"/>
      <c r="BD130" s="339"/>
    </row>
    <row r="131" spans="3:56">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c r="BC131" s="339"/>
      <c r="BD131" s="339"/>
    </row>
    <row r="132" spans="3:56">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c r="BC132" s="339"/>
      <c r="BD132" s="339"/>
    </row>
    <row r="133" spans="3:56">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39"/>
      <c r="AV133" s="339"/>
      <c r="AW133" s="339"/>
      <c r="AX133" s="339"/>
      <c r="AY133" s="339"/>
      <c r="AZ133" s="339"/>
      <c r="BA133" s="339"/>
      <c r="BB133" s="339"/>
      <c r="BC133" s="339"/>
      <c r="BD133" s="339"/>
    </row>
    <row r="134" spans="3:56">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c r="BC134" s="339"/>
      <c r="BD134" s="339"/>
    </row>
    <row r="135" spans="3:56">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c r="BC135" s="339"/>
      <c r="BD135" s="339"/>
    </row>
    <row r="136" spans="3:56">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c r="BC136" s="339"/>
      <c r="BD136" s="339"/>
    </row>
    <row r="137" spans="3:56">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39"/>
      <c r="AV137" s="339"/>
      <c r="AW137" s="339"/>
      <c r="AX137" s="339"/>
      <c r="AY137" s="339"/>
      <c r="AZ137" s="339"/>
      <c r="BA137" s="339"/>
      <c r="BB137" s="339"/>
      <c r="BC137" s="339"/>
      <c r="BD137" s="339"/>
    </row>
    <row r="138" spans="3:56">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39"/>
      <c r="AV138" s="339"/>
      <c r="AW138" s="339"/>
      <c r="AX138" s="339"/>
      <c r="AY138" s="339"/>
      <c r="AZ138" s="339"/>
      <c r="BA138" s="339"/>
      <c r="BB138" s="339"/>
      <c r="BC138" s="339"/>
      <c r="BD138" s="339"/>
    </row>
    <row r="139" spans="3:56">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c r="BC139" s="339"/>
      <c r="BD139" s="339"/>
    </row>
    <row r="140" spans="3:56">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c r="BC140" s="339"/>
      <c r="BD140" s="339"/>
    </row>
    <row r="141" spans="3:56">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39"/>
      <c r="AV141" s="339"/>
      <c r="AW141" s="339"/>
      <c r="AX141" s="339"/>
      <c r="AY141" s="339"/>
      <c r="AZ141" s="339"/>
      <c r="BA141" s="339"/>
      <c r="BB141" s="339"/>
      <c r="BC141" s="339"/>
      <c r="BD141" s="339"/>
    </row>
    <row r="142" spans="3:56">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c r="BC142" s="339"/>
      <c r="BD142" s="339"/>
    </row>
    <row r="143" spans="3:56">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c r="BC143" s="339"/>
      <c r="BD143" s="339"/>
    </row>
    <row r="144" spans="3:56">
      <c r="C144" s="339"/>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39"/>
      <c r="AV144" s="339"/>
      <c r="AW144" s="339"/>
      <c r="AX144" s="339"/>
      <c r="AY144" s="339"/>
      <c r="AZ144" s="339"/>
      <c r="BA144" s="339"/>
      <c r="BB144" s="339"/>
      <c r="BC144" s="339"/>
      <c r="BD144" s="339"/>
    </row>
    <row r="145" spans="3:56">
      <c r="C145" s="339"/>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c r="AG145" s="339"/>
      <c r="AH145" s="339"/>
      <c r="AI145" s="339"/>
      <c r="AJ145" s="339"/>
      <c r="AK145" s="339"/>
      <c r="AL145" s="339"/>
      <c r="AM145" s="339"/>
      <c r="AN145" s="339"/>
      <c r="AO145" s="339"/>
      <c r="AP145" s="339"/>
      <c r="AQ145" s="339"/>
      <c r="AR145" s="339"/>
      <c r="AS145" s="339"/>
      <c r="AT145" s="339"/>
      <c r="AU145" s="339"/>
      <c r="AV145" s="339"/>
      <c r="AW145" s="339"/>
      <c r="AX145" s="339"/>
      <c r="AY145" s="339"/>
      <c r="AZ145" s="339"/>
      <c r="BA145" s="339"/>
      <c r="BB145" s="339"/>
      <c r="BC145" s="339"/>
      <c r="BD145" s="339"/>
    </row>
    <row r="146" spans="3:56">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39"/>
      <c r="AV146" s="339"/>
      <c r="AW146" s="339"/>
      <c r="AX146" s="339"/>
      <c r="AY146" s="339"/>
      <c r="AZ146" s="339"/>
      <c r="BA146" s="339"/>
      <c r="BB146" s="339"/>
      <c r="BC146" s="339"/>
      <c r="BD146" s="339"/>
    </row>
    <row r="147" spans="3:56">
      <c r="C147" s="339"/>
      <c r="D147" s="33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c r="AG147" s="339"/>
      <c r="AH147" s="339"/>
      <c r="AI147" s="339"/>
      <c r="AJ147" s="339"/>
      <c r="AK147" s="339"/>
      <c r="AL147" s="339"/>
      <c r="AM147" s="339"/>
      <c r="AN147" s="339"/>
      <c r="AO147" s="339"/>
      <c r="AP147" s="339"/>
      <c r="AQ147" s="339"/>
      <c r="AR147" s="339"/>
      <c r="AS147" s="339"/>
      <c r="AT147" s="339"/>
      <c r="AU147" s="339"/>
      <c r="AV147" s="339"/>
      <c r="AW147" s="339"/>
      <c r="AX147" s="339"/>
      <c r="AY147" s="339"/>
      <c r="AZ147" s="339"/>
      <c r="BA147" s="339"/>
      <c r="BB147" s="339"/>
      <c r="BC147" s="339"/>
      <c r="BD147" s="339"/>
    </row>
    <row r="148" spans="3:56">
      <c r="C148" s="339"/>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c r="AG148" s="339"/>
      <c r="AH148" s="339"/>
      <c r="AI148" s="339"/>
      <c r="AJ148" s="339"/>
      <c r="AK148" s="339"/>
      <c r="AL148" s="339"/>
      <c r="AM148" s="339"/>
      <c r="AN148" s="339"/>
      <c r="AO148" s="339"/>
      <c r="AP148" s="339"/>
      <c r="AQ148" s="339"/>
      <c r="AR148" s="339"/>
      <c r="AS148" s="339"/>
      <c r="AT148" s="339"/>
      <c r="AU148" s="339"/>
      <c r="AV148" s="339"/>
      <c r="AW148" s="339"/>
      <c r="AX148" s="339"/>
      <c r="AY148" s="339"/>
      <c r="AZ148" s="339"/>
      <c r="BA148" s="339"/>
      <c r="BB148" s="339"/>
      <c r="BC148" s="339"/>
      <c r="BD148" s="339"/>
    </row>
    <row r="149" spans="3:56">
      <c r="C149" s="339"/>
      <c r="D149" s="339"/>
      <c r="E149" s="339"/>
      <c r="F149" s="339"/>
      <c r="G149" s="339"/>
      <c r="H149" s="339"/>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c r="AG149" s="339"/>
      <c r="AH149" s="339"/>
      <c r="AI149" s="339"/>
      <c r="AJ149" s="339"/>
      <c r="AK149" s="339"/>
      <c r="AL149" s="339"/>
      <c r="AM149" s="339"/>
      <c r="AN149" s="339"/>
      <c r="AO149" s="339"/>
      <c r="AP149" s="339"/>
      <c r="AQ149" s="339"/>
      <c r="AR149" s="339"/>
      <c r="AS149" s="339"/>
      <c r="AT149" s="339"/>
      <c r="AU149" s="339"/>
      <c r="AV149" s="339"/>
      <c r="AW149" s="339"/>
      <c r="AX149" s="339"/>
      <c r="AY149" s="339"/>
      <c r="AZ149" s="339"/>
      <c r="BA149" s="339"/>
      <c r="BB149" s="339"/>
      <c r="BC149" s="339"/>
      <c r="BD149" s="339"/>
    </row>
    <row r="150" spans="3:56">
      <c r="C150" s="339"/>
      <c r="D150" s="339"/>
      <c r="E150" s="339"/>
      <c r="F150" s="339"/>
      <c r="G150" s="339"/>
      <c r="H150" s="339"/>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c r="AG150" s="339"/>
      <c r="AH150" s="339"/>
      <c r="AI150" s="339"/>
      <c r="AJ150" s="339"/>
      <c r="AK150" s="339"/>
      <c r="AL150" s="339"/>
      <c r="AM150" s="339"/>
      <c r="AN150" s="339"/>
      <c r="AO150" s="339"/>
      <c r="AP150" s="339"/>
      <c r="AQ150" s="339"/>
      <c r="AR150" s="339"/>
      <c r="AS150" s="339"/>
      <c r="AT150" s="339"/>
      <c r="AU150" s="339"/>
      <c r="AV150" s="339"/>
      <c r="AW150" s="339"/>
      <c r="AX150" s="339"/>
      <c r="AY150" s="339"/>
      <c r="AZ150" s="339"/>
      <c r="BA150" s="339"/>
      <c r="BB150" s="339"/>
      <c r="BC150" s="339"/>
      <c r="BD150" s="339"/>
    </row>
    <row r="151" spans="3:56">
      <c r="C151" s="339"/>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339"/>
      <c r="AF151" s="339"/>
      <c r="AG151" s="339"/>
      <c r="AH151" s="339"/>
      <c r="AI151" s="339"/>
      <c r="AJ151" s="339"/>
      <c r="AK151" s="339"/>
      <c r="AL151" s="339"/>
      <c r="AM151" s="339"/>
      <c r="AN151" s="339"/>
      <c r="AO151" s="339"/>
      <c r="AP151" s="339"/>
      <c r="AQ151" s="339"/>
      <c r="AR151" s="339"/>
      <c r="AS151" s="339"/>
      <c r="AT151" s="339"/>
      <c r="AU151" s="339"/>
      <c r="AV151" s="339"/>
      <c r="AW151" s="339"/>
      <c r="AX151" s="339"/>
      <c r="AY151" s="339"/>
      <c r="AZ151" s="339"/>
      <c r="BA151" s="339"/>
      <c r="BB151" s="339"/>
      <c r="BC151" s="339"/>
      <c r="BD151" s="339"/>
    </row>
    <row r="152" spans="3:56">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c r="AG152" s="339"/>
      <c r="AH152" s="339"/>
      <c r="AI152" s="339"/>
      <c r="AJ152" s="339"/>
      <c r="AK152" s="339"/>
      <c r="AL152" s="339"/>
      <c r="AM152" s="339"/>
      <c r="AN152" s="339"/>
      <c r="AO152" s="339"/>
      <c r="AP152" s="339"/>
      <c r="AQ152" s="339"/>
      <c r="AR152" s="339"/>
      <c r="AS152" s="339"/>
      <c r="AT152" s="339"/>
      <c r="AU152" s="339"/>
      <c r="AV152" s="339"/>
      <c r="AW152" s="339"/>
      <c r="AX152" s="339"/>
      <c r="AY152" s="339"/>
      <c r="AZ152" s="339"/>
      <c r="BA152" s="339"/>
      <c r="BB152" s="339"/>
      <c r="BC152" s="339"/>
      <c r="BD152" s="339"/>
    </row>
    <row r="153" spans="3:56">
      <c r="C153" s="339"/>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339"/>
      <c r="AL153" s="339"/>
      <c r="AM153" s="339"/>
      <c r="AN153" s="339"/>
      <c r="AO153" s="339"/>
      <c r="AP153" s="339"/>
      <c r="AQ153" s="339"/>
      <c r="AR153" s="339"/>
      <c r="AS153" s="339"/>
      <c r="AT153" s="339"/>
      <c r="AU153" s="339"/>
      <c r="AV153" s="339"/>
      <c r="AW153" s="339"/>
      <c r="AX153" s="339"/>
      <c r="AY153" s="339"/>
      <c r="AZ153" s="339"/>
      <c r="BA153" s="339"/>
      <c r="BB153" s="339"/>
      <c r="BC153" s="339"/>
      <c r="BD153" s="339"/>
    </row>
    <row r="154" spans="3:56">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c r="AG154" s="339"/>
      <c r="AH154" s="339"/>
      <c r="AI154" s="339"/>
      <c r="AJ154" s="339"/>
      <c r="AK154" s="339"/>
      <c r="AL154" s="339"/>
      <c r="AM154" s="339"/>
      <c r="AN154" s="339"/>
      <c r="AO154" s="339"/>
      <c r="AP154" s="339"/>
      <c r="AQ154" s="339"/>
      <c r="AR154" s="339"/>
      <c r="AS154" s="339"/>
      <c r="AT154" s="339"/>
      <c r="AU154" s="339"/>
      <c r="AV154" s="339"/>
      <c r="AW154" s="339"/>
      <c r="AX154" s="339"/>
      <c r="AY154" s="339"/>
      <c r="AZ154" s="339"/>
      <c r="BA154" s="339"/>
      <c r="BB154" s="339"/>
      <c r="BC154" s="339"/>
      <c r="BD154" s="339"/>
    </row>
    <row r="155" spans="3:56">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39"/>
      <c r="AV155" s="339"/>
      <c r="AW155" s="339"/>
      <c r="AX155" s="339"/>
      <c r="AY155" s="339"/>
      <c r="AZ155" s="339"/>
      <c r="BA155" s="339"/>
      <c r="BB155" s="339"/>
      <c r="BC155" s="339"/>
      <c r="BD155" s="339"/>
    </row>
    <row r="156" spans="3:56">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39"/>
      <c r="AV156" s="339"/>
      <c r="AW156" s="339"/>
      <c r="AX156" s="339"/>
      <c r="AY156" s="339"/>
      <c r="AZ156" s="339"/>
      <c r="BA156" s="339"/>
      <c r="BB156" s="339"/>
      <c r="BC156" s="339"/>
      <c r="BD156" s="339"/>
    </row>
    <row r="157" spans="3:56">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c r="AG157" s="339"/>
      <c r="AH157" s="339"/>
      <c r="AI157" s="339"/>
      <c r="AJ157" s="339"/>
      <c r="AK157" s="339"/>
      <c r="AL157" s="339"/>
      <c r="AM157" s="339"/>
      <c r="AN157" s="339"/>
      <c r="AO157" s="339"/>
      <c r="AP157" s="339"/>
      <c r="AQ157" s="339"/>
      <c r="AR157" s="339"/>
      <c r="AS157" s="339"/>
      <c r="AT157" s="339"/>
      <c r="AU157" s="339"/>
      <c r="AV157" s="339"/>
      <c r="AW157" s="339"/>
      <c r="AX157" s="339"/>
      <c r="AY157" s="339"/>
      <c r="AZ157" s="339"/>
      <c r="BA157" s="339"/>
      <c r="BB157" s="339"/>
      <c r="BC157" s="339"/>
      <c r="BD157" s="339"/>
    </row>
    <row r="158" spans="3:56">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c r="BC158" s="339"/>
      <c r="BD158" s="339"/>
    </row>
    <row r="159" spans="3:56">
      <c r="C159" s="339"/>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c r="AG159" s="339"/>
      <c r="AH159" s="339"/>
      <c r="AI159" s="339"/>
      <c r="AJ159" s="339"/>
      <c r="AK159" s="339"/>
      <c r="AL159" s="339"/>
      <c r="AM159" s="339"/>
      <c r="AN159" s="339"/>
      <c r="AO159" s="339"/>
      <c r="AP159" s="339"/>
      <c r="AQ159" s="339"/>
      <c r="AR159" s="339"/>
      <c r="AS159" s="339"/>
      <c r="AT159" s="339"/>
      <c r="AU159" s="339"/>
      <c r="AV159" s="339"/>
      <c r="AW159" s="339"/>
      <c r="AX159" s="339"/>
      <c r="AY159" s="339"/>
      <c r="AZ159" s="339"/>
      <c r="BA159" s="339"/>
      <c r="BB159" s="339"/>
      <c r="BC159" s="339"/>
      <c r="BD159" s="339"/>
    </row>
    <row r="160" spans="3:56">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c r="AG160" s="339"/>
      <c r="AH160" s="339"/>
      <c r="AI160" s="339"/>
      <c r="AJ160" s="339"/>
      <c r="AK160" s="339"/>
      <c r="AL160" s="339"/>
      <c r="AM160" s="339"/>
      <c r="AN160" s="339"/>
      <c r="AO160" s="339"/>
      <c r="AP160" s="339"/>
      <c r="AQ160" s="339"/>
      <c r="AR160" s="339"/>
      <c r="AS160" s="339"/>
      <c r="AT160" s="339"/>
      <c r="AU160" s="339"/>
      <c r="AV160" s="339"/>
      <c r="AW160" s="339"/>
      <c r="AX160" s="339"/>
      <c r="AY160" s="339"/>
      <c r="AZ160" s="339"/>
      <c r="BA160" s="339"/>
      <c r="BB160" s="339"/>
      <c r="BC160" s="339"/>
      <c r="BD160" s="339"/>
    </row>
    <row r="161" spans="3:56">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39"/>
      <c r="AV161" s="339"/>
      <c r="AW161" s="339"/>
      <c r="AX161" s="339"/>
      <c r="AY161" s="339"/>
      <c r="AZ161" s="339"/>
      <c r="BA161" s="339"/>
      <c r="BB161" s="339"/>
      <c r="BC161" s="339"/>
      <c r="BD161" s="339"/>
    </row>
    <row r="162" spans="3:56">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39"/>
      <c r="AV162" s="339"/>
      <c r="AW162" s="339"/>
      <c r="AX162" s="339"/>
      <c r="AY162" s="339"/>
      <c r="AZ162" s="339"/>
      <c r="BA162" s="339"/>
      <c r="BB162" s="339"/>
      <c r="BC162" s="339"/>
      <c r="BD162" s="339"/>
    </row>
    <row r="163" spans="3:56">
      <c r="C163" s="339"/>
      <c r="D163" s="339"/>
      <c r="E163" s="339"/>
      <c r="F163" s="339"/>
      <c r="G163" s="339"/>
      <c r="H163" s="339"/>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39"/>
      <c r="AV163" s="339"/>
      <c r="AW163" s="339"/>
      <c r="AX163" s="339"/>
      <c r="AY163" s="339"/>
      <c r="AZ163" s="339"/>
      <c r="BA163" s="339"/>
      <c r="BB163" s="339"/>
      <c r="BC163" s="339"/>
      <c r="BD163" s="339"/>
    </row>
    <row r="164" spans="3:56">
      <c r="C164" s="339"/>
      <c r="D164" s="339"/>
      <c r="E164" s="339"/>
      <c r="F164" s="339"/>
      <c r="G164" s="339"/>
      <c r="H164" s="339"/>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339"/>
      <c r="AL164" s="339"/>
      <c r="AM164" s="339"/>
      <c r="AN164" s="339"/>
      <c r="AO164" s="339"/>
      <c r="AP164" s="339"/>
      <c r="AQ164" s="339"/>
      <c r="AR164" s="339"/>
      <c r="AS164" s="339"/>
      <c r="AT164" s="339"/>
      <c r="AU164" s="339"/>
      <c r="AV164" s="339"/>
      <c r="AW164" s="339"/>
      <c r="AX164" s="339"/>
      <c r="AY164" s="339"/>
      <c r="AZ164" s="339"/>
      <c r="BA164" s="339"/>
      <c r="BB164" s="339"/>
      <c r="BC164" s="339"/>
      <c r="BD164" s="339"/>
    </row>
    <row r="165" spans="3:56">
      <c r="C165" s="339"/>
      <c r="D165" s="339"/>
      <c r="E165" s="339"/>
      <c r="F165" s="339"/>
      <c r="G165" s="339"/>
      <c r="H165" s="339"/>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c r="AG165" s="339"/>
      <c r="AH165" s="339"/>
      <c r="AI165" s="339"/>
      <c r="AJ165" s="339"/>
      <c r="AK165" s="339"/>
      <c r="AL165" s="339"/>
      <c r="AM165" s="339"/>
      <c r="AN165" s="339"/>
      <c r="AO165" s="339"/>
      <c r="AP165" s="339"/>
      <c r="AQ165" s="339"/>
      <c r="AR165" s="339"/>
      <c r="AS165" s="339"/>
      <c r="AT165" s="339"/>
      <c r="AU165" s="339"/>
      <c r="AV165" s="339"/>
      <c r="AW165" s="339"/>
      <c r="AX165" s="339"/>
      <c r="AY165" s="339"/>
      <c r="AZ165" s="339"/>
      <c r="BA165" s="339"/>
      <c r="BB165" s="339"/>
      <c r="BC165" s="339"/>
      <c r="BD165" s="339"/>
    </row>
    <row r="166" spans="3:56">
      <c r="C166" s="339"/>
      <c r="D166" s="339"/>
      <c r="E166" s="339"/>
      <c r="F166" s="339"/>
      <c r="G166" s="339"/>
      <c r="H166" s="339"/>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c r="AG166" s="339"/>
      <c r="AH166" s="339"/>
      <c r="AI166" s="339"/>
      <c r="AJ166" s="339"/>
      <c r="AK166" s="339"/>
      <c r="AL166" s="339"/>
      <c r="AM166" s="339"/>
      <c r="AN166" s="339"/>
      <c r="AO166" s="339"/>
      <c r="AP166" s="339"/>
      <c r="AQ166" s="339"/>
      <c r="AR166" s="339"/>
      <c r="AS166" s="339"/>
      <c r="AT166" s="339"/>
      <c r="AU166" s="339"/>
      <c r="AV166" s="339"/>
      <c r="AW166" s="339"/>
      <c r="AX166" s="339"/>
      <c r="AY166" s="339"/>
      <c r="AZ166" s="339"/>
      <c r="BA166" s="339"/>
      <c r="BB166" s="339"/>
      <c r="BC166" s="339"/>
      <c r="BD166" s="339"/>
    </row>
    <row r="167" spans="3:56">
      <c r="C167" s="339"/>
      <c r="D167" s="339"/>
      <c r="E167" s="339"/>
      <c r="F167" s="339"/>
      <c r="G167" s="339"/>
      <c r="H167" s="339"/>
      <c r="I167" s="339"/>
      <c r="J167" s="339"/>
      <c r="K167" s="339"/>
      <c r="L167" s="339"/>
      <c r="M167" s="339"/>
      <c r="N167" s="339"/>
      <c r="O167" s="339"/>
      <c r="P167" s="339"/>
      <c r="Q167" s="339"/>
      <c r="R167" s="339"/>
      <c r="S167" s="339"/>
      <c r="T167" s="339"/>
      <c r="U167" s="339"/>
      <c r="V167" s="339"/>
      <c r="W167" s="339"/>
      <c r="X167" s="339"/>
      <c r="Y167" s="339"/>
      <c r="Z167" s="339"/>
      <c r="AA167" s="339"/>
      <c r="AB167" s="339"/>
      <c r="AC167" s="339"/>
      <c r="AD167" s="339"/>
      <c r="AE167" s="339"/>
      <c r="AF167" s="339"/>
      <c r="AG167" s="339"/>
      <c r="AH167" s="339"/>
      <c r="AI167" s="339"/>
      <c r="AJ167" s="339"/>
      <c r="AK167" s="339"/>
      <c r="AL167" s="339"/>
      <c r="AM167" s="339"/>
      <c r="AN167" s="339"/>
      <c r="AO167" s="339"/>
      <c r="AP167" s="339"/>
      <c r="AQ167" s="339"/>
      <c r="AR167" s="339"/>
      <c r="AS167" s="339"/>
      <c r="AT167" s="339"/>
      <c r="AU167" s="339"/>
      <c r="AV167" s="339"/>
      <c r="AW167" s="339"/>
      <c r="AX167" s="339"/>
      <c r="AY167" s="339"/>
      <c r="AZ167" s="339"/>
      <c r="BA167" s="339"/>
      <c r="BB167" s="339"/>
      <c r="BC167" s="339"/>
      <c r="BD167" s="339"/>
    </row>
    <row r="168" spans="3:56">
      <c r="C168" s="339"/>
      <c r="D168" s="339"/>
      <c r="E168" s="339"/>
      <c r="F168" s="339"/>
      <c r="G168" s="339"/>
      <c r="H168" s="339"/>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c r="AG168" s="339"/>
      <c r="AH168" s="339"/>
      <c r="AI168" s="339"/>
      <c r="AJ168" s="339"/>
      <c r="AK168" s="339"/>
      <c r="AL168" s="339"/>
      <c r="AM168" s="339"/>
      <c r="AN168" s="339"/>
      <c r="AO168" s="339"/>
      <c r="AP168" s="339"/>
      <c r="AQ168" s="339"/>
      <c r="AR168" s="339"/>
      <c r="AS168" s="339"/>
      <c r="AT168" s="339"/>
      <c r="AU168" s="339"/>
      <c r="AV168" s="339"/>
      <c r="AW168" s="339"/>
      <c r="AX168" s="339"/>
      <c r="AY168" s="339"/>
      <c r="AZ168" s="339"/>
      <c r="BA168" s="339"/>
      <c r="BB168" s="339"/>
      <c r="BC168" s="339"/>
      <c r="BD168" s="339"/>
    </row>
    <row r="169" spans="3:56">
      <c r="C169" s="339"/>
      <c r="D169" s="339"/>
      <c r="E169" s="339"/>
      <c r="F169" s="339"/>
      <c r="G169" s="339"/>
      <c r="H169" s="339"/>
      <c r="I169" s="339"/>
      <c r="J169" s="339"/>
      <c r="K169" s="339"/>
      <c r="L169" s="339"/>
      <c r="M169" s="339"/>
      <c r="N169" s="339"/>
      <c r="O169" s="339"/>
      <c r="P169" s="339"/>
      <c r="Q169" s="339"/>
      <c r="R169" s="339"/>
      <c r="S169" s="339"/>
      <c r="T169" s="339"/>
      <c r="U169" s="339"/>
      <c r="V169" s="339"/>
      <c r="W169" s="339"/>
      <c r="X169" s="339"/>
      <c r="Y169" s="339"/>
      <c r="Z169" s="339"/>
      <c r="AA169" s="339"/>
      <c r="AB169" s="339"/>
      <c r="AC169" s="339"/>
      <c r="AD169" s="339"/>
      <c r="AE169" s="339"/>
      <c r="AF169" s="339"/>
      <c r="AG169" s="339"/>
      <c r="AH169" s="339"/>
      <c r="AI169" s="339"/>
      <c r="AJ169" s="339"/>
      <c r="AK169" s="339"/>
      <c r="AL169" s="339"/>
      <c r="AM169" s="339"/>
      <c r="AN169" s="339"/>
      <c r="AO169" s="339"/>
      <c r="AP169" s="339"/>
      <c r="AQ169" s="339"/>
      <c r="AR169" s="339"/>
      <c r="AS169" s="339"/>
      <c r="AT169" s="339"/>
      <c r="AU169" s="339"/>
      <c r="AV169" s="339"/>
      <c r="AW169" s="339"/>
      <c r="AX169" s="339"/>
      <c r="AY169" s="339"/>
      <c r="AZ169" s="339"/>
      <c r="BA169" s="339"/>
      <c r="BB169" s="339"/>
      <c r="BC169" s="339"/>
      <c r="BD169" s="339"/>
    </row>
    <row r="170" spans="3:56">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c r="AG170" s="339"/>
      <c r="AH170" s="339"/>
      <c r="AI170" s="339"/>
      <c r="AJ170" s="339"/>
      <c r="AK170" s="339"/>
      <c r="AL170" s="339"/>
      <c r="AM170" s="339"/>
      <c r="AN170" s="339"/>
      <c r="AO170" s="339"/>
      <c r="AP170" s="339"/>
      <c r="AQ170" s="339"/>
      <c r="AR170" s="339"/>
      <c r="AS170" s="339"/>
      <c r="AT170" s="339"/>
      <c r="AU170" s="339"/>
      <c r="AV170" s="339"/>
      <c r="AW170" s="339"/>
      <c r="AX170" s="339"/>
      <c r="AY170" s="339"/>
      <c r="AZ170" s="339"/>
      <c r="BA170" s="339"/>
      <c r="BB170" s="339"/>
      <c r="BC170" s="339"/>
      <c r="BD170" s="339"/>
    </row>
    <row r="171" spans="3:56">
      <c r="C171" s="339"/>
      <c r="D171" s="339"/>
      <c r="E171" s="339"/>
      <c r="F171" s="339"/>
      <c r="G171" s="339"/>
      <c r="H171" s="339"/>
      <c r="I171" s="339"/>
      <c r="J171" s="339"/>
      <c r="K171" s="339"/>
      <c r="L171" s="339"/>
      <c r="M171" s="339"/>
      <c r="N171" s="339"/>
      <c r="O171" s="339"/>
      <c r="P171" s="339"/>
      <c r="Q171" s="339"/>
      <c r="R171" s="339"/>
      <c r="S171" s="339"/>
      <c r="T171" s="339"/>
      <c r="U171" s="339"/>
      <c r="V171" s="339"/>
      <c r="W171" s="339"/>
      <c r="X171" s="339"/>
      <c r="Y171" s="339"/>
      <c r="Z171" s="339"/>
      <c r="AA171" s="339"/>
      <c r="AB171" s="339"/>
      <c r="AC171" s="339"/>
      <c r="AD171" s="339"/>
      <c r="AE171" s="339"/>
      <c r="AF171" s="339"/>
      <c r="AG171" s="339"/>
      <c r="AH171" s="339"/>
      <c r="AI171" s="339"/>
      <c r="AJ171" s="339"/>
      <c r="AK171" s="339"/>
      <c r="AL171" s="339"/>
      <c r="AM171" s="339"/>
      <c r="AN171" s="339"/>
      <c r="AO171" s="339"/>
      <c r="AP171" s="339"/>
      <c r="AQ171" s="339"/>
      <c r="AR171" s="339"/>
      <c r="AS171" s="339"/>
      <c r="AT171" s="339"/>
      <c r="AU171" s="339"/>
      <c r="AV171" s="339"/>
      <c r="AW171" s="339"/>
      <c r="AX171" s="339"/>
      <c r="AY171" s="339"/>
      <c r="AZ171" s="339"/>
      <c r="BA171" s="339"/>
      <c r="BB171" s="339"/>
      <c r="BC171" s="339"/>
      <c r="BD171" s="339"/>
    </row>
    <row r="172" spans="3:56">
      <c r="C172" s="339"/>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c r="AG172" s="339"/>
      <c r="AH172" s="339"/>
      <c r="AI172" s="339"/>
      <c r="AJ172" s="339"/>
      <c r="AK172" s="339"/>
      <c r="AL172" s="339"/>
      <c r="AM172" s="339"/>
      <c r="AN172" s="339"/>
      <c r="AO172" s="339"/>
      <c r="AP172" s="339"/>
      <c r="AQ172" s="339"/>
      <c r="AR172" s="339"/>
      <c r="AS172" s="339"/>
      <c r="AT172" s="339"/>
      <c r="AU172" s="339"/>
      <c r="AV172" s="339"/>
      <c r="AW172" s="339"/>
      <c r="AX172" s="339"/>
      <c r="AY172" s="339"/>
      <c r="AZ172" s="339"/>
      <c r="BA172" s="339"/>
      <c r="BB172" s="339"/>
      <c r="BC172" s="339"/>
      <c r="BD172" s="339"/>
    </row>
    <row r="173" spans="3:56">
      <c r="C173" s="339"/>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c r="AG173" s="339"/>
      <c r="AH173" s="339"/>
      <c r="AI173" s="339"/>
      <c r="AJ173" s="339"/>
      <c r="AK173" s="339"/>
      <c r="AL173" s="339"/>
      <c r="AM173" s="339"/>
      <c r="AN173" s="339"/>
      <c r="AO173" s="339"/>
      <c r="AP173" s="339"/>
      <c r="AQ173" s="339"/>
      <c r="AR173" s="339"/>
      <c r="AS173" s="339"/>
      <c r="AT173" s="339"/>
      <c r="AU173" s="339"/>
      <c r="AV173" s="339"/>
      <c r="AW173" s="339"/>
      <c r="AX173" s="339"/>
      <c r="AY173" s="339"/>
      <c r="AZ173" s="339"/>
      <c r="BA173" s="339"/>
      <c r="BB173" s="339"/>
      <c r="BC173" s="339"/>
      <c r="BD173" s="339"/>
    </row>
    <row r="174" spans="3:56">
      <c r="C174" s="339"/>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c r="AA174" s="339"/>
      <c r="AB174" s="339"/>
      <c r="AC174" s="339"/>
      <c r="AD174" s="339"/>
      <c r="AE174" s="339"/>
      <c r="AF174" s="339"/>
      <c r="AG174" s="339"/>
      <c r="AH174" s="339"/>
      <c r="AI174" s="339"/>
      <c r="AJ174" s="339"/>
      <c r="AK174" s="339"/>
      <c r="AL174" s="339"/>
      <c r="AM174" s="339"/>
      <c r="AN174" s="339"/>
      <c r="AO174" s="339"/>
      <c r="AP174" s="339"/>
      <c r="AQ174" s="339"/>
      <c r="AR174" s="339"/>
      <c r="AS174" s="339"/>
      <c r="AT174" s="339"/>
      <c r="AU174" s="339"/>
      <c r="AV174" s="339"/>
      <c r="AW174" s="339"/>
      <c r="AX174" s="339"/>
      <c r="AY174" s="339"/>
      <c r="AZ174" s="339"/>
      <c r="BA174" s="339"/>
      <c r="BB174" s="339"/>
      <c r="BC174" s="339"/>
      <c r="BD174" s="339"/>
    </row>
    <row r="175" spans="3:56">
      <c r="C175" s="339"/>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c r="AG175" s="339"/>
      <c r="AH175" s="339"/>
      <c r="AI175" s="339"/>
      <c r="AJ175" s="339"/>
      <c r="AK175" s="339"/>
      <c r="AL175" s="339"/>
      <c r="AM175" s="339"/>
      <c r="AN175" s="339"/>
      <c r="AO175" s="339"/>
      <c r="AP175" s="339"/>
      <c r="AQ175" s="339"/>
      <c r="AR175" s="339"/>
      <c r="AS175" s="339"/>
      <c r="AT175" s="339"/>
      <c r="AU175" s="339"/>
      <c r="AV175" s="339"/>
      <c r="AW175" s="339"/>
      <c r="AX175" s="339"/>
      <c r="AY175" s="339"/>
      <c r="AZ175" s="339"/>
      <c r="BA175" s="339"/>
      <c r="BB175" s="339"/>
      <c r="BC175" s="339"/>
      <c r="BD175" s="339"/>
    </row>
    <row r="176" spans="3:56">
      <c r="C176" s="339"/>
      <c r="D176" s="339"/>
      <c r="E176" s="339"/>
      <c r="F176" s="339"/>
      <c r="G176" s="339"/>
      <c r="H176" s="339"/>
      <c r="I176" s="339"/>
      <c r="J176" s="339"/>
      <c r="K176" s="339"/>
      <c r="L176" s="339"/>
      <c r="M176" s="339"/>
      <c r="N176" s="339"/>
      <c r="O176" s="339"/>
      <c r="P176" s="339"/>
      <c r="Q176" s="339"/>
      <c r="R176" s="339"/>
      <c r="S176" s="339"/>
      <c r="T176" s="339"/>
      <c r="U176" s="339"/>
      <c r="V176" s="339"/>
      <c r="W176" s="339"/>
      <c r="X176" s="339"/>
      <c r="Y176" s="339"/>
      <c r="Z176" s="339"/>
      <c r="AA176" s="339"/>
      <c r="AB176" s="339"/>
      <c r="AC176" s="339"/>
      <c r="AD176" s="339"/>
      <c r="AE176" s="339"/>
      <c r="AF176" s="339"/>
      <c r="AG176" s="339"/>
      <c r="AH176" s="339"/>
      <c r="AI176" s="339"/>
      <c r="AJ176" s="339"/>
      <c r="AK176" s="339"/>
      <c r="AL176" s="339"/>
      <c r="AM176" s="339"/>
      <c r="AN176" s="339"/>
      <c r="AO176" s="339"/>
      <c r="AP176" s="339"/>
      <c r="AQ176" s="339"/>
      <c r="AR176" s="339"/>
      <c r="AS176" s="339"/>
      <c r="AT176" s="339"/>
      <c r="AU176" s="339"/>
      <c r="AV176" s="339"/>
      <c r="AW176" s="339"/>
      <c r="AX176" s="339"/>
      <c r="AY176" s="339"/>
      <c r="AZ176" s="339"/>
      <c r="BA176" s="339"/>
      <c r="BB176" s="339"/>
      <c r="BC176" s="339"/>
      <c r="BD176" s="339"/>
    </row>
    <row r="177" spans="3:56">
      <c r="C177" s="339"/>
      <c r="D177" s="339"/>
      <c r="E177" s="339"/>
      <c r="F177" s="339"/>
      <c r="G177" s="339"/>
      <c r="H177" s="339"/>
      <c r="I177" s="339"/>
      <c r="J177" s="339"/>
      <c r="K177" s="339"/>
      <c r="L177" s="339"/>
      <c r="M177" s="339"/>
      <c r="N177" s="339"/>
      <c r="O177" s="339"/>
      <c r="P177" s="339"/>
      <c r="Q177" s="339"/>
      <c r="R177" s="339"/>
      <c r="S177" s="339"/>
      <c r="T177" s="339"/>
      <c r="U177" s="339"/>
      <c r="V177" s="339"/>
      <c r="W177" s="339"/>
      <c r="X177" s="339"/>
      <c r="Y177" s="339"/>
      <c r="Z177" s="339"/>
      <c r="AA177" s="339"/>
      <c r="AB177" s="339"/>
      <c r="AC177" s="339"/>
      <c r="AD177" s="339"/>
      <c r="AE177" s="339"/>
      <c r="AF177" s="339"/>
      <c r="AG177" s="339"/>
      <c r="AH177" s="339"/>
      <c r="AI177" s="339"/>
      <c r="AJ177" s="339"/>
      <c r="AK177" s="339"/>
      <c r="AL177" s="339"/>
      <c r="AM177" s="339"/>
      <c r="AN177" s="339"/>
      <c r="AO177" s="339"/>
      <c r="AP177" s="339"/>
      <c r="AQ177" s="339"/>
      <c r="AR177" s="339"/>
      <c r="AS177" s="339"/>
      <c r="AT177" s="339"/>
      <c r="AU177" s="339"/>
      <c r="AV177" s="339"/>
      <c r="AW177" s="339"/>
      <c r="AX177" s="339"/>
      <c r="AY177" s="339"/>
      <c r="AZ177" s="339"/>
      <c r="BA177" s="339"/>
      <c r="BB177" s="339"/>
      <c r="BC177" s="339"/>
      <c r="BD177" s="339"/>
    </row>
    <row r="178" spans="3:56">
      <c r="C178" s="339"/>
      <c r="D178" s="339"/>
      <c r="E178" s="339"/>
      <c r="F178" s="339"/>
      <c r="G178" s="339"/>
      <c r="H178" s="339"/>
      <c r="I178" s="339"/>
      <c r="J178" s="339"/>
      <c r="K178" s="339"/>
      <c r="L178" s="339"/>
      <c r="M178" s="339"/>
      <c r="N178" s="339"/>
      <c r="O178" s="339"/>
      <c r="P178" s="339"/>
      <c r="Q178" s="339"/>
      <c r="R178" s="339"/>
      <c r="S178" s="339"/>
      <c r="T178" s="339"/>
      <c r="U178" s="339"/>
      <c r="V178" s="339"/>
      <c r="W178" s="339"/>
      <c r="X178" s="339"/>
      <c r="Y178" s="339"/>
      <c r="Z178" s="339"/>
      <c r="AA178" s="339"/>
      <c r="AB178" s="339"/>
      <c r="AC178" s="339"/>
      <c r="AD178" s="339"/>
      <c r="AE178" s="339"/>
      <c r="AF178" s="339"/>
      <c r="AG178" s="339"/>
      <c r="AH178" s="339"/>
      <c r="AI178" s="339"/>
      <c r="AJ178" s="339"/>
      <c r="AK178" s="339"/>
      <c r="AL178" s="339"/>
      <c r="AM178" s="339"/>
      <c r="AN178" s="339"/>
      <c r="AO178" s="339"/>
      <c r="AP178" s="339"/>
      <c r="AQ178" s="339"/>
      <c r="AR178" s="339"/>
      <c r="AS178" s="339"/>
      <c r="AT178" s="339"/>
      <c r="AU178" s="339"/>
      <c r="AV178" s="339"/>
      <c r="AW178" s="339"/>
      <c r="AX178" s="339"/>
      <c r="AY178" s="339"/>
      <c r="AZ178" s="339"/>
      <c r="BA178" s="339"/>
      <c r="BB178" s="339"/>
      <c r="BC178" s="339"/>
      <c r="BD178" s="339"/>
    </row>
    <row r="179" spans="3:56">
      <c r="C179" s="339"/>
      <c r="D179" s="339"/>
      <c r="E179" s="339"/>
      <c r="F179" s="339"/>
      <c r="G179" s="339"/>
      <c r="H179" s="339"/>
      <c r="I179" s="339"/>
      <c r="J179" s="339"/>
      <c r="K179" s="339"/>
      <c r="L179" s="339"/>
      <c r="M179" s="339"/>
      <c r="N179" s="339"/>
      <c r="O179" s="339"/>
      <c r="P179" s="339"/>
      <c r="Q179" s="339"/>
      <c r="R179" s="339"/>
      <c r="S179" s="339"/>
      <c r="T179" s="339"/>
      <c r="U179" s="339"/>
      <c r="V179" s="339"/>
      <c r="W179" s="339"/>
      <c r="X179" s="339"/>
      <c r="Y179" s="339"/>
      <c r="Z179" s="339"/>
      <c r="AA179" s="339"/>
      <c r="AB179" s="339"/>
      <c r="AC179" s="339"/>
      <c r="AD179" s="339"/>
      <c r="AE179" s="339"/>
      <c r="AF179" s="339"/>
      <c r="AG179" s="339"/>
      <c r="AH179" s="339"/>
      <c r="AI179" s="339"/>
      <c r="AJ179" s="339"/>
      <c r="AK179" s="339"/>
      <c r="AL179" s="339"/>
      <c r="AM179" s="339"/>
      <c r="AN179" s="339"/>
      <c r="AO179" s="339"/>
      <c r="AP179" s="339"/>
      <c r="AQ179" s="339"/>
      <c r="AR179" s="339"/>
      <c r="AS179" s="339"/>
      <c r="AT179" s="339"/>
      <c r="AU179" s="339"/>
      <c r="AV179" s="339"/>
      <c r="AW179" s="339"/>
      <c r="AX179" s="339"/>
      <c r="AY179" s="339"/>
      <c r="AZ179" s="339"/>
      <c r="BA179" s="339"/>
      <c r="BB179" s="339"/>
      <c r="BC179" s="339"/>
      <c r="BD179" s="339"/>
    </row>
    <row r="180" spans="3:56">
      <c r="C180" s="339"/>
      <c r="D180" s="339"/>
      <c r="E180" s="339"/>
      <c r="F180" s="339"/>
      <c r="G180" s="339"/>
      <c r="H180" s="339"/>
      <c r="I180" s="339"/>
      <c r="J180" s="339"/>
      <c r="K180" s="339"/>
      <c r="L180" s="339"/>
      <c r="M180" s="339"/>
      <c r="N180" s="339"/>
      <c r="O180" s="339"/>
      <c r="P180" s="339"/>
      <c r="Q180" s="339"/>
      <c r="R180" s="339"/>
      <c r="S180" s="339"/>
      <c r="T180" s="339"/>
      <c r="U180" s="339"/>
      <c r="V180" s="339"/>
      <c r="W180" s="339"/>
      <c r="X180" s="339"/>
      <c r="Y180" s="339"/>
      <c r="Z180" s="339"/>
      <c r="AA180" s="339"/>
      <c r="AB180" s="339"/>
      <c r="AC180" s="339"/>
      <c r="AD180" s="339"/>
      <c r="AE180" s="339"/>
      <c r="AF180" s="339"/>
      <c r="AG180" s="339"/>
      <c r="AH180" s="339"/>
      <c r="AI180" s="339"/>
      <c r="AJ180" s="339"/>
      <c r="AK180" s="339"/>
      <c r="AL180" s="339"/>
      <c r="AM180" s="339"/>
      <c r="AN180" s="339"/>
      <c r="AO180" s="339"/>
      <c r="AP180" s="339"/>
      <c r="AQ180" s="339"/>
      <c r="AR180" s="339"/>
      <c r="AS180" s="339"/>
      <c r="AT180" s="339"/>
      <c r="AU180" s="339"/>
      <c r="AV180" s="339"/>
      <c r="AW180" s="339"/>
      <c r="AX180" s="339"/>
      <c r="AY180" s="339"/>
      <c r="AZ180" s="339"/>
      <c r="BA180" s="339"/>
      <c r="BB180" s="339"/>
      <c r="BC180" s="339"/>
      <c r="BD180" s="339"/>
    </row>
    <row r="181" spans="3:56">
      <c r="C181" s="339"/>
      <c r="D181" s="339"/>
      <c r="E181" s="339"/>
      <c r="F181" s="339"/>
      <c r="G181" s="339"/>
      <c r="H181" s="339"/>
      <c r="I181" s="339"/>
      <c r="J181" s="339"/>
      <c r="K181" s="339"/>
      <c r="L181" s="339"/>
      <c r="M181" s="339"/>
      <c r="N181" s="339"/>
      <c r="O181" s="339"/>
      <c r="P181" s="339"/>
      <c r="Q181" s="339"/>
      <c r="R181" s="339"/>
      <c r="S181" s="339"/>
      <c r="T181" s="339"/>
      <c r="U181" s="339"/>
      <c r="V181" s="339"/>
      <c r="W181" s="339"/>
      <c r="X181" s="339"/>
      <c r="Y181" s="339"/>
      <c r="Z181" s="339"/>
      <c r="AA181" s="339"/>
      <c r="AB181" s="339"/>
      <c r="AC181" s="339"/>
      <c r="AD181" s="339"/>
      <c r="AE181" s="339"/>
      <c r="AF181" s="339"/>
      <c r="AG181" s="339"/>
      <c r="AH181" s="339"/>
      <c r="AI181" s="339"/>
      <c r="AJ181" s="339"/>
      <c r="AK181" s="339"/>
      <c r="AL181" s="339"/>
      <c r="AM181" s="339"/>
      <c r="AN181" s="339"/>
      <c r="AO181" s="339"/>
      <c r="AP181" s="339"/>
      <c r="AQ181" s="339"/>
      <c r="AR181" s="339"/>
      <c r="AS181" s="339"/>
      <c r="AT181" s="339"/>
      <c r="AU181" s="339"/>
      <c r="AV181" s="339"/>
      <c r="AW181" s="339"/>
      <c r="AX181" s="339"/>
      <c r="AY181" s="339"/>
      <c r="AZ181" s="339"/>
      <c r="BA181" s="339"/>
      <c r="BB181" s="339"/>
      <c r="BC181" s="339"/>
      <c r="BD181" s="339"/>
    </row>
    <row r="182" spans="3:56">
      <c r="C182" s="339"/>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c r="AG182" s="339"/>
      <c r="AH182" s="339"/>
      <c r="AI182" s="339"/>
      <c r="AJ182" s="339"/>
      <c r="AK182" s="339"/>
      <c r="AL182" s="339"/>
      <c r="AM182" s="339"/>
      <c r="AN182" s="339"/>
      <c r="AO182" s="339"/>
      <c r="AP182" s="339"/>
      <c r="AQ182" s="339"/>
      <c r="AR182" s="339"/>
      <c r="AS182" s="339"/>
      <c r="AT182" s="339"/>
      <c r="AU182" s="339"/>
      <c r="AV182" s="339"/>
      <c r="AW182" s="339"/>
      <c r="AX182" s="339"/>
      <c r="AY182" s="339"/>
      <c r="AZ182" s="339"/>
      <c r="BA182" s="339"/>
      <c r="BB182" s="339"/>
      <c r="BC182" s="339"/>
      <c r="BD182" s="339"/>
    </row>
    <row r="183" spans="3:56">
      <c r="C183" s="339"/>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c r="AA183" s="339"/>
      <c r="AB183" s="339"/>
      <c r="AC183" s="339"/>
      <c r="AD183" s="339"/>
      <c r="AE183" s="339"/>
      <c r="AF183" s="339"/>
      <c r="AG183" s="339"/>
      <c r="AH183" s="339"/>
      <c r="AI183" s="339"/>
      <c r="AJ183" s="339"/>
      <c r="AK183" s="339"/>
      <c r="AL183" s="339"/>
      <c r="AM183" s="339"/>
      <c r="AN183" s="339"/>
      <c r="AO183" s="339"/>
      <c r="AP183" s="339"/>
      <c r="AQ183" s="339"/>
      <c r="AR183" s="339"/>
      <c r="AS183" s="339"/>
      <c r="AT183" s="339"/>
      <c r="AU183" s="339"/>
      <c r="AV183" s="339"/>
      <c r="AW183" s="339"/>
      <c r="AX183" s="339"/>
      <c r="AY183" s="339"/>
      <c r="AZ183" s="339"/>
      <c r="BA183" s="339"/>
      <c r="BB183" s="339"/>
      <c r="BC183" s="339"/>
      <c r="BD183" s="339"/>
    </row>
    <row r="184" spans="3:56">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c r="AA184" s="339"/>
      <c r="AB184" s="339"/>
      <c r="AC184" s="339"/>
      <c r="AD184" s="339"/>
      <c r="AE184" s="339"/>
      <c r="AF184" s="339"/>
      <c r="AG184" s="339"/>
      <c r="AH184" s="339"/>
      <c r="AI184" s="339"/>
      <c r="AJ184" s="339"/>
      <c r="AK184" s="339"/>
      <c r="AL184" s="339"/>
      <c r="AM184" s="339"/>
      <c r="AN184" s="339"/>
      <c r="AO184" s="339"/>
      <c r="AP184" s="339"/>
      <c r="AQ184" s="339"/>
      <c r="AR184" s="339"/>
      <c r="AS184" s="339"/>
      <c r="AT184" s="339"/>
      <c r="AU184" s="339"/>
      <c r="AV184" s="339"/>
      <c r="AW184" s="339"/>
      <c r="AX184" s="339"/>
      <c r="AY184" s="339"/>
      <c r="AZ184" s="339"/>
      <c r="BA184" s="339"/>
      <c r="BB184" s="339"/>
      <c r="BC184" s="339"/>
      <c r="BD184" s="339"/>
    </row>
    <row r="185" spans="3:56">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39"/>
      <c r="AV185" s="339"/>
      <c r="AW185" s="339"/>
      <c r="AX185" s="339"/>
      <c r="AY185" s="339"/>
      <c r="AZ185" s="339"/>
      <c r="BA185" s="339"/>
      <c r="BB185" s="339"/>
      <c r="BC185" s="339"/>
      <c r="BD185" s="339"/>
    </row>
    <row r="186" spans="3:56">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39"/>
      <c r="AV186" s="339"/>
      <c r="AW186" s="339"/>
      <c r="AX186" s="339"/>
      <c r="AY186" s="339"/>
      <c r="AZ186" s="339"/>
      <c r="BA186" s="339"/>
      <c r="BB186" s="339"/>
      <c r="BC186" s="339"/>
      <c r="BD186" s="339"/>
    </row>
    <row r="187" spans="3:56">
      <c r="C187" s="339"/>
      <c r="D187" s="339"/>
      <c r="E187" s="339"/>
      <c r="F187" s="339"/>
      <c r="G187" s="339"/>
      <c r="H187" s="339"/>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39"/>
      <c r="AV187" s="339"/>
      <c r="AW187" s="339"/>
      <c r="AX187" s="339"/>
      <c r="AY187" s="339"/>
      <c r="AZ187" s="339"/>
      <c r="BA187" s="339"/>
      <c r="BB187" s="339"/>
      <c r="BC187" s="339"/>
      <c r="BD187" s="339"/>
    </row>
    <row r="188" spans="3:56">
      <c r="C188" s="339"/>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39"/>
      <c r="Z188" s="339"/>
      <c r="AA188" s="339"/>
      <c r="AB188" s="339"/>
      <c r="AC188" s="339"/>
      <c r="AD188" s="339"/>
      <c r="AE188" s="339"/>
      <c r="AF188" s="339"/>
      <c r="AG188" s="339"/>
      <c r="AH188" s="339"/>
      <c r="AI188" s="339"/>
      <c r="AJ188" s="339"/>
      <c r="AK188" s="339"/>
      <c r="AL188" s="339"/>
      <c r="AM188" s="339"/>
      <c r="AN188" s="339"/>
      <c r="AO188" s="339"/>
      <c r="AP188" s="339"/>
      <c r="AQ188" s="339"/>
      <c r="AR188" s="339"/>
      <c r="AS188" s="339"/>
      <c r="AT188" s="339"/>
      <c r="AU188" s="339"/>
      <c r="AV188" s="339"/>
      <c r="AW188" s="339"/>
      <c r="AX188" s="339"/>
      <c r="AY188" s="339"/>
      <c r="AZ188" s="339"/>
      <c r="BA188" s="339"/>
      <c r="BB188" s="339"/>
      <c r="BC188" s="339"/>
      <c r="BD188" s="339"/>
    </row>
    <row r="189" spans="3:56">
      <c r="C189" s="339"/>
      <c r="D189" s="339"/>
      <c r="E189" s="339"/>
      <c r="F189" s="339"/>
      <c r="G189" s="339"/>
      <c r="H189" s="339"/>
      <c r="I189" s="339"/>
      <c r="J189" s="339"/>
      <c r="K189" s="339"/>
      <c r="L189" s="339"/>
      <c r="M189" s="339"/>
      <c r="N189" s="339"/>
      <c r="O189" s="339"/>
      <c r="P189" s="339"/>
      <c r="Q189" s="339"/>
      <c r="R189" s="339"/>
      <c r="S189" s="339"/>
      <c r="T189" s="339"/>
      <c r="U189" s="339"/>
      <c r="V189" s="339"/>
      <c r="W189" s="339"/>
      <c r="X189" s="339"/>
      <c r="Y189" s="339"/>
      <c r="Z189" s="339"/>
      <c r="AA189" s="339"/>
      <c r="AB189" s="339"/>
      <c r="AC189" s="339"/>
      <c r="AD189" s="339"/>
      <c r="AE189" s="339"/>
      <c r="AF189" s="339"/>
      <c r="AG189" s="339"/>
      <c r="AH189" s="339"/>
      <c r="AI189" s="339"/>
      <c r="AJ189" s="339"/>
      <c r="AK189" s="339"/>
      <c r="AL189" s="339"/>
      <c r="AM189" s="339"/>
      <c r="AN189" s="339"/>
      <c r="AO189" s="339"/>
      <c r="AP189" s="339"/>
      <c r="AQ189" s="339"/>
      <c r="AR189" s="339"/>
      <c r="AS189" s="339"/>
      <c r="AT189" s="339"/>
      <c r="AU189" s="339"/>
      <c r="AV189" s="339"/>
      <c r="AW189" s="339"/>
      <c r="AX189" s="339"/>
      <c r="AY189" s="339"/>
      <c r="AZ189" s="339"/>
      <c r="BA189" s="339"/>
      <c r="BB189" s="339"/>
      <c r="BC189" s="339"/>
      <c r="BD189" s="339"/>
    </row>
    <row r="190" spans="3:56">
      <c r="C190" s="339"/>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c r="AA190" s="339"/>
      <c r="AB190" s="339"/>
      <c r="AC190" s="339"/>
      <c r="AD190" s="339"/>
      <c r="AE190" s="339"/>
      <c r="AF190" s="339"/>
      <c r="AG190" s="339"/>
      <c r="AH190" s="339"/>
      <c r="AI190" s="339"/>
      <c r="AJ190" s="339"/>
      <c r="AK190" s="339"/>
      <c r="AL190" s="339"/>
      <c r="AM190" s="339"/>
      <c r="AN190" s="339"/>
      <c r="AO190" s="339"/>
      <c r="AP190" s="339"/>
      <c r="AQ190" s="339"/>
      <c r="AR190" s="339"/>
      <c r="AS190" s="339"/>
      <c r="AT190" s="339"/>
      <c r="AU190" s="339"/>
      <c r="AV190" s="339"/>
      <c r="AW190" s="339"/>
      <c r="AX190" s="339"/>
      <c r="AY190" s="339"/>
      <c r="AZ190" s="339"/>
      <c r="BA190" s="339"/>
      <c r="BB190" s="339"/>
      <c r="BC190" s="339"/>
      <c r="BD190" s="339"/>
    </row>
    <row r="191" spans="3:56">
      <c r="C191" s="339"/>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c r="AA191" s="339"/>
      <c r="AB191" s="339"/>
      <c r="AC191" s="339"/>
      <c r="AD191" s="339"/>
      <c r="AE191" s="339"/>
      <c r="AF191" s="339"/>
      <c r="AG191" s="339"/>
      <c r="AH191" s="339"/>
      <c r="AI191" s="339"/>
      <c r="AJ191" s="339"/>
      <c r="AK191" s="339"/>
      <c r="AL191" s="339"/>
      <c r="AM191" s="339"/>
      <c r="AN191" s="339"/>
      <c r="AO191" s="339"/>
      <c r="AP191" s="339"/>
      <c r="AQ191" s="339"/>
      <c r="AR191" s="339"/>
      <c r="AS191" s="339"/>
      <c r="AT191" s="339"/>
      <c r="AU191" s="339"/>
      <c r="AV191" s="339"/>
      <c r="AW191" s="339"/>
      <c r="AX191" s="339"/>
      <c r="AY191" s="339"/>
      <c r="AZ191" s="339"/>
      <c r="BA191" s="339"/>
      <c r="BB191" s="339"/>
      <c r="BC191" s="339"/>
      <c r="BD191" s="339"/>
    </row>
    <row r="192" spans="3:56">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AO192" s="339"/>
      <c r="AP192" s="339"/>
      <c r="AQ192" s="339"/>
      <c r="AR192" s="339"/>
      <c r="AS192" s="339"/>
      <c r="AT192" s="339"/>
      <c r="AU192" s="339"/>
      <c r="AV192" s="339"/>
      <c r="AW192" s="339"/>
      <c r="AX192" s="339"/>
      <c r="AY192" s="339"/>
      <c r="AZ192" s="339"/>
      <c r="BA192" s="339"/>
      <c r="BB192" s="339"/>
      <c r="BC192" s="339"/>
      <c r="BD192" s="339"/>
    </row>
    <row r="193" spans="3:56">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c r="AF193" s="339"/>
      <c r="AG193" s="339"/>
      <c r="AH193" s="339"/>
      <c r="AI193" s="339"/>
      <c r="AJ193" s="339"/>
      <c r="AK193" s="339"/>
      <c r="AL193" s="339"/>
      <c r="AM193" s="339"/>
      <c r="AN193" s="339"/>
      <c r="AO193" s="339"/>
      <c r="AP193" s="339"/>
      <c r="AQ193" s="339"/>
      <c r="AR193" s="339"/>
      <c r="AS193" s="339"/>
      <c r="AT193" s="339"/>
      <c r="AU193" s="339"/>
      <c r="AV193" s="339"/>
      <c r="AW193" s="339"/>
      <c r="AX193" s="339"/>
      <c r="AY193" s="339"/>
      <c r="AZ193" s="339"/>
      <c r="BA193" s="339"/>
      <c r="BB193" s="339"/>
      <c r="BC193" s="339"/>
      <c r="BD193" s="339"/>
    </row>
    <row r="194" spans="3:56">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c r="AG194" s="339"/>
      <c r="AH194" s="339"/>
      <c r="AI194" s="339"/>
      <c r="AJ194" s="339"/>
      <c r="AK194" s="339"/>
      <c r="AL194" s="339"/>
      <c r="AM194" s="339"/>
      <c r="AN194" s="339"/>
      <c r="AO194" s="339"/>
      <c r="AP194" s="339"/>
      <c r="AQ194" s="339"/>
      <c r="AR194" s="339"/>
      <c r="AS194" s="339"/>
      <c r="AT194" s="339"/>
      <c r="AU194" s="339"/>
      <c r="AV194" s="339"/>
      <c r="AW194" s="339"/>
      <c r="AX194" s="339"/>
      <c r="AY194" s="339"/>
      <c r="AZ194" s="339"/>
      <c r="BA194" s="339"/>
      <c r="BB194" s="339"/>
      <c r="BC194" s="339"/>
      <c r="BD194" s="339"/>
    </row>
    <row r="195" spans="3:56">
      <c r="C195" s="339"/>
      <c r="D195" s="339"/>
      <c r="E195" s="339"/>
      <c r="F195" s="339"/>
      <c r="G195" s="339"/>
      <c r="H195" s="339"/>
      <c r="I195" s="339"/>
      <c r="J195" s="339"/>
      <c r="K195" s="339"/>
      <c r="L195" s="339"/>
      <c r="M195" s="339"/>
      <c r="N195" s="339"/>
      <c r="O195" s="339"/>
      <c r="P195" s="339"/>
      <c r="Q195" s="339"/>
      <c r="R195" s="339"/>
      <c r="S195" s="339"/>
      <c r="T195" s="339"/>
      <c r="U195" s="339"/>
      <c r="V195" s="339"/>
      <c r="W195" s="339"/>
      <c r="X195" s="339"/>
      <c r="Y195" s="339"/>
      <c r="Z195" s="339"/>
      <c r="AA195" s="339"/>
      <c r="AB195" s="339"/>
      <c r="AC195" s="339"/>
      <c r="AD195" s="339"/>
      <c r="AE195" s="339"/>
      <c r="AF195" s="339"/>
      <c r="AG195" s="339"/>
      <c r="AH195" s="339"/>
      <c r="AI195" s="339"/>
      <c r="AJ195" s="339"/>
      <c r="AK195" s="339"/>
      <c r="AL195" s="339"/>
      <c r="AM195" s="339"/>
      <c r="AN195" s="339"/>
      <c r="AO195" s="339"/>
      <c r="AP195" s="339"/>
      <c r="AQ195" s="339"/>
      <c r="AR195" s="339"/>
      <c r="AS195" s="339"/>
      <c r="AT195" s="339"/>
      <c r="AU195" s="339"/>
      <c r="AV195" s="339"/>
      <c r="AW195" s="339"/>
      <c r="AX195" s="339"/>
      <c r="AY195" s="339"/>
      <c r="AZ195" s="339"/>
      <c r="BA195" s="339"/>
      <c r="BB195" s="339"/>
      <c r="BC195" s="339"/>
      <c r="BD195" s="339"/>
    </row>
    <row r="196" spans="3:56">
      <c r="C196" s="339"/>
      <c r="D196" s="339"/>
      <c r="E196" s="339"/>
      <c r="F196" s="339"/>
      <c r="G196" s="339"/>
      <c r="H196" s="339"/>
      <c r="I196" s="339"/>
      <c r="J196" s="339"/>
      <c r="K196" s="339"/>
      <c r="L196" s="339"/>
      <c r="M196" s="339"/>
      <c r="N196" s="339"/>
      <c r="O196" s="339"/>
      <c r="P196" s="339"/>
      <c r="Q196" s="339"/>
      <c r="R196" s="339"/>
      <c r="S196" s="339"/>
      <c r="T196" s="339"/>
      <c r="U196" s="339"/>
      <c r="V196" s="339"/>
      <c r="W196" s="339"/>
      <c r="X196" s="339"/>
      <c r="Y196" s="339"/>
      <c r="Z196" s="339"/>
      <c r="AA196" s="339"/>
      <c r="AB196" s="339"/>
      <c r="AC196" s="339"/>
      <c r="AD196" s="339"/>
      <c r="AE196" s="339"/>
      <c r="AF196" s="339"/>
      <c r="AG196" s="339"/>
      <c r="AH196" s="339"/>
      <c r="AI196" s="339"/>
      <c r="AJ196" s="339"/>
      <c r="AK196" s="339"/>
      <c r="AL196" s="339"/>
      <c r="AM196" s="339"/>
      <c r="AN196" s="339"/>
      <c r="AO196" s="339"/>
      <c r="AP196" s="339"/>
      <c r="AQ196" s="339"/>
      <c r="AR196" s="339"/>
      <c r="AS196" s="339"/>
      <c r="AT196" s="339"/>
      <c r="AU196" s="339"/>
      <c r="AV196" s="339"/>
      <c r="AW196" s="339"/>
      <c r="AX196" s="339"/>
      <c r="AY196" s="339"/>
      <c r="AZ196" s="339"/>
      <c r="BA196" s="339"/>
      <c r="BB196" s="339"/>
      <c r="BC196" s="339"/>
      <c r="BD196" s="339"/>
    </row>
    <row r="197" spans="3:56">
      <c r="C197" s="339"/>
      <c r="D197" s="339"/>
      <c r="E197" s="339"/>
      <c r="F197" s="339"/>
      <c r="G197" s="339"/>
      <c r="H197" s="339"/>
      <c r="I197" s="339"/>
      <c r="J197" s="339"/>
      <c r="K197" s="339"/>
      <c r="L197" s="339"/>
      <c r="M197" s="339"/>
      <c r="N197" s="339"/>
      <c r="O197" s="339"/>
      <c r="P197" s="339"/>
      <c r="Q197" s="339"/>
      <c r="R197" s="339"/>
      <c r="S197" s="339"/>
      <c r="T197" s="339"/>
      <c r="U197" s="339"/>
      <c r="V197" s="339"/>
      <c r="W197" s="339"/>
      <c r="X197" s="339"/>
      <c r="Y197" s="339"/>
      <c r="Z197" s="339"/>
      <c r="AA197" s="339"/>
      <c r="AB197" s="339"/>
      <c r="AC197" s="339"/>
      <c r="AD197" s="339"/>
      <c r="AE197" s="339"/>
      <c r="AF197" s="339"/>
      <c r="AG197" s="339"/>
      <c r="AH197" s="339"/>
      <c r="AI197" s="339"/>
      <c r="AJ197" s="339"/>
      <c r="AK197" s="339"/>
      <c r="AL197" s="339"/>
      <c r="AM197" s="339"/>
      <c r="AN197" s="339"/>
      <c r="AO197" s="339"/>
      <c r="AP197" s="339"/>
      <c r="AQ197" s="339"/>
      <c r="AR197" s="339"/>
      <c r="AS197" s="339"/>
      <c r="AT197" s="339"/>
      <c r="AU197" s="339"/>
      <c r="AV197" s="339"/>
      <c r="AW197" s="339"/>
      <c r="AX197" s="339"/>
      <c r="AY197" s="339"/>
      <c r="AZ197" s="339"/>
      <c r="BA197" s="339"/>
      <c r="BB197" s="339"/>
      <c r="BC197" s="339"/>
      <c r="BD197" s="339"/>
    </row>
    <row r="198" spans="3:56">
      <c r="C198" s="339"/>
      <c r="D198" s="339"/>
      <c r="E198" s="339"/>
      <c r="F198" s="339"/>
      <c r="G198" s="339"/>
      <c r="H198" s="339"/>
      <c r="I198" s="339"/>
      <c r="J198" s="339"/>
      <c r="K198" s="339"/>
      <c r="L198" s="339"/>
      <c r="M198" s="339"/>
      <c r="N198" s="339"/>
      <c r="O198" s="339"/>
      <c r="P198" s="339"/>
      <c r="Q198" s="339"/>
      <c r="R198" s="339"/>
      <c r="S198" s="339"/>
      <c r="T198" s="339"/>
      <c r="U198" s="339"/>
      <c r="V198" s="339"/>
      <c r="W198" s="339"/>
      <c r="X198" s="339"/>
      <c r="Y198" s="339"/>
      <c r="Z198" s="339"/>
      <c r="AA198" s="339"/>
      <c r="AB198" s="339"/>
      <c r="AC198" s="339"/>
      <c r="AD198" s="339"/>
      <c r="AE198" s="339"/>
      <c r="AF198" s="339"/>
      <c r="AG198" s="339"/>
      <c r="AH198" s="339"/>
      <c r="AI198" s="339"/>
      <c r="AJ198" s="339"/>
      <c r="AK198" s="339"/>
      <c r="AL198" s="339"/>
      <c r="AM198" s="339"/>
      <c r="AN198" s="339"/>
      <c r="AO198" s="339"/>
      <c r="AP198" s="339"/>
      <c r="AQ198" s="339"/>
      <c r="AR198" s="339"/>
      <c r="AS198" s="339"/>
      <c r="AT198" s="339"/>
      <c r="AU198" s="339"/>
      <c r="AV198" s="339"/>
      <c r="AW198" s="339"/>
      <c r="AX198" s="339"/>
      <c r="AY198" s="339"/>
      <c r="AZ198" s="339"/>
      <c r="BA198" s="339"/>
      <c r="BB198" s="339"/>
      <c r="BC198" s="339"/>
      <c r="BD198" s="339"/>
    </row>
    <row r="199" spans="3:56">
      <c r="C199" s="339"/>
      <c r="D199" s="339"/>
      <c r="E199" s="339"/>
      <c r="F199" s="339"/>
      <c r="G199" s="339"/>
      <c r="H199" s="339"/>
      <c r="I199" s="339"/>
      <c r="J199" s="339"/>
      <c r="K199" s="339"/>
      <c r="L199" s="339"/>
      <c r="M199" s="339"/>
      <c r="N199" s="339"/>
      <c r="O199" s="339"/>
      <c r="P199" s="339"/>
      <c r="Q199" s="339"/>
      <c r="R199" s="339"/>
      <c r="S199" s="339"/>
      <c r="T199" s="339"/>
      <c r="U199" s="339"/>
      <c r="V199" s="339"/>
      <c r="W199" s="339"/>
      <c r="X199" s="339"/>
      <c r="Y199" s="339"/>
      <c r="Z199" s="339"/>
      <c r="AA199" s="339"/>
      <c r="AB199" s="339"/>
      <c r="AC199" s="339"/>
      <c r="AD199" s="339"/>
      <c r="AE199" s="339"/>
      <c r="AF199" s="339"/>
      <c r="AG199" s="339"/>
      <c r="AH199" s="339"/>
      <c r="AI199" s="339"/>
      <c r="AJ199" s="339"/>
      <c r="AK199" s="339"/>
      <c r="AL199" s="339"/>
      <c r="AM199" s="339"/>
      <c r="AN199" s="339"/>
      <c r="AO199" s="339"/>
      <c r="AP199" s="339"/>
      <c r="AQ199" s="339"/>
      <c r="AR199" s="339"/>
      <c r="AS199" s="339"/>
      <c r="AT199" s="339"/>
      <c r="AU199" s="339"/>
      <c r="AV199" s="339"/>
      <c r="AW199" s="339"/>
      <c r="AX199" s="339"/>
      <c r="AY199" s="339"/>
      <c r="AZ199" s="339"/>
      <c r="BA199" s="339"/>
      <c r="BB199" s="339"/>
      <c r="BC199" s="339"/>
      <c r="BD199" s="339"/>
    </row>
    <row r="200" spans="3:56">
      <c r="C200" s="339"/>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c r="AG200" s="339"/>
      <c r="AH200" s="339"/>
      <c r="AI200" s="339"/>
      <c r="AJ200" s="339"/>
      <c r="AK200" s="339"/>
      <c r="AL200" s="339"/>
      <c r="AM200" s="339"/>
      <c r="AN200" s="339"/>
      <c r="AO200" s="339"/>
      <c r="AP200" s="339"/>
      <c r="AQ200" s="339"/>
      <c r="AR200" s="339"/>
      <c r="AS200" s="339"/>
      <c r="AT200" s="339"/>
      <c r="AU200" s="339"/>
      <c r="AV200" s="339"/>
      <c r="AW200" s="339"/>
      <c r="AX200" s="339"/>
      <c r="AY200" s="339"/>
      <c r="AZ200" s="339"/>
      <c r="BA200" s="339"/>
      <c r="BB200" s="339"/>
      <c r="BC200" s="339"/>
      <c r="BD200" s="339"/>
    </row>
    <row r="201" spans="3:56">
      <c r="C201" s="339"/>
      <c r="D201" s="339"/>
      <c r="E201" s="339"/>
      <c r="F201" s="339"/>
      <c r="G201" s="339"/>
      <c r="H201" s="339"/>
      <c r="I201" s="339"/>
      <c r="J201" s="339"/>
      <c r="K201" s="339"/>
      <c r="L201" s="339"/>
      <c r="M201" s="339"/>
      <c r="N201" s="339"/>
      <c r="O201" s="339"/>
      <c r="P201" s="339"/>
      <c r="Q201" s="339"/>
      <c r="R201" s="339"/>
      <c r="S201" s="339"/>
      <c r="T201" s="339"/>
      <c r="U201" s="339"/>
      <c r="V201" s="339"/>
      <c r="W201" s="339"/>
      <c r="X201" s="339"/>
      <c r="Y201" s="339"/>
      <c r="Z201" s="339"/>
      <c r="AA201" s="339"/>
      <c r="AB201" s="339"/>
      <c r="AC201" s="339"/>
      <c r="AD201" s="339"/>
      <c r="AE201" s="339"/>
      <c r="AF201" s="339"/>
      <c r="AG201" s="339"/>
      <c r="AH201" s="339"/>
      <c r="AI201" s="339"/>
      <c r="AJ201" s="339"/>
      <c r="AK201" s="339"/>
      <c r="AL201" s="339"/>
      <c r="AM201" s="339"/>
      <c r="AN201" s="339"/>
      <c r="AO201" s="339"/>
      <c r="AP201" s="339"/>
      <c r="AQ201" s="339"/>
      <c r="AR201" s="339"/>
      <c r="AS201" s="339"/>
      <c r="AT201" s="339"/>
      <c r="AU201" s="339"/>
      <c r="AV201" s="339"/>
      <c r="AW201" s="339"/>
      <c r="AX201" s="339"/>
      <c r="AY201" s="339"/>
      <c r="AZ201" s="339"/>
      <c r="BA201" s="339"/>
      <c r="BB201" s="339"/>
      <c r="BC201" s="339"/>
      <c r="BD201" s="339"/>
    </row>
    <row r="202" spans="3:56">
      <c r="C202" s="339"/>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39"/>
      <c r="AV202" s="339"/>
      <c r="AW202" s="339"/>
      <c r="AX202" s="339"/>
      <c r="AY202" s="339"/>
      <c r="AZ202" s="339"/>
      <c r="BA202" s="339"/>
      <c r="BB202" s="339"/>
      <c r="BC202" s="339"/>
      <c r="BD202" s="339"/>
    </row>
    <row r="203" spans="3:56">
      <c r="C203" s="339"/>
      <c r="D203" s="339"/>
      <c r="E203" s="339"/>
      <c r="F203" s="339"/>
      <c r="G203" s="339"/>
      <c r="H203" s="339"/>
      <c r="I203" s="339"/>
      <c r="J203" s="339"/>
      <c r="K203" s="339"/>
      <c r="L203" s="339"/>
      <c r="M203" s="339"/>
      <c r="N203" s="339"/>
      <c r="O203" s="339"/>
      <c r="P203" s="339"/>
      <c r="Q203" s="339"/>
      <c r="R203" s="339"/>
      <c r="S203" s="339"/>
      <c r="T203" s="339"/>
      <c r="U203" s="339"/>
      <c r="V203" s="339"/>
      <c r="W203" s="339"/>
      <c r="X203" s="339"/>
      <c r="Y203" s="339"/>
      <c r="Z203" s="339"/>
      <c r="AA203" s="339"/>
      <c r="AB203" s="339"/>
      <c r="AC203" s="339"/>
      <c r="AD203" s="339"/>
      <c r="AE203" s="339"/>
      <c r="AF203" s="339"/>
      <c r="AG203" s="339"/>
      <c r="AH203" s="339"/>
      <c r="AI203" s="339"/>
      <c r="AJ203" s="339"/>
      <c r="AK203" s="339"/>
      <c r="AL203" s="339"/>
      <c r="AM203" s="339"/>
      <c r="AN203" s="339"/>
      <c r="AO203" s="339"/>
      <c r="AP203" s="339"/>
      <c r="AQ203" s="339"/>
      <c r="AR203" s="339"/>
      <c r="AS203" s="339"/>
      <c r="AT203" s="339"/>
      <c r="AU203" s="339"/>
      <c r="AV203" s="339"/>
      <c r="AW203" s="339"/>
      <c r="AX203" s="339"/>
      <c r="AY203" s="339"/>
      <c r="AZ203" s="339"/>
      <c r="BA203" s="339"/>
      <c r="BB203" s="339"/>
      <c r="BC203" s="339"/>
      <c r="BD203" s="339"/>
    </row>
    <row r="204" spans="3:56">
      <c r="C204" s="339"/>
      <c r="D204" s="339"/>
      <c r="E204" s="339"/>
      <c r="F204" s="339"/>
      <c r="G204" s="339"/>
      <c r="H204" s="339"/>
      <c r="I204" s="339"/>
      <c r="J204" s="339"/>
      <c r="K204" s="339"/>
      <c r="L204" s="339"/>
      <c r="M204" s="339"/>
      <c r="N204" s="339"/>
      <c r="O204" s="339"/>
      <c r="P204" s="339"/>
      <c r="Q204" s="339"/>
      <c r="R204" s="339"/>
      <c r="S204" s="339"/>
      <c r="T204" s="339"/>
      <c r="U204" s="339"/>
      <c r="V204" s="339"/>
      <c r="W204" s="339"/>
      <c r="X204" s="339"/>
      <c r="Y204" s="339"/>
      <c r="Z204" s="339"/>
      <c r="AA204" s="339"/>
      <c r="AB204" s="339"/>
      <c r="AC204" s="339"/>
      <c r="AD204" s="339"/>
      <c r="AE204" s="339"/>
      <c r="AF204" s="339"/>
      <c r="AG204" s="339"/>
      <c r="AH204" s="339"/>
      <c r="AI204" s="339"/>
      <c r="AJ204" s="339"/>
      <c r="AK204" s="339"/>
      <c r="AL204" s="339"/>
      <c r="AM204" s="339"/>
      <c r="AN204" s="339"/>
      <c r="AO204" s="339"/>
      <c r="AP204" s="339"/>
      <c r="AQ204" s="339"/>
      <c r="AR204" s="339"/>
      <c r="AS204" s="339"/>
      <c r="AT204" s="339"/>
      <c r="AU204" s="339"/>
      <c r="AV204" s="339"/>
      <c r="AW204" s="339"/>
      <c r="AX204" s="339"/>
      <c r="AY204" s="339"/>
      <c r="AZ204" s="339"/>
      <c r="BA204" s="339"/>
      <c r="BB204" s="339"/>
      <c r="BC204" s="339"/>
      <c r="BD204" s="339"/>
    </row>
    <row r="205" spans="3:56">
      <c r="C205" s="339"/>
      <c r="D205" s="339"/>
      <c r="E205" s="339"/>
      <c r="F205" s="339"/>
      <c r="G205" s="339"/>
      <c r="H205" s="339"/>
      <c r="I205" s="339"/>
      <c r="J205" s="339"/>
      <c r="K205" s="339"/>
      <c r="L205" s="339"/>
      <c r="M205" s="339"/>
      <c r="N205" s="339"/>
      <c r="O205" s="339"/>
      <c r="P205" s="339"/>
      <c r="Q205" s="339"/>
      <c r="R205" s="339"/>
      <c r="S205" s="339"/>
      <c r="T205" s="339"/>
      <c r="U205" s="339"/>
      <c r="V205" s="339"/>
      <c r="W205" s="339"/>
      <c r="X205" s="339"/>
      <c r="Y205" s="339"/>
      <c r="Z205" s="339"/>
      <c r="AA205" s="339"/>
      <c r="AB205" s="339"/>
      <c r="AC205" s="339"/>
      <c r="AD205" s="339"/>
      <c r="AE205" s="339"/>
      <c r="AF205" s="339"/>
      <c r="AG205" s="339"/>
      <c r="AH205" s="339"/>
      <c r="AI205" s="339"/>
      <c r="AJ205" s="339"/>
      <c r="AK205" s="339"/>
      <c r="AL205" s="339"/>
      <c r="AM205" s="339"/>
      <c r="AN205" s="339"/>
      <c r="AO205" s="339"/>
      <c r="AP205" s="339"/>
      <c r="AQ205" s="339"/>
      <c r="AR205" s="339"/>
      <c r="AS205" s="339"/>
      <c r="AT205" s="339"/>
      <c r="AU205" s="339"/>
      <c r="AV205" s="339"/>
      <c r="AW205" s="339"/>
      <c r="AX205" s="339"/>
      <c r="AY205" s="339"/>
      <c r="AZ205" s="339"/>
      <c r="BA205" s="339"/>
      <c r="BB205" s="339"/>
      <c r="BC205" s="339"/>
      <c r="BD205" s="339"/>
    </row>
    <row r="206" spans="3:56">
      <c r="C206" s="339"/>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c r="AG206" s="339"/>
      <c r="AH206" s="339"/>
      <c r="AI206" s="339"/>
      <c r="AJ206" s="339"/>
      <c r="AK206" s="339"/>
      <c r="AL206" s="339"/>
      <c r="AM206" s="339"/>
      <c r="AN206" s="339"/>
      <c r="AO206" s="339"/>
      <c r="AP206" s="339"/>
      <c r="AQ206" s="339"/>
      <c r="AR206" s="339"/>
      <c r="AS206" s="339"/>
      <c r="AT206" s="339"/>
      <c r="AU206" s="339"/>
      <c r="AV206" s="339"/>
      <c r="AW206" s="339"/>
      <c r="AX206" s="339"/>
      <c r="AY206" s="339"/>
      <c r="AZ206" s="339"/>
      <c r="BA206" s="339"/>
      <c r="BB206" s="339"/>
      <c r="BC206" s="339"/>
      <c r="BD206" s="339"/>
    </row>
    <row r="207" spans="3:56">
      <c r="C207" s="339"/>
      <c r="D207" s="339"/>
      <c r="E207" s="339"/>
      <c r="F207" s="339"/>
      <c r="G207" s="339"/>
      <c r="H207" s="339"/>
      <c r="I207" s="339"/>
      <c r="J207" s="339"/>
      <c r="K207" s="339"/>
      <c r="L207" s="339"/>
      <c r="M207" s="339"/>
      <c r="N207" s="339"/>
      <c r="O207" s="339"/>
      <c r="P207" s="339"/>
      <c r="Q207" s="339"/>
      <c r="R207" s="339"/>
      <c r="S207" s="339"/>
      <c r="T207" s="339"/>
      <c r="U207" s="339"/>
      <c r="V207" s="339"/>
      <c r="W207" s="339"/>
      <c r="X207" s="339"/>
      <c r="Y207" s="339"/>
      <c r="Z207" s="339"/>
      <c r="AA207" s="339"/>
      <c r="AB207" s="339"/>
      <c r="AC207" s="339"/>
      <c r="AD207" s="339"/>
      <c r="AE207" s="339"/>
      <c r="AF207" s="339"/>
      <c r="AG207" s="339"/>
      <c r="AH207" s="339"/>
      <c r="AI207" s="339"/>
      <c r="AJ207" s="339"/>
      <c r="AK207" s="339"/>
      <c r="AL207" s="339"/>
      <c r="AM207" s="339"/>
      <c r="AN207" s="339"/>
      <c r="AO207" s="339"/>
      <c r="AP207" s="339"/>
      <c r="AQ207" s="339"/>
      <c r="AR207" s="339"/>
      <c r="AS207" s="339"/>
      <c r="AT207" s="339"/>
      <c r="AU207" s="339"/>
      <c r="AV207" s="339"/>
      <c r="AW207" s="339"/>
      <c r="AX207" s="339"/>
      <c r="AY207" s="339"/>
      <c r="AZ207" s="339"/>
      <c r="BA207" s="339"/>
      <c r="BB207" s="339"/>
      <c r="BC207" s="339"/>
      <c r="BD207" s="339"/>
    </row>
    <row r="208" spans="3:56">
      <c r="C208" s="339"/>
      <c r="D208" s="339"/>
      <c r="E208" s="339"/>
      <c r="F208" s="339"/>
      <c r="G208" s="339"/>
      <c r="H208" s="339"/>
      <c r="I208" s="339"/>
      <c r="J208" s="339"/>
      <c r="K208" s="339"/>
      <c r="L208" s="339"/>
      <c r="M208" s="339"/>
      <c r="N208" s="339"/>
      <c r="O208" s="339"/>
      <c r="P208" s="339"/>
      <c r="Q208" s="339"/>
      <c r="R208" s="339"/>
      <c r="S208" s="339"/>
      <c r="T208" s="339"/>
      <c r="U208" s="339"/>
      <c r="V208" s="339"/>
      <c r="W208" s="339"/>
      <c r="X208" s="339"/>
      <c r="Y208" s="339"/>
      <c r="Z208" s="339"/>
      <c r="AA208" s="339"/>
      <c r="AB208" s="339"/>
      <c r="AC208" s="339"/>
      <c r="AD208" s="339"/>
      <c r="AE208" s="339"/>
      <c r="AF208" s="339"/>
      <c r="AG208" s="339"/>
      <c r="AH208" s="339"/>
      <c r="AI208" s="339"/>
      <c r="AJ208" s="339"/>
      <c r="AK208" s="339"/>
      <c r="AL208" s="339"/>
      <c r="AM208" s="339"/>
      <c r="AN208" s="339"/>
      <c r="AO208" s="339"/>
      <c r="AP208" s="339"/>
      <c r="AQ208" s="339"/>
      <c r="AR208" s="339"/>
      <c r="AS208" s="339"/>
      <c r="AT208" s="339"/>
      <c r="AU208" s="339"/>
      <c r="AV208" s="339"/>
      <c r="AW208" s="339"/>
      <c r="AX208" s="339"/>
      <c r="AY208" s="339"/>
      <c r="AZ208" s="339"/>
      <c r="BA208" s="339"/>
      <c r="BB208" s="339"/>
      <c r="BC208" s="339"/>
      <c r="BD208" s="339"/>
    </row>
    <row r="209" spans="3:56">
      <c r="C209" s="339"/>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c r="AG209" s="339"/>
      <c r="AH209" s="339"/>
      <c r="AI209" s="339"/>
      <c r="AJ209" s="339"/>
      <c r="AK209" s="339"/>
      <c r="AL209" s="339"/>
      <c r="AM209" s="339"/>
      <c r="AN209" s="339"/>
      <c r="AO209" s="339"/>
      <c r="AP209" s="339"/>
      <c r="AQ209" s="339"/>
      <c r="AR209" s="339"/>
      <c r="AS209" s="339"/>
      <c r="AT209" s="339"/>
      <c r="AU209" s="339"/>
      <c r="AV209" s="339"/>
      <c r="AW209" s="339"/>
      <c r="AX209" s="339"/>
      <c r="AY209" s="339"/>
      <c r="AZ209" s="339"/>
      <c r="BA209" s="339"/>
      <c r="BB209" s="339"/>
      <c r="BC209" s="339"/>
      <c r="BD209" s="339"/>
    </row>
    <row r="210" spans="3:56">
      <c r="C210" s="339"/>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F210" s="339"/>
      <c r="AG210" s="339"/>
      <c r="AH210" s="339"/>
      <c r="AI210" s="339"/>
      <c r="AJ210" s="339"/>
      <c r="AK210" s="339"/>
      <c r="AL210" s="339"/>
      <c r="AM210" s="339"/>
      <c r="AN210" s="339"/>
      <c r="AO210" s="339"/>
      <c r="AP210" s="339"/>
      <c r="AQ210" s="339"/>
      <c r="AR210" s="339"/>
      <c r="AS210" s="339"/>
      <c r="AT210" s="339"/>
      <c r="AU210" s="339"/>
      <c r="AV210" s="339"/>
      <c r="AW210" s="339"/>
      <c r="AX210" s="339"/>
      <c r="AY210" s="339"/>
      <c r="AZ210" s="339"/>
      <c r="BA210" s="339"/>
      <c r="BB210" s="339"/>
      <c r="BC210" s="339"/>
      <c r="BD210" s="339"/>
    </row>
    <row r="211" spans="3:56">
      <c r="C211" s="339"/>
      <c r="D211" s="339"/>
      <c r="E211" s="339"/>
      <c r="F211" s="339"/>
      <c r="G211" s="339"/>
      <c r="H211" s="339"/>
      <c r="I211" s="339"/>
      <c r="J211" s="339"/>
      <c r="K211" s="339"/>
      <c r="L211" s="339"/>
      <c r="M211" s="339"/>
      <c r="N211" s="339"/>
      <c r="O211" s="339"/>
      <c r="P211" s="339"/>
      <c r="Q211" s="339"/>
      <c r="R211" s="339"/>
      <c r="S211" s="339"/>
      <c r="T211" s="339"/>
      <c r="U211" s="339"/>
      <c r="V211" s="339"/>
      <c r="W211" s="339"/>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c r="AS211" s="339"/>
      <c r="AT211" s="339"/>
      <c r="AU211" s="339"/>
      <c r="AV211" s="339"/>
      <c r="AW211" s="339"/>
      <c r="AX211" s="339"/>
      <c r="AY211" s="339"/>
      <c r="AZ211" s="339"/>
      <c r="BA211" s="339"/>
      <c r="BB211" s="339"/>
      <c r="BC211" s="339"/>
      <c r="BD211" s="339"/>
    </row>
    <row r="212" spans="3:56">
      <c r="C212" s="339"/>
      <c r="D212" s="339"/>
      <c r="E212" s="339"/>
      <c r="F212" s="339"/>
      <c r="G212" s="339"/>
      <c r="H212" s="339"/>
      <c r="I212" s="339"/>
      <c r="J212" s="339"/>
      <c r="K212" s="339"/>
      <c r="L212" s="339"/>
      <c r="M212" s="339"/>
      <c r="N212" s="339"/>
      <c r="O212" s="339"/>
      <c r="P212" s="339"/>
      <c r="Q212" s="339"/>
      <c r="R212" s="339"/>
      <c r="S212" s="339"/>
      <c r="T212" s="339"/>
      <c r="U212" s="339"/>
      <c r="V212" s="339"/>
      <c r="W212" s="339"/>
      <c r="X212" s="339"/>
      <c r="Y212" s="339"/>
      <c r="Z212" s="339"/>
      <c r="AA212" s="339"/>
      <c r="AB212" s="339"/>
      <c r="AC212" s="339"/>
      <c r="AD212" s="339"/>
      <c r="AE212" s="339"/>
      <c r="AF212" s="339"/>
      <c r="AG212" s="339"/>
      <c r="AH212" s="339"/>
      <c r="AI212" s="339"/>
      <c r="AJ212" s="339"/>
      <c r="AK212" s="339"/>
      <c r="AL212" s="339"/>
      <c r="AM212" s="339"/>
      <c r="AN212" s="339"/>
      <c r="AO212" s="339"/>
      <c r="AP212" s="339"/>
      <c r="AQ212" s="339"/>
      <c r="AR212" s="339"/>
      <c r="AS212" s="339"/>
      <c r="AT212" s="339"/>
      <c r="AU212" s="339"/>
      <c r="AV212" s="339"/>
      <c r="AW212" s="339"/>
      <c r="AX212" s="339"/>
      <c r="AY212" s="339"/>
      <c r="AZ212" s="339"/>
      <c r="BA212" s="339"/>
      <c r="BB212" s="339"/>
      <c r="BC212" s="339"/>
      <c r="BD212" s="339"/>
    </row>
    <row r="213" spans="3:56">
      <c r="C213" s="339"/>
      <c r="D213" s="339"/>
      <c r="E213" s="339"/>
      <c r="F213" s="339"/>
      <c r="G213" s="339"/>
      <c r="H213" s="339"/>
      <c r="I213" s="339"/>
      <c r="J213" s="339"/>
      <c r="K213" s="339"/>
      <c r="L213" s="339"/>
      <c r="M213" s="339"/>
      <c r="N213" s="339"/>
      <c r="O213" s="339"/>
      <c r="P213" s="339"/>
      <c r="Q213" s="339"/>
      <c r="R213" s="339"/>
      <c r="S213" s="339"/>
      <c r="T213" s="339"/>
      <c r="U213" s="339"/>
      <c r="V213" s="339"/>
      <c r="W213" s="339"/>
      <c r="X213" s="339"/>
      <c r="Y213" s="339"/>
      <c r="Z213" s="339"/>
      <c r="AA213" s="339"/>
      <c r="AB213" s="339"/>
      <c r="AC213" s="339"/>
      <c r="AD213" s="339"/>
      <c r="AE213" s="339"/>
      <c r="AF213" s="339"/>
      <c r="AG213" s="339"/>
      <c r="AH213" s="339"/>
      <c r="AI213" s="339"/>
      <c r="AJ213" s="339"/>
      <c r="AK213" s="339"/>
      <c r="AL213" s="339"/>
      <c r="AM213" s="339"/>
      <c r="AN213" s="339"/>
      <c r="AO213" s="339"/>
      <c r="AP213" s="339"/>
      <c r="AQ213" s="339"/>
      <c r="AR213" s="339"/>
      <c r="AS213" s="339"/>
      <c r="AT213" s="339"/>
      <c r="AU213" s="339"/>
      <c r="AV213" s="339"/>
      <c r="AW213" s="339"/>
      <c r="AX213" s="339"/>
      <c r="AY213" s="339"/>
      <c r="AZ213" s="339"/>
      <c r="BA213" s="339"/>
      <c r="BB213" s="339"/>
      <c r="BC213" s="339"/>
      <c r="BD213" s="339"/>
    </row>
    <row r="214" spans="3:56">
      <c r="C214" s="339"/>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c r="AA214" s="339"/>
      <c r="AB214" s="339"/>
      <c r="AC214" s="339"/>
      <c r="AD214" s="339"/>
      <c r="AE214" s="339"/>
      <c r="AF214" s="339"/>
      <c r="AG214" s="339"/>
      <c r="AH214" s="339"/>
      <c r="AI214" s="339"/>
      <c r="AJ214" s="339"/>
      <c r="AK214" s="339"/>
      <c r="AL214" s="339"/>
      <c r="AM214" s="339"/>
      <c r="AN214" s="339"/>
      <c r="AO214" s="339"/>
      <c r="AP214" s="339"/>
      <c r="AQ214" s="339"/>
      <c r="AR214" s="339"/>
      <c r="AS214" s="339"/>
      <c r="AT214" s="339"/>
      <c r="AU214" s="339"/>
      <c r="AV214" s="339"/>
      <c r="AW214" s="339"/>
      <c r="AX214" s="339"/>
      <c r="AY214" s="339"/>
      <c r="AZ214" s="339"/>
      <c r="BA214" s="339"/>
      <c r="BB214" s="339"/>
      <c r="BC214" s="339"/>
      <c r="BD214" s="339"/>
    </row>
    <row r="215" spans="3:56">
      <c r="C215" s="339"/>
      <c r="D215" s="339"/>
      <c r="E215" s="339"/>
      <c r="F215" s="339"/>
      <c r="G215" s="339"/>
      <c r="H215" s="339"/>
      <c r="I215" s="339"/>
      <c r="J215" s="339"/>
      <c r="K215" s="339"/>
      <c r="L215" s="339"/>
      <c r="M215" s="339"/>
      <c r="N215" s="339"/>
      <c r="O215" s="339"/>
      <c r="P215" s="339"/>
      <c r="Q215" s="339"/>
      <c r="R215" s="339"/>
      <c r="S215" s="339"/>
      <c r="T215" s="339"/>
      <c r="U215" s="339"/>
      <c r="V215" s="339"/>
      <c r="W215" s="339"/>
      <c r="X215" s="339"/>
      <c r="Y215" s="339"/>
      <c r="Z215" s="339"/>
      <c r="AA215" s="339"/>
      <c r="AB215" s="339"/>
      <c r="AC215" s="339"/>
      <c r="AD215" s="339"/>
      <c r="AE215" s="339"/>
      <c r="AF215" s="339"/>
      <c r="AG215" s="339"/>
      <c r="AH215" s="339"/>
      <c r="AI215" s="339"/>
      <c r="AJ215" s="339"/>
      <c r="AK215" s="339"/>
      <c r="AL215" s="339"/>
      <c r="AM215" s="339"/>
      <c r="AN215" s="339"/>
      <c r="AO215" s="339"/>
      <c r="AP215" s="339"/>
      <c r="AQ215" s="339"/>
      <c r="AR215" s="339"/>
      <c r="AS215" s="339"/>
      <c r="AT215" s="339"/>
      <c r="AU215" s="339"/>
      <c r="AV215" s="339"/>
      <c r="AW215" s="339"/>
      <c r="AX215" s="339"/>
      <c r="AY215" s="339"/>
      <c r="AZ215" s="339"/>
      <c r="BA215" s="339"/>
      <c r="BB215" s="339"/>
      <c r="BC215" s="339"/>
      <c r="BD215" s="339"/>
    </row>
    <row r="216" spans="3:56">
      <c r="C216" s="339"/>
      <c r="D216" s="339"/>
      <c r="E216" s="339"/>
      <c r="F216" s="339"/>
      <c r="G216" s="339"/>
      <c r="H216" s="339"/>
      <c r="I216" s="339"/>
      <c r="J216" s="339"/>
      <c r="K216" s="339"/>
      <c r="L216" s="339"/>
      <c r="M216" s="339"/>
      <c r="N216" s="339"/>
      <c r="O216" s="339"/>
      <c r="P216" s="339"/>
      <c r="Q216" s="339"/>
      <c r="R216" s="339"/>
      <c r="S216" s="339"/>
      <c r="T216" s="339"/>
      <c r="U216" s="339"/>
      <c r="V216" s="339"/>
      <c r="W216" s="339"/>
      <c r="X216" s="339"/>
      <c r="Y216" s="339"/>
      <c r="Z216" s="339"/>
      <c r="AA216" s="339"/>
      <c r="AB216" s="339"/>
      <c r="AC216" s="339"/>
      <c r="AD216" s="339"/>
      <c r="AE216" s="339"/>
      <c r="AF216" s="339"/>
      <c r="AG216" s="339"/>
      <c r="AH216" s="339"/>
      <c r="AI216" s="339"/>
      <c r="AJ216" s="339"/>
      <c r="AK216" s="339"/>
      <c r="AL216" s="339"/>
      <c r="AM216" s="339"/>
      <c r="AN216" s="339"/>
      <c r="AO216" s="339"/>
      <c r="AP216" s="339"/>
      <c r="AQ216" s="339"/>
      <c r="AR216" s="339"/>
      <c r="AS216" s="339"/>
      <c r="AT216" s="339"/>
      <c r="AU216" s="339"/>
      <c r="AV216" s="339"/>
      <c r="AW216" s="339"/>
      <c r="AX216" s="339"/>
      <c r="AY216" s="339"/>
      <c r="AZ216" s="339"/>
      <c r="BA216" s="339"/>
      <c r="BB216" s="339"/>
      <c r="BC216" s="339"/>
      <c r="BD216" s="339"/>
    </row>
    <row r="217" spans="3:56">
      <c r="C217" s="339"/>
      <c r="D217" s="339"/>
      <c r="E217" s="339"/>
      <c r="F217" s="339"/>
      <c r="G217" s="339"/>
      <c r="H217" s="339"/>
      <c r="I217" s="339"/>
      <c r="J217" s="339"/>
      <c r="K217" s="339"/>
      <c r="L217" s="339"/>
      <c r="M217" s="339"/>
      <c r="N217" s="339"/>
      <c r="O217" s="339"/>
      <c r="P217" s="339"/>
      <c r="Q217" s="339"/>
      <c r="R217" s="339"/>
      <c r="S217" s="339"/>
      <c r="T217" s="339"/>
      <c r="U217" s="339"/>
      <c r="V217" s="339"/>
      <c r="W217" s="339"/>
      <c r="X217" s="339"/>
      <c r="Y217" s="339"/>
      <c r="Z217" s="339"/>
      <c r="AA217" s="339"/>
      <c r="AB217" s="339"/>
      <c r="AC217" s="339"/>
      <c r="AD217" s="339"/>
      <c r="AE217" s="339"/>
      <c r="AF217" s="339"/>
      <c r="AG217" s="339"/>
      <c r="AH217" s="339"/>
      <c r="AI217" s="339"/>
      <c r="AJ217" s="339"/>
      <c r="AK217" s="339"/>
      <c r="AL217" s="339"/>
      <c r="AM217" s="339"/>
      <c r="AN217" s="339"/>
      <c r="AO217" s="339"/>
      <c r="AP217" s="339"/>
      <c r="AQ217" s="339"/>
      <c r="AR217" s="339"/>
      <c r="AS217" s="339"/>
      <c r="AT217" s="339"/>
      <c r="AU217" s="339"/>
      <c r="AV217" s="339"/>
      <c r="AW217" s="339"/>
      <c r="AX217" s="339"/>
      <c r="AY217" s="339"/>
      <c r="AZ217" s="339"/>
      <c r="BA217" s="339"/>
      <c r="BB217" s="339"/>
      <c r="BC217" s="339"/>
      <c r="BD217" s="339"/>
    </row>
    <row r="218" spans="3:56">
      <c r="C218" s="339"/>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c r="AA218" s="339"/>
      <c r="AB218" s="339"/>
      <c r="AC218" s="339"/>
      <c r="AD218" s="339"/>
      <c r="AE218" s="339"/>
      <c r="AF218" s="339"/>
      <c r="AG218" s="339"/>
      <c r="AH218" s="339"/>
      <c r="AI218" s="339"/>
      <c r="AJ218" s="339"/>
      <c r="AK218" s="339"/>
      <c r="AL218" s="339"/>
      <c r="AM218" s="339"/>
      <c r="AN218" s="339"/>
      <c r="AO218" s="339"/>
      <c r="AP218" s="339"/>
      <c r="AQ218" s="339"/>
      <c r="AR218" s="339"/>
      <c r="AS218" s="339"/>
      <c r="AT218" s="339"/>
      <c r="AU218" s="339"/>
      <c r="AV218" s="339"/>
      <c r="AW218" s="339"/>
      <c r="AX218" s="339"/>
      <c r="AY218" s="339"/>
      <c r="AZ218" s="339"/>
      <c r="BA218" s="339"/>
      <c r="BB218" s="339"/>
      <c r="BC218" s="339"/>
      <c r="BD218" s="339"/>
    </row>
    <row r="219" spans="3:56">
      <c r="C219" s="339"/>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c r="AF219" s="339"/>
      <c r="AG219" s="339"/>
      <c r="AH219" s="339"/>
      <c r="AI219" s="339"/>
      <c r="AJ219" s="339"/>
      <c r="AK219" s="339"/>
      <c r="AL219" s="339"/>
      <c r="AM219" s="339"/>
      <c r="AN219" s="339"/>
      <c r="AO219" s="339"/>
      <c r="AP219" s="339"/>
      <c r="AQ219" s="339"/>
      <c r="AR219" s="339"/>
      <c r="AS219" s="339"/>
      <c r="AT219" s="339"/>
      <c r="AU219" s="339"/>
      <c r="AV219" s="339"/>
      <c r="AW219" s="339"/>
      <c r="AX219" s="339"/>
      <c r="AY219" s="339"/>
      <c r="AZ219" s="339"/>
      <c r="BA219" s="339"/>
      <c r="BB219" s="339"/>
      <c r="BC219" s="339"/>
      <c r="BD219" s="339"/>
    </row>
    <row r="220" spans="3:56">
      <c r="C220" s="339"/>
      <c r="D220" s="339"/>
      <c r="E220" s="339"/>
      <c r="F220" s="339"/>
      <c r="G220" s="339"/>
      <c r="H220" s="339"/>
      <c r="I220" s="339"/>
      <c r="J220" s="339"/>
      <c r="K220" s="339"/>
      <c r="L220" s="339"/>
      <c r="M220" s="339"/>
      <c r="N220" s="339"/>
      <c r="O220" s="339"/>
      <c r="P220" s="339"/>
      <c r="Q220" s="339"/>
      <c r="R220" s="339"/>
      <c r="S220" s="339"/>
      <c r="T220" s="339"/>
      <c r="U220" s="339"/>
      <c r="V220" s="339"/>
      <c r="W220" s="339"/>
      <c r="X220" s="339"/>
      <c r="Y220" s="339"/>
      <c r="Z220" s="339"/>
      <c r="AA220" s="339"/>
      <c r="AB220" s="339"/>
      <c r="AC220" s="339"/>
      <c r="AD220" s="339"/>
      <c r="AE220" s="339"/>
      <c r="AF220" s="339"/>
      <c r="AG220" s="339"/>
      <c r="AH220" s="339"/>
      <c r="AI220" s="339"/>
      <c r="AJ220" s="339"/>
      <c r="AK220" s="339"/>
      <c r="AL220" s="339"/>
      <c r="AM220" s="339"/>
      <c r="AN220" s="339"/>
      <c r="AO220" s="339"/>
      <c r="AP220" s="339"/>
      <c r="AQ220" s="339"/>
      <c r="AR220" s="339"/>
      <c r="AS220" s="339"/>
      <c r="AT220" s="339"/>
      <c r="AU220" s="339"/>
      <c r="AV220" s="339"/>
      <c r="AW220" s="339"/>
      <c r="AX220" s="339"/>
      <c r="AY220" s="339"/>
      <c r="AZ220" s="339"/>
      <c r="BA220" s="339"/>
      <c r="BB220" s="339"/>
      <c r="BC220" s="339"/>
      <c r="BD220" s="339"/>
    </row>
    <row r="221" spans="3:56">
      <c r="C221" s="339"/>
      <c r="D221" s="339"/>
      <c r="E221" s="339"/>
      <c r="F221" s="339"/>
      <c r="G221" s="339"/>
      <c r="H221" s="339"/>
      <c r="I221" s="339"/>
      <c r="J221" s="339"/>
      <c r="K221" s="339"/>
      <c r="L221" s="339"/>
      <c r="M221" s="339"/>
      <c r="N221" s="339"/>
      <c r="O221" s="339"/>
      <c r="P221" s="339"/>
      <c r="Q221" s="339"/>
      <c r="R221" s="339"/>
      <c r="S221" s="339"/>
      <c r="T221" s="339"/>
      <c r="U221" s="339"/>
      <c r="V221" s="339"/>
      <c r="W221" s="339"/>
      <c r="X221" s="339"/>
      <c r="Y221" s="339"/>
      <c r="Z221" s="339"/>
      <c r="AA221" s="339"/>
      <c r="AB221" s="339"/>
      <c r="AC221" s="339"/>
      <c r="AD221" s="339"/>
      <c r="AE221" s="339"/>
      <c r="AF221" s="339"/>
      <c r="AG221" s="339"/>
      <c r="AH221" s="339"/>
      <c r="AI221" s="339"/>
      <c r="AJ221" s="339"/>
      <c r="AK221" s="339"/>
      <c r="AL221" s="339"/>
      <c r="AM221" s="339"/>
      <c r="AN221" s="339"/>
      <c r="AO221" s="339"/>
      <c r="AP221" s="339"/>
      <c r="AQ221" s="339"/>
      <c r="AR221" s="339"/>
      <c r="AS221" s="339"/>
      <c r="AT221" s="339"/>
      <c r="AU221" s="339"/>
      <c r="AV221" s="339"/>
      <c r="AW221" s="339"/>
      <c r="AX221" s="339"/>
      <c r="AY221" s="339"/>
      <c r="AZ221" s="339"/>
      <c r="BA221" s="339"/>
      <c r="BB221" s="339"/>
      <c r="BC221" s="339"/>
      <c r="BD221" s="339"/>
    </row>
    <row r="222" spans="3:56">
      <c r="C222" s="339"/>
      <c r="D222" s="339"/>
      <c r="E222" s="339"/>
      <c r="F222" s="339"/>
      <c r="G222" s="339"/>
      <c r="H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39"/>
      <c r="AV222" s="339"/>
      <c r="AW222" s="339"/>
      <c r="AX222" s="339"/>
      <c r="AY222" s="339"/>
      <c r="AZ222" s="339"/>
      <c r="BA222" s="339"/>
      <c r="BB222" s="339"/>
      <c r="BC222" s="339"/>
      <c r="BD222" s="339"/>
    </row>
    <row r="223" spans="3:56">
      <c r="C223" s="339"/>
      <c r="D223" s="339"/>
      <c r="E223" s="339"/>
      <c r="F223" s="339"/>
      <c r="G223" s="339"/>
      <c r="H223" s="339"/>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c r="AG223" s="339"/>
      <c r="AH223" s="339"/>
      <c r="AI223" s="339"/>
      <c r="AJ223" s="339"/>
      <c r="AK223" s="339"/>
      <c r="AL223" s="339"/>
      <c r="AM223" s="339"/>
      <c r="AN223" s="339"/>
      <c r="AO223" s="339"/>
      <c r="AP223" s="339"/>
      <c r="AQ223" s="339"/>
      <c r="AR223" s="339"/>
      <c r="AS223" s="339"/>
      <c r="AT223" s="339"/>
      <c r="AU223" s="339"/>
      <c r="AV223" s="339"/>
      <c r="AW223" s="339"/>
      <c r="AX223" s="339"/>
      <c r="AY223" s="339"/>
      <c r="AZ223" s="339"/>
      <c r="BA223" s="339"/>
      <c r="BB223" s="339"/>
      <c r="BC223" s="339"/>
      <c r="BD223" s="339"/>
    </row>
    <row r="224" spans="3:56">
      <c r="C224" s="339"/>
      <c r="D224" s="339"/>
      <c r="E224" s="339"/>
      <c r="F224" s="339"/>
      <c r="G224" s="339"/>
      <c r="H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39"/>
      <c r="AV224" s="339"/>
      <c r="AW224" s="339"/>
      <c r="AX224" s="339"/>
      <c r="AY224" s="339"/>
      <c r="AZ224" s="339"/>
      <c r="BA224" s="339"/>
      <c r="BB224" s="339"/>
      <c r="BC224" s="339"/>
      <c r="BD224" s="339"/>
    </row>
    <row r="225" spans="3:56">
      <c r="C225" s="339"/>
      <c r="D225" s="339"/>
      <c r="E225" s="339"/>
      <c r="F225" s="339"/>
      <c r="G225" s="339"/>
      <c r="H225" s="339"/>
      <c r="I225" s="339"/>
      <c r="J225" s="339"/>
      <c r="K225" s="339"/>
      <c r="L225" s="339"/>
      <c r="M225" s="339"/>
      <c r="N225" s="339"/>
      <c r="O225" s="339"/>
      <c r="P225" s="339"/>
      <c r="Q225" s="339"/>
      <c r="R225" s="339"/>
      <c r="S225" s="339"/>
      <c r="T225" s="339"/>
      <c r="U225" s="339"/>
      <c r="V225" s="339"/>
      <c r="W225" s="339"/>
      <c r="X225" s="339"/>
      <c r="Y225" s="339"/>
      <c r="Z225" s="339"/>
      <c r="AA225" s="339"/>
      <c r="AB225" s="339"/>
      <c r="AC225" s="339"/>
      <c r="AD225" s="339"/>
      <c r="AE225" s="339"/>
      <c r="AF225" s="339"/>
      <c r="AG225" s="339"/>
      <c r="AH225" s="339"/>
      <c r="AI225" s="339"/>
      <c r="AJ225" s="339"/>
      <c r="AK225" s="339"/>
      <c r="AL225" s="339"/>
      <c r="AM225" s="339"/>
      <c r="AN225" s="339"/>
      <c r="AO225" s="339"/>
      <c r="AP225" s="339"/>
      <c r="AQ225" s="339"/>
      <c r="AR225" s="339"/>
      <c r="AS225" s="339"/>
      <c r="AT225" s="339"/>
      <c r="AU225" s="339"/>
      <c r="AV225" s="339"/>
      <c r="AW225" s="339"/>
      <c r="AX225" s="339"/>
      <c r="AY225" s="339"/>
      <c r="AZ225" s="339"/>
      <c r="BA225" s="339"/>
      <c r="BB225" s="339"/>
      <c r="BC225" s="339"/>
      <c r="BD225" s="339"/>
    </row>
    <row r="226" spans="3:56">
      <c r="C226" s="339"/>
      <c r="D226" s="339"/>
      <c r="E226" s="339"/>
      <c r="F226" s="339"/>
      <c r="G226" s="339"/>
      <c r="H226" s="339"/>
      <c r="I226" s="339"/>
      <c r="J226" s="339"/>
      <c r="K226" s="339"/>
      <c r="L226" s="339"/>
      <c r="M226" s="339"/>
      <c r="N226" s="339"/>
      <c r="O226" s="339"/>
      <c r="P226" s="339"/>
      <c r="Q226" s="339"/>
      <c r="R226" s="339"/>
      <c r="S226" s="339"/>
      <c r="T226" s="339"/>
      <c r="U226" s="339"/>
      <c r="V226" s="339"/>
      <c r="W226" s="339"/>
      <c r="X226" s="339"/>
      <c r="Y226" s="339"/>
      <c r="Z226" s="339"/>
      <c r="AA226" s="339"/>
      <c r="AB226" s="339"/>
      <c r="AC226" s="339"/>
      <c r="AD226" s="339"/>
      <c r="AE226" s="339"/>
      <c r="AF226" s="339"/>
      <c r="AG226" s="339"/>
      <c r="AH226" s="339"/>
      <c r="AI226" s="339"/>
      <c r="AJ226" s="339"/>
      <c r="AK226" s="339"/>
      <c r="AL226" s="339"/>
      <c r="AM226" s="339"/>
      <c r="AN226" s="339"/>
      <c r="AO226" s="339"/>
      <c r="AP226" s="339"/>
      <c r="AQ226" s="339"/>
      <c r="AR226" s="339"/>
      <c r="AS226" s="339"/>
      <c r="AT226" s="339"/>
      <c r="AU226" s="339"/>
      <c r="AV226" s="339"/>
      <c r="AW226" s="339"/>
      <c r="AX226" s="339"/>
      <c r="AY226" s="339"/>
      <c r="AZ226" s="339"/>
      <c r="BA226" s="339"/>
      <c r="BB226" s="339"/>
      <c r="BC226" s="339"/>
      <c r="BD226" s="339"/>
    </row>
    <row r="227" spans="3:56">
      <c r="C227" s="339"/>
      <c r="D227" s="339"/>
      <c r="E227" s="339"/>
      <c r="F227" s="339"/>
      <c r="G227" s="339"/>
      <c r="H227" s="339"/>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c r="AG227" s="339"/>
      <c r="AH227" s="339"/>
      <c r="AI227" s="339"/>
      <c r="AJ227" s="339"/>
      <c r="AK227" s="339"/>
      <c r="AL227" s="339"/>
      <c r="AM227" s="339"/>
      <c r="AN227" s="339"/>
      <c r="AO227" s="339"/>
      <c r="AP227" s="339"/>
      <c r="AQ227" s="339"/>
      <c r="AR227" s="339"/>
      <c r="AS227" s="339"/>
      <c r="AT227" s="339"/>
      <c r="AU227" s="339"/>
      <c r="AV227" s="339"/>
      <c r="AW227" s="339"/>
      <c r="AX227" s="339"/>
      <c r="AY227" s="339"/>
      <c r="AZ227" s="339"/>
      <c r="BA227" s="339"/>
      <c r="BB227" s="339"/>
      <c r="BC227" s="339"/>
      <c r="BD227" s="339"/>
    </row>
    <row r="228" spans="3:56">
      <c r="C228" s="339"/>
      <c r="D228" s="339"/>
      <c r="E228" s="339"/>
      <c r="F228" s="339"/>
      <c r="G228" s="339"/>
      <c r="H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39"/>
      <c r="AV228" s="339"/>
      <c r="AW228" s="339"/>
      <c r="AX228" s="339"/>
      <c r="AY228" s="339"/>
      <c r="AZ228" s="339"/>
      <c r="BA228" s="339"/>
      <c r="BB228" s="339"/>
      <c r="BC228" s="339"/>
      <c r="BD228" s="339"/>
    </row>
    <row r="229" spans="3:56">
      <c r="C229" s="339"/>
      <c r="D229" s="339"/>
      <c r="E229" s="339"/>
      <c r="F229" s="339"/>
      <c r="G229" s="339"/>
      <c r="H229" s="339"/>
      <c r="I229" s="339"/>
      <c r="J229" s="339"/>
      <c r="K229" s="339"/>
      <c r="L229" s="339"/>
      <c r="M229" s="339"/>
      <c r="N229" s="339"/>
      <c r="O229" s="339"/>
      <c r="P229" s="339"/>
      <c r="Q229" s="339"/>
      <c r="R229" s="339"/>
      <c r="S229" s="339"/>
      <c r="T229" s="339"/>
      <c r="U229" s="339"/>
      <c r="V229" s="339"/>
      <c r="W229" s="339"/>
      <c r="X229" s="339"/>
      <c r="Y229" s="339"/>
      <c r="Z229" s="339"/>
      <c r="AA229" s="339"/>
      <c r="AB229" s="339"/>
      <c r="AC229" s="339"/>
      <c r="AD229" s="339"/>
      <c r="AE229" s="339"/>
      <c r="AF229" s="339"/>
      <c r="AG229" s="339"/>
      <c r="AH229" s="339"/>
      <c r="AI229" s="339"/>
      <c r="AJ229" s="339"/>
      <c r="AK229" s="339"/>
      <c r="AL229" s="339"/>
      <c r="AM229" s="339"/>
      <c r="AN229" s="339"/>
      <c r="AO229" s="339"/>
      <c r="AP229" s="339"/>
      <c r="AQ229" s="339"/>
      <c r="AR229" s="339"/>
      <c r="AS229" s="339"/>
      <c r="AT229" s="339"/>
      <c r="AU229" s="339"/>
      <c r="AV229" s="339"/>
      <c r="AW229" s="339"/>
      <c r="AX229" s="339"/>
      <c r="AY229" s="339"/>
      <c r="AZ229" s="339"/>
      <c r="BA229" s="339"/>
      <c r="BB229" s="339"/>
      <c r="BC229" s="339"/>
      <c r="BD229" s="339"/>
    </row>
    <row r="230" spans="3:56">
      <c r="C230" s="339"/>
      <c r="D230" s="339"/>
      <c r="E230" s="339"/>
      <c r="F230" s="339"/>
      <c r="G230" s="339"/>
      <c r="H230" s="339"/>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c r="AS230" s="339"/>
      <c r="AT230" s="339"/>
      <c r="AU230" s="339"/>
      <c r="AV230" s="339"/>
      <c r="AW230" s="339"/>
      <c r="AX230" s="339"/>
      <c r="AY230" s="339"/>
      <c r="AZ230" s="339"/>
      <c r="BA230" s="339"/>
      <c r="BB230" s="339"/>
      <c r="BC230" s="339"/>
      <c r="BD230" s="339"/>
    </row>
    <row r="231" spans="3:56">
      <c r="C231" s="339"/>
      <c r="D231" s="339"/>
      <c r="E231" s="339"/>
      <c r="F231" s="339"/>
      <c r="G231" s="339"/>
      <c r="H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c r="AS231" s="339"/>
      <c r="AT231" s="339"/>
      <c r="AU231" s="339"/>
      <c r="AV231" s="339"/>
      <c r="AW231" s="339"/>
      <c r="AX231" s="339"/>
      <c r="AY231" s="339"/>
      <c r="AZ231" s="339"/>
      <c r="BA231" s="339"/>
      <c r="BB231" s="339"/>
      <c r="BC231" s="339"/>
      <c r="BD231" s="339"/>
    </row>
    <row r="232" spans="3:56">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39"/>
      <c r="AV232" s="339"/>
      <c r="AW232" s="339"/>
      <c r="AX232" s="339"/>
      <c r="AY232" s="339"/>
      <c r="AZ232" s="339"/>
      <c r="BA232" s="339"/>
      <c r="BB232" s="339"/>
      <c r="BC232" s="339"/>
      <c r="BD232" s="339"/>
    </row>
    <row r="233" spans="3:56">
      <c r="C233" s="339"/>
      <c r="D233" s="339"/>
      <c r="E233" s="339"/>
      <c r="F233" s="339"/>
      <c r="G233" s="339"/>
      <c r="H233" s="339"/>
      <c r="I233" s="339"/>
      <c r="J233" s="339"/>
      <c r="K233" s="339"/>
      <c r="L233" s="339"/>
      <c r="M233" s="339"/>
      <c r="N233" s="339"/>
      <c r="O233" s="339"/>
      <c r="P233" s="339"/>
      <c r="Q233" s="339"/>
      <c r="R233" s="339"/>
      <c r="S233" s="339"/>
      <c r="T233" s="339"/>
      <c r="U233" s="339"/>
      <c r="V233" s="339"/>
      <c r="W233" s="339"/>
      <c r="X233" s="339"/>
      <c r="Y233" s="339"/>
      <c r="Z233" s="339"/>
      <c r="AA233" s="339"/>
      <c r="AB233" s="339"/>
      <c r="AC233" s="339"/>
      <c r="AD233" s="339"/>
      <c r="AE233" s="339"/>
      <c r="AF233" s="339"/>
      <c r="AG233" s="339"/>
      <c r="AH233" s="339"/>
      <c r="AI233" s="339"/>
      <c r="AJ233" s="339"/>
      <c r="AK233" s="339"/>
      <c r="AL233" s="339"/>
      <c r="AM233" s="339"/>
      <c r="AN233" s="339"/>
      <c r="AO233" s="339"/>
      <c r="AP233" s="339"/>
      <c r="AQ233" s="339"/>
      <c r="AR233" s="339"/>
      <c r="AS233" s="339"/>
      <c r="AT233" s="339"/>
      <c r="AU233" s="339"/>
      <c r="AV233" s="339"/>
      <c r="AW233" s="339"/>
      <c r="AX233" s="339"/>
      <c r="AY233" s="339"/>
      <c r="AZ233" s="339"/>
      <c r="BA233" s="339"/>
      <c r="BB233" s="339"/>
      <c r="BC233" s="339"/>
      <c r="BD233" s="339"/>
    </row>
    <row r="234" spans="3:56">
      <c r="C234" s="339"/>
      <c r="D234" s="339"/>
      <c r="E234" s="339"/>
      <c r="F234" s="339"/>
      <c r="G234" s="339"/>
      <c r="H234" s="339"/>
      <c r="I234" s="339"/>
      <c r="J234" s="339"/>
      <c r="K234" s="339"/>
      <c r="L234" s="339"/>
      <c r="M234" s="339"/>
      <c r="N234" s="339"/>
      <c r="O234" s="339"/>
      <c r="P234" s="339"/>
      <c r="Q234" s="339"/>
      <c r="R234" s="339"/>
      <c r="S234" s="339"/>
      <c r="T234" s="339"/>
      <c r="U234" s="339"/>
      <c r="V234" s="339"/>
      <c r="W234" s="339"/>
      <c r="X234" s="339"/>
      <c r="Y234" s="339"/>
      <c r="Z234" s="339"/>
      <c r="AA234" s="339"/>
      <c r="AB234" s="339"/>
      <c r="AC234" s="339"/>
      <c r="AD234" s="339"/>
      <c r="AE234" s="339"/>
      <c r="AF234" s="339"/>
      <c r="AG234" s="339"/>
      <c r="AH234" s="339"/>
      <c r="AI234" s="339"/>
      <c r="AJ234" s="339"/>
      <c r="AK234" s="339"/>
      <c r="AL234" s="339"/>
      <c r="AM234" s="339"/>
      <c r="AN234" s="339"/>
      <c r="AO234" s="339"/>
      <c r="AP234" s="339"/>
      <c r="AQ234" s="339"/>
      <c r="AR234" s="339"/>
      <c r="AS234" s="339"/>
      <c r="AT234" s="339"/>
      <c r="AU234" s="339"/>
      <c r="AV234" s="339"/>
      <c r="AW234" s="339"/>
      <c r="AX234" s="339"/>
      <c r="AY234" s="339"/>
      <c r="AZ234" s="339"/>
      <c r="BA234" s="339"/>
      <c r="BB234" s="339"/>
      <c r="BC234" s="339"/>
      <c r="BD234" s="339"/>
    </row>
    <row r="235" spans="3:56">
      <c r="C235" s="339"/>
      <c r="D235" s="339"/>
      <c r="E235" s="339"/>
      <c r="F235" s="339"/>
      <c r="G235" s="339"/>
      <c r="H235" s="339"/>
      <c r="I235" s="339"/>
      <c r="J235" s="339"/>
      <c r="K235" s="339"/>
      <c r="L235" s="339"/>
      <c r="M235" s="339"/>
      <c r="N235" s="339"/>
      <c r="O235" s="339"/>
      <c r="P235" s="339"/>
      <c r="Q235" s="339"/>
      <c r="R235" s="339"/>
      <c r="S235" s="339"/>
      <c r="T235" s="339"/>
      <c r="U235" s="339"/>
      <c r="V235" s="339"/>
      <c r="W235" s="339"/>
      <c r="X235" s="339"/>
      <c r="Y235" s="339"/>
      <c r="Z235" s="339"/>
      <c r="AA235" s="339"/>
      <c r="AB235" s="339"/>
      <c r="AC235" s="339"/>
      <c r="AD235" s="339"/>
      <c r="AE235" s="339"/>
      <c r="AF235" s="339"/>
      <c r="AG235" s="339"/>
      <c r="AH235" s="339"/>
      <c r="AI235" s="339"/>
      <c r="AJ235" s="339"/>
      <c r="AK235" s="339"/>
      <c r="AL235" s="339"/>
      <c r="AM235" s="339"/>
      <c r="AN235" s="339"/>
      <c r="AO235" s="339"/>
      <c r="AP235" s="339"/>
      <c r="AQ235" s="339"/>
      <c r="AR235" s="339"/>
      <c r="AS235" s="339"/>
      <c r="AT235" s="339"/>
      <c r="AU235" s="339"/>
      <c r="AV235" s="339"/>
      <c r="AW235" s="339"/>
      <c r="AX235" s="339"/>
      <c r="AY235" s="339"/>
      <c r="AZ235" s="339"/>
      <c r="BA235" s="339"/>
      <c r="BB235" s="339"/>
      <c r="BC235" s="339"/>
      <c r="BD235" s="339"/>
    </row>
    <row r="236" spans="3:56">
      <c r="C236" s="339"/>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c r="AG236" s="339"/>
      <c r="AH236" s="339"/>
      <c r="AI236" s="339"/>
      <c r="AJ236" s="339"/>
      <c r="AK236" s="339"/>
      <c r="AL236" s="339"/>
      <c r="AM236" s="339"/>
      <c r="AN236" s="339"/>
      <c r="AO236" s="339"/>
      <c r="AP236" s="339"/>
      <c r="AQ236" s="339"/>
      <c r="AR236" s="339"/>
      <c r="AS236" s="339"/>
      <c r="AT236" s="339"/>
      <c r="AU236" s="339"/>
      <c r="AV236" s="339"/>
      <c r="AW236" s="339"/>
      <c r="AX236" s="339"/>
      <c r="AY236" s="339"/>
      <c r="AZ236" s="339"/>
      <c r="BA236" s="339"/>
      <c r="BB236" s="339"/>
      <c r="BC236" s="339"/>
      <c r="BD236" s="339"/>
    </row>
    <row r="237" spans="3:56">
      <c r="C237" s="339"/>
      <c r="D237" s="339"/>
      <c r="E237" s="339"/>
      <c r="F237" s="339"/>
      <c r="G237" s="339"/>
      <c r="H237" s="339"/>
      <c r="I237" s="339"/>
      <c r="J237" s="339"/>
      <c r="K237" s="339"/>
      <c r="L237" s="339"/>
      <c r="M237" s="339"/>
      <c r="N237" s="339"/>
      <c r="O237" s="339"/>
      <c r="P237" s="339"/>
      <c r="Q237" s="339"/>
      <c r="R237" s="339"/>
      <c r="S237" s="339"/>
      <c r="T237" s="339"/>
      <c r="U237" s="339"/>
      <c r="V237" s="339"/>
      <c r="W237" s="339"/>
      <c r="X237" s="339"/>
      <c r="Y237" s="339"/>
      <c r="Z237" s="339"/>
      <c r="AA237" s="339"/>
      <c r="AB237" s="339"/>
      <c r="AC237" s="339"/>
      <c r="AD237" s="339"/>
      <c r="AE237" s="339"/>
      <c r="AF237" s="339"/>
      <c r="AG237" s="339"/>
      <c r="AH237" s="339"/>
      <c r="AI237" s="339"/>
      <c r="AJ237" s="339"/>
      <c r="AK237" s="339"/>
      <c r="AL237" s="339"/>
      <c r="AM237" s="339"/>
      <c r="AN237" s="339"/>
      <c r="AO237" s="339"/>
      <c r="AP237" s="339"/>
      <c r="AQ237" s="339"/>
      <c r="AR237" s="339"/>
      <c r="AS237" s="339"/>
      <c r="AT237" s="339"/>
      <c r="AU237" s="339"/>
      <c r="AV237" s="339"/>
      <c r="AW237" s="339"/>
      <c r="AX237" s="339"/>
      <c r="AY237" s="339"/>
      <c r="AZ237" s="339"/>
      <c r="BA237" s="339"/>
      <c r="BB237" s="339"/>
      <c r="BC237" s="339"/>
      <c r="BD237" s="339"/>
    </row>
    <row r="238" spans="3:56">
      <c r="C238" s="339"/>
      <c r="D238" s="339"/>
      <c r="E238" s="339"/>
      <c r="F238" s="339"/>
      <c r="G238" s="339"/>
      <c r="H238" s="339"/>
      <c r="I238" s="339"/>
      <c r="J238" s="339"/>
      <c r="K238" s="339"/>
      <c r="L238" s="339"/>
      <c r="M238" s="339"/>
      <c r="N238" s="339"/>
      <c r="O238" s="339"/>
      <c r="P238" s="339"/>
      <c r="Q238" s="339"/>
      <c r="R238" s="339"/>
      <c r="S238" s="339"/>
      <c r="T238" s="339"/>
      <c r="U238" s="339"/>
      <c r="V238" s="339"/>
      <c r="W238" s="339"/>
      <c r="X238" s="339"/>
      <c r="Y238" s="339"/>
      <c r="Z238" s="339"/>
      <c r="AA238" s="339"/>
      <c r="AB238" s="339"/>
      <c r="AC238" s="339"/>
      <c r="AD238" s="339"/>
      <c r="AE238" s="339"/>
      <c r="AF238" s="339"/>
      <c r="AG238" s="339"/>
      <c r="AH238" s="339"/>
      <c r="AI238" s="339"/>
      <c r="AJ238" s="339"/>
      <c r="AK238" s="339"/>
      <c r="AL238" s="339"/>
      <c r="AM238" s="339"/>
      <c r="AN238" s="339"/>
      <c r="AO238" s="339"/>
      <c r="AP238" s="339"/>
      <c r="AQ238" s="339"/>
      <c r="AR238" s="339"/>
      <c r="AS238" s="339"/>
      <c r="AT238" s="339"/>
      <c r="AU238" s="339"/>
      <c r="AV238" s="339"/>
      <c r="AW238" s="339"/>
      <c r="AX238" s="339"/>
      <c r="AY238" s="339"/>
      <c r="AZ238" s="339"/>
      <c r="BA238" s="339"/>
      <c r="BB238" s="339"/>
      <c r="BC238" s="339"/>
      <c r="BD238" s="339"/>
    </row>
    <row r="239" spans="3:56">
      <c r="C239" s="339"/>
      <c r="D239" s="339"/>
      <c r="E239" s="339"/>
      <c r="F239" s="339"/>
      <c r="G239" s="339"/>
      <c r="H239" s="339"/>
      <c r="I239" s="339"/>
      <c r="J239" s="339"/>
      <c r="K239" s="339"/>
      <c r="L239" s="339"/>
      <c r="M239" s="339"/>
      <c r="N239" s="339"/>
      <c r="O239" s="339"/>
      <c r="P239" s="339"/>
      <c r="Q239" s="339"/>
      <c r="R239" s="339"/>
      <c r="S239" s="339"/>
      <c r="T239" s="339"/>
      <c r="U239" s="339"/>
      <c r="V239" s="339"/>
      <c r="W239" s="339"/>
      <c r="X239" s="339"/>
      <c r="Y239" s="339"/>
      <c r="Z239" s="339"/>
      <c r="AA239" s="339"/>
      <c r="AB239" s="339"/>
      <c r="AC239" s="339"/>
      <c r="AD239" s="339"/>
      <c r="AE239" s="339"/>
      <c r="AF239" s="339"/>
      <c r="AG239" s="339"/>
      <c r="AH239" s="339"/>
      <c r="AI239" s="339"/>
      <c r="AJ239" s="339"/>
      <c r="AK239" s="339"/>
      <c r="AL239" s="339"/>
      <c r="AM239" s="339"/>
      <c r="AN239" s="339"/>
      <c r="AO239" s="339"/>
      <c r="AP239" s="339"/>
      <c r="AQ239" s="339"/>
      <c r="AR239" s="339"/>
      <c r="AS239" s="339"/>
      <c r="AT239" s="339"/>
      <c r="AU239" s="339"/>
      <c r="AV239" s="339"/>
      <c r="AW239" s="339"/>
      <c r="AX239" s="339"/>
      <c r="AY239" s="339"/>
      <c r="AZ239" s="339"/>
      <c r="BA239" s="339"/>
      <c r="BB239" s="339"/>
      <c r="BC239" s="339"/>
      <c r="BD239" s="339"/>
    </row>
    <row r="240" spans="3:56">
      <c r="C240" s="339"/>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c r="AA240" s="339"/>
      <c r="AB240" s="339"/>
      <c r="AC240" s="339"/>
      <c r="AD240" s="339"/>
      <c r="AE240" s="339"/>
      <c r="AF240" s="339"/>
      <c r="AG240" s="339"/>
      <c r="AH240" s="339"/>
      <c r="AI240" s="339"/>
      <c r="AJ240" s="339"/>
      <c r="AK240" s="339"/>
      <c r="AL240" s="339"/>
      <c r="AM240" s="339"/>
      <c r="AN240" s="339"/>
      <c r="AO240" s="339"/>
      <c r="AP240" s="339"/>
      <c r="AQ240" s="339"/>
      <c r="AR240" s="339"/>
      <c r="AS240" s="339"/>
      <c r="AT240" s="339"/>
      <c r="AU240" s="339"/>
      <c r="AV240" s="339"/>
      <c r="AW240" s="339"/>
      <c r="AX240" s="339"/>
      <c r="AY240" s="339"/>
      <c r="AZ240" s="339"/>
      <c r="BA240" s="339"/>
      <c r="BB240" s="339"/>
      <c r="BC240" s="339"/>
      <c r="BD240" s="339"/>
    </row>
    <row r="241" spans="3:56">
      <c r="C241" s="339"/>
      <c r="D241" s="339"/>
      <c r="E241" s="339"/>
      <c r="F241" s="339"/>
      <c r="G241" s="339"/>
      <c r="H241" s="339"/>
      <c r="I241" s="339"/>
      <c r="J241" s="339"/>
      <c r="K241" s="339"/>
      <c r="L241" s="339"/>
      <c r="M241" s="339"/>
      <c r="N241" s="339"/>
      <c r="O241" s="339"/>
      <c r="P241" s="339"/>
      <c r="Q241" s="339"/>
      <c r="R241" s="339"/>
      <c r="S241" s="339"/>
      <c r="T241" s="339"/>
      <c r="U241" s="339"/>
      <c r="V241" s="339"/>
      <c r="W241" s="339"/>
      <c r="X241" s="339"/>
      <c r="Y241" s="339"/>
      <c r="Z241" s="339"/>
      <c r="AA241" s="339"/>
      <c r="AB241" s="339"/>
      <c r="AC241" s="339"/>
      <c r="AD241" s="339"/>
      <c r="AE241" s="339"/>
      <c r="AF241" s="339"/>
      <c r="AG241" s="339"/>
      <c r="AH241" s="339"/>
      <c r="AI241" s="339"/>
      <c r="AJ241" s="339"/>
      <c r="AK241" s="339"/>
      <c r="AL241" s="339"/>
      <c r="AM241" s="339"/>
      <c r="AN241" s="339"/>
      <c r="AO241" s="339"/>
      <c r="AP241" s="339"/>
      <c r="AQ241" s="339"/>
      <c r="AR241" s="339"/>
      <c r="AS241" s="339"/>
      <c r="AT241" s="339"/>
      <c r="AU241" s="339"/>
      <c r="AV241" s="339"/>
      <c r="AW241" s="339"/>
      <c r="AX241" s="339"/>
      <c r="AY241" s="339"/>
      <c r="AZ241" s="339"/>
      <c r="BA241" s="339"/>
      <c r="BB241" s="339"/>
      <c r="BC241" s="339"/>
      <c r="BD241" s="339"/>
    </row>
    <row r="242" spans="3:56">
      <c r="C242" s="339"/>
      <c r="D242" s="339"/>
      <c r="E242" s="339"/>
      <c r="F242" s="339"/>
      <c r="G242" s="339"/>
      <c r="H242" s="339"/>
      <c r="I242" s="339"/>
      <c r="J242" s="339"/>
      <c r="K242" s="339"/>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c r="AG242" s="339"/>
      <c r="AH242" s="339"/>
      <c r="AI242" s="339"/>
      <c r="AJ242" s="339"/>
      <c r="AK242" s="339"/>
      <c r="AL242" s="339"/>
      <c r="AM242" s="339"/>
      <c r="AN242" s="339"/>
      <c r="AO242" s="339"/>
      <c r="AP242" s="339"/>
      <c r="AQ242" s="339"/>
      <c r="AR242" s="339"/>
      <c r="AS242" s="339"/>
      <c r="AT242" s="339"/>
      <c r="AU242" s="339"/>
      <c r="AV242" s="339"/>
      <c r="AW242" s="339"/>
      <c r="AX242" s="339"/>
      <c r="AY242" s="339"/>
      <c r="AZ242" s="339"/>
      <c r="BA242" s="339"/>
      <c r="BB242" s="339"/>
      <c r="BC242" s="339"/>
      <c r="BD242" s="339"/>
    </row>
    <row r="243" spans="3:56">
      <c r="C243" s="339"/>
      <c r="D243" s="339"/>
      <c r="E243" s="339"/>
      <c r="F243" s="339"/>
      <c r="G243" s="339"/>
      <c r="H243" s="339"/>
      <c r="I243" s="339"/>
      <c r="J243" s="339"/>
      <c r="K243" s="339"/>
      <c r="L243" s="339"/>
      <c r="M243" s="339"/>
      <c r="N243" s="339"/>
      <c r="O243" s="339"/>
      <c r="P243" s="339"/>
      <c r="Q243" s="339"/>
      <c r="R243" s="339"/>
      <c r="S243" s="339"/>
      <c r="T243" s="339"/>
      <c r="U243" s="339"/>
      <c r="V243" s="339"/>
      <c r="W243" s="339"/>
      <c r="X243" s="339"/>
      <c r="Y243" s="339"/>
      <c r="Z243" s="339"/>
      <c r="AA243" s="339"/>
      <c r="AB243" s="339"/>
      <c r="AC243" s="339"/>
      <c r="AD243" s="339"/>
      <c r="AE243" s="339"/>
      <c r="AF243" s="339"/>
      <c r="AG243" s="339"/>
      <c r="AH243" s="339"/>
      <c r="AI243" s="339"/>
      <c r="AJ243" s="339"/>
      <c r="AK243" s="339"/>
      <c r="AL243" s="339"/>
      <c r="AM243" s="339"/>
      <c r="AN243" s="339"/>
      <c r="AO243" s="339"/>
      <c r="AP243" s="339"/>
      <c r="AQ243" s="339"/>
      <c r="AR243" s="339"/>
      <c r="AS243" s="339"/>
      <c r="AT243" s="339"/>
      <c r="AU243" s="339"/>
      <c r="AV243" s="339"/>
      <c r="AW243" s="339"/>
      <c r="AX243" s="339"/>
      <c r="AY243" s="339"/>
      <c r="AZ243" s="339"/>
      <c r="BA243" s="339"/>
      <c r="BB243" s="339"/>
      <c r="BC243" s="339"/>
      <c r="BD243" s="339"/>
    </row>
    <row r="244" spans="3:56">
      <c r="C244" s="339"/>
      <c r="D244" s="339"/>
      <c r="E244" s="339"/>
      <c r="F244" s="339"/>
      <c r="G244" s="339"/>
      <c r="H244" s="339"/>
      <c r="I244" s="339"/>
      <c r="J244" s="339"/>
      <c r="K244" s="339"/>
      <c r="L244" s="339"/>
      <c r="M244" s="339"/>
      <c r="N244" s="339"/>
      <c r="O244" s="339"/>
      <c r="P244" s="339"/>
      <c r="Q244" s="339"/>
      <c r="R244" s="339"/>
      <c r="S244" s="339"/>
      <c r="T244" s="339"/>
      <c r="U244" s="339"/>
      <c r="V244" s="339"/>
      <c r="W244" s="339"/>
      <c r="X244" s="339"/>
      <c r="Y244" s="339"/>
      <c r="Z244" s="339"/>
      <c r="AA244" s="339"/>
      <c r="AB244" s="339"/>
      <c r="AC244" s="339"/>
      <c r="AD244" s="339"/>
      <c r="AE244" s="339"/>
      <c r="AF244" s="339"/>
      <c r="AG244" s="339"/>
      <c r="AH244" s="339"/>
      <c r="AI244" s="339"/>
      <c r="AJ244" s="339"/>
      <c r="AK244" s="339"/>
      <c r="AL244" s="339"/>
      <c r="AM244" s="339"/>
      <c r="AN244" s="339"/>
      <c r="AO244" s="339"/>
      <c r="AP244" s="339"/>
      <c r="AQ244" s="339"/>
      <c r="AR244" s="339"/>
      <c r="AS244" s="339"/>
      <c r="AT244" s="339"/>
      <c r="AU244" s="339"/>
      <c r="AV244" s="339"/>
      <c r="AW244" s="339"/>
      <c r="AX244" s="339"/>
      <c r="AY244" s="339"/>
      <c r="AZ244" s="339"/>
      <c r="BA244" s="339"/>
      <c r="BB244" s="339"/>
      <c r="BC244" s="339"/>
      <c r="BD244" s="339"/>
    </row>
    <row r="245" spans="3:56">
      <c r="C245" s="339"/>
      <c r="D245" s="339"/>
      <c r="E245" s="339"/>
      <c r="F245" s="339"/>
      <c r="G245" s="339"/>
      <c r="H245" s="339"/>
      <c r="I245" s="339"/>
      <c r="J245" s="339"/>
      <c r="K245" s="339"/>
      <c r="L245" s="339"/>
      <c r="M245" s="339"/>
      <c r="N245" s="339"/>
      <c r="O245" s="339"/>
      <c r="P245" s="339"/>
      <c r="Q245" s="339"/>
      <c r="R245" s="339"/>
      <c r="S245" s="339"/>
      <c r="T245" s="339"/>
      <c r="U245" s="339"/>
      <c r="V245" s="339"/>
      <c r="W245" s="339"/>
      <c r="X245" s="339"/>
      <c r="Y245" s="339"/>
      <c r="Z245" s="339"/>
      <c r="AA245" s="339"/>
      <c r="AB245" s="339"/>
      <c r="AC245" s="339"/>
      <c r="AD245" s="339"/>
      <c r="AE245" s="339"/>
      <c r="AF245" s="339"/>
      <c r="AG245" s="339"/>
      <c r="AH245" s="339"/>
      <c r="AI245" s="339"/>
      <c r="AJ245" s="339"/>
      <c r="AK245" s="339"/>
      <c r="AL245" s="339"/>
      <c r="AM245" s="339"/>
      <c r="AN245" s="339"/>
      <c r="AO245" s="339"/>
      <c r="AP245" s="339"/>
      <c r="AQ245" s="339"/>
      <c r="AR245" s="339"/>
      <c r="AS245" s="339"/>
      <c r="AT245" s="339"/>
      <c r="AU245" s="339"/>
      <c r="AV245" s="339"/>
      <c r="AW245" s="339"/>
      <c r="AX245" s="339"/>
      <c r="AY245" s="339"/>
      <c r="AZ245" s="339"/>
      <c r="BA245" s="339"/>
      <c r="BB245" s="339"/>
      <c r="BC245" s="339"/>
      <c r="BD245" s="339"/>
    </row>
    <row r="246" spans="3:56">
      <c r="C246" s="339"/>
      <c r="D246" s="339"/>
      <c r="E246" s="339"/>
      <c r="F246" s="339"/>
      <c r="G246" s="339"/>
      <c r="H246" s="339"/>
      <c r="I246" s="339"/>
      <c r="J246" s="339"/>
      <c r="K246" s="339"/>
      <c r="L246" s="339"/>
      <c r="M246" s="339"/>
      <c r="N246" s="339"/>
      <c r="O246" s="339"/>
      <c r="P246" s="339"/>
      <c r="Q246" s="339"/>
      <c r="R246" s="339"/>
      <c r="S246" s="339"/>
      <c r="T246" s="339"/>
      <c r="U246" s="339"/>
      <c r="V246" s="339"/>
      <c r="W246" s="339"/>
      <c r="X246" s="339"/>
      <c r="Y246" s="339"/>
      <c r="Z246" s="339"/>
      <c r="AA246" s="339"/>
      <c r="AB246" s="339"/>
      <c r="AC246" s="339"/>
      <c r="AD246" s="339"/>
      <c r="AE246" s="339"/>
      <c r="AF246" s="339"/>
      <c r="AG246" s="339"/>
      <c r="AH246" s="339"/>
      <c r="AI246" s="339"/>
      <c r="AJ246" s="339"/>
      <c r="AK246" s="339"/>
      <c r="AL246" s="339"/>
      <c r="AM246" s="339"/>
      <c r="AN246" s="339"/>
      <c r="AO246" s="339"/>
      <c r="AP246" s="339"/>
      <c r="AQ246" s="339"/>
      <c r="AR246" s="339"/>
      <c r="AS246" s="339"/>
      <c r="AT246" s="339"/>
      <c r="AU246" s="339"/>
      <c r="AV246" s="339"/>
      <c r="AW246" s="339"/>
      <c r="AX246" s="339"/>
      <c r="AY246" s="339"/>
      <c r="AZ246" s="339"/>
      <c r="BA246" s="339"/>
      <c r="BB246" s="339"/>
      <c r="BC246" s="339"/>
      <c r="BD246" s="339"/>
    </row>
    <row r="247" spans="3:56">
      <c r="C247" s="339"/>
      <c r="D247" s="339"/>
      <c r="E247" s="339"/>
      <c r="F247" s="339"/>
      <c r="G247" s="339"/>
      <c r="H247" s="339"/>
      <c r="I247" s="339"/>
      <c r="J247" s="339"/>
      <c r="K247" s="339"/>
      <c r="L247" s="339"/>
      <c r="M247" s="339"/>
      <c r="N247" s="339"/>
      <c r="O247" s="339"/>
      <c r="P247" s="339"/>
      <c r="Q247" s="339"/>
      <c r="R247" s="339"/>
      <c r="S247" s="339"/>
      <c r="T247" s="339"/>
      <c r="U247" s="339"/>
      <c r="V247" s="339"/>
      <c r="W247" s="339"/>
      <c r="X247" s="339"/>
      <c r="Y247" s="339"/>
      <c r="Z247" s="339"/>
      <c r="AA247" s="339"/>
      <c r="AB247" s="339"/>
      <c r="AC247" s="339"/>
      <c r="AD247" s="339"/>
      <c r="AE247" s="339"/>
      <c r="AF247" s="339"/>
      <c r="AG247" s="339"/>
      <c r="AH247" s="339"/>
      <c r="AI247" s="339"/>
      <c r="AJ247" s="339"/>
      <c r="AK247" s="339"/>
      <c r="AL247" s="339"/>
      <c r="AM247" s="339"/>
      <c r="AN247" s="339"/>
      <c r="AO247" s="339"/>
      <c r="AP247" s="339"/>
      <c r="AQ247" s="339"/>
      <c r="AR247" s="339"/>
      <c r="AS247" s="339"/>
      <c r="AT247" s="339"/>
      <c r="AU247" s="339"/>
      <c r="AV247" s="339"/>
      <c r="AW247" s="339"/>
      <c r="AX247" s="339"/>
      <c r="AY247" s="339"/>
      <c r="AZ247" s="339"/>
      <c r="BA247" s="339"/>
      <c r="BB247" s="339"/>
      <c r="BC247" s="339"/>
      <c r="BD247" s="339"/>
    </row>
    <row r="248" spans="3:56">
      <c r="C248" s="339"/>
      <c r="D248" s="339"/>
      <c r="E248" s="339"/>
      <c r="F248" s="339"/>
      <c r="G248" s="339"/>
      <c r="H248" s="339"/>
      <c r="I248" s="339"/>
      <c r="J248" s="339"/>
      <c r="K248" s="339"/>
      <c r="L248" s="339"/>
      <c r="M248" s="339"/>
      <c r="N248" s="339"/>
      <c r="O248" s="339"/>
      <c r="P248" s="339"/>
      <c r="Q248" s="339"/>
      <c r="R248" s="339"/>
      <c r="S248" s="339"/>
      <c r="T248" s="339"/>
      <c r="U248" s="339"/>
      <c r="V248" s="339"/>
      <c r="W248" s="339"/>
      <c r="X248" s="339"/>
      <c r="Y248" s="339"/>
      <c r="Z248" s="339"/>
      <c r="AA248" s="339"/>
      <c r="AB248" s="339"/>
      <c r="AC248" s="339"/>
      <c r="AD248" s="339"/>
      <c r="AE248" s="339"/>
      <c r="AF248" s="339"/>
      <c r="AG248" s="339"/>
      <c r="AH248" s="339"/>
      <c r="AI248" s="339"/>
      <c r="AJ248" s="339"/>
      <c r="AK248" s="339"/>
      <c r="AL248" s="339"/>
      <c r="AM248" s="339"/>
      <c r="AN248" s="339"/>
      <c r="AO248" s="339"/>
      <c r="AP248" s="339"/>
      <c r="AQ248" s="339"/>
      <c r="AR248" s="339"/>
      <c r="AS248" s="339"/>
      <c r="AT248" s="339"/>
      <c r="AU248" s="339"/>
      <c r="AV248" s="339"/>
      <c r="AW248" s="339"/>
      <c r="AX248" s="339"/>
      <c r="AY248" s="339"/>
      <c r="AZ248" s="339"/>
      <c r="BA248" s="339"/>
      <c r="BB248" s="339"/>
      <c r="BC248" s="339"/>
      <c r="BD248" s="339"/>
    </row>
    <row r="249" spans="3:56">
      <c r="C249" s="339"/>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c r="AA249" s="339"/>
      <c r="AB249" s="339"/>
      <c r="AC249" s="339"/>
      <c r="AD249" s="339"/>
      <c r="AE249" s="339"/>
      <c r="AF249" s="339"/>
      <c r="AG249" s="339"/>
      <c r="AH249" s="339"/>
      <c r="AI249" s="339"/>
      <c r="AJ249" s="339"/>
      <c r="AK249" s="339"/>
      <c r="AL249" s="339"/>
      <c r="AM249" s="339"/>
      <c r="AN249" s="339"/>
      <c r="AO249" s="339"/>
      <c r="AP249" s="339"/>
      <c r="AQ249" s="339"/>
      <c r="AR249" s="339"/>
      <c r="AS249" s="339"/>
      <c r="AT249" s="339"/>
      <c r="AU249" s="339"/>
      <c r="AV249" s="339"/>
      <c r="AW249" s="339"/>
      <c r="AX249" s="339"/>
      <c r="AY249" s="339"/>
      <c r="AZ249" s="339"/>
      <c r="BA249" s="339"/>
      <c r="BB249" s="339"/>
      <c r="BC249" s="339"/>
      <c r="BD249" s="339"/>
    </row>
    <row r="250" spans="3:56">
      <c r="C250" s="339"/>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c r="AA250" s="339"/>
      <c r="AB250" s="339"/>
      <c r="AC250" s="339"/>
      <c r="AD250" s="339"/>
      <c r="AE250" s="339"/>
      <c r="AF250" s="339"/>
      <c r="AG250" s="339"/>
      <c r="AH250" s="339"/>
      <c r="AI250" s="339"/>
      <c r="AJ250" s="339"/>
      <c r="AK250" s="339"/>
      <c r="AL250" s="339"/>
      <c r="AM250" s="339"/>
      <c r="AN250" s="339"/>
      <c r="AO250" s="339"/>
      <c r="AP250" s="339"/>
      <c r="AQ250" s="339"/>
      <c r="AR250" s="339"/>
      <c r="AS250" s="339"/>
      <c r="AT250" s="339"/>
      <c r="AU250" s="339"/>
      <c r="AV250" s="339"/>
      <c r="AW250" s="339"/>
      <c r="AX250" s="339"/>
      <c r="AY250" s="339"/>
      <c r="AZ250" s="339"/>
      <c r="BA250" s="339"/>
      <c r="BB250" s="339"/>
      <c r="BC250" s="339"/>
      <c r="BD250" s="339"/>
    </row>
    <row r="251" spans="3:56">
      <c r="C251" s="339"/>
      <c r="D251" s="339"/>
      <c r="E251" s="339"/>
      <c r="F251" s="339"/>
      <c r="G251" s="339"/>
      <c r="H251" s="339"/>
      <c r="I251" s="339"/>
      <c r="J251" s="339"/>
      <c r="K251" s="339"/>
      <c r="L251" s="339"/>
      <c r="M251" s="339"/>
      <c r="N251" s="339"/>
      <c r="O251" s="339"/>
      <c r="P251" s="339"/>
      <c r="Q251" s="339"/>
      <c r="R251" s="339"/>
      <c r="S251" s="339"/>
      <c r="T251" s="339"/>
      <c r="U251" s="339"/>
      <c r="V251" s="339"/>
      <c r="W251" s="339"/>
      <c r="X251" s="339"/>
      <c r="Y251" s="339"/>
      <c r="Z251" s="339"/>
      <c r="AA251" s="339"/>
      <c r="AB251" s="339"/>
      <c r="AC251" s="339"/>
      <c r="AD251" s="339"/>
      <c r="AE251" s="339"/>
      <c r="AF251" s="339"/>
      <c r="AG251" s="339"/>
      <c r="AH251" s="339"/>
      <c r="AI251" s="339"/>
      <c r="AJ251" s="339"/>
      <c r="AK251" s="339"/>
      <c r="AL251" s="339"/>
      <c r="AM251" s="339"/>
      <c r="AN251" s="339"/>
      <c r="AO251" s="339"/>
      <c r="AP251" s="339"/>
      <c r="AQ251" s="339"/>
      <c r="AR251" s="339"/>
      <c r="AS251" s="339"/>
      <c r="AT251" s="339"/>
      <c r="AU251" s="339"/>
      <c r="AV251" s="339"/>
      <c r="AW251" s="339"/>
      <c r="AX251" s="339"/>
      <c r="AY251" s="339"/>
      <c r="AZ251" s="339"/>
      <c r="BA251" s="339"/>
      <c r="BB251" s="339"/>
      <c r="BC251" s="339"/>
      <c r="BD251" s="339"/>
    </row>
    <row r="252" spans="3:56">
      <c r="C252" s="339"/>
      <c r="D252" s="339"/>
      <c r="E252" s="339"/>
      <c r="F252" s="339"/>
      <c r="G252" s="339"/>
      <c r="H252" s="339"/>
      <c r="I252" s="339"/>
      <c r="J252" s="339"/>
      <c r="K252" s="339"/>
      <c r="L252" s="339"/>
      <c r="M252" s="339"/>
      <c r="N252" s="339"/>
      <c r="O252" s="339"/>
      <c r="P252" s="339"/>
      <c r="Q252" s="339"/>
      <c r="R252" s="339"/>
      <c r="S252" s="339"/>
      <c r="T252" s="339"/>
      <c r="U252" s="339"/>
      <c r="V252" s="339"/>
      <c r="W252" s="339"/>
      <c r="X252" s="339"/>
      <c r="Y252" s="339"/>
      <c r="Z252" s="339"/>
      <c r="AA252" s="339"/>
      <c r="AB252" s="339"/>
      <c r="AC252" s="339"/>
      <c r="AD252" s="339"/>
      <c r="AE252" s="339"/>
      <c r="AF252" s="339"/>
      <c r="AG252" s="339"/>
      <c r="AH252" s="339"/>
      <c r="AI252" s="339"/>
      <c r="AJ252" s="339"/>
      <c r="AK252" s="339"/>
      <c r="AL252" s="339"/>
      <c r="AM252" s="339"/>
      <c r="AN252" s="339"/>
      <c r="AO252" s="339"/>
      <c r="AP252" s="339"/>
      <c r="AQ252" s="339"/>
      <c r="AR252" s="339"/>
      <c r="AS252" s="339"/>
      <c r="AT252" s="339"/>
      <c r="AU252" s="339"/>
      <c r="AV252" s="339"/>
      <c r="AW252" s="339"/>
      <c r="AX252" s="339"/>
      <c r="AY252" s="339"/>
      <c r="AZ252" s="339"/>
      <c r="BA252" s="339"/>
      <c r="BB252" s="339"/>
      <c r="BC252" s="339"/>
      <c r="BD252" s="339"/>
    </row>
    <row r="253" spans="3:56">
      <c r="C253" s="339"/>
      <c r="D253" s="339"/>
      <c r="E253" s="339"/>
      <c r="F253" s="339"/>
      <c r="G253" s="339"/>
      <c r="H253" s="339"/>
      <c r="I253" s="339"/>
      <c r="J253" s="339"/>
      <c r="K253" s="339"/>
      <c r="L253" s="339"/>
      <c r="M253" s="339"/>
      <c r="N253" s="339"/>
      <c r="O253" s="339"/>
      <c r="P253" s="339"/>
      <c r="Q253" s="339"/>
      <c r="R253" s="339"/>
      <c r="S253" s="339"/>
      <c r="T253" s="339"/>
      <c r="U253" s="339"/>
      <c r="V253" s="339"/>
      <c r="W253" s="339"/>
      <c r="X253" s="339"/>
      <c r="Y253" s="339"/>
      <c r="Z253" s="339"/>
      <c r="AA253" s="339"/>
      <c r="AB253" s="339"/>
      <c r="AC253" s="339"/>
      <c r="AD253" s="339"/>
      <c r="AE253" s="339"/>
      <c r="AF253" s="339"/>
      <c r="AG253" s="339"/>
      <c r="AH253" s="339"/>
      <c r="AI253" s="339"/>
      <c r="AJ253" s="339"/>
      <c r="AK253" s="339"/>
      <c r="AL253" s="339"/>
      <c r="AM253" s="339"/>
      <c r="AN253" s="339"/>
      <c r="AO253" s="339"/>
      <c r="AP253" s="339"/>
      <c r="AQ253" s="339"/>
      <c r="AR253" s="339"/>
      <c r="AS253" s="339"/>
      <c r="AT253" s="339"/>
      <c r="AU253" s="339"/>
      <c r="AV253" s="339"/>
      <c r="AW253" s="339"/>
      <c r="AX253" s="339"/>
      <c r="AY253" s="339"/>
      <c r="AZ253" s="339"/>
      <c r="BA253" s="339"/>
      <c r="BB253" s="339"/>
      <c r="BC253" s="339"/>
      <c r="BD253" s="339"/>
    </row>
    <row r="254" spans="3:56">
      <c r="C254" s="339"/>
      <c r="D254" s="339"/>
      <c r="E254" s="339"/>
      <c r="F254" s="339"/>
      <c r="G254" s="339"/>
      <c r="H254" s="339"/>
      <c r="I254" s="339"/>
      <c r="J254" s="339"/>
      <c r="K254" s="339"/>
      <c r="L254" s="339"/>
      <c r="M254" s="339"/>
      <c r="N254" s="339"/>
      <c r="O254" s="339"/>
      <c r="P254" s="339"/>
      <c r="Q254" s="339"/>
      <c r="R254" s="339"/>
      <c r="S254" s="339"/>
      <c r="T254" s="339"/>
      <c r="U254" s="339"/>
      <c r="V254" s="339"/>
      <c r="W254" s="339"/>
      <c r="X254" s="339"/>
      <c r="Y254" s="339"/>
      <c r="Z254" s="339"/>
      <c r="AA254" s="339"/>
      <c r="AB254" s="339"/>
      <c r="AC254" s="339"/>
      <c r="AD254" s="339"/>
      <c r="AE254" s="339"/>
      <c r="AF254" s="339"/>
      <c r="AG254" s="339"/>
      <c r="AH254" s="339"/>
      <c r="AI254" s="339"/>
      <c r="AJ254" s="339"/>
      <c r="AK254" s="339"/>
      <c r="AL254" s="339"/>
      <c r="AM254" s="339"/>
      <c r="AN254" s="339"/>
      <c r="AO254" s="339"/>
      <c r="AP254" s="339"/>
      <c r="AQ254" s="339"/>
      <c r="AR254" s="339"/>
      <c r="AS254" s="339"/>
      <c r="AT254" s="339"/>
      <c r="AU254" s="339"/>
      <c r="AV254" s="339"/>
      <c r="AW254" s="339"/>
      <c r="AX254" s="339"/>
      <c r="AY254" s="339"/>
      <c r="AZ254" s="339"/>
      <c r="BA254" s="339"/>
      <c r="BB254" s="339"/>
      <c r="BC254" s="339"/>
      <c r="BD254" s="339"/>
    </row>
    <row r="255" spans="3:56">
      <c r="C255" s="339"/>
      <c r="D255" s="339"/>
      <c r="E255" s="339"/>
      <c r="F255" s="339"/>
      <c r="G255" s="339"/>
      <c r="H255" s="339"/>
      <c r="I255" s="339"/>
      <c r="J255" s="339"/>
      <c r="K255" s="339"/>
      <c r="L255" s="339"/>
      <c r="M255" s="339"/>
      <c r="N255" s="339"/>
      <c r="O255" s="339"/>
      <c r="P255" s="339"/>
      <c r="Q255" s="339"/>
      <c r="R255" s="339"/>
      <c r="S255" s="339"/>
      <c r="T255" s="339"/>
      <c r="U255" s="339"/>
      <c r="V255" s="339"/>
      <c r="W255" s="339"/>
      <c r="X255" s="339"/>
      <c r="Y255" s="339"/>
      <c r="Z255" s="339"/>
      <c r="AA255" s="339"/>
      <c r="AB255" s="339"/>
      <c r="AC255" s="339"/>
      <c r="AD255" s="339"/>
      <c r="AE255" s="339"/>
      <c r="AF255" s="339"/>
      <c r="AG255" s="339"/>
      <c r="AH255" s="339"/>
      <c r="AI255" s="339"/>
      <c r="AJ255" s="339"/>
      <c r="AK255" s="339"/>
      <c r="AL255" s="339"/>
      <c r="AM255" s="339"/>
      <c r="AN255" s="339"/>
      <c r="AO255" s="339"/>
      <c r="AP255" s="339"/>
      <c r="AQ255" s="339"/>
      <c r="AR255" s="339"/>
      <c r="AS255" s="339"/>
      <c r="AT255" s="339"/>
      <c r="AU255" s="339"/>
      <c r="AV255" s="339"/>
      <c r="AW255" s="339"/>
      <c r="AX255" s="339"/>
      <c r="AY255" s="339"/>
      <c r="AZ255" s="339"/>
      <c r="BA255" s="339"/>
      <c r="BB255" s="339"/>
      <c r="BC255" s="339"/>
      <c r="BD255" s="339"/>
    </row>
    <row r="256" spans="3:56">
      <c r="C256" s="339"/>
      <c r="D256" s="339"/>
      <c r="E256" s="339"/>
      <c r="F256" s="339"/>
      <c r="G256" s="339"/>
      <c r="H256" s="339"/>
      <c r="I256" s="339"/>
      <c r="J256" s="339"/>
      <c r="K256" s="339"/>
      <c r="L256" s="339"/>
      <c r="M256" s="339"/>
      <c r="N256" s="339"/>
      <c r="O256" s="339"/>
      <c r="P256" s="339"/>
      <c r="Q256" s="339"/>
      <c r="R256" s="339"/>
      <c r="S256" s="339"/>
      <c r="T256" s="339"/>
      <c r="U256" s="339"/>
      <c r="V256" s="339"/>
      <c r="W256" s="339"/>
      <c r="X256" s="339"/>
      <c r="Y256" s="339"/>
      <c r="Z256" s="339"/>
      <c r="AA256" s="339"/>
      <c r="AB256" s="339"/>
      <c r="AC256" s="339"/>
      <c r="AD256" s="339"/>
      <c r="AE256" s="339"/>
      <c r="AF256" s="339"/>
      <c r="AG256" s="339"/>
      <c r="AH256" s="339"/>
      <c r="AI256" s="339"/>
      <c r="AJ256" s="339"/>
      <c r="AK256" s="339"/>
      <c r="AL256" s="339"/>
      <c r="AM256" s="339"/>
      <c r="AN256" s="339"/>
      <c r="AO256" s="339"/>
      <c r="AP256" s="339"/>
      <c r="AQ256" s="339"/>
      <c r="AR256" s="339"/>
      <c r="AS256" s="339"/>
      <c r="AT256" s="339"/>
      <c r="AU256" s="339"/>
      <c r="AV256" s="339"/>
      <c r="AW256" s="339"/>
      <c r="AX256" s="339"/>
      <c r="AY256" s="339"/>
      <c r="AZ256" s="339"/>
      <c r="BA256" s="339"/>
      <c r="BB256" s="339"/>
      <c r="BC256" s="339"/>
      <c r="BD256" s="339"/>
    </row>
    <row r="257" spans="3:56">
      <c r="C257" s="339"/>
      <c r="D257" s="339"/>
      <c r="E257" s="339"/>
      <c r="F257" s="339"/>
      <c r="G257" s="339"/>
      <c r="H257" s="339"/>
      <c r="I257" s="339"/>
      <c r="J257" s="339"/>
      <c r="K257" s="339"/>
      <c r="L257" s="339"/>
      <c r="M257" s="339"/>
      <c r="N257" s="339"/>
      <c r="O257" s="339"/>
      <c r="P257" s="339"/>
      <c r="Q257" s="339"/>
      <c r="R257" s="339"/>
      <c r="S257" s="339"/>
      <c r="T257" s="339"/>
      <c r="U257" s="339"/>
      <c r="V257" s="339"/>
      <c r="W257" s="339"/>
      <c r="X257" s="339"/>
      <c r="Y257" s="339"/>
      <c r="Z257" s="339"/>
      <c r="AA257" s="339"/>
      <c r="AB257" s="339"/>
      <c r="AC257" s="339"/>
      <c r="AD257" s="339"/>
      <c r="AE257" s="339"/>
      <c r="AF257" s="339"/>
      <c r="AG257" s="339"/>
      <c r="AH257" s="339"/>
      <c r="AI257" s="339"/>
      <c r="AJ257" s="339"/>
      <c r="AK257" s="339"/>
      <c r="AL257" s="339"/>
      <c r="AM257" s="339"/>
      <c r="AN257" s="339"/>
      <c r="AO257" s="339"/>
      <c r="AP257" s="339"/>
      <c r="AQ257" s="339"/>
      <c r="AR257" s="339"/>
      <c r="AS257" s="339"/>
      <c r="AT257" s="339"/>
      <c r="AU257" s="339"/>
      <c r="AV257" s="339"/>
      <c r="AW257" s="339"/>
      <c r="AX257" s="339"/>
      <c r="AY257" s="339"/>
      <c r="AZ257" s="339"/>
      <c r="BA257" s="339"/>
      <c r="BB257" s="339"/>
      <c r="BC257" s="339"/>
      <c r="BD257" s="339"/>
    </row>
    <row r="258" spans="3:56">
      <c r="C258" s="339"/>
      <c r="D258" s="339"/>
      <c r="E258" s="339"/>
      <c r="F258" s="339"/>
      <c r="G258" s="339"/>
      <c r="H258" s="339"/>
      <c r="I258" s="339"/>
      <c r="J258" s="339"/>
      <c r="K258" s="339"/>
      <c r="L258" s="339"/>
      <c r="M258" s="339"/>
      <c r="N258" s="339"/>
      <c r="O258" s="339"/>
      <c r="P258" s="339"/>
      <c r="Q258" s="339"/>
      <c r="R258" s="339"/>
      <c r="S258" s="339"/>
      <c r="T258" s="339"/>
      <c r="U258" s="339"/>
      <c r="V258" s="339"/>
      <c r="W258" s="339"/>
      <c r="X258" s="339"/>
      <c r="Y258" s="339"/>
      <c r="Z258" s="339"/>
      <c r="AA258" s="339"/>
      <c r="AB258" s="339"/>
      <c r="AC258" s="339"/>
      <c r="AD258" s="339"/>
      <c r="AE258" s="339"/>
      <c r="AF258" s="339"/>
      <c r="AG258" s="339"/>
      <c r="AH258" s="339"/>
      <c r="AI258" s="339"/>
      <c r="AJ258" s="339"/>
      <c r="AK258" s="339"/>
      <c r="AL258" s="339"/>
      <c r="AM258" s="339"/>
      <c r="AN258" s="339"/>
      <c r="AO258" s="339"/>
      <c r="AP258" s="339"/>
      <c r="AQ258" s="339"/>
      <c r="AR258" s="339"/>
      <c r="AS258" s="339"/>
      <c r="AT258" s="339"/>
      <c r="AU258" s="339"/>
      <c r="AV258" s="339"/>
      <c r="AW258" s="339"/>
      <c r="AX258" s="339"/>
      <c r="AY258" s="339"/>
      <c r="AZ258" s="339"/>
      <c r="BA258" s="339"/>
      <c r="BB258" s="339"/>
      <c r="BC258" s="339"/>
      <c r="BD258" s="339"/>
    </row>
    <row r="259" spans="3:56">
      <c r="C259" s="339"/>
      <c r="D259" s="339"/>
      <c r="E259" s="339"/>
      <c r="F259" s="339"/>
      <c r="G259" s="339"/>
      <c r="H259" s="339"/>
      <c r="I259" s="339"/>
      <c r="J259" s="339"/>
      <c r="K259" s="339"/>
      <c r="L259" s="339"/>
      <c r="M259" s="339"/>
      <c r="N259" s="339"/>
      <c r="O259" s="339"/>
      <c r="P259" s="339"/>
      <c r="Q259" s="339"/>
      <c r="R259" s="339"/>
      <c r="S259" s="339"/>
      <c r="T259" s="339"/>
      <c r="U259" s="339"/>
      <c r="V259" s="339"/>
      <c r="W259" s="339"/>
      <c r="X259" s="339"/>
      <c r="Y259" s="339"/>
      <c r="Z259" s="339"/>
      <c r="AA259" s="339"/>
      <c r="AB259" s="339"/>
      <c r="AC259" s="339"/>
      <c r="AD259" s="339"/>
      <c r="AE259" s="339"/>
      <c r="AF259" s="339"/>
      <c r="AG259" s="339"/>
      <c r="AH259" s="339"/>
      <c r="AI259" s="339"/>
      <c r="AJ259" s="339"/>
      <c r="AK259" s="339"/>
      <c r="AL259" s="339"/>
      <c r="AM259" s="339"/>
      <c r="AN259" s="339"/>
      <c r="AO259" s="339"/>
      <c r="AP259" s="339"/>
      <c r="AQ259" s="339"/>
      <c r="AR259" s="339"/>
      <c r="AS259" s="339"/>
      <c r="AT259" s="339"/>
      <c r="AU259" s="339"/>
      <c r="AV259" s="339"/>
      <c r="AW259" s="339"/>
      <c r="AX259" s="339"/>
      <c r="AY259" s="339"/>
      <c r="AZ259" s="339"/>
      <c r="BA259" s="339"/>
      <c r="BB259" s="339"/>
      <c r="BC259" s="339"/>
      <c r="BD259" s="339"/>
    </row>
    <row r="260" spans="3:56">
      <c r="C260" s="339"/>
      <c r="D260" s="339"/>
      <c r="E260" s="339"/>
      <c r="F260" s="339"/>
      <c r="G260" s="339"/>
      <c r="H260" s="339"/>
      <c r="I260" s="339"/>
      <c r="J260" s="339"/>
      <c r="K260" s="339"/>
      <c r="L260" s="339"/>
      <c r="M260" s="339"/>
      <c r="N260" s="339"/>
      <c r="O260" s="339"/>
      <c r="P260" s="339"/>
      <c r="Q260" s="339"/>
      <c r="R260" s="339"/>
      <c r="S260" s="339"/>
      <c r="T260" s="339"/>
      <c r="U260" s="339"/>
      <c r="V260" s="339"/>
      <c r="W260" s="339"/>
      <c r="X260" s="339"/>
      <c r="Y260" s="339"/>
      <c r="Z260" s="339"/>
      <c r="AA260" s="339"/>
      <c r="AB260" s="339"/>
      <c r="AC260" s="339"/>
      <c r="AD260" s="339"/>
      <c r="AE260" s="339"/>
      <c r="AF260" s="339"/>
      <c r="AG260" s="339"/>
      <c r="AH260" s="339"/>
      <c r="AI260" s="339"/>
      <c r="AJ260" s="339"/>
      <c r="AK260" s="339"/>
      <c r="AL260" s="339"/>
      <c r="AM260" s="339"/>
      <c r="AN260" s="339"/>
      <c r="AO260" s="339"/>
      <c r="AP260" s="339"/>
      <c r="AQ260" s="339"/>
      <c r="AR260" s="339"/>
      <c r="AS260" s="339"/>
      <c r="AT260" s="339"/>
      <c r="AU260" s="339"/>
      <c r="AV260" s="339"/>
      <c r="AW260" s="339"/>
      <c r="AX260" s="339"/>
      <c r="AY260" s="339"/>
      <c r="AZ260" s="339"/>
      <c r="BA260" s="339"/>
      <c r="BB260" s="339"/>
      <c r="BC260" s="339"/>
      <c r="BD260" s="339"/>
    </row>
    <row r="261" spans="3:56">
      <c r="C261" s="339"/>
      <c r="D261" s="339"/>
      <c r="E261" s="339"/>
      <c r="F261" s="339"/>
      <c r="G261" s="339"/>
      <c r="H261" s="339"/>
      <c r="I261" s="339"/>
      <c r="J261" s="339"/>
      <c r="K261" s="339"/>
      <c r="L261" s="339"/>
      <c r="M261" s="339"/>
      <c r="N261" s="339"/>
      <c r="O261" s="339"/>
      <c r="P261" s="339"/>
      <c r="Q261" s="339"/>
      <c r="R261" s="339"/>
      <c r="S261" s="339"/>
      <c r="T261" s="339"/>
      <c r="U261" s="339"/>
      <c r="V261" s="339"/>
      <c r="W261" s="339"/>
      <c r="X261" s="339"/>
      <c r="Y261" s="339"/>
      <c r="Z261" s="339"/>
      <c r="AA261" s="339"/>
      <c r="AB261" s="339"/>
      <c r="AC261" s="339"/>
      <c r="AD261" s="339"/>
      <c r="AE261" s="339"/>
      <c r="AF261" s="339"/>
      <c r="AG261" s="339"/>
      <c r="AH261" s="339"/>
      <c r="AI261" s="339"/>
      <c r="AJ261" s="339"/>
      <c r="AK261" s="339"/>
      <c r="AL261" s="339"/>
      <c r="AM261" s="339"/>
      <c r="AN261" s="339"/>
      <c r="AO261" s="339"/>
      <c r="AP261" s="339"/>
      <c r="AQ261" s="339"/>
      <c r="AR261" s="339"/>
      <c r="AS261" s="339"/>
      <c r="AT261" s="339"/>
      <c r="AU261" s="339"/>
      <c r="AV261" s="339"/>
      <c r="AW261" s="339"/>
      <c r="AX261" s="339"/>
      <c r="AY261" s="339"/>
      <c r="AZ261" s="339"/>
      <c r="BA261" s="339"/>
      <c r="BB261" s="339"/>
      <c r="BC261" s="339"/>
      <c r="BD261" s="339"/>
    </row>
    <row r="262" spans="3:56">
      <c r="C262" s="339"/>
      <c r="D262" s="339"/>
      <c r="E262" s="339"/>
      <c r="F262" s="339"/>
      <c r="G262" s="339"/>
      <c r="H262" s="339"/>
      <c r="I262" s="339"/>
      <c r="J262" s="339"/>
      <c r="K262" s="339"/>
      <c r="L262" s="339"/>
      <c r="M262" s="339"/>
      <c r="N262" s="339"/>
      <c r="O262" s="339"/>
      <c r="P262" s="339"/>
      <c r="Q262" s="339"/>
      <c r="R262" s="339"/>
      <c r="S262" s="339"/>
      <c r="T262" s="339"/>
      <c r="U262" s="339"/>
      <c r="V262" s="339"/>
      <c r="W262" s="339"/>
      <c r="X262" s="339"/>
      <c r="Y262" s="339"/>
      <c r="Z262" s="339"/>
      <c r="AA262" s="339"/>
      <c r="AB262" s="339"/>
      <c r="AC262" s="339"/>
      <c r="AD262" s="339"/>
      <c r="AE262" s="339"/>
      <c r="AF262" s="339"/>
      <c r="AG262" s="339"/>
      <c r="AH262" s="339"/>
      <c r="AI262" s="339"/>
      <c r="AJ262" s="339"/>
      <c r="AK262" s="339"/>
      <c r="AL262" s="339"/>
      <c r="AM262" s="339"/>
      <c r="AN262" s="339"/>
      <c r="AO262" s="339"/>
      <c r="AP262" s="339"/>
      <c r="AQ262" s="339"/>
      <c r="AR262" s="339"/>
      <c r="AS262" s="339"/>
      <c r="AT262" s="339"/>
      <c r="AU262" s="339"/>
      <c r="AV262" s="339"/>
      <c r="AW262" s="339"/>
      <c r="AX262" s="339"/>
      <c r="AY262" s="339"/>
      <c r="AZ262" s="339"/>
      <c r="BA262" s="339"/>
      <c r="BB262" s="339"/>
      <c r="BC262" s="339"/>
      <c r="BD262" s="339"/>
    </row>
    <row r="263" spans="3:56">
      <c r="C263" s="339"/>
      <c r="D263" s="339"/>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339"/>
      <c r="AF263" s="339"/>
      <c r="AG263" s="339"/>
      <c r="AH263" s="339"/>
      <c r="AI263" s="339"/>
      <c r="AJ263" s="339"/>
      <c r="AK263" s="339"/>
      <c r="AL263" s="339"/>
      <c r="AM263" s="339"/>
      <c r="AN263" s="339"/>
      <c r="AO263" s="339"/>
      <c r="AP263" s="339"/>
      <c r="AQ263" s="339"/>
      <c r="AR263" s="339"/>
      <c r="AS263" s="339"/>
      <c r="AT263" s="339"/>
      <c r="AU263" s="339"/>
      <c r="AV263" s="339"/>
      <c r="AW263" s="339"/>
      <c r="AX263" s="339"/>
      <c r="AY263" s="339"/>
      <c r="AZ263" s="339"/>
      <c r="BA263" s="339"/>
      <c r="BB263" s="339"/>
      <c r="BC263" s="339"/>
      <c r="BD263" s="339"/>
    </row>
    <row r="264" spans="3:56">
      <c r="C264" s="339"/>
      <c r="D264" s="339"/>
      <c r="E264" s="339"/>
      <c r="F264" s="339"/>
      <c r="G264" s="339"/>
      <c r="H264" s="339"/>
      <c r="I264" s="339"/>
      <c r="J264" s="339"/>
      <c r="K264" s="339"/>
      <c r="L264" s="339"/>
      <c r="M264" s="339"/>
      <c r="N264" s="339"/>
      <c r="O264" s="339"/>
      <c r="P264" s="339"/>
      <c r="Q264" s="339"/>
      <c r="R264" s="339"/>
      <c r="S264" s="339"/>
      <c r="T264" s="339"/>
      <c r="U264" s="339"/>
      <c r="V264" s="339"/>
      <c r="W264" s="339"/>
      <c r="X264" s="339"/>
      <c r="Y264" s="339"/>
      <c r="Z264" s="339"/>
      <c r="AA264" s="339"/>
      <c r="AB264" s="339"/>
      <c r="AC264" s="339"/>
      <c r="AD264" s="339"/>
      <c r="AE264" s="339"/>
      <c r="AF264" s="339"/>
      <c r="AG264" s="339"/>
      <c r="AH264" s="339"/>
      <c r="AI264" s="339"/>
      <c r="AJ264" s="339"/>
      <c r="AK264" s="339"/>
      <c r="AL264" s="339"/>
      <c r="AM264" s="339"/>
      <c r="AN264" s="339"/>
      <c r="AO264" s="339"/>
      <c r="AP264" s="339"/>
      <c r="AQ264" s="339"/>
      <c r="AR264" s="339"/>
      <c r="AS264" s="339"/>
      <c r="AT264" s="339"/>
      <c r="AU264" s="339"/>
      <c r="AV264" s="339"/>
      <c r="AW264" s="339"/>
      <c r="AX264" s="339"/>
      <c r="AY264" s="339"/>
      <c r="AZ264" s="339"/>
      <c r="BA264" s="339"/>
      <c r="BB264" s="339"/>
      <c r="BC264" s="339"/>
      <c r="BD264" s="339"/>
    </row>
    <row r="265" spans="3:56">
      <c r="C265" s="339"/>
      <c r="D265" s="339"/>
      <c r="E265" s="339"/>
      <c r="F265" s="339"/>
      <c r="G265" s="339"/>
      <c r="H265" s="339"/>
      <c r="I265" s="339"/>
      <c r="J265" s="339"/>
      <c r="K265" s="339"/>
      <c r="L265" s="339"/>
      <c r="M265" s="339"/>
      <c r="N265" s="339"/>
      <c r="O265" s="339"/>
      <c r="P265" s="339"/>
      <c r="Q265" s="339"/>
      <c r="R265" s="339"/>
      <c r="S265" s="339"/>
      <c r="T265" s="339"/>
      <c r="U265" s="339"/>
      <c r="V265" s="339"/>
      <c r="W265" s="339"/>
      <c r="X265" s="339"/>
      <c r="Y265" s="339"/>
      <c r="Z265" s="339"/>
      <c r="AA265" s="339"/>
      <c r="AB265" s="339"/>
      <c r="AC265" s="339"/>
      <c r="AD265" s="339"/>
      <c r="AE265" s="339"/>
      <c r="AF265" s="339"/>
      <c r="AG265" s="339"/>
      <c r="AH265" s="339"/>
      <c r="AI265" s="339"/>
      <c r="AJ265" s="339"/>
      <c r="AK265" s="339"/>
      <c r="AL265" s="339"/>
      <c r="AM265" s="339"/>
      <c r="AN265" s="339"/>
      <c r="AO265" s="339"/>
      <c r="AP265" s="339"/>
      <c r="AQ265" s="339"/>
      <c r="AR265" s="339"/>
      <c r="AS265" s="339"/>
      <c r="AT265" s="339"/>
      <c r="AU265" s="339"/>
      <c r="AV265" s="339"/>
      <c r="AW265" s="339"/>
      <c r="AX265" s="339"/>
      <c r="AY265" s="339"/>
      <c r="AZ265" s="339"/>
      <c r="BA265" s="339"/>
      <c r="BB265" s="339"/>
      <c r="BC265" s="339"/>
      <c r="BD265" s="339"/>
    </row>
    <row r="266" spans="3:56">
      <c r="C266" s="339"/>
      <c r="D266" s="339"/>
      <c r="E266" s="339"/>
      <c r="F266" s="339"/>
      <c r="G266" s="339"/>
      <c r="H266" s="339"/>
      <c r="I266" s="339"/>
      <c r="J266" s="339"/>
      <c r="K266" s="339"/>
      <c r="L266" s="339"/>
      <c r="M266" s="339"/>
      <c r="N266" s="339"/>
      <c r="O266" s="339"/>
      <c r="P266" s="339"/>
      <c r="Q266" s="339"/>
      <c r="R266" s="339"/>
      <c r="S266" s="339"/>
      <c r="T266" s="339"/>
      <c r="U266" s="339"/>
      <c r="V266" s="339"/>
      <c r="W266" s="339"/>
      <c r="X266" s="339"/>
      <c r="Y266" s="339"/>
      <c r="Z266" s="339"/>
      <c r="AA266" s="339"/>
      <c r="AB266" s="339"/>
      <c r="AC266" s="339"/>
      <c r="AD266" s="339"/>
      <c r="AE266" s="339"/>
      <c r="AF266" s="339"/>
      <c r="AG266" s="339"/>
      <c r="AH266" s="339"/>
      <c r="AI266" s="339"/>
      <c r="AJ266" s="339"/>
      <c r="AK266" s="339"/>
      <c r="AL266" s="339"/>
      <c r="AM266" s="339"/>
      <c r="AN266" s="339"/>
      <c r="AO266" s="339"/>
      <c r="AP266" s="339"/>
      <c r="AQ266" s="339"/>
      <c r="AR266" s="339"/>
      <c r="AS266" s="339"/>
      <c r="AT266" s="339"/>
      <c r="AU266" s="339"/>
      <c r="AV266" s="339"/>
      <c r="AW266" s="339"/>
      <c r="AX266" s="339"/>
      <c r="AY266" s="339"/>
      <c r="AZ266" s="339"/>
      <c r="BA266" s="339"/>
      <c r="BB266" s="339"/>
      <c r="BC266" s="339"/>
      <c r="BD266" s="339"/>
    </row>
    <row r="267" spans="3:56">
      <c r="C267" s="339"/>
      <c r="D267" s="339"/>
      <c r="E267" s="339"/>
      <c r="F267" s="339"/>
      <c r="G267" s="339"/>
      <c r="H267" s="339"/>
      <c r="I267" s="339"/>
      <c r="J267" s="339"/>
      <c r="K267" s="339"/>
      <c r="L267" s="339"/>
      <c r="M267" s="339"/>
      <c r="N267" s="339"/>
      <c r="O267" s="339"/>
      <c r="P267" s="339"/>
      <c r="Q267" s="339"/>
      <c r="R267" s="339"/>
      <c r="S267" s="339"/>
      <c r="T267" s="339"/>
      <c r="U267" s="339"/>
      <c r="V267" s="339"/>
      <c r="W267" s="339"/>
      <c r="X267" s="339"/>
      <c r="Y267" s="339"/>
      <c r="Z267" s="339"/>
      <c r="AA267" s="339"/>
      <c r="AB267" s="339"/>
      <c r="AC267" s="339"/>
      <c r="AD267" s="339"/>
      <c r="AE267" s="339"/>
      <c r="AF267" s="339"/>
      <c r="AG267" s="339"/>
      <c r="AH267" s="339"/>
      <c r="AI267" s="339"/>
      <c r="AJ267" s="339"/>
      <c r="AK267" s="339"/>
      <c r="AL267" s="339"/>
      <c r="AM267" s="339"/>
      <c r="AN267" s="339"/>
      <c r="AO267" s="339"/>
      <c r="AP267" s="339"/>
      <c r="AQ267" s="339"/>
      <c r="AR267" s="339"/>
      <c r="AS267" s="339"/>
      <c r="AT267" s="339"/>
      <c r="AU267" s="339"/>
      <c r="AV267" s="339"/>
      <c r="AW267" s="339"/>
      <c r="AX267" s="339"/>
      <c r="AY267" s="339"/>
      <c r="AZ267" s="339"/>
      <c r="BA267" s="339"/>
      <c r="BB267" s="339"/>
      <c r="BC267" s="339"/>
      <c r="BD267" s="339"/>
    </row>
    <row r="268" spans="3:56">
      <c r="C268" s="339"/>
      <c r="D268" s="339"/>
      <c r="E268" s="339"/>
      <c r="F268" s="339"/>
      <c r="G268" s="339"/>
      <c r="H268" s="339"/>
      <c r="I268" s="339"/>
      <c r="J268" s="339"/>
      <c r="K268" s="339"/>
      <c r="L268" s="339"/>
      <c r="M268" s="339"/>
      <c r="N268" s="339"/>
      <c r="O268" s="339"/>
      <c r="P268" s="339"/>
      <c r="Q268" s="339"/>
      <c r="R268" s="339"/>
      <c r="S268" s="339"/>
      <c r="T268" s="339"/>
      <c r="U268" s="339"/>
      <c r="V268" s="339"/>
      <c r="W268" s="339"/>
      <c r="X268" s="339"/>
      <c r="Y268" s="339"/>
      <c r="Z268" s="339"/>
      <c r="AA268" s="339"/>
      <c r="AB268" s="339"/>
      <c r="AC268" s="339"/>
      <c r="AD268" s="339"/>
      <c r="AE268" s="339"/>
      <c r="AF268" s="339"/>
      <c r="AG268" s="339"/>
      <c r="AH268" s="339"/>
      <c r="AI268" s="339"/>
      <c r="AJ268" s="339"/>
      <c r="AK268" s="339"/>
      <c r="AL268" s="339"/>
      <c r="AM268" s="339"/>
      <c r="AN268" s="339"/>
      <c r="AO268" s="339"/>
      <c r="AP268" s="339"/>
      <c r="AQ268" s="339"/>
      <c r="AR268" s="339"/>
      <c r="AS268" s="339"/>
      <c r="AT268" s="339"/>
      <c r="AU268" s="339"/>
      <c r="AV268" s="339"/>
      <c r="AW268" s="339"/>
      <c r="AX268" s="339"/>
      <c r="AY268" s="339"/>
      <c r="AZ268" s="339"/>
      <c r="BA268" s="339"/>
      <c r="BB268" s="339"/>
      <c r="BC268" s="339"/>
      <c r="BD268" s="339"/>
    </row>
    <row r="269" spans="3:56">
      <c r="C269" s="339"/>
      <c r="D269" s="339"/>
      <c r="E269" s="339"/>
      <c r="F269" s="339"/>
      <c r="G269" s="339"/>
      <c r="H269" s="339"/>
      <c r="I269" s="339"/>
      <c r="J269" s="339"/>
      <c r="K269" s="339"/>
      <c r="L269" s="339"/>
      <c r="M269" s="339"/>
      <c r="N269" s="339"/>
      <c r="O269" s="339"/>
      <c r="P269" s="339"/>
      <c r="Q269" s="339"/>
      <c r="R269" s="339"/>
      <c r="S269" s="339"/>
      <c r="T269" s="339"/>
      <c r="U269" s="339"/>
      <c r="V269" s="339"/>
      <c r="W269" s="339"/>
      <c r="X269" s="339"/>
      <c r="Y269" s="339"/>
      <c r="Z269" s="339"/>
      <c r="AA269" s="339"/>
      <c r="AB269" s="339"/>
      <c r="AC269" s="339"/>
      <c r="AD269" s="339"/>
      <c r="AE269" s="339"/>
      <c r="AF269" s="339"/>
      <c r="AG269" s="339"/>
      <c r="AH269" s="339"/>
      <c r="AI269" s="339"/>
      <c r="AJ269" s="339"/>
      <c r="AK269" s="339"/>
      <c r="AL269" s="339"/>
      <c r="AM269" s="339"/>
      <c r="AN269" s="339"/>
      <c r="AO269" s="339"/>
      <c r="AP269" s="339"/>
      <c r="AQ269" s="339"/>
      <c r="AR269" s="339"/>
      <c r="AS269" s="339"/>
      <c r="AT269" s="339"/>
      <c r="AU269" s="339"/>
      <c r="AV269" s="339"/>
      <c r="AW269" s="339"/>
      <c r="AX269" s="339"/>
      <c r="AY269" s="339"/>
      <c r="AZ269" s="339"/>
      <c r="BA269" s="339"/>
      <c r="BB269" s="339"/>
      <c r="BC269" s="339"/>
      <c r="BD269" s="339"/>
    </row>
    <row r="270" spans="3:56">
      <c r="C270" s="339"/>
      <c r="D270" s="339"/>
      <c r="E270" s="339"/>
      <c r="F270" s="339"/>
      <c r="G270" s="339"/>
      <c r="H270" s="339"/>
      <c r="I270" s="339"/>
      <c r="J270" s="339"/>
      <c r="K270" s="339"/>
      <c r="L270" s="339"/>
      <c r="M270" s="339"/>
      <c r="N270" s="339"/>
      <c r="O270" s="339"/>
      <c r="P270" s="339"/>
      <c r="Q270" s="339"/>
      <c r="R270" s="339"/>
      <c r="S270" s="339"/>
      <c r="T270" s="339"/>
      <c r="U270" s="339"/>
      <c r="V270" s="339"/>
      <c r="W270" s="339"/>
      <c r="X270" s="339"/>
      <c r="Y270" s="339"/>
      <c r="Z270" s="339"/>
      <c r="AA270" s="339"/>
      <c r="AB270" s="339"/>
      <c r="AC270" s="339"/>
      <c r="AD270" s="339"/>
      <c r="AE270" s="339"/>
      <c r="AF270" s="339"/>
      <c r="AG270" s="339"/>
      <c r="AH270" s="339"/>
      <c r="AI270" s="339"/>
      <c r="AJ270" s="339"/>
      <c r="AK270" s="339"/>
      <c r="AL270" s="339"/>
      <c r="AM270" s="339"/>
      <c r="AN270" s="339"/>
      <c r="AO270" s="339"/>
      <c r="AP270" s="339"/>
      <c r="AQ270" s="339"/>
      <c r="AR270" s="339"/>
      <c r="AS270" s="339"/>
      <c r="AT270" s="339"/>
      <c r="AU270" s="339"/>
      <c r="AV270" s="339"/>
      <c r="AW270" s="339"/>
      <c r="AX270" s="339"/>
      <c r="AY270" s="339"/>
      <c r="AZ270" s="339"/>
      <c r="BA270" s="339"/>
      <c r="BB270" s="339"/>
      <c r="BC270" s="339"/>
      <c r="BD270" s="339"/>
    </row>
    <row r="271" spans="3:56">
      <c r="C271" s="339"/>
      <c r="D271" s="339"/>
      <c r="E271" s="339"/>
      <c r="F271" s="339"/>
      <c r="G271" s="339"/>
      <c r="H271" s="339"/>
      <c r="I271" s="339"/>
      <c r="J271" s="339"/>
      <c r="K271" s="339"/>
      <c r="L271" s="339"/>
      <c r="M271" s="339"/>
      <c r="N271" s="339"/>
      <c r="O271" s="339"/>
      <c r="P271" s="339"/>
      <c r="Q271" s="339"/>
      <c r="R271" s="339"/>
      <c r="S271" s="339"/>
      <c r="T271" s="339"/>
      <c r="U271" s="339"/>
      <c r="V271" s="339"/>
      <c r="W271" s="339"/>
      <c r="X271" s="339"/>
      <c r="Y271" s="339"/>
      <c r="Z271" s="339"/>
      <c r="AA271" s="339"/>
      <c r="AB271" s="339"/>
      <c r="AC271" s="339"/>
      <c r="AD271" s="339"/>
      <c r="AE271" s="339"/>
      <c r="AF271" s="339"/>
      <c r="AG271" s="339"/>
      <c r="AH271" s="339"/>
      <c r="AI271" s="339"/>
      <c r="AJ271" s="339"/>
      <c r="AK271" s="339"/>
      <c r="AL271" s="339"/>
      <c r="AM271" s="339"/>
      <c r="AN271" s="339"/>
      <c r="AO271" s="339"/>
      <c r="AP271" s="339"/>
      <c r="AQ271" s="339"/>
      <c r="AR271" s="339"/>
      <c r="AS271" s="339"/>
      <c r="AT271" s="339"/>
      <c r="AU271" s="339"/>
      <c r="AV271" s="339"/>
      <c r="AW271" s="339"/>
      <c r="AX271" s="339"/>
      <c r="AY271" s="339"/>
      <c r="AZ271" s="339"/>
      <c r="BA271" s="339"/>
      <c r="BB271" s="339"/>
      <c r="BC271" s="339"/>
      <c r="BD271" s="339"/>
    </row>
    <row r="272" spans="3:56">
      <c r="C272" s="339"/>
      <c r="D272" s="339"/>
      <c r="E272" s="339"/>
      <c r="F272" s="339"/>
      <c r="G272" s="339"/>
      <c r="H272" s="339"/>
      <c r="I272" s="339"/>
      <c r="J272" s="339"/>
      <c r="K272" s="339"/>
      <c r="L272" s="339"/>
      <c r="M272" s="339"/>
      <c r="N272" s="339"/>
      <c r="O272" s="339"/>
      <c r="P272" s="339"/>
      <c r="Q272" s="339"/>
      <c r="R272" s="339"/>
      <c r="S272" s="339"/>
      <c r="T272" s="339"/>
      <c r="U272" s="339"/>
      <c r="V272" s="339"/>
      <c r="W272" s="339"/>
      <c r="X272" s="339"/>
      <c r="Y272" s="339"/>
      <c r="Z272" s="339"/>
      <c r="AA272" s="339"/>
      <c r="AB272" s="339"/>
      <c r="AC272" s="339"/>
      <c r="AD272" s="339"/>
      <c r="AE272" s="339"/>
      <c r="AF272" s="339"/>
      <c r="AG272" s="339"/>
      <c r="AH272" s="339"/>
      <c r="AI272" s="339"/>
      <c r="AJ272" s="339"/>
      <c r="AK272" s="339"/>
      <c r="AL272" s="339"/>
      <c r="AM272" s="339"/>
      <c r="AN272" s="339"/>
      <c r="AO272" s="339"/>
      <c r="AP272" s="339"/>
      <c r="AQ272" s="339"/>
      <c r="AR272" s="339"/>
      <c r="AS272" s="339"/>
      <c r="AT272" s="339"/>
      <c r="AU272" s="339"/>
      <c r="AV272" s="339"/>
      <c r="AW272" s="339"/>
      <c r="AX272" s="339"/>
      <c r="AY272" s="339"/>
      <c r="AZ272" s="339"/>
      <c r="BA272" s="339"/>
      <c r="BB272" s="339"/>
      <c r="BC272" s="339"/>
      <c r="BD272" s="339"/>
    </row>
    <row r="273" spans="3:56">
      <c r="C273" s="339"/>
      <c r="D273" s="339"/>
      <c r="E273" s="339"/>
      <c r="F273" s="339"/>
      <c r="G273" s="339"/>
      <c r="H273" s="339"/>
      <c r="I273" s="339"/>
      <c r="J273" s="339"/>
      <c r="K273" s="339"/>
      <c r="L273" s="339"/>
      <c r="M273" s="339"/>
      <c r="N273" s="339"/>
      <c r="O273" s="339"/>
      <c r="P273" s="339"/>
      <c r="Q273" s="339"/>
      <c r="R273" s="339"/>
      <c r="S273" s="339"/>
      <c r="T273" s="339"/>
      <c r="U273" s="339"/>
      <c r="V273" s="339"/>
      <c r="W273" s="339"/>
      <c r="X273" s="339"/>
      <c r="Y273" s="339"/>
      <c r="Z273" s="339"/>
      <c r="AA273" s="339"/>
      <c r="AB273" s="339"/>
      <c r="AC273" s="339"/>
      <c r="AD273" s="339"/>
      <c r="AE273" s="339"/>
      <c r="AF273" s="339"/>
      <c r="AG273" s="339"/>
      <c r="AH273" s="339"/>
      <c r="AI273" s="339"/>
      <c r="AJ273" s="339"/>
      <c r="AK273" s="339"/>
      <c r="AL273" s="339"/>
      <c r="AM273" s="339"/>
      <c r="AN273" s="339"/>
      <c r="AO273" s="339"/>
      <c r="AP273" s="339"/>
      <c r="AQ273" s="339"/>
      <c r="AR273" s="339"/>
      <c r="AS273" s="339"/>
      <c r="AT273" s="339"/>
      <c r="AU273" s="339"/>
      <c r="AV273" s="339"/>
      <c r="AW273" s="339"/>
      <c r="AX273" s="339"/>
      <c r="AY273" s="339"/>
      <c r="AZ273" s="339"/>
      <c r="BA273" s="339"/>
      <c r="BB273" s="339"/>
      <c r="BC273" s="339"/>
      <c r="BD273" s="339"/>
    </row>
    <row r="274" spans="3:56">
      <c r="C274" s="339"/>
      <c r="D274" s="339"/>
      <c r="E274" s="339"/>
      <c r="F274" s="339"/>
      <c r="G274" s="339"/>
      <c r="H274" s="339"/>
      <c r="I274" s="339"/>
      <c r="J274" s="339"/>
      <c r="K274" s="339"/>
      <c r="L274" s="339"/>
      <c r="M274" s="339"/>
      <c r="N274" s="339"/>
      <c r="O274" s="339"/>
      <c r="P274" s="339"/>
      <c r="Q274" s="339"/>
      <c r="R274" s="339"/>
      <c r="S274" s="339"/>
      <c r="T274" s="339"/>
      <c r="U274" s="339"/>
      <c r="V274" s="339"/>
      <c r="W274" s="339"/>
      <c r="X274" s="339"/>
      <c r="Y274" s="339"/>
      <c r="Z274" s="339"/>
      <c r="AA274" s="339"/>
      <c r="AB274" s="339"/>
      <c r="AC274" s="339"/>
      <c r="AD274" s="339"/>
      <c r="AE274" s="339"/>
      <c r="AF274" s="339"/>
      <c r="AG274" s="339"/>
      <c r="AH274" s="339"/>
      <c r="AI274" s="339"/>
      <c r="AJ274" s="339"/>
      <c r="AK274" s="339"/>
      <c r="AL274" s="339"/>
      <c r="AM274" s="339"/>
      <c r="AN274" s="339"/>
      <c r="AO274" s="339"/>
      <c r="AP274" s="339"/>
      <c r="AQ274" s="339"/>
      <c r="AR274" s="339"/>
      <c r="AS274" s="339"/>
      <c r="AT274" s="339"/>
      <c r="AU274" s="339"/>
      <c r="AV274" s="339"/>
      <c r="AW274" s="339"/>
      <c r="AX274" s="339"/>
      <c r="AY274" s="339"/>
      <c r="AZ274" s="339"/>
      <c r="BA274" s="339"/>
      <c r="BB274" s="339"/>
      <c r="BC274" s="339"/>
      <c r="BD274" s="339"/>
    </row>
    <row r="275" spans="3:56">
      <c r="C275" s="339"/>
      <c r="D275" s="339"/>
      <c r="E275" s="339"/>
      <c r="F275" s="339"/>
      <c r="G275" s="339"/>
      <c r="H275" s="339"/>
      <c r="I275" s="339"/>
      <c r="J275" s="339"/>
      <c r="K275" s="339"/>
      <c r="L275" s="339"/>
      <c r="M275" s="339"/>
      <c r="N275" s="339"/>
      <c r="O275" s="339"/>
      <c r="P275" s="339"/>
      <c r="Q275" s="339"/>
      <c r="R275" s="339"/>
      <c r="S275" s="339"/>
      <c r="T275" s="339"/>
      <c r="U275" s="339"/>
      <c r="V275" s="339"/>
      <c r="W275" s="339"/>
      <c r="X275" s="339"/>
      <c r="Y275" s="339"/>
      <c r="Z275" s="339"/>
      <c r="AA275" s="339"/>
      <c r="AB275" s="339"/>
      <c r="AC275" s="339"/>
      <c r="AD275" s="339"/>
      <c r="AE275" s="339"/>
      <c r="AF275" s="339"/>
      <c r="AG275" s="339"/>
      <c r="AH275" s="339"/>
      <c r="AI275" s="339"/>
      <c r="AJ275" s="339"/>
      <c r="AK275" s="339"/>
      <c r="AL275" s="339"/>
      <c r="AM275" s="339"/>
      <c r="AN275" s="339"/>
      <c r="AO275" s="339"/>
      <c r="AP275" s="339"/>
      <c r="AQ275" s="339"/>
      <c r="AR275" s="339"/>
      <c r="AS275" s="339"/>
      <c r="AT275" s="339"/>
      <c r="AU275" s="339"/>
      <c r="AV275" s="339"/>
      <c r="AW275" s="339"/>
      <c r="AX275" s="339"/>
      <c r="AY275" s="339"/>
      <c r="AZ275" s="339"/>
      <c r="BA275" s="339"/>
      <c r="BB275" s="339"/>
      <c r="BC275" s="339"/>
      <c r="BD275" s="339"/>
    </row>
    <row r="276" spans="3:56">
      <c r="C276" s="339"/>
      <c r="D276" s="339"/>
      <c r="E276" s="339"/>
      <c r="F276" s="339"/>
      <c r="G276" s="339"/>
      <c r="H276" s="339"/>
      <c r="I276" s="339"/>
      <c r="J276" s="339"/>
      <c r="K276" s="339"/>
      <c r="L276" s="339"/>
      <c r="M276" s="339"/>
      <c r="N276" s="339"/>
      <c r="O276" s="339"/>
      <c r="P276" s="339"/>
      <c r="Q276" s="339"/>
      <c r="R276" s="339"/>
      <c r="S276" s="339"/>
      <c r="T276" s="339"/>
      <c r="U276" s="339"/>
      <c r="V276" s="339"/>
      <c r="W276" s="339"/>
      <c r="X276" s="339"/>
      <c r="Y276" s="339"/>
      <c r="Z276" s="339"/>
      <c r="AA276" s="339"/>
      <c r="AB276" s="339"/>
      <c r="AC276" s="339"/>
      <c r="AD276" s="339"/>
      <c r="AE276" s="339"/>
      <c r="AF276" s="339"/>
      <c r="AG276" s="339"/>
      <c r="AH276" s="339"/>
      <c r="AI276" s="339"/>
      <c r="AJ276" s="339"/>
      <c r="AK276" s="339"/>
      <c r="AL276" s="339"/>
      <c r="AM276" s="339"/>
      <c r="AN276" s="339"/>
      <c r="AO276" s="339"/>
      <c r="AP276" s="339"/>
      <c r="AQ276" s="339"/>
      <c r="AR276" s="339"/>
      <c r="AS276" s="339"/>
      <c r="AT276" s="339"/>
      <c r="AU276" s="339"/>
      <c r="AV276" s="339"/>
      <c r="AW276" s="339"/>
      <c r="AX276" s="339"/>
      <c r="AY276" s="339"/>
      <c r="AZ276" s="339"/>
      <c r="BA276" s="339"/>
      <c r="BB276" s="339"/>
      <c r="BC276" s="339"/>
      <c r="BD276" s="339"/>
    </row>
    <row r="277" spans="3:56">
      <c r="C277" s="339"/>
      <c r="D277" s="339"/>
      <c r="E277" s="339"/>
      <c r="F277" s="339"/>
      <c r="G277" s="339"/>
      <c r="H277" s="339"/>
      <c r="I277" s="339"/>
      <c r="J277" s="339"/>
      <c r="K277" s="339"/>
      <c r="L277" s="339"/>
      <c r="M277" s="339"/>
      <c r="N277" s="339"/>
      <c r="O277" s="339"/>
      <c r="P277" s="339"/>
      <c r="Q277" s="339"/>
      <c r="R277" s="339"/>
      <c r="S277" s="339"/>
      <c r="T277" s="339"/>
      <c r="U277" s="339"/>
      <c r="V277" s="339"/>
      <c r="W277" s="339"/>
      <c r="X277" s="339"/>
      <c r="Y277" s="339"/>
      <c r="Z277" s="339"/>
      <c r="AA277" s="339"/>
      <c r="AB277" s="339"/>
      <c r="AC277" s="339"/>
      <c r="AD277" s="339"/>
      <c r="AE277" s="339"/>
      <c r="AF277" s="339"/>
      <c r="AG277" s="339"/>
      <c r="AH277" s="339"/>
      <c r="AI277" s="339"/>
      <c r="AJ277" s="339"/>
      <c r="AK277" s="339"/>
      <c r="AL277" s="339"/>
      <c r="AM277" s="339"/>
      <c r="AN277" s="339"/>
      <c r="AO277" s="339"/>
      <c r="AP277" s="339"/>
      <c r="AQ277" s="339"/>
      <c r="AR277" s="339"/>
      <c r="AS277" s="339"/>
      <c r="AT277" s="339"/>
      <c r="AU277" s="339"/>
      <c r="AV277" s="339"/>
      <c r="AW277" s="339"/>
      <c r="AX277" s="339"/>
      <c r="AY277" s="339"/>
      <c r="AZ277" s="339"/>
      <c r="BA277" s="339"/>
      <c r="BB277" s="339"/>
      <c r="BC277" s="339"/>
      <c r="BD277" s="339"/>
    </row>
    <row r="278" spans="3:56">
      <c r="C278" s="339"/>
      <c r="D278" s="339"/>
      <c r="E278" s="339"/>
      <c r="F278" s="339"/>
      <c r="G278" s="339"/>
      <c r="H278" s="339"/>
      <c r="I278" s="339"/>
      <c r="J278" s="339"/>
      <c r="K278" s="339"/>
      <c r="L278" s="339"/>
      <c r="M278" s="339"/>
      <c r="N278" s="339"/>
      <c r="O278" s="339"/>
      <c r="P278" s="339"/>
      <c r="Q278" s="339"/>
      <c r="R278" s="339"/>
      <c r="S278" s="339"/>
      <c r="T278" s="339"/>
      <c r="U278" s="339"/>
      <c r="V278" s="339"/>
      <c r="W278" s="339"/>
      <c r="X278" s="339"/>
      <c r="Y278" s="339"/>
      <c r="Z278" s="339"/>
      <c r="AA278" s="339"/>
      <c r="AB278" s="339"/>
      <c r="AC278" s="339"/>
      <c r="AD278" s="339"/>
      <c r="AE278" s="339"/>
      <c r="AF278" s="339"/>
      <c r="AG278" s="339"/>
      <c r="AH278" s="339"/>
      <c r="AI278" s="339"/>
      <c r="AJ278" s="339"/>
      <c r="AK278" s="339"/>
      <c r="AL278" s="339"/>
      <c r="AM278" s="339"/>
      <c r="AN278" s="339"/>
      <c r="AO278" s="339"/>
      <c r="AP278" s="339"/>
      <c r="AQ278" s="339"/>
      <c r="AR278" s="339"/>
      <c r="AS278" s="339"/>
      <c r="AT278" s="339"/>
      <c r="AU278" s="339"/>
      <c r="AV278" s="339"/>
      <c r="AW278" s="339"/>
      <c r="AX278" s="339"/>
      <c r="AY278" s="339"/>
      <c r="AZ278" s="339"/>
      <c r="BA278" s="339"/>
      <c r="BB278" s="339"/>
      <c r="BC278" s="339"/>
      <c r="BD278" s="339"/>
    </row>
    <row r="279" spans="3:56">
      <c r="C279" s="339"/>
      <c r="D279" s="339"/>
      <c r="E279" s="339"/>
      <c r="F279" s="339"/>
      <c r="G279" s="339"/>
      <c r="H279" s="339"/>
      <c r="I279" s="339"/>
      <c r="J279" s="339"/>
      <c r="K279" s="339"/>
      <c r="L279" s="339"/>
      <c r="M279" s="339"/>
      <c r="N279" s="339"/>
      <c r="O279" s="339"/>
      <c r="P279" s="339"/>
      <c r="Q279" s="339"/>
      <c r="R279" s="339"/>
      <c r="S279" s="339"/>
      <c r="T279" s="339"/>
      <c r="U279" s="339"/>
      <c r="V279" s="339"/>
      <c r="W279" s="339"/>
      <c r="X279" s="339"/>
      <c r="Y279" s="339"/>
      <c r="Z279" s="339"/>
      <c r="AA279" s="339"/>
      <c r="AB279" s="339"/>
      <c r="AC279" s="339"/>
      <c r="AD279" s="339"/>
      <c r="AE279" s="339"/>
      <c r="AF279" s="339"/>
      <c r="AG279" s="339"/>
      <c r="AH279" s="339"/>
      <c r="AI279" s="339"/>
      <c r="AJ279" s="339"/>
      <c r="AK279" s="339"/>
      <c r="AL279" s="339"/>
      <c r="AM279" s="339"/>
      <c r="AN279" s="339"/>
      <c r="AO279" s="339"/>
      <c r="AP279" s="339"/>
      <c r="AQ279" s="339"/>
      <c r="AR279" s="339"/>
      <c r="AS279" s="339"/>
      <c r="AT279" s="339"/>
      <c r="AU279" s="339"/>
      <c r="AV279" s="339"/>
      <c r="AW279" s="339"/>
      <c r="AX279" s="339"/>
      <c r="AY279" s="339"/>
      <c r="AZ279" s="339"/>
      <c r="BA279" s="339"/>
      <c r="BB279" s="339"/>
      <c r="BC279" s="339"/>
      <c r="BD279" s="339"/>
    </row>
    <row r="280" spans="3:56">
      <c r="C280" s="339"/>
      <c r="D280" s="339"/>
      <c r="E280" s="339"/>
      <c r="F280" s="339"/>
      <c r="G280" s="339"/>
      <c r="H280" s="339"/>
      <c r="I280" s="339"/>
      <c r="J280" s="339"/>
      <c r="K280" s="339"/>
      <c r="L280" s="339"/>
      <c r="M280" s="339"/>
      <c r="N280" s="339"/>
      <c r="O280" s="339"/>
      <c r="P280" s="339"/>
      <c r="Q280" s="339"/>
      <c r="R280" s="339"/>
      <c r="S280" s="339"/>
      <c r="T280" s="339"/>
      <c r="U280" s="339"/>
      <c r="V280" s="339"/>
      <c r="W280" s="339"/>
      <c r="X280" s="339"/>
      <c r="Y280" s="339"/>
      <c r="Z280" s="339"/>
      <c r="AA280" s="339"/>
      <c r="AB280" s="339"/>
      <c r="AC280" s="339"/>
      <c r="AD280" s="339"/>
      <c r="AE280" s="339"/>
      <c r="AF280" s="339"/>
      <c r="AG280" s="339"/>
      <c r="AH280" s="339"/>
      <c r="AI280" s="339"/>
      <c r="AJ280" s="339"/>
      <c r="AK280" s="339"/>
      <c r="AL280" s="339"/>
      <c r="AM280" s="339"/>
      <c r="AN280" s="339"/>
      <c r="AO280" s="339"/>
      <c r="AP280" s="339"/>
      <c r="AQ280" s="339"/>
      <c r="AR280" s="339"/>
      <c r="AS280" s="339"/>
      <c r="AT280" s="339"/>
      <c r="AU280" s="339"/>
      <c r="AV280" s="339"/>
      <c r="AW280" s="339"/>
      <c r="AX280" s="339"/>
      <c r="AY280" s="339"/>
      <c r="AZ280" s="339"/>
      <c r="BA280" s="339"/>
      <c r="BB280" s="339"/>
      <c r="BC280" s="339"/>
      <c r="BD280" s="339"/>
    </row>
    <row r="281" spans="3:56">
      <c r="C281" s="339"/>
      <c r="D281" s="339"/>
      <c r="E281" s="339"/>
      <c r="F281" s="339"/>
      <c r="G281" s="339"/>
      <c r="H281" s="339"/>
      <c r="I281" s="339"/>
      <c r="J281" s="339"/>
      <c r="K281" s="339"/>
      <c r="L281" s="339"/>
      <c r="M281" s="339"/>
      <c r="N281" s="339"/>
      <c r="O281" s="339"/>
      <c r="P281" s="339"/>
      <c r="Q281" s="339"/>
      <c r="R281" s="339"/>
      <c r="S281" s="339"/>
      <c r="T281" s="339"/>
      <c r="U281" s="339"/>
      <c r="V281" s="339"/>
      <c r="W281" s="339"/>
      <c r="X281" s="339"/>
      <c r="Y281" s="339"/>
      <c r="Z281" s="339"/>
      <c r="AA281" s="339"/>
      <c r="AB281" s="339"/>
      <c r="AC281" s="339"/>
      <c r="AD281" s="339"/>
      <c r="AE281" s="339"/>
      <c r="AF281" s="339"/>
      <c r="AG281" s="339"/>
      <c r="AH281" s="339"/>
      <c r="AI281" s="339"/>
      <c r="AJ281" s="339"/>
      <c r="AK281" s="339"/>
      <c r="AL281" s="339"/>
      <c r="AM281" s="339"/>
      <c r="AN281" s="339"/>
      <c r="AO281" s="339"/>
      <c r="AP281" s="339"/>
      <c r="AQ281" s="339"/>
      <c r="AR281" s="339"/>
      <c r="AS281" s="339"/>
      <c r="AT281" s="339"/>
      <c r="AU281" s="339"/>
      <c r="AV281" s="339"/>
      <c r="AW281" s="339"/>
      <c r="AX281" s="339"/>
      <c r="AY281" s="339"/>
      <c r="AZ281" s="339"/>
      <c r="BA281" s="339"/>
      <c r="BB281" s="339"/>
      <c r="BC281" s="339"/>
      <c r="BD281" s="339"/>
    </row>
    <row r="282" spans="3:56">
      <c r="C282" s="339"/>
      <c r="D282" s="339"/>
      <c r="E282" s="339"/>
      <c r="F282" s="339"/>
      <c r="G282" s="339"/>
      <c r="H282" s="339"/>
      <c r="I282" s="339"/>
      <c r="J282" s="339"/>
      <c r="K282" s="339"/>
      <c r="L282" s="339"/>
      <c r="M282" s="339"/>
      <c r="N282" s="339"/>
      <c r="O282" s="339"/>
      <c r="P282" s="339"/>
      <c r="Q282" s="339"/>
      <c r="R282" s="339"/>
      <c r="S282" s="339"/>
      <c r="T282" s="339"/>
      <c r="U282" s="339"/>
      <c r="V282" s="339"/>
      <c r="W282" s="339"/>
      <c r="X282" s="339"/>
      <c r="Y282" s="339"/>
      <c r="Z282" s="339"/>
      <c r="AA282" s="339"/>
      <c r="AB282" s="339"/>
      <c r="AC282" s="339"/>
      <c r="AD282" s="339"/>
      <c r="AE282" s="339"/>
      <c r="AF282" s="339"/>
      <c r="AG282" s="339"/>
      <c r="AH282" s="339"/>
      <c r="AI282" s="339"/>
      <c r="AJ282" s="339"/>
      <c r="AK282" s="339"/>
      <c r="AL282" s="339"/>
      <c r="AM282" s="339"/>
      <c r="AN282" s="339"/>
      <c r="AO282" s="339"/>
      <c r="AP282" s="339"/>
      <c r="AQ282" s="339"/>
      <c r="AR282" s="339"/>
      <c r="AS282" s="339"/>
      <c r="AT282" s="339"/>
      <c r="AU282" s="339"/>
      <c r="AV282" s="339"/>
      <c r="AW282" s="339"/>
      <c r="AX282" s="339"/>
      <c r="AY282" s="339"/>
      <c r="AZ282" s="339"/>
      <c r="BA282" s="339"/>
      <c r="BB282" s="339"/>
      <c r="BC282" s="339"/>
      <c r="BD282" s="339"/>
    </row>
    <row r="283" spans="3:56">
      <c r="C283" s="339"/>
      <c r="D283" s="339"/>
      <c r="E283" s="339"/>
      <c r="F283" s="339"/>
      <c r="G283" s="339"/>
      <c r="H283" s="339"/>
      <c r="I283" s="339"/>
      <c r="J283" s="339"/>
      <c r="K283" s="339"/>
      <c r="L283" s="339"/>
      <c r="M283" s="339"/>
      <c r="N283" s="339"/>
      <c r="O283" s="339"/>
      <c r="P283" s="339"/>
      <c r="Q283" s="339"/>
      <c r="R283" s="339"/>
      <c r="S283" s="339"/>
      <c r="T283" s="339"/>
      <c r="U283" s="339"/>
      <c r="V283" s="339"/>
      <c r="W283" s="339"/>
      <c r="X283" s="339"/>
      <c r="Y283" s="339"/>
      <c r="Z283" s="339"/>
      <c r="AA283" s="339"/>
      <c r="AB283" s="339"/>
      <c r="AC283" s="339"/>
      <c r="AD283" s="339"/>
      <c r="AE283" s="339"/>
      <c r="AF283" s="339"/>
      <c r="AG283" s="339"/>
      <c r="AH283" s="339"/>
      <c r="AI283" s="339"/>
      <c r="AJ283" s="339"/>
      <c r="AK283" s="339"/>
      <c r="AL283" s="339"/>
      <c r="AM283" s="339"/>
      <c r="AN283" s="339"/>
      <c r="AO283" s="339"/>
      <c r="AP283" s="339"/>
      <c r="AQ283" s="339"/>
      <c r="AR283" s="339"/>
      <c r="AS283" s="339"/>
      <c r="AT283" s="339"/>
      <c r="AU283" s="339"/>
      <c r="AV283" s="339"/>
      <c r="AW283" s="339"/>
      <c r="AX283" s="339"/>
      <c r="AY283" s="339"/>
      <c r="AZ283" s="339"/>
      <c r="BA283" s="339"/>
      <c r="BB283" s="339"/>
      <c r="BC283" s="339"/>
      <c r="BD283" s="339"/>
    </row>
    <row r="284" spans="3:56">
      <c r="C284" s="339"/>
      <c r="D284" s="339"/>
      <c r="E284" s="339"/>
      <c r="F284" s="339"/>
      <c r="G284" s="339"/>
      <c r="H284" s="339"/>
      <c r="I284" s="339"/>
      <c r="J284" s="339"/>
      <c r="K284" s="339"/>
      <c r="L284" s="339"/>
      <c r="M284" s="339"/>
      <c r="N284" s="339"/>
      <c r="O284" s="339"/>
      <c r="P284" s="339"/>
      <c r="Q284" s="339"/>
      <c r="R284" s="339"/>
      <c r="S284" s="339"/>
      <c r="T284" s="339"/>
      <c r="U284" s="339"/>
      <c r="V284" s="339"/>
      <c r="W284" s="339"/>
      <c r="X284" s="339"/>
      <c r="Y284" s="339"/>
      <c r="Z284" s="339"/>
      <c r="AA284" s="339"/>
      <c r="AB284" s="339"/>
      <c r="AC284" s="339"/>
      <c r="AD284" s="339"/>
      <c r="AE284" s="339"/>
      <c r="AF284" s="339"/>
      <c r="AG284" s="339"/>
      <c r="AH284" s="339"/>
      <c r="AI284" s="339"/>
      <c r="AJ284" s="339"/>
      <c r="AK284" s="339"/>
      <c r="AL284" s="339"/>
      <c r="AM284" s="339"/>
      <c r="AN284" s="339"/>
      <c r="AO284" s="339"/>
      <c r="AP284" s="339"/>
      <c r="AQ284" s="339"/>
      <c r="AR284" s="339"/>
      <c r="AS284" s="339"/>
      <c r="AT284" s="339"/>
      <c r="AU284" s="339"/>
      <c r="AV284" s="339"/>
      <c r="AW284" s="339"/>
      <c r="AX284" s="339"/>
      <c r="AY284" s="339"/>
      <c r="AZ284" s="339"/>
      <c r="BA284" s="339"/>
      <c r="BB284" s="339"/>
      <c r="BC284" s="339"/>
      <c r="BD284" s="339"/>
    </row>
    <row r="285" spans="3:56">
      <c r="C285" s="339"/>
      <c r="D285" s="339"/>
      <c r="E285" s="339"/>
      <c r="F285" s="339"/>
      <c r="G285" s="339"/>
      <c r="H285" s="339"/>
      <c r="I285" s="339"/>
      <c r="J285" s="339"/>
      <c r="K285" s="339"/>
      <c r="L285" s="339"/>
      <c r="M285" s="339"/>
      <c r="N285" s="339"/>
      <c r="O285" s="339"/>
      <c r="P285" s="339"/>
      <c r="Q285" s="339"/>
      <c r="R285" s="339"/>
      <c r="S285" s="339"/>
      <c r="T285" s="339"/>
      <c r="U285" s="339"/>
      <c r="V285" s="339"/>
      <c r="W285" s="339"/>
      <c r="X285" s="339"/>
      <c r="Y285" s="339"/>
      <c r="Z285" s="339"/>
      <c r="AA285" s="339"/>
      <c r="AB285" s="339"/>
      <c r="AC285" s="339"/>
      <c r="AD285" s="339"/>
      <c r="AE285" s="339"/>
      <c r="AF285" s="339"/>
      <c r="AG285" s="339"/>
      <c r="AH285" s="339"/>
      <c r="AI285" s="339"/>
      <c r="AJ285" s="339"/>
      <c r="AK285" s="339"/>
      <c r="AL285" s="339"/>
      <c r="AM285" s="339"/>
      <c r="AN285" s="339"/>
      <c r="AO285" s="339"/>
      <c r="AP285" s="339"/>
      <c r="AQ285" s="339"/>
      <c r="AR285" s="339"/>
      <c r="AS285" s="339"/>
      <c r="AT285" s="339"/>
      <c r="AU285" s="339"/>
      <c r="AV285" s="339"/>
      <c r="AW285" s="339"/>
      <c r="AX285" s="339"/>
      <c r="AY285" s="339"/>
      <c r="AZ285" s="339"/>
      <c r="BA285" s="339"/>
      <c r="BB285" s="339"/>
      <c r="BC285" s="339"/>
      <c r="BD285" s="339"/>
    </row>
    <row r="286" spans="3:56">
      <c r="C286" s="339"/>
      <c r="D286" s="339"/>
      <c r="E286" s="339"/>
      <c r="F286" s="339"/>
      <c r="G286" s="339"/>
      <c r="H286" s="339"/>
      <c r="I286" s="339"/>
      <c r="J286" s="339"/>
      <c r="K286" s="339"/>
      <c r="L286" s="339"/>
      <c r="M286" s="339"/>
      <c r="N286" s="339"/>
      <c r="O286" s="339"/>
      <c r="P286" s="339"/>
      <c r="Q286" s="339"/>
      <c r="R286" s="339"/>
      <c r="S286" s="339"/>
      <c r="T286" s="339"/>
      <c r="U286" s="339"/>
      <c r="V286" s="339"/>
      <c r="W286" s="339"/>
      <c r="X286" s="339"/>
      <c r="Y286" s="339"/>
      <c r="Z286" s="339"/>
      <c r="AA286" s="339"/>
      <c r="AB286" s="339"/>
      <c r="AC286" s="339"/>
      <c r="AD286" s="339"/>
      <c r="AE286" s="339"/>
      <c r="AF286" s="339"/>
      <c r="AG286" s="339"/>
      <c r="AH286" s="339"/>
      <c r="AI286" s="339"/>
      <c r="AJ286" s="339"/>
      <c r="AK286" s="339"/>
      <c r="AL286" s="339"/>
      <c r="AM286" s="339"/>
      <c r="AN286" s="339"/>
      <c r="AO286" s="339"/>
      <c r="AP286" s="339"/>
      <c r="AQ286" s="339"/>
      <c r="AR286" s="339"/>
      <c r="AS286" s="339"/>
      <c r="AT286" s="339"/>
      <c r="AU286" s="339"/>
      <c r="AV286" s="339"/>
      <c r="AW286" s="339"/>
      <c r="AX286" s="339"/>
      <c r="AY286" s="339"/>
      <c r="AZ286" s="339"/>
      <c r="BA286" s="339"/>
      <c r="BB286" s="339"/>
      <c r="BC286" s="339"/>
      <c r="BD286" s="339"/>
    </row>
    <row r="287" spans="3:56">
      <c r="C287" s="339"/>
      <c r="D287" s="339"/>
      <c r="E287" s="339"/>
      <c r="F287" s="339"/>
      <c r="G287" s="339"/>
      <c r="H287" s="339"/>
      <c r="I287" s="339"/>
      <c r="J287" s="339"/>
      <c r="K287" s="339"/>
      <c r="L287" s="339"/>
      <c r="M287" s="339"/>
      <c r="N287" s="339"/>
      <c r="O287" s="339"/>
      <c r="P287" s="339"/>
      <c r="Q287" s="339"/>
      <c r="R287" s="339"/>
      <c r="S287" s="339"/>
      <c r="T287" s="339"/>
      <c r="U287" s="339"/>
      <c r="V287" s="339"/>
      <c r="W287" s="339"/>
      <c r="X287" s="339"/>
      <c r="Y287" s="339"/>
      <c r="Z287" s="339"/>
      <c r="AA287" s="339"/>
      <c r="AB287" s="339"/>
      <c r="AC287" s="339"/>
      <c r="AD287" s="339"/>
      <c r="AE287" s="339"/>
      <c r="AF287" s="339"/>
      <c r="AG287" s="339"/>
      <c r="AH287" s="339"/>
      <c r="AI287" s="339"/>
      <c r="AJ287" s="339"/>
      <c r="AK287" s="339"/>
      <c r="AL287" s="339"/>
      <c r="AM287" s="339"/>
      <c r="AN287" s="339"/>
      <c r="AO287" s="339"/>
      <c r="AP287" s="339"/>
      <c r="AQ287" s="339"/>
      <c r="AR287" s="339"/>
      <c r="AS287" s="339"/>
      <c r="AT287" s="339"/>
      <c r="AU287" s="339"/>
      <c r="AV287" s="339"/>
      <c r="AW287" s="339"/>
      <c r="AX287" s="339"/>
      <c r="AY287" s="339"/>
      <c r="AZ287" s="339"/>
      <c r="BA287" s="339"/>
      <c r="BB287" s="339"/>
      <c r="BC287" s="339"/>
      <c r="BD287" s="339"/>
    </row>
    <row r="288" spans="3:56">
      <c r="C288" s="339"/>
      <c r="D288" s="339"/>
      <c r="E288" s="339"/>
      <c r="F288" s="339"/>
      <c r="G288" s="339"/>
      <c r="H288" s="339"/>
      <c r="I288" s="339"/>
      <c r="J288" s="339"/>
      <c r="K288" s="339"/>
      <c r="L288" s="339"/>
      <c r="M288" s="339"/>
      <c r="N288" s="339"/>
      <c r="O288" s="339"/>
      <c r="P288" s="339"/>
      <c r="Q288" s="339"/>
      <c r="R288" s="339"/>
      <c r="S288" s="339"/>
      <c r="T288" s="339"/>
      <c r="U288" s="339"/>
      <c r="V288" s="339"/>
      <c r="W288" s="339"/>
      <c r="X288" s="339"/>
      <c r="Y288" s="339"/>
      <c r="Z288" s="339"/>
      <c r="AA288" s="339"/>
      <c r="AB288" s="339"/>
      <c r="AC288" s="339"/>
      <c r="AD288" s="339"/>
      <c r="AE288" s="339"/>
      <c r="AF288" s="339"/>
      <c r="AG288" s="339"/>
      <c r="AH288" s="339"/>
      <c r="AI288" s="339"/>
      <c r="AJ288" s="339"/>
      <c r="AK288" s="339"/>
      <c r="AL288" s="339"/>
      <c r="AM288" s="339"/>
      <c r="AN288" s="339"/>
      <c r="AO288" s="339"/>
      <c r="AP288" s="339"/>
      <c r="AQ288" s="339"/>
      <c r="AR288" s="339"/>
      <c r="AS288" s="339"/>
      <c r="AT288" s="339"/>
      <c r="AU288" s="339"/>
      <c r="AV288" s="339"/>
      <c r="AW288" s="339"/>
      <c r="AX288" s="339"/>
      <c r="AY288" s="339"/>
      <c r="AZ288" s="339"/>
      <c r="BA288" s="339"/>
      <c r="BB288" s="339"/>
      <c r="BC288" s="339"/>
      <c r="BD288" s="339"/>
    </row>
    <row r="289" spans="3:56">
      <c r="C289" s="339"/>
      <c r="D289" s="339"/>
      <c r="E289" s="339"/>
      <c r="F289" s="339"/>
      <c r="G289" s="339"/>
      <c r="H289" s="339"/>
      <c r="I289" s="339"/>
      <c r="J289" s="339"/>
      <c r="K289" s="339"/>
      <c r="L289" s="339"/>
      <c r="M289" s="339"/>
      <c r="N289" s="339"/>
      <c r="O289" s="339"/>
      <c r="P289" s="339"/>
      <c r="Q289" s="339"/>
      <c r="R289" s="339"/>
      <c r="S289" s="339"/>
      <c r="T289" s="339"/>
      <c r="U289" s="339"/>
      <c r="V289" s="339"/>
      <c r="W289" s="339"/>
      <c r="X289" s="339"/>
      <c r="Y289" s="339"/>
      <c r="Z289" s="339"/>
      <c r="AA289" s="339"/>
      <c r="AB289" s="339"/>
      <c r="AC289" s="339"/>
      <c r="AD289" s="339"/>
      <c r="AE289" s="339"/>
      <c r="AF289" s="339"/>
      <c r="AG289" s="339"/>
      <c r="AH289" s="339"/>
      <c r="AI289" s="339"/>
      <c r="AJ289" s="339"/>
      <c r="AK289" s="339"/>
      <c r="AL289" s="339"/>
      <c r="AM289" s="339"/>
      <c r="AN289" s="339"/>
      <c r="AO289" s="339"/>
      <c r="AP289" s="339"/>
      <c r="AQ289" s="339"/>
      <c r="AR289" s="339"/>
      <c r="AS289" s="339"/>
      <c r="AT289" s="339"/>
      <c r="AU289" s="339"/>
      <c r="AV289" s="339"/>
      <c r="AW289" s="339"/>
      <c r="AX289" s="339"/>
      <c r="AY289" s="339"/>
      <c r="AZ289" s="339"/>
      <c r="BA289" s="339"/>
      <c r="BB289" s="339"/>
      <c r="BC289" s="339"/>
      <c r="BD289" s="339"/>
    </row>
    <row r="290" spans="3:56">
      <c r="C290" s="339"/>
      <c r="D290" s="339"/>
      <c r="E290" s="339"/>
      <c r="F290" s="339"/>
      <c r="G290" s="339"/>
      <c r="H290" s="339"/>
      <c r="I290" s="339"/>
      <c r="J290" s="339"/>
      <c r="K290" s="339"/>
      <c r="L290" s="339"/>
      <c r="M290" s="339"/>
      <c r="N290" s="339"/>
      <c r="O290" s="339"/>
      <c r="P290" s="339"/>
      <c r="Q290" s="339"/>
      <c r="R290" s="339"/>
      <c r="S290" s="339"/>
      <c r="T290" s="339"/>
      <c r="U290" s="339"/>
      <c r="V290" s="339"/>
      <c r="W290" s="339"/>
      <c r="X290" s="339"/>
      <c r="Y290" s="339"/>
      <c r="Z290" s="339"/>
      <c r="AA290" s="339"/>
      <c r="AB290" s="339"/>
      <c r="AC290" s="339"/>
      <c r="AD290" s="339"/>
      <c r="AE290" s="339"/>
      <c r="AF290" s="339"/>
      <c r="AG290" s="339"/>
      <c r="AH290" s="339"/>
      <c r="AI290" s="339"/>
      <c r="AJ290" s="339"/>
      <c r="AK290" s="339"/>
      <c r="AL290" s="339"/>
      <c r="AM290" s="339"/>
      <c r="AN290" s="339"/>
      <c r="AO290" s="339"/>
      <c r="AP290" s="339"/>
      <c r="AQ290" s="339"/>
      <c r="AR290" s="339"/>
      <c r="AS290" s="339"/>
      <c r="AT290" s="339"/>
      <c r="AU290" s="339"/>
      <c r="AV290" s="339"/>
      <c r="AW290" s="339"/>
      <c r="AX290" s="339"/>
      <c r="AY290" s="339"/>
      <c r="AZ290" s="339"/>
      <c r="BA290" s="339"/>
      <c r="BB290" s="339"/>
      <c r="BC290" s="339"/>
      <c r="BD290" s="339"/>
    </row>
    <row r="291" spans="3:56">
      <c r="C291" s="339"/>
      <c r="D291" s="339"/>
      <c r="E291" s="339"/>
      <c r="F291" s="339"/>
      <c r="G291" s="339"/>
      <c r="H291" s="339"/>
      <c r="I291" s="339"/>
      <c r="J291" s="339"/>
      <c r="K291" s="339"/>
      <c r="L291" s="339"/>
      <c r="M291" s="339"/>
      <c r="N291" s="339"/>
      <c r="O291" s="339"/>
      <c r="P291" s="339"/>
      <c r="Q291" s="339"/>
      <c r="R291" s="339"/>
      <c r="S291" s="339"/>
      <c r="T291" s="339"/>
      <c r="U291" s="339"/>
      <c r="V291" s="339"/>
      <c r="W291" s="339"/>
      <c r="X291" s="339"/>
      <c r="Y291" s="339"/>
      <c r="Z291" s="339"/>
      <c r="AA291" s="339"/>
      <c r="AB291" s="339"/>
      <c r="AC291" s="339"/>
      <c r="AD291" s="339"/>
      <c r="AE291" s="339"/>
      <c r="AF291" s="339"/>
      <c r="AG291" s="339"/>
      <c r="AH291" s="339"/>
      <c r="AI291" s="339"/>
      <c r="AJ291" s="339"/>
      <c r="AK291" s="339"/>
      <c r="AL291" s="339"/>
      <c r="AM291" s="339"/>
      <c r="AN291" s="339"/>
      <c r="AO291" s="339"/>
      <c r="AP291" s="339"/>
      <c r="AQ291" s="339"/>
      <c r="AR291" s="339"/>
      <c r="AS291" s="339"/>
      <c r="AT291" s="339"/>
      <c r="AU291" s="339"/>
      <c r="AV291" s="339"/>
      <c r="AW291" s="339"/>
      <c r="AX291" s="339"/>
      <c r="AY291" s="339"/>
      <c r="AZ291" s="339"/>
      <c r="BA291" s="339"/>
      <c r="BB291" s="339"/>
      <c r="BC291" s="339"/>
      <c r="BD291" s="339"/>
    </row>
    <row r="292" spans="3:56">
      <c r="C292" s="339"/>
      <c r="D292" s="339"/>
      <c r="E292" s="339"/>
      <c r="F292" s="339"/>
      <c r="G292" s="339"/>
      <c r="H292" s="339"/>
      <c r="I292" s="339"/>
      <c r="J292" s="339"/>
      <c r="K292" s="339"/>
      <c r="L292" s="339"/>
      <c r="M292" s="339"/>
      <c r="N292" s="339"/>
      <c r="O292" s="339"/>
      <c r="P292" s="339"/>
      <c r="Q292" s="339"/>
      <c r="R292" s="339"/>
      <c r="S292" s="339"/>
      <c r="T292" s="339"/>
      <c r="U292" s="339"/>
      <c r="V292" s="339"/>
      <c r="W292" s="339"/>
      <c r="X292" s="339"/>
      <c r="Y292" s="339"/>
      <c r="Z292" s="339"/>
      <c r="AA292" s="339"/>
      <c r="AB292" s="339"/>
      <c r="AC292" s="339"/>
      <c r="AD292" s="339"/>
      <c r="AE292" s="339"/>
      <c r="AF292" s="339"/>
      <c r="AG292" s="339"/>
      <c r="AH292" s="339"/>
      <c r="AI292" s="339"/>
      <c r="AJ292" s="339"/>
      <c r="AK292" s="339"/>
      <c r="AL292" s="339"/>
      <c r="AM292" s="339"/>
      <c r="AN292" s="339"/>
      <c r="AO292" s="339"/>
      <c r="AP292" s="339"/>
      <c r="AQ292" s="339"/>
      <c r="AR292" s="339"/>
      <c r="AS292" s="339"/>
      <c r="AT292" s="339"/>
      <c r="AU292" s="339"/>
      <c r="AV292" s="339"/>
      <c r="AW292" s="339"/>
      <c r="AX292" s="339"/>
      <c r="AY292" s="339"/>
      <c r="AZ292" s="339"/>
      <c r="BA292" s="339"/>
      <c r="BB292" s="339"/>
      <c r="BC292" s="339"/>
      <c r="BD292" s="339"/>
    </row>
    <row r="293" spans="3:56">
      <c r="C293" s="339"/>
      <c r="D293" s="339"/>
      <c r="E293" s="339"/>
      <c r="F293" s="339"/>
      <c r="G293" s="339"/>
      <c r="H293" s="339"/>
      <c r="I293" s="339"/>
      <c r="J293" s="339"/>
      <c r="K293" s="339"/>
      <c r="L293" s="339"/>
      <c r="M293" s="339"/>
      <c r="N293" s="339"/>
      <c r="O293" s="339"/>
      <c r="P293" s="339"/>
      <c r="Q293" s="339"/>
      <c r="R293" s="339"/>
      <c r="S293" s="339"/>
      <c r="T293" s="339"/>
      <c r="U293" s="339"/>
      <c r="V293" s="339"/>
      <c r="W293" s="339"/>
      <c r="X293" s="339"/>
      <c r="Y293" s="339"/>
      <c r="Z293" s="339"/>
      <c r="AA293" s="339"/>
      <c r="AB293" s="339"/>
      <c r="AC293" s="339"/>
      <c r="AD293" s="339"/>
      <c r="AE293" s="339"/>
      <c r="AF293" s="339"/>
      <c r="AG293" s="339"/>
      <c r="AH293" s="339"/>
      <c r="AI293" s="339"/>
      <c r="AJ293" s="339"/>
      <c r="AK293" s="339"/>
      <c r="AL293" s="339"/>
      <c r="AM293" s="339"/>
      <c r="AN293" s="339"/>
      <c r="AO293" s="339"/>
      <c r="AP293" s="339"/>
      <c r="AQ293" s="339"/>
      <c r="AR293" s="339"/>
      <c r="AS293" s="339"/>
      <c r="AT293" s="339"/>
      <c r="AU293" s="339"/>
      <c r="AV293" s="339"/>
      <c r="AW293" s="339"/>
      <c r="AX293" s="339"/>
      <c r="AY293" s="339"/>
      <c r="AZ293" s="339"/>
      <c r="BA293" s="339"/>
      <c r="BB293" s="339"/>
      <c r="BC293" s="339"/>
      <c r="BD293" s="339"/>
    </row>
    <row r="294" spans="3:56">
      <c r="C294" s="339"/>
      <c r="D294" s="339"/>
      <c r="E294" s="339"/>
      <c r="F294" s="339"/>
      <c r="G294" s="339"/>
      <c r="H294" s="339"/>
      <c r="I294" s="339"/>
      <c r="J294" s="339"/>
      <c r="K294" s="339"/>
      <c r="L294" s="339"/>
      <c r="M294" s="339"/>
      <c r="N294" s="339"/>
      <c r="O294" s="339"/>
      <c r="P294" s="339"/>
      <c r="Q294" s="339"/>
      <c r="R294" s="339"/>
      <c r="S294" s="339"/>
      <c r="T294" s="339"/>
      <c r="U294" s="339"/>
      <c r="V294" s="339"/>
      <c r="W294" s="339"/>
      <c r="X294" s="339"/>
      <c r="Y294" s="339"/>
      <c r="Z294" s="339"/>
      <c r="AA294" s="339"/>
      <c r="AB294" s="339"/>
      <c r="AC294" s="339"/>
      <c r="AD294" s="339"/>
      <c r="AE294" s="339"/>
      <c r="AF294" s="339"/>
      <c r="AG294" s="339"/>
      <c r="AH294" s="339"/>
      <c r="AI294" s="339"/>
      <c r="AJ294" s="339"/>
      <c r="AK294" s="339"/>
      <c r="AL294" s="339"/>
      <c r="AM294" s="339"/>
      <c r="AN294" s="339"/>
      <c r="AO294" s="339"/>
      <c r="AP294" s="339"/>
      <c r="AQ294" s="339"/>
      <c r="AR294" s="339"/>
      <c r="AS294" s="339"/>
      <c r="AT294" s="339"/>
      <c r="AU294" s="339"/>
      <c r="AV294" s="339"/>
      <c r="AW294" s="339"/>
      <c r="AX294" s="339"/>
      <c r="AY294" s="339"/>
      <c r="AZ294" s="339"/>
      <c r="BA294" s="339"/>
      <c r="BB294" s="339"/>
      <c r="BC294" s="339"/>
      <c r="BD294" s="339"/>
    </row>
    <row r="295" spans="3:56">
      <c r="C295" s="339"/>
      <c r="D295" s="339"/>
      <c r="E295" s="339"/>
      <c r="F295" s="339"/>
      <c r="G295" s="339"/>
      <c r="H295" s="339"/>
      <c r="I295" s="339"/>
      <c r="J295" s="339"/>
      <c r="K295" s="339"/>
      <c r="L295" s="339"/>
      <c r="M295" s="339"/>
      <c r="N295" s="339"/>
      <c r="O295" s="339"/>
      <c r="P295" s="339"/>
      <c r="Q295" s="339"/>
      <c r="R295" s="339"/>
      <c r="S295" s="339"/>
      <c r="T295" s="339"/>
      <c r="U295" s="339"/>
      <c r="V295" s="339"/>
      <c r="W295" s="339"/>
      <c r="X295" s="339"/>
      <c r="Y295" s="339"/>
      <c r="Z295" s="339"/>
      <c r="AA295" s="339"/>
      <c r="AB295" s="339"/>
      <c r="AC295" s="339"/>
      <c r="AD295" s="339"/>
      <c r="AE295" s="339"/>
      <c r="AF295" s="339"/>
      <c r="AG295" s="339"/>
      <c r="AH295" s="339"/>
      <c r="AI295" s="339"/>
      <c r="AJ295" s="339"/>
      <c r="AK295" s="339"/>
      <c r="AL295" s="339"/>
      <c r="AM295" s="339"/>
      <c r="AN295" s="339"/>
      <c r="AO295" s="339"/>
      <c r="AP295" s="339"/>
      <c r="AQ295" s="339"/>
      <c r="AR295" s="339"/>
      <c r="AS295" s="339"/>
      <c r="AT295" s="339"/>
      <c r="AU295" s="339"/>
      <c r="AV295" s="339"/>
      <c r="AW295" s="339"/>
      <c r="AX295" s="339"/>
      <c r="AY295" s="339"/>
      <c r="AZ295" s="339"/>
      <c r="BA295" s="339"/>
      <c r="BB295" s="339"/>
      <c r="BC295" s="339"/>
      <c r="BD295" s="339"/>
    </row>
    <row r="296" spans="3:56">
      <c r="C296" s="339"/>
      <c r="D296" s="339"/>
      <c r="E296" s="339"/>
      <c r="F296" s="339"/>
      <c r="G296" s="339"/>
      <c r="H296" s="339"/>
      <c r="I296" s="339"/>
      <c r="J296" s="339"/>
      <c r="K296" s="339"/>
      <c r="L296" s="339"/>
      <c r="M296" s="339"/>
      <c r="N296" s="339"/>
      <c r="O296" s="339"/>
      <c r="P296" s="339"/>
      <c r="Q296" s="339"/>
      <c r="R296" s="339"/>
      <c r="S296" s="339"/>
      <c r="T296" s="339"/>
      <c r="U296" s="339"/>
      <c r="V296" s="339"/>
      <c r="W296" s="339"/>
      <c r="X296" s="339"/>
      <c r="Y296" s="339"/>
      <c r="Z296" s="339"/>
      <c r="AA296" s="339"/>
      <c r="AB296" s="339"/>
      <c r="AC296" s="339"/>
      <c r="AD296" s="339"/>
      <c r="AE296" s="339"/>
      <c r="AF296" s="339"/>
      <c r="AG296" s="339"/>
      <c r="AH296" s="339"/>
      <c r="AI296" s="339"/>
      <c r="AJ296" s="339"/>
      <c r="AK296" s="339"/>
      <c r="AL296" s="339"/>
      <c r="AM296" s="339"/>
      <c r="AN296" s="339"/>
      <c r="AO296" s="339"/>
      <c r="AP296" s="339"/>
      <c r="AQ296" s="339"/>
      <c r="AR296" s="339"/>
      <c r="AS296" s="339"/>
      <c r="AT296" s="339"/>
      <c r="AU296" s="339"/>
      <c r="AV296" s="339"/>
      <c r="AW296" s="339"/>
      <c r="AX296" s="339"/>
      <c r="AY296" s="339"/>
      <c r="AZ296" s="339"/>
      <c r="BA296" s="339"/>
      <c r="BB296" s="339"/>
      <c r="BC296" s="339"/>
      <c r="BD296" s="339"/>
    </row>
    <row r="297" spans="3:56">
      <c r="C297" s="339"/>
      <c r="D297" s="339"/>
      <c r="E297" s="339"/>
      <c r="F297" s="339"/>
      <c r="G297" s="339"/>
      <c r="H297" s="339"/>
      <c r="I297" s="339"/>
      <c r="J297" s="339"/>
      <c r="K297" s="339"/>
      <c r="L297" s="339"/>
      <c r="M297" s="339"/>
      <c r="N297" s="339"/>
      <c r="O297" s="339"/>
      <c r="P297" s="339"/>
      <c r="Q297" s="339"/>
      <c r="R297" s="339"/>
      <c r="S297" s="339"/>
      <c r="T297" s="339"/>
      <c r="U297" s="339"/>
      <c r="V297" s="339"/>
      <c r="W297" s="339"/>
      <c r="X297" s="339"/>
      <c r="Y297" s="339"/>
      <c r="Z297" s="339"/>
      <c r="AA297" s="339"/>
      <c r="AB297" s="339"/>
      <c r="AC297" s="339"/>
      <c r="AD297" s="339"/>
      <c r="AE297" s="339"/>
      <c r="AF297" s="339"/>
      <c r="AG297" s="339"/>
      <c r="AH297" s="339"/>
      <c r="AI297" s="339"/>
      <c r="AJ297" s="339"/>
      <c r="AK297" s="339"/>
      <c r="AL297" s="339"/>
      <c r="AM297" s="339"/>
      <c r="AN297" s="339"/>
      <c r="AO297" s="339"/>
      <c r="AP297" s="339"/>
      <c r="AQ297" s="339"/>
      <c r="AR297" s="339"/>
      <c r="AS297" s="339"/>
      <c r="AT297" s="339"/>
      <c r="AU297" s="339"/>
      <c r="AV297" s="339"/>
      <c r="AW297" s="339"/>
      <c r="AX297" s="339"/>
      <c r="AY297" s="339"/>
      <c r="AZ297" s="339"/>
      <c r="BA297" s="339"/>
      <c r="BB297" s="339"/>
      <c r="BC297" s="339"/>
      <c r="BD297" s="339"/>
    </row>
    <row r="298" spans="3:56">
      <c r="C298" s="339"/>
      <c r="D298" s="339"/>
      <c r="E298" s="339"/>
      <c r="F298" s="339"/>
      <c r="G298" s="339"/>
      <c r="H298" s="339"/>
      <c r="I298" s="339"/>
      <c r="J298" s="339"/>
      <c r="K298" s="339"/>
      <c r="L298" s="339"/>
      <c r="M298" s="339"/>
      <c r="N298" s="339"/>
      <c r="O298" s="339"/>
      <c r="P298" s="339"/>
      <c r="Q298" s="339"/>
      <c r="R298" s="339"/>
      <c r="S298" s="339"/>
      <c r="T298" s="339"/>
      <c r="U298" s="339"/>
      <c r="V298" s="339"/>
      <c r="W298" s="339"/>
      <c r="X298" s="339"/>
      <c r="Y298" s="339"/>
      <c r="Z298" s="339"/>
      <c r="AA298" s="339"/>
      <c r="AB298" s="339"/>
      <c r="AC298" s="339"/>
      <c r="AD298" s="339"/>
      <c r="AE298" s="339"/>
      <c r="AF298" s="339"/>
      <c r="AG298" s="339"/>
      <c r="AH298" s="339"/>
      <c r="AI298" s="339"/>
      <c r="AJ298" s="339"/>
      <c r="AK298" s="339"/>
      <c r="AL298" s="339"/>
      <c r="AM298" s="339"/>
      <c r="AN298" s="339"/>
      <c r="AO298" s="339"/>
      <c r="AP298" s="339"/>
      <c r="AQ298" s="339"/>
      <c r="AR298" s="339"/>
      <c r="AS298" s="339"/>
      <c r="AT298" s="339"/>
      <c r="AU298" s="339"/>
      <c r="AV298" s="339"/>
      <c r="AW298" s="339"/>
      <c r="AX298" s="339"/>
      <c r="AY298" s="339"/>
      <c r="AZ298" s="339"/>
      <c r="BA298" s="339"/>
      <c r="BB298" s="339"/>
      <c r="BC298" s="339"/>
      <c r="BD298" s="339"/>
    </row>
    <row r="299" spans="3:56">
      <c r="C299" s="339"/>
      <c r="D299" s="339"/>
      <c r="E299" s="339"/>
      <c r="F299" s="339"/>
      <c r="G299" s="339"/>
      <c r="H299" s="339"/>
      <c r="I299" s="339"/>
      <c r="J299" s="339"/>
      <c r="K299" s="339"/>
      <c r="L299" s="339"/>
      <c r="M299" s="339"/>
      <c r="N299" s="339"/>
      <c r="O299" s="339"/>
      <c r="P299" s="339"/>
      <c r="Q299" s="339"/>
      <c r="R299" s="339"/>
      <c r="S299" s="339"/>
      <c r="T299" s="339"/>
      <c r="U299" s="339"/>
      <c r="V299" s="339"/>
      <c r="W299" s="339"/>
      <c r="X299" s="339"/>
      <c r="Y299" s="339"/>
      <c r="Z299" s="339"/>
      <c r="AA299" s="339"/>
      <c r="AB299" s="339"/>
      <c r="AC299" s="339"/>
      <c r="AD299" s="339"/>
      <c r="AE299" s="339"/>
      <c r="AF299" s="339"/>
      <c r="AG299" s="339"/>
      <c r="AH299" s="339"/>
      <c r="AI299" s="339"/>
      <c r="AJ299" s="339"/>
      <c r="AK299" s="339"/>
      <c r="AL299" s="339"/>
      <c r="AM299" s="339"/>
      <c r="AN299" s="339"/>
      <c r="AO299" s="339"/>
      <c r="AP299" s="339"/>
      <c r="AQ299" s="339"/>
      <c r="AR299" s="339"/>
      <c r="AS299" s="339"/>
      <c r="AT299" s="339"/>
      <c r="AU299" s="339"/>
      <c r="AV299" s="339"/>
      <c r="AW299" s="339"/>
      <c r="AX299" s="339"/>
      <c r="AY299" s="339"/>
      <c r="AZ299" s="339"/>
      <c r="BA299" s="339"/>
      <c r="BB299" s="339"/>
      <c r="BC299" s="339"/>
      <c r="BD299" s="339"/>
    </row>
    <row r="300" spans="3:56">
      <c r="C300" s="339"/>
      <c r="D300" s="339"/>
      <c r="E300" s="339"/>
      <c r="F300" s="339"/>
      <c r="G300" s="339"/>
      <c r="H300" s="339"/>
      <c r="I300" s="339"/>
      <c r="J300" s="339"/>
      <c r="K300" s="339"/>
      <c r="L300" s="339"/>
      <c r="M300" s="339"/>
      <c r="N300" s="339"/>
      <c r="O300" s="339"/>
      <c r="P300" s="339"/>
      <c r="Q300" s="339"/>
      <c r="R300" s="339"/>
      <c r="S300" s="339"/>
      <c r="T300" s="339"/>
      <c r="U300" s="339"/>
      <c r="V300" s="339"/>
      <c r="W300" s="339"/>
      <c r="X300" s="339"/>
      <c r="Y300" s="339"/>
      <c r="Z300" s="339"/>
      <c r="AA300" s="339"/>
      <c r="AB300" s="339"/>
      <c r="AC300" s="339"/>
      <c r="AD300" s="339"/>
      <c r="AE300" s="339"/>
      <c r="AF300" s="339"/>
      <c r="AG300" s="339"/>
      <c r="AH300" s="339"/>
      <c r="AI300" s="339"/>
      <c r="AJ300" s="339"/>
      <c r="AK300" s="339"/>
      <c r="AL300" s="339"/>
      <c r="AM300" s="339"/>
      <c r="AN300" s="339"/>
      <c r="AO300" s="339"/>
      <c r="AP300" s="339"/>
      <c r="AQ300" s="339"/>
      <c r="AR300" s="339"/>
      <c r="AS300" s="339"/>
      <c r="AT300" s="339"/>
      <c r="AU300" s="339"/>
      <c r="AV300" s="339"/>
      <c r="AW300" s="339"/>
      <c r="AX300" s="339"/>
      <c r="AY300" s="339"/>
      <c r="AZ300" s="339"/>
      <c r="BA300" s="339"/>
      <c r="BB300" s="339"/>
      <c r="BC300" s="339"/>
      <c r="BD300" s="339"/>
    </row>
    <row r="301" spans="3:56">
      <c r="C301" s="339"/>
      <c r="D301" s="339"/>
      <c r="E301" s="339"/>
      <c r="F301" s="339"/>
      <c r="G301" s="339"/>
      <c r="H301" s="339"/>
      <c r="I301" s="339"/>
      <c r="J301" s="339"/>
      <c r="K301" s="339"/>
      <c r="L301" s="339"/>
      <c r="M301" s="339"/>
      <c r="N301" s="339"/>
      <c r="O301" s="339"/>
      <c r="P301" s="339"/>
      <c r="Q301" s="339"/>
      <c r="R301" s="339"/>
      <c r="S301" s="339"/>
      <c r="T301" s="339"/>
      <c r="U301" s="339"/>
      <c r="V301" s="339"/>
      <c r="W301" s="339"/>
      <c r="X301" s="339"/>
      <c r="Y301" s="339"/>
      <c r="Z301" s="339"/>
      <c r="AA301" s="339"/>
      <c r="AB301" s="339"/>
      <c r="AC301" s="339"/>
      <c r="AD301" s="339"/>
      <c r="AE301" s="339"/>
      <c r="AF301" s="339"/>
      <c r="AG301" s="339"/>
      <c r="AH301" s="339"/>
      <c r="AI301" s="339"/>
      <c r="AJ301" s="339"/>
      <c r="AK301" s="339"/>
      <c r="AL301" s="339"/>
      <c r="AM301" s="339"/>
      <c r="AN301" s="339"/>
      <c r="AO301" s="339"/>
      <c r="AP301" s="339"/>
      <c r="AQ301" s="339"/>
      <c r="AR301" s="339"/>
      <c r="AS301" s="339"/>
      <c r="AT301" s="339"/>
      <c r="AU301" s="339"/>
      <c r="AV301" s="339"/>
      <c r="AW301" s="339"/>
      <c r="AX301" s="339"/>
      <c r="AY301" s="339"/>
      <c r="AZ301" s="339"/>
      <c r="BA301" s="339"/>
      <c r="BB301" s="339"/>
      <c r="BC301" s="339"/>
      <c r="BD301" s="339"/>
    </row>
    <row r="302" spans="3:56">
      <c r="C302" s="339"/>
      <c r="D302" s="339"/>
      <c r="E302" s="339"/>
      <c r="F302" s="339"/>
      <c r="G302" s="339"/>
      <c r="H302" s="339"/>
      <c r="I302" s="339"/>
      <c r="J302" s="339"/>
      <c r="K302" s="339"/>
      <c r="L302" s="339"/>
      <c r="M302" s="339"/>
      <c r="N302" s="339"/>
      <c r="O302" s="339"/>
      <c r="P302" s="339"/>
      <c r="Q302" s="339"/>
      <c r="R302" s="339"/>
      <c r="S302" s="339"/>
      <c r="T302" s="339"/>
      <c r="U302" s="339"/>
      <c r="V302" s="339"/>
      <c r="W302" s="339"/>
      <c r="X302" s="339"/>
      <c r="Y302" s="339"/>
      <c r="Z302" s="339"/>
      <c r="AA302" s="339"/>
      <c r="AB302" s="339"/>
      <c r="AC302" s="339"/>
      <c r="AD302" s="339"/>
      <c r="AE302" s="339"/>
      <c r="AF302" s="339"/>
      <c r="AG302" s="339"/>
      <c r="AH302" s="339"/>
      <c r="AI302" s="339"/>
      <c r="AJ302" s="339"/>
      <c r="AK302" s="339"/>
      <c r="AL302" s="339"/>
      <c r="AM302" s="339"/>
      <c r="AN302" s="339"/>
      <c r="AO302" s="339"/>
      <c r="AP302" s="339"/>
      <c r="AQ302" s="339"/>
      <c r="AR302" s="339"/>
      <c r="AS302" s="339"/>
      <c r="AT302" s="339"/>
      <c r="AU302" s="339"/>
      <c r="AV302" s="339"/>
      <c r="AW302" s="339"/>
      <c r="AX302" s="339"/>
      <c r="AY302" s="339"/>
      <c r="AZ302" s="339"/>
      <c r="BA302" s="339"/>
      <c r="BB302" s="339"/>
      <c r="BC302" s="339"/>
      <c r="BD302" s="339"/>
    </row>
    <row r="303" spans="3:56">
      <c r="C303" s="339"/>
      <c r="D303" s="339"/>
      <c r="E303" s="339"/>
      <c r="F303" s="339"/>
      <c r="G303" s="339"/>
      <c r="H303" s="339"/>
      <c r="I303" s="339"/>
      <c r="J303" s="339"/>
      <c r="K303" s="339"/>
      <c r="L303" s="339"/>
      <c r="M303" s="339"/>
      <c r="N303" s="339"/>
      <c r="O303" s="339"/>
      <c r="P303" s="339"/>
      <c r="Q303" s="339"/>
      <c r="R303" s="339"/>
      <c r="S303" s="339"/>
      <c r="T303" s="339"/>
      <c r="U303" s="339"/>
      <c r="V303" s="339"/>
      <c r="W303" s="339"/>
      <c r="X303" s="339"/>
      <c r="Y303" s="339"/>
      <c r="Z303" s="339"/>
      <c r="AA303" s="339"/>
      <c r="AB303" s="339"/>
      <c r="AC303" s="339"/>
      <c r="AD303" s="339"/>
      <c r="AE303" s="339"/>
      <c r="AF303" s="339"/>
      <c r="AG303" s="339"/>
      <c r="AH303" s="339"/>
      <c r="AI303" s="339"/>
      <c r="AJ303" s="339"/>
      <c r="AK303" s="339"/>
      <c r="AL303" s="339"/>
      <c r="AM303" s="339"/>
      <c r="AN303" s="339"/>
      <c r="AO303" s="339"/>
      <c r="AP303" s="339"/>
      <c r="AQ303" s="339"/>
      <c r="AR303" s="339"/>
      <c r="AS303" s="339"/>
      <c r="AT303" s="339"/>
      <c r="AU303" s="339"/>
      <c r="AV303" s="339"/>
      <c r="AW303" s="339"/>
      <c r="AX303" s="339"/>
      <c r="AY303" s="339"/>
      <c r="AZ303" s="339"/>
      <c r="BA303" s="339"/>
      <c r="BB303" s="339"/>
      <c r="BC303" s="339"/>
      <c r="BD303" s="339"/>
    </row>
    <row r="304" spans="3:56">
      <c r="C304" s="339"/>
      <c r="D304" s="339"/>
      <c r="E304" s="339"/>
      <c r="F304" s="339"/>
      <c r="G304" s="339"/>
      <c r="H304" s="339"/>
      <c r="I304" s="339"/>
      <c r="J304" s="339"/>
      <c r="K304" s="339"/>
      <c r="L304" s="339"/>
      <c r="M304" s="339"/>
      <c r="N304" s="339"/>
      <c r="O304" s="339"/>
      <c r="P304" s="339"/>
      <c r="Q304" s="339"/>
      <c r="R304" s="339"/>
      <c r="S304" s="339"/>
      <c r="T304" s="339"/>
      <c r="U304" s="339"/>
      <c r="V304" s="339"/>
      <c r="W304" s="339"/>
      <c r="X304" s="339"/>
      <c r="Y304" s="339"/>
      <c r="Z304" s="339"/>
      <c r="AA304" s="339"/>
      <c r="AB304" s="339"/>
      <c r="AC304" s="339"/>
      <c r="AD304" s="339"/>
      <c r="AE304" s="339"/>
      <c r="AF304" s="339"/>
      <c r="AG304" s="339"/>
      <c r="AH304" s="339"/>
      <c r="AI304" s="339"/>
      <c r="AJ304" s="339"/>
      <c r="AK304" s="339"/>
      <c r="AL304" s="339"/>
      <c r="AM304" s="339"/>
      <c r="AN304" s="339"/>
      <c r="AO304" s="339"/>
      <c r="AP304" s="339"/>
      <c r="AQ304" s="339"/>
      <c r="AR304" s="339"/>
      <c r="AS304" s="339"/>
      <c r="AT304" s="339"/>
      <c r="AU304" s="339"/>
      <c r="AV304" s="339"/>
      <c r="AW304" s="339"/>
      <c r="AX304" s="339"/>
      <c r="AY304" s="339"/>
      <c r="AZ304" s="339"/>
      <c r="BA304" s="339"/>
      <c r="BB304" s="339"/>
      <c r="BC304" s="339"/>
      <c r="BD304" s="339"/>
    </row>
    <row r="305" spans="3:56">
      <c r="C305" s="339"/>
      <c r="D305" s="339"/>
      <c r="E305" s="339"/>
      <c r="F305" s="339"/>
      <c r="G305" s="339"/>
      <c r="H305" s="339"/>
      <c r="I305" s="339"/>
      <c r="J305" s="339"/>
      <c r="K305" s="339"/>
      <c r="L305" s="339"/>
      <c r="M305" s="339"/>
      <c r="N305" s="339"/>
      <c r="O305" s="339"/>
      <c r="P305" s="339"/>
      <c r="Q305" s="339"/>
      <c r="R305" s="339"/>
      <c r="S305" s="339"/>
      <c r="T305" s="339"/>
      <c r="U305" s="339"/>
      <c r="V305" s="339"/>
      <c r="W305" s="339"/>
      <c r="X305" s="339"/>
      <c r="Y305" s="339"/>
      <c r="Z305" s="339"/>
      <c r="AA305" s="339"/>
      <c r="AB305" s="339"/>
      <c r="AC305" s="339"/>
      <c r="AD305" s="339"/>
      <c r="AE305" s="339"/>
      <c r="AF305" s="339"/>
      <c r="AG305" s="339"/>
      <c r="AH305" s="339"/>
      <c r="AI305" s="339"/>
      <c r="AJ305" s="339"/>
      <c r="AK305" s="339"/>
      <c r="AL305" s="339"/>
      <c r="AM305" s="339"/>
      <c r="AN305" s="339"/>
      <c r="AO305" s="339"/>
      <c r="AP305" s="339"/>
      <c r="AQ305" s="339"/>
      <c r="AR305" s="339"/>
      <c r="AS305" s="339"/>
      <c r="AT305" s="339"/>
      <c r="AU305" s="339"/>
      <c r="AV305" s="339"/>
      <c r="AW305" s="339"/>
      <c r="AX305" s="339"/>
      <c r="AY305" s="339"/>
      <c r="AZ305" s="339"/>
      <c r="BA305" s="339"/>
      <c r="BB305" s="339"/>
      <c r="BC305" s="339"/>
      <c r="BD305" s="339"/>
    </row>
    <row r="306" spans="3:56">
      <c r="C306" s="339"/>
      <c r="D306" s="339"/>
      <c r="E306" s="339"/>
      <c r="F306" s="339"/>
      <c r="G306" s="339"/>
      <c r="H306" s="339"/>
      <c r="I306" s="339"/>
      <c r="J306" s="339"/>
      <c r="K306" s="339"/>
      <c r="L306" s="339"/>
      <c r="M306" s="339"/>
      <c r="N306" s="339"/>
      <c r="O306" s="339"/>
      <c r="P306" s="339"/>
      <c r="Q306" s="339"/>
      <c r="R306" s="339"/>
      <c r="S306" s="339"/>
      <c r="T306" s="339"/>
      <c r="U306" s="339"/>
      <c r="V306" s="339"/>
      <c r="W306" s="339"/>
      <c r="X306" s="339"/>
      <c r="Y306" s="339"/>
      <c r="Z306" s="339"/>
      <c r="AA306" s="339"/>
      <c r="AB306" s="339"/>
      <c r="AC306" s="339"/>
      <c r="AD306" s="339"/>
      <c r="AE306" s="339"/>
      <c r="AF306" s="339"/>
      <c r="AG306" s="339"/>
      <c r="AH306" s="339"/>
      <c r="AI306" s="339"/>
      <c r="AJ306" s="339"/>
      <c r="AK306" s="339"/>
      <c r="AL306" s="339"/>
      <c r="AM306" s="339"/>
      <c r="AN306" s="339"/>
      <c r="AO306" s="339"/>
      <c r="AP306" s="339"/>
      <c r="AQ306" s="339"/>
      <c r="AR306" s="339"/>
      <c r="AS306" s="339"/>
      <c r="AT306" s="339"/>
      <c r="AU306" s="339"/>
      <c r="AV306" s="339"/>
      <c r="AW306" s="339"/>
      <c r="AX306" s="339"/>
      <c r="AY306" s="339"/>
      <c r="AZ306" s="339"/>
      <c r="BA306" s="339"/>
      <c r="BB306" s="339"/>
      <c r="BC306" s="339"/>
      <c r="BD306" s="339"/>
    </row>
    <row r="307" spans="3:56">
      <c r="C307" s="339"/>
      <c r="D307" s="339"/>
      <c r="E307" s="339"/>
      <c r="F307" s="339"/>
      <c r="G307" s="339"/>
      <c r="H307" s="339"/>
      <c r="I307" s="339"/>
      <c r="J307" s="339"/>
      <c r="K307" s="339"/>
      <c r="L307" s="339"/>
      <c r="M307" s="339"/>
      <c r="N307" s="339"/>
      <c r="O307" s="339"/>
      <c r="P307" s="339"/>
      <c r="Q307" s="339"/>
      <c r="R307" s="339"/>
      <c r="S307" s="339"/>
      <c r="T307" s="339"/>
      <c r="U307" s="339"/>
      <c r="V307" s="339"/>
      <c r="W307" s="339"/>
      <c r="X307" s="339"/>
      <c r="Y307" s="339"/>
      <c r="Z307" s="339"/>
      <c r="AA307" s="339"/>
      <c r="AB307" s="339"/>
      <c r="AC307" s="339"/>
      <c r="AD307" s="339"/>
      <c r="AE307" s="339"/>
      <c r="AF307" s="339"/>
      <c r="AG307" s="339"/>
      <c r="AH307" s="339"/>
      <c r="AI307" s="339"/>
      <c r="AJ307" s="339"/>
      <c r="AK307" s="339"/>
      <c r="AL307" s="339"/>
      <c r="AM307" s="339"/>
      <c r="AN307" s="339"/>
      <c r="AO307" s="339"/>
      <c r="AP307" s="339"/>
      <c r="AQ307" s="339"/>
      <c r="AR307" s="339"/>
      <c r="AS307" s="339"/>
      <c r="AT307" s="339"/>
      <c r="AU307" s="339"/>
      <c r="AV307" s="339"/>
      <c r="AW307" s="339"/>
      <c r="AX307" s="339"/>
      <c r="AY307" s="339"/>
      <c r="AZ307" s="339"/>
      <c r="BA307" s="339"/>
      <c r="BB307" s="339"/>
      <c r="BC307" s="339"/>
      <c r="BD307" s="339"/>
    </row>
    <row r="308" spans="3:56">
      <c r="C308" s="339"/>
      <c r="D308" s="339"/>
      <c r="E308" s="339"/>
      <c r="F308" s="339"/>
      <c r="G308" s="339"/>
      <c r="H308" s="339"/>
      <c r="I308" s="339"/>
      <c r="J308" s="339"/>
      <c r="K308" s="339"/>
      <c r="L308" s="339"/>
      <c r="M308" s="339"/>
      <c r="N308" s="339"/>
      <c r="O308" s="339"/>
      <c r="P308" s="339"/>
      <c r="Q308" s="339"/>
      <c r="R308" s="339"/>
      <c r="S308" s="339"/>
      <c r="T308" s="339"/>
      <c r="U308" s="339"/>
      <c r="V308" s="339"/>
      <c r="W308" s="339"/>
      <c r="X308" s="339"/>
      <c r="Y308" s="339"/>
      <c r="Z308" s="339"/>
      <c r="AA308" s="339"/>
      <c r="AB308" s="339"/>
      <c r="AC308" s="339"/>
      <c r="AD308" s="339"/>
      <c r="AE308" s="339"/>
      <c r="AF308" s="339"/>
      <c r="AG308" s="339"/>
      <c r="AH308" s="339"/>
      <c r="AI308" s="339"/>
      <c r="AJ308" s="339"/>
      <c r="AK308" s="339"/>
      <c r="AL308" s="339"/>
      <c r="AM308" s="339"/>
      <c r="AN308" s="339"/>
      <c r="AO308" s="339"/>
      <c r="AP308" s="339"/>
      <c r="AQ308" s="339"/>
      <c r="AR308" s="339"/>
      <c r="AS308" s="339"/>
      <c r="AT308" s="339"/>
      <c r="AU308" s="339"/>
      <c r="AV308" s="339"/>
      <c r="AW308" s="339"/>
      <c r="AX308" s="339"/>
      <c r="AY308" s="339"/>
      <c r="AZ308" s="339"/>
      <c r="BA308" s="339"/>
      <c r="BB308" s="339"/>
      <c r="BC308" s="339"/>
      <c r="BD308" s="339"/>
    </row>
    <row r="309" spans="3:56">
      <c r="C309" s="339"/>
      <c r="D309" s="339"/>
      <c r="E309" s="339"/>
      <c r="F309" s="339"/>
      <c r="G309" s="339"/>
      <c r="H309" s="339"/>
      <c r="I309" s="339"/>
      <c r="J309" s="339"/>
      <c r="K309" s="339"/>
      <c r="L309" s="339"/>
      <c r="M309" s="339"/>
      <c r="N309" s="339"/>
      <c r="O309" s="339"/>
      <c r="P309" s="339"/>
      <c r="Q309" s="339"/>
      <c r="R309" s="339"/>
      <c r="S309" s="339"/>
      <c r="T309" s="339"/>
      <c r="U309" s="339"/>
      <c r="V309" s="339"/>
      <c r="W309" s="339"/>
      <c r="X309" s="339"/>
      <c r="Y309" s="339"/>
      <c r="Z309" s="339"/>
      <c r="AA309" s="339"/>
      <c r="AB309" s="339"/>
      <c r="AC309" s="339"/>
      <c r="AD309" s="339"/>
      <c r="AE309" s="339"/>
      <c r="AF309" s="339"/>
      <c r="AG309" s="339"/>
      <c r="AH309" s="339"/>
      <c r="AI309" s="339"/>
      <c r="AJ309" s="339"/>
      <c r="AK309" s="339"/>
      <c r="AL309" s="339"/>
      <c r="AM309" s="339"/>
      <c r="AN309" s="339"/>
      <c r="AO309" s="339"/>
      <c r="AP309" s="339"/>
      <c r="AQ309" s="339"/>
      <c r="AR309" s="339"/>
      <c r="AS309" s="339"/>
      <c r="AT309" s="339"/>
      <c r="AU309" s="339"/>
      <c r="AV309" s="339"/>
      <c r="AW309" s="339"/>
      <c r="AX309" s="339"/>
      <c r="AY309" s="339"/>
      <c r="AZ309" s="339"/>
      <c r="BA309" s="339"/>
      <c r="BB309" s="339"/>
      <c r="BC309" s="339"/>
      <c r="BD309" s="339"/>
    </row>
    <row r="310" spans="3:56">
      <c r="C310" s="339"/>
      <c r="D310" s="339"/>
      <c r="E310" s="339"/>
      <c r="F310" s="339"/>
      <c r="G310" s="339"/>
      <c r="H310" s="339"/>
      <c r="I310" s="339"/>
      <c r="J310" s="339"/>
      <c r="K310" s="339"/>
      <c r="L310" s="339"/>
      <c r="M310" s="339"/>
      <c r="N310" s="339"/>
      <c r="O310" s="339"/>
      <c r="P310" s="339"/>
      <c r="Q310" s="339"/>
      <c r="R310" s="339"/>
      <c r="S310" s="339"/>
      <c r="T310" s="339"/>
      <c r="U310" s="339"/>
      <c r="V310" s="339"/>
      <c r="W310" s="339"/>
      <c r="X310" s="339"/>
      <c r="Y310" s="339"/>
      <c r="Z310" s="339"/>
      <c r="AA310" s="339"/>
      <c r="AB310" s="339"/>
      <c r="AC310" s="339"/>
      <c r="AD310" s="339"/>
      <c r="AE310" s="339"/>
      <c r="AF310" s="339"/>
      <c r="AG310" s="339"/>
      <c r="AH310" s="339"/>
      <c r="AI310" s="339"/>
      <c r="AJ310" s="339"/>
      <c r="AK310" s="339"/>
      <c r="AL310" s="339"/>
      <c r="AM310" s="339"/>
      <c r="AN310" s="339"/>
      <c r="AO310" s="339"/>
      <c r="AP310" s="339"/>
      <c r="AQ310" s="339"/>
      <c r="AR310" s="339"/>
      <c r="AS310" s="339"/>
      <c r="AT310" s="339"/>
      <c r="AU310" s="339"/>
      <c r="AV310" s="339"/>
      <c r="AW310" s="339"/>
      <c r="AX310" s="339"/>
      <c r="AY310" s="339"/>
      <c r="AZ310" s="339"/>
      <c r="BA310" s="339"/>
      <c r="BB310" s="339"/>
      <c r="BC310" s="339"/>
      <c r="BD310" s="339"/>
    </row>
    <row r="311" spans="3:56">
      <c r="C311" s="339"/>
      <c r="D311" s="339"/>
      <c r="E311" s="339"/>
      <c r="F311" s="339"/>
      <c r="G311" s="339"/>
      <c r="H311" s="339"/>
      <c r="I311" s="339"/>
      <c r="J311" s="339"/>
      <c r="K311" s="339"/>
      <c r="L311" s="339"/>
      <c r="M311" s="339"/>
      <c r="N311" s="339"/>
      <c r="O311" s="339"/>
      <c r="P311" s="339"/>
      <c r="Q311" s="339"/>
      <c r="R311" s="339"/>
      <c r="S311" s="339"/>
      <c r="T311" s="339"/>
      <c r="U311" s="339"/>
      <c r="V311" s="339"/>
      <c r="W311" s="339"/>
      <c r="X311" s="339"/>
      <c r="Y311" s="339"/>
      <c r="Z311" s="339"/>
      <c r="AA311" s="339"/>
      <c r="AB311" s="339"/>
      <c r="AC311" s="339"/>
      <c r="AD311" s="339"/>
      <c r="AE311" s="339"/>
      <c r="AF311" s="339"/>
      <c r="AG311" s="339"/>
      <c r="AH311" s="339"/>
      <c r="AI311" s="339"/>
      <c r="AJ311" s="339"/>
      <c r="AK311" s="339"/>
      <c r="AL311" s="339"/>
      <c r="AM311" s="339"/>
      <c r="AN311" s="339"/>
      <c r="AO311" s="339"/>
      <c r="AP311" s="339"/>
      <c r="AQ311" s="339"/>
      <c r="AR311" s="339"/>
      <c r="AS311" s="339"/>
      <c r="AT311" s="339"/>
      <c r="AU311" s="339"/>
      <c r="AV311" s="339"/>
      <c r="AW311" s="339"/>
      <c r="AX311" s="339"/>
      <c r="AY311" s="339"/>
      <c r="AZ311" s="339"/>
      <c r="BA311" s="339"/>
      <c r="BB311" s="339"/>
      <c r="BC311" s="339"/>
      <c r="BD311" s="339"/>
    </row>
    <row r="312" spans="3:56">
      <c r="C312" s="339"/>
      <c r="D312" s="339"/>
      <c r="E312" s="339"/>
      <c r="F312" s="339"/>
      <c r="G312" s="339"/>
      <c r="H312" s="339"/>
      <c r="I312" s="339"/>
      <c r="J312" s="339"/>
      <c r="K312" s="339"/>
      <c r="L312" s="339"/>
      <c r="M312" s="339"/>
      <c r="N312" s="339"/>
      <c r="O312" s="339"/>
      <c r="P312" s="339"/>
      <c r="Q312" s="339"/>
      <c r="R312" s="339"/>
      <c r="S312" s="339"/>
      <c r="T312" s="339"/>
      <c r="U312" s="339"/>
      <c r="V312" s="339"/>
      <c r="W312" s="339"/>
      <c r="X312" s="339"/>
      <c r="Y312" s="339"/>
      <c r="Z312" s="339"/>
      <c r="AA312" s="339"/>
      <c r="AB312" s="339"/>
      <c r="AC312" s="339"/>
      <c r="AD312" s="339"/>
      <c r="AE312" s="339"/>
      <c r="AF312" s="339"/>
      <c r="AG312" s="339"/>
      <c r="AH312" s="339"/>
      <c r="AI312" s="339"/>
      <c r="AJ312" s="339"/>
      <c r="AK312" s="339"/>
      <c r="AL312" s="339"/>
      <c r="AM312" s="339"/>
      <c r="AN312" s="339"/>
      <c r="AO312" s="339"/>
      <c r="AP312" s="339"/>
      <c r="AQ312" s="339"/>
      <c r="AR312" s="339"/>
      <c r="AS312" s="339"/>
      <c r="AT312" s="339"/>
      <c r="AU312" s="339"/>
      <c r="AV312" s="339"/>
      <c r="AW312" s="339"/>
      <c r="AX312" s="339"/>
      <c r="AY312" s="339"/>
      <c r="AZ312" s="339"/>
      <c r="BA312" s="339"/>
      <c r="BB312" s="339"/>
      <c r="BC312" s="339"/>
      <c r="BD312" s="339"/>
    </row>
    <row r="313" spans="3:56">
      <c r="C313" s="339"/>
      <c r="D313" s="339"/>
      <c r="E313" s="339"/>
      <c r="F313" s="339"/>
      <c r="G313" s="339"/>
      <c r="H313" s="339"/>
      <c r="I313" s="339"/>
      <c r="J313" s="339"/>
      <c r="K313" s="339"/>
      <c r="L313" s="339"/>
      <c r="M313" s="339"/>
      <c r="N313" s="339"/>
      <c r="O313" s="339"/>
      <c r="P313" s="339"/>
      <c r="Q313" s="339"/>
      <c r="R313" s="339"/>
      <c r="S313" s="339"/>
      <c r="T313" s="339"/>
      <c r="U313" s="339"/>
      <c r="V313" s="339"/>
      <c r="W313" s="339"/>
      <c r="X313" s="339"/>
      <c r="Y313" s="339"/>
      <c r="Z313" s="339"/>
      <c r="AA313" s="339"/>
      <c r="AB313" s="339"/>
      <c r="AC313" s="339"/>
      <c r="AD313" s="339"/>
      <c r="AE313" s="339"/>
      <c r="AF313" s="339"/>
      <c r="AG313" s="339"/>
      <c r="AH313" s="339"/>
      <c r="AI313" s="339"/>
      <c r="AJ313" s="339"/>
      <c r="AK313" s="339"/>
      <c r="AL313" s="339"/>
      <c r="AM313" s="339"/>
      <c r="AN313" s="339"/>
      <c r="AO313" s="339"/>
      <c r="AP313" s="339"/>
      <c r="AQ313" s="339"/>
      <c r="AR313" s="339"/>
      <c r="AS313" s="339"/>
      <c r="AT313" s="339"/>
      <c r="AU313" s="339"/>
      <c r="AV313" s="339"/>
      <c r="AW313" s="339"/>
      <c r="AX313" s="339"/>
      <c r="AY313" s="339"/>
      <c r="AZ313" s="339"/>
      <c r="BA313" s="339"/>
      <c r="BB313" s="339"/>
      <c r="BC313" s="339"/>
      <c r="BD313" s="339"/>
    </row>
    <row r="314" spans="3:56">
      <c r="C314" s="339"/>
      <c r="D314" s="339"/>
      <c r="E314" s="339"/>
      <c r="F314" s="339"/>
      <c r="G314" s="339"/>
      <c r="H314" s="339"/>
      <c r="I314" s="339"/>
      <c r="J314" s="339"/>
      <c r="K314" s="339"/>
      <c r="L314" s="339"/>
      <c r="M314" s="339"/>
      <c r="N314" s="339"/>
      <c r="O314" s="339"/>
      <c r="P314" s="339"/>
      <c r="Q314" s="339"/>
      <c r="R314" s="339"/>
      <c r="S314" s="339"/>
      <c r="T314" s="339"/>
      <c r="U314" s="339"/>
      <c r="V314" s="339"/>
      <c r="W314" s="339"/>
      <c r="X314" s="339"/>
      <c r="Y314" s="339"/>
      <c r="Z314" s="339"/>
      <c r="AA314" s="339"/>
      <c r="AB314" s="339"/>
      <c r="AC314" s="339"/>
      <c r="AD314" s="339"/>
      <c r="AE314" s="339"/>
      <c r="AF314" s="339"/>
      <c r="AG314" s="339"/>
      <c r="AH314" s="339"/>
      <c r="AI314" s="339"/>
      <c r="AJ314" s="339"/>
      <c r="AK314" s="339"/>
      <c r="AL314" s="339"/>
      <c r="AM314" s="339"/>
      <c r="AN314" s="339"/>
      <c r="AO314" s="339"/>
      <c r="AP314" s="339"/>
      <c r="AQ314" s="339"/>
      <c r="AR314" s="339"/>
      <c r="AS314" s="339"/>
      <c r="AT314" s="339"/>
      <c r="AU314" s="339"/>
      <c r="AV314" s="339"/>
      <c r="AW314" s="339"/>
      <c r="AX314" s="339"/>
      <c r="AY314" s="339"/>
      <c r="AZ314" s="339"/>
      <c r="BA314" s="339"/>
      <c r="BB314" s="339"/>
      <c r="BC314" s="339"/>
      <c r="BD314" s="339"/>
    </row>
    <row r="315" spans="3:56">
      <c r="C315" s="339"/>
      <c r="D315" s="339"/>
      <c r="E315" s="339"/>
      <c r="F315" s="339"/>
      <c r="G315" s="339"/>
      <c r="H315" s="339"/>
      <c r="I315" s="339"/>
      <c r="J315" s="339"/>
      <c r="K315" s="339"/>
      <c r="L315" s="339"/>
      <c r="M315" s="339"/>
      <c r="N315" s="339"/>
      <c r="O315" s="339"/>
      <c r="P315" s="339"/>
      <c r="Q315" s="339"/>
      <c r="R315" s="339"/>
      <c r="S315" s="339"/>
      <c r="T315" s="339"/>
      <c r="U315" s="339"/>
      <c r="V315" s="339"/>
      <c r="W315" s="339"/>
      <c r="X315" s="339"/>
      <c r="Y315" s="339"/>
      <c r="Z315" s="339"/>
      <c r="AA315" s="339"/>
      <c r="AB315" s="339"/>
      <c r="AC315" s="339"/>
      <c r="AD315" s="339"/>
      <c r="AE315" s="339"/>
      <c r="AF315" s="339"/>
      <c r="AG315" s="339"/>
      <c r="AH315" s="339"/>
      <c r="AI315" s="339"/>
      <c r="AJ315" s="339"/>
      <c r="AK315" s="339"/>
      <c r="AL315" s="339"/>
      <c r="AM315" s="339"/>
      <c r="AN315" s="339"/>
      <c r="AO315" s="339"/>
      <c r="AP315" s="339"/>
      <c r="AQ315" s="339"/>
      <c r="AR315" s="339"/>
      <c r="AS315" s="339"/>
      <c r="AT315" s="339"/>
      <c r="AU315" s="339"/>
      <c r="AV315" s="339"/>
      <c r="AW315" s="339"/>
      <c r="AX315" s="339"/>
      <c r="AY315" s="339"/>
      <c r="AZ315" s="339"/>
      <c r="BA315" s="339"/>
      <c r="BB315" s="339"/>
      <c r="BC315" s="339"/>
      <c r="BD315" s="339"/>
    </row>
    <row r="316" spans="3:56">
      <c r="C316" s="339"/>
      <c r="D316" s="339"/>
      <c r="E316" s="339"/>
      <c r="F316" s="339"/>
      <c r="G316" s="339"/>
      <c r="H316" s="339"/>
      <c r="I316" s="339"/>
      <c r="J316" s="339"/>
      <c r="K316" s="339"/>
      <c r="L316" s="339"/>
      <c r="M316" s="339"/>
      <c r="N316" s="339"/>
      <c r="O316" s="339"/>
      <c r="P316" s="339"/>
      <c r="Q316" s="339"/>
      <c r="R316" s="339"/>
      <c r="S316" s="339"/>
      <c r="T316" s="339"/>
      <c r="U316" s="339"/>
      <c r="V316" s="339"/>
      <c r="W316" s="339"/>
      <c r="X316" s="339"/>
      <c r="Y316" s="339"/>
      <c r="Z316" s="339"/>
      <c r="AA316" s="339"/>
      <c r="AB316" s="339"/>
      <c r="AC316" s="339"/>
      <c r="AD316" s="339"/>
      <c r="AE316" s="339"/>
      <c r="AF316" s="339"/>
      <c r="AG316" s="339"/>
      <c r="AH316" s="339"/>
      <c r="AI316" s="339"/>
      <c r="AJ316" s="339"/>
      <c r="AK316" s="339"/>
      <c r="AL316" s="339"/>
      <c r="AM316" s="339"/>
      <c r="AN316" s="339"/>
      <c r="AO316" s="339"/>
      <c r="AP316" s="339"/>
      <c r="AQ316" s="339"/>
      <c r="AR316" s="339"/>
      <c r="AS316" s="339"/>
      <c r="AT316" s="339"/>
      <c r="AU316" s="339"/>
      <c r="AV316" s="339"/>
      <c r="AW316" s="339"/>
      <c r="AX316" s="339"/>
      <c r="AY316" s="339"/>
      <c r="AZ316" s="339"/>
      <c r="BA316" s="339"/>
      <c r="BB316" s="339"/>
      <c r="BC316" s="339"/>
      <c r="BD316" s="339"/>
    </row>
    <row r="317" spans="3:56">
      <c r="C317" s="339"/>
      <c r="D317" s="339"/>
      <c r="E317" s="339"/>
      <c r="F317" s="339"/>
      <c r="G317" s="339"/>
      <c r="H317" s="339"/>
      <c r="I317" s="339"/>
      <c r="J317" s="339"/>
      <c r="K317" s="339"/>
      <c r="L317" s="339"/>
      <c r="M317" s="339"/>
      <c r="N317" s="339"/>
      <c r="O317" s="339"/>
      <c r="P317" s="339"/>
      <c r="Q317" s="339"/>
      <c r="R317" s="339"/>
      <c r="S317" s="339"/>
      <c r="T317" s="339"/>
      <c r="U317" s="339"/>
      <c r="V317" s="339"/>
      <c r="W317" s="339"/>
      <c r="X317" s="339"/>
      <c r="Y317" s="339"/>
      <c r="Z317" s="339"/>
      <c r="AA317" s="339"/>
      <c r="AB317" s="339"/>
      <c r="AC317" s="339"/>
      <c r="AD317" s="339"/>
      <c r="AE317" s="339"/>
      <c r="AF317" s="339"/>
      <c r="AG317" s="339"/>
      <c r="AH317" s="339"/>
      <c r="AI317" s="339"/>
      <c r="AJ317" s="339"/>
      <c r="AK317" s="339"/>
      <c r="AL317" s="339"/>
      <c r="AM317" s="339"/>
      <c r="AN317" s="339"/>
      <c r="AO317" s="339"/>
      <c r="AP317" s="339"/>
      <c r="AQ317" s="339"/>
      <c r="AR317" s="339"/>
      <c r="AS317" s="339"/>
      <c r="AT317" s="339"/>
      <c r="AU317" s="339"/>
      <c r="AV317" s="339"/>
      <c r="AW317" s="339"/>
      <c r="AX317" s="339"/>
      <c r="AY317" s="339"/>
      <c r="AZ317" s="339"/>
      <c r="BA317" s="339"/>
      <c r="BB317" s="339"/>
      <c r="BC317" s="339"/>
      <c r="BD317" s="339"/>
    </row>
    <row r="318" spans="3:56">
      <c r="C318" s="339"/>
      <c r="D318" s="339"/>
      <c r="E318" s="339"/>
      <c r="F318" s="339"/>
      <c r="G318" s="339"/>
      <c r="H318" s="339"/>
      <c r="I318" s="339"/>
      <c r="J318" s="339"/>
      <c r="K318" s="339"/>
      <c r="L318" s="339"/>
      <c r="M318" s="339"/>
      <c r="N318" s="339"/>
      <c r="O318" s="339"/>
      <c r="P318" s="339"/>
      <c r="Q318" s="339"/>
      <c r="R318" s="339"/>
      <c r="S318" s="339"/>
      <c r="T318" s="339"/>
      <c r="U318" s="339"/>
      <c r="V318" s="339"/>
      <c r="W318" s="339"/>
      <c r="X318" s="339"/>
      <c r="Y318" s="339"/>
      <c r="Z318" s="339"/>
      <c r="AA318" s="339"/>
      <c r="AB318" s="339"/>
      <c r="AC318" s="339"/>
      <c r="AD318" s="339"/>
      <c r="AE318" s="339"/>
      <c r="AF318" s="339"/>
      <c r="AG318" s="339"/>
      <c r="AH318" s="339"/>
      <c r="AI318" s="339"/>
      <c r="AJ318" s="339"/>
      <c r="AK318" s="339"/>
      <c r="AL318" s="339"/>
      <c r="AM318" s="339"/>
      <c r="AN318" s="339"/>
      <c r="AO318" s="339"/>
      <c r="AP318" s="339"/>
      <c r="AQ318" s="339"/>
      <c r="AR318" s="339"/>
      <c r="AS318" s="339"/>
      <c r="AT318" s="339"/>
      <c r="AU318" s="339"/>
      <c r="AV318" s="339"/>
      <c r="AW318" s="339"/>
      <c r="AX318" s="339"/>
      <c r="AY318" s="339"/>
      <c r="AZ318" s="339"/>
      <c r="BA318" s="339"/>
      <c r="BB318" s="339"/>
      <c r="BC318" s="339"/>
      <c r="BD318" s="339"/>
    </row>
    <row r="319" spans="3:56">
      <c r="C319" s="339"/>
      <c r="D319" s="339"/>
      <c r="E319" s="339"/>
      <c r="F319" s="339"/>
      <c r="G319" s="339"/>
      <c r="H319" s="339"/>
      <c r="I319" s="339"/>
      <c r="J319" s="339"/>
      <c r="K319" s="339"/>
      <c r="L319" s="339"/>
      <c r="M319" s="339"/>
      <c r="N319" s="339"/>
      <c r="O319" s="339"/>
      <c r="P319" s="339"/>
      <c r="Q319" s="339"/>
      <c r="R319" s="339"/>
      <c r="S319" s="339"/>
      <c r="T319" s="339"/>
      <c r="U319" s="339"/>
      <c r="V319" s="339"/>
      <c r="W319" s="339"/>
      <c r="X319" s="339"/>
      <c r="Y319" s="339"/>
      <c r="Z319" s="339"/>
      <c r="AA319" s="339"/>
      <c r="AB319" s="339"/>
      <c r="AC319" s="339"/>
      <c r="AD319" s="339"/>
      <c r="AE319" s="339"/>
      <c r="AF319" s="339"/>
      <c r="AG319" s="339"/>
      <c r="AH319" s="339"/>
      <c r="AI319" s="339"/>
      <c r="AJ319" s="339"/>
      <c r="AK319" s="339"/>
      <c r="AL319" s="339"/>
      <c r="AM319" s="339"/>
      <c r="AN319" s="339"/>
      <c r="AO319" s="339"/>
      <c r="AP319" s="339"/>
      <c r="AQ319" s="339"/>
      <c r="AR319" s="339"/>
      <c r="AS319" s="339"/>
      <c r="AT319" s="339"/>
      <c r="AU319" s="339"/>
      <c r="AV319" s="339"/>
      <c r="AW319" s="339"/>
      <c r="AX319" s="339"/>
      <c r="AY319" s="339"/>
      <c r="AZ319" s="339"/>
      <c r="BA319" s="339"/>
      <c r="BB319" s="339"/>
      <c r="BC319" s="339"/>
      <c r="BD319" s="339"/>
    </row>
    <row r="320" spans="3:56">
      <c r="C320" s="339"/>
      <c r="D320" s="339"/>
      <c r="E320" s="339"/>
      <c r="F320" s="339"/>
      <c r="G320" s="339"/>
      <c r="H320" s="339"/>
      <c r="I320" s="339"/>
      <c r="J320" s="339"/>
      <c r="K320" s="339"/>
      <c r="L320" s="339"/>
      <c r="M320" s="339"/>
      <c r="N320" s="339"/>
      <c r="O320" s="339"/>
      <c r="P320" s="339"/>
      <c r="Q320" s="339"/>
      <c r="R320" s="339"/>
      <c r="S320" s="339"/>
      <c r="T320" s="339"/>
      <c r="U320" s="339"/>
      <c r="V320" s="339"/>
      <c r="W320" s="339"/>
      <c r="X320" s="339"/>
      <c r="Y320" s="339"/>
      <c r="Z320" s="339"/>
      <c r="AA320" s="339"/>
      <c r="AB320" s="339"/>
      <c r="AC320" s="339"/>
      <c r="AD320" s="339"/>
      <c r="AE320" s="339"/>
      <c r="AF320" s="339"/>
      <c r="AG320" s="339"/>
      <c r="AH320" s="339"/>
      <c r="AI320" s="339"/>
      <c r="AJ320" s="339"/>
      <c r="AK320" s="339"/>
      <c r="AL320" s="339"/>
      <c r="AM320" s="339"/>
      <c r="AN320" s="339"/>
      <c r="AO320" s="339"/>
      <c r="AP320" s="339"/>
      <c r="AQ320" s="339"/>
      <c r="AR320" s="339"/>
      <c r="AS320" s="339"/>
      <c r="AT320" s="339"/>
      <c r="AU320" s="339"/>
      <c r="AV320" s="339"/>
      <c r="AW320" s="339"/>
      <c r="AX320" s="339"/>
      <c r="AY320" s="339"/>
      <c r="AZ320" s="339"/>
      <c r="BA320" s="339"/>
      <c r="BB320" s="339"/>
      <c r="BC320" s="339"/>
      <c r="BD320" s="339"/>
    </row>
    <row r="321" spans="3:56">
      <c r="C321" s="339"/>
      <c r="D321" s="339"/>
      <c r="E321" s="339"/>
      <c r="F321" s="339"/>
      <c r="G321" s="339"/>
      <c r="H321" s="339"/>
      <c r="I321" s="339"/>
      <c r="J321" s="339"/>
      <c r="K321" s="339"/>
      <c r="L321" s="339"/>
      <c r="M321" s="339"/>
      <c r="N321" s="339"/>
      <c r="O321" s="339"/>
      <c r="P321" s="339"/>
      <c r="Q321" s="339"/>
      <c r="R321" s="339"/>
      <c r="S321" s="339"/>
      <c r="T321" s="339"/>
      <c r="U321" s="339"/>
      <c r="V321" s="339"/>
      <c r="W321" s="339"/>
      <c r="X321" s="339"/>
      <c r="Y321" s="339"/>
      <c r="Z321" s="339"/>
      <c r="AA321" s="339"/>
      <c r="AB321" s="339"/>
      <c r="AC321" s="339"/>
      <c r="AD321" s="339"/>
      <c r="AE321" s="339"/>
      <c r="AF321" s="339"/>
      <c r="AG321" s="339"/>
      <c r="AH321" s="339"/>
      <c r="AI321" s="339"/>
      <c r="AJ321" s="339"/>
      <c r="AK321" s="339"/>
      <c r="AL321" s="339"/>
      <c r="AM321" s="339"/>
      <c r="AN321" s="339"/>
      <c r="AO321" s="339"/>
      <c r="AP321" s="339"/>
      <c r="AQ321" s="339"/>
      <c r="AR321" s="339"/>
      <c r="AS321" s="339"/>
      <c r="AT321" s="339"/>
      <c r="AU321" s="339"/>
      <c r="AV321" s="339"/>
      <c r="AW321" s="339"/>
      <c r="AX321" s="339"/>
      <c r="AY321" s="339"/>
      <c r="AZ321" s="339"/>
      <c r="BA321" s="339"/>
      <c r="BB321" s="339"/>
      <c r="BC321" s="339"/>
      <c r="BD321" s="339"/>
    </row>
    <row r="322" spans="3:56">
      <c r="C322" s="339"/>
      <c r="D322" s="339"/>
      <c r="E322" s="339"/>
      <c r="F322" s="339"/>
      <c r="G322" s="339"/>
      <c r="H322" s="339"/>
      <c r="I322" s="339"/>
      <c r="J322" s="339"/>
      <c r="K322" s="339"/>
      <c r="L322" s="339"/>
      <c r="M322" s="339"/>
      <c r="N322" s="339"/>
      <c r="O322" s="339"/>
      <c r="P322" s="339"/>
      <c r="Q322" s="339"/>
      <c r="R322" s="339"/>
      <c r="S322" s="339"/>
      <c r="T322" s="339"/>
      <c r="U322" s="339"/>
      <c r="V322" s="339"/>
      <c r="W322" s="339"/>
      <c r="X322" s="339"/>
      <c r="Y322" s="339"/>
      <c r="Z322" s="339"/>
      <c r="AA322" s="339"/>
      <c r="AB322" s="339"/>
      <c r="AC322" s="339"/>
      <c r="AD322" s="339"/>
      <c r="AE322" s="339"/>
      <c r="AF322" s="339"/>
      <c r="AG322" s="339"/>
      <c r="AH322" s="339"/>
      <c r="AI322" s="339"/>
      <c r="AJ322" s="339"/>
      <c r="AK322" s="339"/>
      <c r="AL322" s="339"/>
      <c r="AM322" s="339"/>
      <c r="AN322" s="339"/>
      <c r="AO322" s="339"/>
      <c r="AP322" s="339"/>
      <c r="AQ322" s="339"/>
      <c r="AR322" s="339"/>
      <c r="AS322" s="339"/>
      <c r="AT322" s="339"/>
      <c r="AU322" s="339"/>
      <c r="AV322" s="339"/>
      <c r="AW322" s="339"/>
      <c r="AX322" s="339"/>
      <c r="AY322" s="339"/>
      <c r="AZ322" s="339"/>
      <c r="BA322" s="339"/>
      <c r="BB322" s="339"/>
      <c r="BC322" s="339"/>
      <c r="BD322" s="339"/>
    </row>
    <row r="323" spans="3:56">
      <c r="C323" s="339"/>
      <c r="D323" s="339"/>
      <c r="E323" s="339"/>
      <c r="F323" s="339"/>
      <c r="G323" s="339"/>
      <c r="H323" s="339"/>
      <c r="I323" s="339"/>
      <c r="J323" s="339"/>
      <c r="K323" s="339"/>
      <c r="L323" s="339"/>
      <c r="M323" s="339"/>
      <c r="N323" s="339"/>
      <c r="O323" s="339"/>
      <c r="P323" s="339"/>
      <c r="Q323" s="339"/>
      <c r="R323" s="339"/>
      <c r="S323" s="339"/>
      <c r="T323" s="339"/>
      <c r="U323" s="339"/>
      <c r="V323" s="339"/>
      <c r="W323" s="339"/>
      <c r="X323" s="339"/>
      <c r="Y323" s="339"/>
      <c r="Z323" s="339"/>
      <c r="AA323" s="339"/>
      <c r="AB323" s="339"/>
      <c r="AC323" s="339"/>
      <c r="AD323" s="339"/>
      <c r="AE323" s="339"/>
      <c r="AF323" s="339"/>
      <c r="AG323" s="339"/>
      <c r="AH323" s="339"/>
      <c r="AI323" s="339"/>
      <c r="AJ323" s="339"/>
      <c r="AK323" s="339"/>
      <c r="AL323" s="339"/>
      <c r="AM323" s="339"/>
      <c r="AN323" s="339"/>
      <c r="AO323" s="339"/>
      <c r="AP323" s="339"/>
      <c r="AQ323" s="339"/>
      <c r="AR323" s="339"/>
      <c r="AS323" s="339"/>
      <c r="AT323" s="339"/>
      <c r="AU323" s="339"/>
      <c r="AV323" s="339"/>
      <c r="AW323" s="339"/>
      <c r="AX323" s="339"/>
      <c r="AY323" s="339"/>
      <c r="AZ323" s="339"/>
      <c r="BA323" s="339"/>
      <c r="BB323" s="339"/>
      <c r="BC323" s="339"/>
      <c r="BD323" s="339"/>
    </row>
    <row r="324" spans="3:56">
      <c r="C324" s="339"/>
      <c r="D324" s="339"/>
      <c r="E324" s="339"/>
      <c r="F324" s="339"/>
      <c r="G324" s="339"/>
      <c r="H324" s="339"/>
      <c r="I324" s="339"/>
      <c r="J324" s="339"/>
      <c r="K324" s="339"/>
      <c r="L324" s="339"/>
      <c r="M324" s="339"/>
      <c r="N324" s="339"/>
      <c r="O324" s="339"/>
      <c r="P324" s="339"/>
      <c r="Q324" s="339"/>
      <c r="R324" s="339"/>
      <c r="S324" s="339"/>
      <c r="T324" s="339"/>
      <c r="U324" s="339"/>
      <c r="V324" s="339"/>
      <c r="W324" s="339"/>
      <c r="X324" s="339"/>
      <c r="Y324" s="339"/>
      <c r="Z324" s="339"/>
      <c r="AA324" s="339"/>
      <c r="AB324" s="339"/>
      <c r="AC324" s="339"/>
      <c r="AD324" s="339"/>
      <c r="AE324" s="339"/>
      <c r="AF324" s="339"/>
      <c r="AG324" s="339"/>
      <c r="AH324" s="339"/>
      <c r="AI324" s="339"/>
      <c r="AJ324" s="339"/>
      <c r="AK324" s="339"/>
      <c r="AL324" s="339"/>
      <c r="AM324" s="339"/>
      <c r="AN324" s="339"/>
      <c r="AO324" s="339"/>
      <c r="AP324" s="339"/>
      <c r="AQ324" s="339"/>
      <c r="AR324" s="339"/>
      <c r="AS324" s="339"/>
      <c r="AT324" s="339"/>
      <c r="AU324" s="339"/>
      <c r="AV324" s="339"/>
      <c r="AW324" s="339"/>
      <c r="AX324" s="339"/>
      <c r="AY324" s="339"/>
      <c r="AZ324" s="339"/>
      <c r="BA324" s="339"/>
      <c r="BB324" s="339"/>
      <c r="BC324" s="339"/>
      <c r="BD324" s="339"/>
    </row>
    <row r="325" spans="3:56">
      <c r="C325" s="339"/>
      <c r="D325" s="339"/>
      <c r="E325" s="339"/>
      <c r="F325" s="339"/>
      <c r="G325" s="339"/>
      <c r="H325" s="339"/>
      <c r="I325" s="339"/>
      <c r="J325" s="339"/>
      <c r="K325" s="339"/>
      <c r="L325" s="339"/>
      <c r="M325" s="339"/>
      <c r="N325" s="339"/>
      <c r="O325" s="339"/>
      <c r="P325" s="339"/>
      <c r="Q325" s="339"/>
      <c r="R325" s="339"/>
      <c r="S325" s="339"/>
      <c r="T325" s="339"/>
      <c r="U325" s="339"/>
      <c r="V325" s="339"/>
      <c r="W325" s="339"/>
      <c r="X325" s="339"/>
      <c r="Y325" s="339"/>
      <c r="Z325" s="339"/>
      <c r="AA325" s="339"/>
      <c r="AB325" s="339"/>
      <c r="AC325" s="339"/>
      <c r="AD325" s="339"/>
      <c r="AE325" s="339"/>
      <c r="AF325" s="339"/>
      <c r="AG325" s="339"/>
      <c r="AH325" s="339"/>
      <c r="AI325" s="339"/>
      <c r="AJ325" s="339"/>
      <c r="AK325" s="339"/>
      <c r="AL325" s="339"/>
      <c r="AM325" s="339"/>
      <c r="AN325" s="339"/>
      <c r="AO325" s="339"/>
      <c r="AP325" s="339"/>
      <c r="AQ325" s="339"/>
      <c r="AR325" s="339"/>
      <c r="AS325" s="339"/>
      <c r="AT325" s="339"/>
      <c r="AU325" s="339"/>
      <c r="AV325" s="339"/>
      <c r="AW325" s="339"/>
      <c r="AX325" s="339"/>
      <c r="AY325" s="339"/>
      <c r="AZ325" s="339"/>
      <c r="BA325" s="339"/>
      <c r="BB325" s="339"/>
      <c r="BC325" s="339"/>
      <c r="BD325" s="339"/>
    </row>
    <row r="326" spans="3:56">
      <c r="C326" s="339"/>
      <c r="D326" s="339"/>
      <c r="E326" s="339"/>
      <c r="F326" s="339"/>
      <c r="G326" s="339"/>
      <c r="H326" s="339"/>
      <c r="I326" s="339"/>
      <c r="J326" s="339"/>
      <c r="K326" s="339"/>
      <c r="L326" s="339"/>
      <c r="M326" s="339"/>
      <c r="N326" s="339"/>
      <c r="O326" s="339"/>
      <c r="P326" s="339"/>
      <c r="Q326" s="339"/>
      <c r="R326" s="339"/>
      <c r="S326" s="339"/>
      <c r="T326" s="339"/>
      <c r="U326" s="339"/>
      <c r="V326" s="339"/>
      <c r="W326" s="339"/>
      <c r="X326" s="339"/>
      <c r="Y326" s="339"/>
      <c r="Z326" s="339"/>
      <c r="AA326" s="339"/>
      <c r="AB326" s="339"/>
      <c r="AC326" s="339"/>
      <c r="AD326" s="339"/>
      <c r="AE326" s="339"/>
      <c r="AF326" s="339"/>
      <c r="AG326" s="339"/>
      <c r="AH326" s="339"/>
      <c r="AI326" s="339"/>
      <c r="AJ326" s="339"/>
      <c r="AK326" s="339"/>
      <c r="AL326" s="339"/>
      <c r="AM326" s="339"/>
      <c r="AN326" s="339"/>
      <c r="AO326" s="339"/>
      <c r="AP326" s="339"/>
      <c r="AQ326" s="339"/>
      <c r="AR326" s="339"/>
      <c r="AS326" s="339"/>
      <c r="AT326" s="339"/>
      <c r="AU326" s="339"/>
      <c r="AV326" s="339"/>
      <c r="AW326" s="339"/>
      <c r="AX326" s="339"/>
      <c r="AY326" s="339"/>
      <c r="AZ326" s="339"/>
      <c r="BA326" s="339"/>
      <c r="BB326" s="339"/>
      <c r="BC326" s="339"/>
      <c r="BD326" s="339"/>
    </row>
    <row r="327" spans="3:56">
      <c r="C327" s="339"/>
      <c r="D327" s="339"/>
      <c r="E327" s="339"/>
      <c r="F327" s="339"/>
      <c r="G327" s="339"/>
      <c r="H327" s="339"/>
      <c r="I327" s="339"/>
      <c r="J327" s="339"/>
      <c r="K327" s="339"/>
      <c r="L327" s="339"/>
      <c r="M327" s="339"/>
      <c r="N327" s="339"/>
      <c r="O327" s="339"/>
      <c r="P327" s="339"/>
      <c r="Q327" s="339"/>
      <c r="R327" s="339"/>
      <c r="S327" s="339"/>
      <c r="T327" s="339"/>
      <c r="U327" s="339"/>
      <c r="V327" s="339"/>
      <c r="W327" s="339"/>
      <c r="X327" s="339"/>
      <c r="Y327" s="339"/>
      <c r="Z327" s="339"/>
      <c r="AA327" s="339"/>
      <c r="AB327" s="339"/>
      <c r="AC327" s="339"/>
      <c r="AD327" s="339"/>
      <c r="AE327" s="339"/>
      <c r="AF327" s="339"/>
      <c r="AG327" s="339"/>
      <c r="AH327" s="339"/>
      <c r="AI327" s="339"/>
      <c r="AJ327" s="339"/>
      <c r="AK327" s="339"/>
      <c r="AL327" s="339"/>
      <c r="AM327" s="339"/>
      <c r="AN327" s="339"/>
      <c r="AO327" s="339"/>
      <c r="AP327" s="339"/>
      <c r="AQ327" s="339"/>
      <c r="AR327" s="339"/>
      <c r="AS327" s="339"/>
      <c r="AT327" s="339"/>
      <c r="AU327" s="339"/>
      <c r="AV327" s="339"/>
      <c r="AW327" s="339"/>
      <c r="AX327" s="339"/>
      <c r="AY327" s="339"/>
      <c r="AZ327" s="339"/>
      <c r="BA327" s="339"/>
      <c r="BB327" s="339"/>
      <c r="BC327" s="339"/>
      <c r="BD327" s="339"/>
    </row>
    <row r="328" spans="3:56">
      <c r="C328" s="339"/>
      <c r="D328" s="339"/>
      <c r="E328" s="339"/>
      <c r="F328" s="339"/>
      <c r="G328" s="339"/>
      <c r="H328" s="339"/>
      <c r="I328" s="339"/>
      <c r="J328" s="339"/>
      <c r="K328" s="339"/>
      <c r="L328" s="339"/>
      <c r="M328" s="339"/>
      <c r="N328" s="339"/>
      <c r="O328" s="339"/>
      <c r="P328" s="339"/>
      <c r="Q328" s="339"/>
      <c r="R328" s="339"/>
      <c r="S328" s="339"/>
      <c r="T328" s="339"/>
      <c r="U328" s="339"/>
      <c r="V328" s="339"/>
      <c r="W328" s="339"/>
      <c r="X328" s="339"/>
      <c r="Y328" s="339"/>
      <c r="Z328" s="339"/>
      <c r="AA328" s="339"/>
      <c r="AB328" s="339"/>
      <c r="AC328" s="339"/>
      <c r="AD328" s="339"/>
      <c r="AE328" s="339"/>
      <c r="AF328" s="339"/>
      <c r="AG328" s="339"/>
      <c r="AH328" s="339"/>
      <c r="AI328" s="339"/>
      <c r="AJ328" s="339"/>
      <c r="AK328" s="339"/>
      <c r="AL328" s="339"/>
      <c r="AM328" s="339"/>
      <c r="AN328" s="339"/>
      <c r="AO328" s="339"/>
      <c r="AP328" s="339"/>
      <c r="AQ328" s="339"/>
      <c r="AR328" s="339"/>
      <c r="AS328" s="339"/>
      <c r="AT328" s="339"/>
      <c r="AU328" s="339"/>
      <c r="AV328" s="339"/>
      <c r="AW328" s="339"/>
      <c r="AX328" s="339"/>
      <c r="AY328" s="339"/>
      <c r="AZ328" s="339"/>
      <c r="BA328" s="339"/>
      <c r="BB328" s="339"/>
      <c r="BC328" s="339"/>
      <c r="BD328" s="339"/>
    </row>
    <row r="329" spans="3:56">
      <c r="C329" s="339"/>
      <c r="D329" s="339"/>
      <c r="E329" s="339"/>
      <c r="F329" s="339"/>
      <c r="G329" s="339"/>
      <c r="H329" s="339"/>
      <c r="I329" s="339"/>
      <c r="J329" s="339"/>
      <c r="K329" s="339"/>
      <c r="L329" s="339"/>
      <c r="M329" s="339"/>
      <c r="N329" s="339"/>
      <c r="O329" s="339"/>
      <c r="P329" s="339"/>
      <c r="Q329" s="339"/>
      <c r="R329" s="339"/>
      <c r="S329" s="339"/>
      <c r="T329" s="339"/>
      <c r="U329" s="339"/>
      <c r="V329" s="339"/>
      <c r="W329" s="339"/>
      <c r="X329" s="339"/>
      <c r="Y329" s="339"/>
      <c r="Z329" s="339"/>
      <c r="AA329" s="339"/>
      <c r="AB329" s="339"/>
      <c r="AC329" s="339"/>
      <c r="AD329" s="339"/>
      <c r="AE329" s="339"/>
      <c r="AF329" s="339"/>
      <c r="AG329" s="339"/>
      <c r="AH329" s="339"/>
      <c r="AI329" s="339"/>
      <c r="AJ329" s="339"/>
      <c r="AK329" s="339"/>
      <c r="AL329" s="339"/>
      <c r="AM329" s="339"/>
      <c r="AN329" s="339"/>
      <c r="AO329" s="339"/>
      <c r="AP329" s="339"/>
      <c r="AQ329" s="339"/>
      <c r="AR329" s="339"/>
      <c r="AS329" s="339"/>
      <c r="AT329" s="339"/>
      <c r="AU329" s="339"/>
      <c r="AV329" s="339"/>
      <c r="AW329" s="339"/>
      <c r="AX329" s="339"/>
      <c r="AY329" s="339"/>
      <c r="AZ329" s="339"/>
      <c r="BA329" s="339"/>
      <c r="BB329" s="339"/>
      <c r="BC329" s="339"/>
      <c r="BD329" s="339"/>
    </row>
    <row r="330" spans="3:56">
      <c r="C330" s="339"/>
      <c r="D330" s="339"/>
      <c r="E330" s="339"/>
      <c r="F330" s="339"/>
      <c r="G330" s="339"/>
      <c r="H330" s="339"/>
      <c r="I330" s="339"/>
      <c r="J330" s="339"/>
      <c r="K330" s="339"/>
      <c r="L330" s="339"/>
      <c r="M330" s="339"/>
      <c r="N330" s="339"/>
      <c r="O330" s="339"/>
      <c r="P330" s="339"/>
      <c r="Q330" s="339"/>
      <c r="R330" s="339"/>
      <c r="S330" s="339"/>
      <c r="T330" s="339"/>
      <c r="U330" s="339"/>
      <c r="V330" s="339"/>
      <c r="W330" s="339"/>
      <c r="X330" s="339"/>
      <c r="Y330" s="339"/>
      <c r="Z330" s="339"/>
      <c r="AA330" s="339"/>
      <c r="AB330" s="339"/>
      <c r="AC330" s="339"/>
      <c r="AD330" s="339"/>
      <c r="AE330" s="339"/>
      <c r="AF330" s="339"/>
      <c r="AG330" s="339"/>
      <c r="AH330" s="339"/>
      <c r="AI330" s="339"/>
      <c r="AJ330" s="339"/>
      <c r="AK330" s="339"/>
      <c r="AL330" s="339"/>
      <c r="AM330" s="339"/>
      <c r="AN330" s="339"/>
      <c r="AO330" s="339"/>
      <c r="AP330" s="339"/>
      <c r="AQ330" s="339"/>
      <c r="AR330" s="339"/>
      <c r="AS330" s="339"/>
      <c r="AT330" s="339"/>
      <c r="AU330" s="339"/>
      <c r="AV330" s="339"/>
      <c r="AW330" s="339"/>
      <c r="AX330" s="339"/>
      <c r="AY330" s="339"/>
      <c r="AZ330" s="339"/>
      <c r="BA330" s="339"/>
      <c r="BB330" s="339"/>
      <c r="BC330" s="339"/>
      <c r="BD330" s="339"/>
    </row>
    <row r="331" spans="3:56">
      <c r="C331" s="339"/>
      <c r="D331" s="339"/>
      <c r="E331" s="339"/>
      <c r="F331" s="339"/>
      <c r="G331" s="339"/>
      <c r="H331" s="339"/>
      <c r="I331" s="339"/>
      <c r="J331" s="339"/>
      <c r="K331" s="339"/>
      <c r="L331" s="339"/>
      <c r="M331" s="339"/>
      <c r="N331" s="339"/>
      <c r="O331" s="339"/>
      <c r="P331" s="339"/>
      <c r="Q331" s="339"/>
      <c r="R331" s="339"/>
      <c r="S331" s="339"/>
      <c r="T331" s="339"/>
      <c r="U331" s="339"/>
      <c r="V331" s="339"/>
      <c r="W331" s="339"/>
      <c r="X331" s="339"/>
      <c r="Y331" s="339"/>
      <c r="Z331" s="339"/>
      <c r="AA331" s="339"/>
      <c r="AB331" s="339"/>
      <c r="AC331" s="339"/>
      <c r="AD331" s="339"/>
      <c r="AE331" s="339"/>
      <c r="AF331" s="339"/>
      <c r="AG331" s="339"/>
      <c r="AH331" s="339"/>
      <c r="AI331" s="339"/>
      <c r="AJ331" s="339"/>
      <c r="AK331" s="339"/>
      <c r="AL331" s="339"/>
      <c r="AM331" s="339"/>
      <c r="AN331" s="339"/>
      <c r="AO331" s="339"/>
      <c r="AP331" s="339"/>
      <c r="AQ331" s="339"/>
      <c r="AR331" s="339"/>
      <c r="AS331" s="339"/>
      <c r="AT331" s="339"/>
      <c r="AU331" s="339"/>
      <c r="AV331" s="339"/>
      <c r="AW331" s="339"/>
      <c r="AX331" s="339"/>
      <c r="AY331" s="339"/>
      <c r="AZ331" s="339"/>
      <c r="BA331" s="339"/>
      <c r="BB331" s="339"/>
      <c r="BC331" s="339"/>
      <c r="BD331" s="339"/>
    </row>
    <row r="332" spans="3:56">
      <c r="C332" s="339"/>
      <c r="D332" s="339"/>
      <c r="E332" s="339"/>
      <c r="F332" s="339"/>
      <c r="G332" s="339"/>
      <c r="H332" s="339"/>
      <c r="I332" s="339"/>
      <c r="J332" s="339"/>
      <c r="K332" s="339"/>
      <c r="L332" s="339"/>
      <c r="M332" s="339"/>
      <c r="N332" s="339"/>
      <c r="O332" s="339"/>
      <c r="P332" s="339"/>
      <c r="Q332" s="339"/>
      <c r="R332" s="339"/>
      <c r="S332" s="339"/>
      <c r="T332" s="339"/>
      <c r="U332" s="339"/>
      <c r="V332" s="339"/>
      <c r="W332" s="339"/>
      <c r="X332" s="339"/>
      <c r="Y332" s="339"/>
      <c r="Z332" s="339"/>
      <c r="AA332" s="339"/>
      <c r="AB332" s="339"/>
      <c r="AC332" s="339"/>
      <c r="AD332" s="339"/>
      <c r="AE332" s="339"/>
      <c r="AF332" s="339"/>
      <c r="AG332" s="339"/>
      <c r="AH332" s="339"/>
      <c r="AI332" s="339"/>
      <c r="AJ332" s="339"/>
      <c r="AK332" s="339"/>
      <c r="AL332" s="339"/>
      <c r="AM332" s="339"/>
      <c r="AN332" s="339"/>
      <c r="AO332" s="339"/>
      <c r="AP332" s="339"/>
      <c r="AQ332" s="339"/>
      <c r="AR332" s="339"/>
      <c r="AS332" s="339"/>
      <c r="AT332" s="339"/>
      <c r="AU332" s="339"/>
      <c r="AV332" s="339"/>
      <c r="AW332" s="339"/>
      <c r="AX332" s="339"/>
      <c r="AY332" s="339"/>
      <c r="AZ332" s="339"/>
      <c r="BA332" s="339"/>
      <c r="BB332" s="339"/>
      <c r="BC332" s="339"/>
      <c r="BD332" s="339"/>
    </row>
    <row r="333" spans="3:56">
      <c r="C333" s="339"/>
      <c r="D333" s="339"/>
      <c r="E333" s="339"/>
      <c r="F333" s="339"/>
      <c r="G333" s="339"/>
      <c r="H333" s="339"/>
      <c r="I333" s="339"/>
      <c r="J333" s="339"/>
      <c r="K333" s="339"/>
      <c r="L333" s="339"/>
      <c r="M333" s="339"/>
      <c r="N333" s="339"/>
      <c r="O333" s="339"/>
      <c r="P333" s="339"/>
      <c r="Q333" s="339"/>
      <c r="R333" s="339"/>
      <c r="S333" s="339"/>
      <c r="T333" s="339"/>
      <c r="U333" s="339"/>
      <c r="V333" s="339"/>
      <c r="W333" s="339"/>
      <c r="X333" s="339"/>
      <c r="Y333" s="339"/>
      <c r="Z333" s="339"/>
      <c r="AA333" s="339"/>
      <c r="AB333" s="339"/>
      <c r="AC333" s="339"/>
      <c r="AD333" s="339"/>
      <c r="AE333" s="339"/>
      <c r="AF333" s="339"/>
      <c r="AG333" s="339"/>
      <c r="AH333" s="339"/>
      <c r="AI333" s="339"/>
      <c r="AJ333" s="339"/>
      <c r="AK333" s="339"/>
      <c r="AL333" s="339"/>
      <c r="AM333" s="339"/>
      <c r="AN333" s="339"/>
      <c r="AO333" s="339"/>
      <c r="AP333" s="339"/>
      <c r="AQ333" s="339"/>
      <c r="AR333" s="339"/>
      <c r="AS333" s="339"/>
      <c r="AT333" s="339"/>
      <c r="AU333" s="339"/>
      <c r="AV333" s="339"/>
      <c r="AW333" s="339"/>
      <c r="AX333" s="339"/>
      <c r="AY333" s="339"/>
      <c r="AZ333" s="339"/>
      <c r="BA333" s="339"/>
      <c r="BB333" s="339"/>
      <c r="BC333" s="339"/>
      <c r="BD333" s="339"/>
    </row>
    <row r="334" spans="3:56">
      <c r="C334" s="339"/>
      <c r="D334" s="339"/>
      <c r="E334" s="339"/>
      <c r="F334" s="339"/>
      <c r="G334" s="339"/>
      <c r="H334" s="339"/>
      <c r="I334" s="339"/>
      <c r="J334" s="339"/>
      <c r="K334" s="339"/>
      <c r="L334" s="339"/>
      <c r="M334" s="339"/>
      <c r="N334" s="339"/>
      <c r="O334" s="339"/>
      <c r="P334" s="339"/>
      <c r="Q334" s="339"/>
      <c r="R334" s="339"/>
      <c r="S334" s="339"/>
      <c r="T334" s="339"/>
      <c r="U334" s="339"/>
      <c r="V334" s="339"/>
      <c r="W334" s="339"/>
      <c r="X334" s="339"/>
      <c r="Y334" s="339"/>
      <c r="Z334" s="339"/>
      <c r="AA334" s="339"/>
      <c r="AB334" s="339"/>
      <c r="AC334" s="339"/>
      <c r="AD334" s="339"/>
      <c r="AE334" s="339"/>
      <c r="AF334" s="339"/>
      <c r="AG334" s="339"/>
      <c r="AH334" s="339"/>
      <c r="AI334" s="339"/>
      <c r="AJ334" s="339"/>
      <c r="AK334" s="339"/>
      <c r="AL334" s="339"/>
      <c r="AM334" s="339"/>
      <c r="AN334" s="339"/>
      <c r="AO334" s="339"/>
      <c r="AP334" s="339"/>
      <c r="AQ334" s="339"/>
      <c r="AR334" s="339"/>
      <c r="AS334" s="339"/>
      <c r="AT334" s="339"/>
      <c r="AU334" s="339"/>
      <c r="AV334" s="339"/>
      <c r="AW334" s="339"/>
      <c r="AX334" s="339"/>
      <c r="AY334" s="339"/>
      <c r="AZ334" s="339"/>
      <c r="BA334" s="339"/>
      <c r="BB334" s="339"/>
      <c r="BC334" s="339"/>
      <c r="BD334" s="339"/>
    </row>
    <row r="335" spans="3:56">
      <c r="C335" s="339"/>
      <c r="D335" s="339"/>
      <c r="E335" s="339"/>
      <c r="F335" s="339"/>
      <c r="G335" s="339"/>
      <c r="H335" s="339"/>
      <c r="I335" s="339"/>
      <c r="J335" s="339"/>
      <c r="K335" s="339"/>
      <c r="L335" s="339"/>
      <c r="M335" s="339"/>
      <c r="N335" s="339"/>
      <c r="O335" s="339"/>
      <c r="P335" s="339"/>
      <c r="Q335" s="339"/>
      <c r="R335" s="339"/>
      <c r="S335" s="339"/>
      <c r="T335" s="339"/>
      <c r="U335" s="339"/>
      <c r="V335" s="339"/>
      <c r="W335" s="339"/>
      <c r="X335" s="339"/>
      <c r="Y335" s="339"/>
      <c r="Z335" s="339"/>
      <c r="AA335" s="339"/>
      <c r="AB335" s="339"/>
      <c r="AC335" s="339"/>
      <c r="AD335" s="339"/>
      <c r="AE335" s="339"/>
      <c r="AF335" s="339"/>
      <c r="AG335" s="339"/>
      <c r="AH335" s="339"/>
      <c r="AI335" s="339"/>
      <c r="AJ335" s="339"/>
      <c r="AK335" s="339"/>
      <c r="AL335" s="339"/>
      <c r="AM335" s="339"/>
      <c r="AN335" s="339"/>
      <c r="AO335" s="339"/>
      <c r="AP335" s="339"/>
      <c r="AQ335" s="339"/>
      <c r="AR335" s="339"/>
      <c r="AS335" s="339"/>
      <c r="AT335" s="339"/>
      <c r="AU335" s="339"/>
      <c r="AV335" s="339"/>
      <c r="AW335" s="339"/>
      <c r="AX335" s="339"/>
      <c r="AY335" s="339"/>
      <c r="AZ335" s="339"/>
      <c r="BA335" s="339"/>
      <c r="BB335" s="339"/>
      <c r="BC335" s="339"/>
      <c r="BD335" s="339"/>
    </row>
    <row r="336" spans="3:56">
      <c r="C336" s="339"/>
      <c r="D336" s="339"/>
      <c r="E336" s="339"/>
      <c r="F336" s="339"/>
      <c r="G336" s="339"/>
      <c r="H336" s="339"/>
      <c r="I336" s="339"/>
      <c r="J336" s="339"/>
      <c r="K336" s="339"/>
      <c r="L336" s="339"/>
      <c r="M336" s="339"/>
      <c r="N336" s="339"/>
      <c r="O336" s="339"/>
      <c r="P336" s="339"/>
      <c r="Q336" s="339"/>
      <c r="R336" s="339"/>
      <c r="S336" s="339"/>
      <c r="T336" s="339"/>
      <c r="U336" s="339"/>
      <c r="V336" s="339"/>
      <c r="W336" s="339"/>
      <c r="X336" s="339"/>
      <c r="Y336" s="339"/>
      <c r="Z336" s="339"/>
      <c r="AA336" s="339"/>
      <c r="AB336" s="339"/>
      <c r="AC336" s="339"/>
      <c r="AD336" s="339"/>
      <c r="AE336" s="339"/>
      <c r="AF336" s="339"/>
      <c r="AG336" s="339"/>
      <c r="AH336" s="339"/>
      <c r="AI336" s="339"/>
      <c r="AJ336" s="339"/>
      <c r="AK336" s="339"/>
      <c r="AL336" s="339"/>
      <c r="AM336" s="339"/>
      <c r="AN336" s="339"/>
      <c r="AO336" s="339"/>
      <c r="AP336" s="339"/>
      <c r="AQ336" s="339"/>
      <c r="AR336" s="339"/>
      <c r="AS336" s="339"/>
      <c r="AT336" s="339"/>
      <c r="AU336" s="339"/>
      <c r="AV336" s="339"/>
      <c r="AW336" s="339"/>
      <c r="AX336" s="339"/>
      <c r="AY336" s="339"/>
      <c r="AZ336" s="339"/>
      <c r="BA336" s="339"/>
      <c r="BB336" s="339"/>
      <c r="BC336" s="339"/>
      <c r="BD336" s="339"/>
    </row>
    <row r="337" spans="3:56">
      <c r="C337" s="339"/>
      <c r="D337" s="339"/>
      <c r="E337" s="339"/>
      <c r="F337" s="339"/>
      <c r="G337" s="339"/>
      <c r="H337" s="339"/>
      <c r="I337" s="339"/>
      <c r="J337" s="339"/>
      <c r="K337" s="339"/>
      <c r="L337" s="339"/>
      <c r="M337" s="339"/>
      <c r="N337" s="339"/>
      <c r="O337" s="339"/>
      <c r="P337" s="339"/>
      <c r="Q337" s="339"/>
      <c r="R337" s="339"/>
      <c r="S337" s="339"/>
      <c r="T337" s="339"/>
      <c r="U337" s="339"/>
      <c r="V337" s="339"/>
      <c r="W337" s="339"/>
      <c r="X337" s="339"/>
      <c r="Y337" s="339"/>
      <c r="Z337" s="339"/>
      <c r="AA337" s="339"/>
      <c r="AB337" s="339"/>
      <c r="AC337" s="339"/>
      <c r="AD337" s="339"/>
      <c r="AE337" s="339"/>
      <c r="AF337" s="339"/>
      <c r="AG337" s="339"/>
      <c r="AH337" s="339"/>
      <c r="AI337" s="339"/>
      <c r="AJ337" s="339"/>
      <c r="AK337" s="339"/>
      <c r="AL337" s="339"/>
      <c r="AM337" s="339"/>
      <c r="AN337" s="339"/>
      <c r="AO337" s="339"/>
      <c r="AP337" s="339"/>
      <c r="AQ337" s="339"/>
      <c r="AR337" s="339"/>
      <c r="AS337" s="339"/>
      <c r="AT337" s="339"/>
      <c r="AU337" s="339"/>
      <c r="AV337" s="339"/>
      <c r="AW337" s="339"/>
      <c r="AX337" s="339"/>
      <c r="AY337" s="339"/>
      <c r="AZ337" s="339"/>
      <c r="BA337" s="339"/>
      <c r="BB337" s="339"/>
      <c r="BC337" s="339"/>
      <c r="BD337" s="339"/>
    </row>
    <row r="338" spans="3:56">
      <c r="C338" s="339"/>
      <c r="D338" s="339"/>
      <c r="E338" s="339"/>
      <c r="F338" s="339"/>
      <c r="G338" s="339"/>
      <c r="H338" s="339"/>
      <c r="I338" s="339"/>
      <c r="J338" s="339"/>
      <c r="K338" s="339"/>
      <c r="L338" s="339"/>
      <c r="M338" s="339"/>
      <c r="N338" s="339"/>
      <c r="O338" s="339"/>
      <c r="P338" s="339"/>
      <c r="Q338" s="339"/>
      <c r="R338" s="339"/>
      <c r="S338" s="339"/>
      <c r="T338" s="339"/>
      <c r="U338" s="339"/>
      <c r="V338" s="339"/>
      <c r="W338" s="339"/>
      <c r="X338" s="339"/>
      <c r="Y338" s="339"/>
      <c r="Z338" s="339"/>
      <c r="AA338" s="339"/>
      <c r="AB338" s="339"/>
      <c r="AC338" s="339"/>
      <c r="AD338" s="339"/>
      <c r="AE338" s="339"/>
      <c r="AF338" s="339"/>
      <c r="AG338" s="339"/>
      <c r="AH338" s="339"/>
      <c r="AI338" s="339"/>
      <c r="AJ338" s="339"/>
      <c r="AK338" s="339"/>
      <c r="AL338" s="339"/>
      <c r="AM338" s="339"/>
      <c r="AN338" s="339"/>
      <c r="AO338" s="339"/>
      <c r="AP338" s="339"/>
      <c r="AQ338" s="339"/>
      <c r="AR338" s="339"/>
      <c r="AS338" s="339"/>
      <c r="AT338" s="339"/>
      <c r="AU338" s="339"/>
      <c r="AV338" s="339"/>
      <c r="AW338" s="339"/>
      <c r="AX338" s="339"/>
      <c r="AY338" s="339"/>
      <c r="AZ338" s="339"/>
      <c r="BA338" s="339"/>
      <c r="BB338" s="339"/>
      <c r="BC338" s="339"/>
      <c r="BD338" s="339"/>
    </row>
    <row r="339" spans="3:56">
      <c r="C339" s="339"/>
      <c r="D339" s="339"/>
      <c r="E339" s="339"/>
      <c r="F339" s="339"/>
      <c r="G339" s="339"/>
      <c r="H339" s="339"/>
      <c r="I339" s="339"/>
      <c r="J339" s="339"/>
      <c r="K339" s="339"/>
      <c r="L339" s="339"/>
      <c r="M339" s="339"/>
      <c r="N339" s="339"/>
      <c r="O339" s="339"/>
      <c r="P339" s="339"/>
      <c r="Q339" s="339"/>
      <c r="R339" s="339"/>
      <c r="S339" s="339"/>
      <c r="T339" s="339"/>
      <c r="U339" s="339"/>
      <c r="V339" s="339"/>
      <c r="W339" s="339"/>
      <c r="X339" s="339"/>
      <c r="Y339" s="339"/>
      <c r="Z339" s="339"/>
      <c r="AA339" s="339"/>
      <c r="AB339" s="339"/>
      <c r="AC339" s="339"/>
      <c r="AD339" s="339"/>
      <c r="AE339" s="339"/>
      <c r="AF339" s="339"/>
      <c r="AG339" s="339"/>
      <c r="AH339" s="339"/>
      <c r="AI339" s="339"/>
      <c r="AJ339" s="339"/>
      <c r="AK339" s="339"/>
      <c r="AL339" s="339"/>
      <c r="AM339" s="339"/>
      <c r="AN339" s="339"/>
      <c r="AO339" s="339"/>
      <c r="AP339" s="339"/>
      <c r="AQ339" s="339"/>
      <c r="AR339" s="339"/>
      <c r="AS339" s="339"/>
      <c r="AT339" s="339"/>
      <c r="AU339" s="339"/>
      <c r="AV339" s="339"/>
      <c r="AW339" s="339"/>
      <c r="AX339" s="339"/>
      <c r="AY339" s="339"/>
      <c r="AZ339" s="339"/>
      <c r="BA339" s="339"/>
      <c r="BB339" s="339"/>
      <c r="BC339" s="339"/>
      <c r="BD339" s="339"/>
    </row>
    <row r="340" spans="3:56">
      <c r="C340" s="339"/>
      <c r="D340" s="339"/>
      <c r="E340" s="339"/>
      <c r="F340" s="339"/>
      <c r="G340" s="339"/>
      <c r="H340" s="339"/>
      <c r="I340" s="339"/>
      <c r="J340" s="339"/>
      <c r="K340" s="339"/>
      <c r="L340" s="339"/>
      <c r="M340" s="339"/>
      <c r="N340" s="339"/>
      <c r="O340" s="339"/>
      <c r="P340" s="339"/>
      <c r="Q340" s="339"/>
      <c r="R340" s="339"/>
      <c r="S340" s="339"/>
      <c r="T340" s="339"/>
      <c r="U340" s="339"/>
      <c r="V340" s="339"/>
      <c r="W340" s="339"/>
      <c r="X340" s="339"/>
      <c r="Y340" s="339"/>
      <c r="Z340" s="339"/>
      <c r="AA340" s="339"/>
      <c r="AB340" s="339"/>
      <c r="AC340" s="339"/>
      <c r="AD340" s="339"/>
      <c r="AE340" s="339"/>
      <c r="AF340" s="339"/>
      <c r="AG340" s="339"/>
      <c r="AH340" s="339"/>
      <c r="AI340" s="339"/>
      <c r="AJ340" s="339"/>
      <c r="AK340" s="339"/>
      <c r="AL340" s="339"/>
      <c r="AM340" s="339"/>
      <c r="AN340" s="339"/>
      <c r="AO340" s="339"/>
      <c r="AP340" s="339"/>
      <c r="AQ340" s="339"/>
      <c r="AR340" s="339"/>
      <c r="AS340" s="339"/>
      <c r="AT340" s="339"/>
      <c r="AU340" s="339"/>
      <c r="AV340" s="339"/>
      <c r="AW340" s="339"/>
      <c r="AX340" s="339"/>
      <c r="AY340" s="339"/>
      <c r="AZ340" s="339"/>
      <c r="BA340" s="339"/>
      <c r="BB340" s="339"/>
      <c r="BC340" s="339"/>
      <c r="BD340" s="339"/>
    </row>
    <row r="341" spans="3:56">
      <c r="C341" s="339"/>
      <c r="D341" s="339"/>
      <c r="E341" s="339"/>
      <c r="F341" s="339"/>
      <c r="G341" s="339"/>
      <c r="H341" s="339"/>
      <c r="I341" s="339"/>
      <c r="J341" s="339"/>
      <c r="K341" s="339"/>
      <c r="L341" s="339"/>
      <c r="M341" s="339"/>
      <c r="N341" s="339"/>
      <c r="O341" s="339"/>
      <c r="P341" s="339"/>
      <c r="Q341" s="339"/>
      <c r="R341" s="339"/>
      <c r="S341" s="339"/>
      <c r="T341" s="339"/>
      <c r="U341" s="339"/>
      <c r="V341" s="339"/>
      <c r="W341" s="339"/>
      <c r="X341" s="339"/>
      <c r="Y341" s="339"/>
      <c r="Z341" s="339"/>
      <c r="AA341" s="339"/>
      <c r="AB341" s="339"/>
      <c r="AC341" s="339"/>
      <c r="AD341" s="339"/>
      <c r="AE341" s="339"/>
      <c r="AF341" s="339"/>
      <c r="AG341" s="339"/>
      <c r="AH341" s="339"/>
      <c r="AI341" s="339"/>
      <c r="AJ341" s="339"/>
      <c r="AK341" s="339"/>
      <c r="AL341" s="339"/>
      <c r="AM341" s="339"/>
      <c r="AN341" s="339"/>
      <c r="AO341" s="339"/>
      <c r="AP341" s="339"/>
      <c r="AQ341" s="339"/>
      <c r="AR341" s="339"/>
      <c r="AS341" s="339"/>
      <c r="AT341" s="339"/>
      <c r="AU341" s="339"/>
      <c r="AV341" s="339"/>
      <c r="AW341" s="339"/>
      <c r="AX341" s="339"/>
      <c r="AY341" s="339"/>
      <c r="AZ341" s="339"/>
      <c r="BA341" s="339"/>
      <c r="BB341" s="339"/>
      <c r="BC341" s="339"/>
      <c r="BD341" s="339"/>
    </row>
    <row r="342" spans="3:56">
      <c r="C342" s="339"/>
      <c r="D342" s="339"/>
      <c r="E342" s="339"/>
      <c r="F342" s="339"/>
      <c r="G342" s="339"/>
      <c r="H342" s="339"/>
      <c r="I342" s="339"/>
      <c r="J342" s="339"/>
      <c r="K342" s="339"/>
      <c r="L342" s="339"/>
      <c r="M342" s="339"/>
      <c r="N342" s="339"/>
      <c r="O342" s="339"/>
      <c r="P342" s="339"/>
      <c r="Q342" s="339"/>
      <c r="R342" s="339"/>
      <c r="S342" s="339"/>
      <c r="T342" s="339"/>
      <c r="U342" s="339"/>
      <c r="V342" s="339"/>
      <c r="W342" s="339"/>
      <c r="X342" s="339"/>
      <c r="Y342" s="339"/>
      <c r="Z342" s="339"/>
      <c r="AA342" s="339"/>
      <c r="AB342" s="339"/>
      <c r="AC342" s="339"/>
      <c r="AD342" s="339"/>
      <c r="AE342" s="339"/>
      <c r="AF342" s="339"/>
      <c r="AG342" s="339"/>
      <c r="AH342" s="339"/>
      <c r="AI342" s="339"/>
      <c r="AJ342" s="339"/>
      <c r="AK342" s="339"/>
      <c r="AL342" s="339"/>
      <c r="AM342" s="339"/>
      <c r="AN342" s="339"/>
      <c r="AO342" s="339"/>
      <c r="AP342" s="339"/>
      <c r="AQ342" s="339"/>
      <c r="AR342" s="339"/>
      <c r="AS342" s="339"/>
      <c r="AT342" s="339"/>
      <c r="AU342" s="339"/>
      <c r="AV342" s="339"/>
      <c r="AW342" s="339"/>
      <c r="AX342" s="339"/>
      <c r="AY342" s="339"/>
      <c r="AZ342" s="339"/>
      <c r="BA342" s="339"/>
      <c r="BB342" s="339"/>
      <c r="BC342" s="339"/>
      <c r="BD342" s="339"/>
    </row>
    <row r="343" spans="3:56">
      <c r="C343" s="339"/>
      <c r="D343" s="339"/>
      <c r="E343" s="339"/>
      <c r="F343" s="339"/>
      <c r="G343" s="339"/>
      <c r="H343" s="339"/>
      <c r="I343" s="339"/>
      <c r="J343" s="339"/>
      <c r="K343" s="339"/>
      <c r="L343" s="339"/>
      <c r="M343" s="339"/>
      <c r="N343" s="339"/>
      <c r="O343" s="339"/>
      <c r="P343" s="339"/>
      <c r="Q343" s="339"/>
      <c r="R343" s="339"/>
      <c r="S343" s="339"/>
      <c r="T343" s="339"/>
      <c r="U343" s="339"/>
      <c r="V343" s="339"/>
      <c r="W343" s="339"/>
      <c r="X343" s="339"/>
      <c r="Y343" s="339"/>
      <c r="Z343" s="339"/>
      <c r="AA343" s="339"/>
      <c r="AB343" s="339"/>
      <c r="AC343" s="339"/>
      <c r="AD343" s="339"/>
      <c r="AE343" s="339"/>
      <c r="AF343" s="339"/>
      <c r="AG343" s="339"/>
      <c r="AH343" s="339"/>
      <c r="AI343" s="339"/>
      <c r="AJ343" s="339"/>
      <c r="AK343" s="339"/>
      <c r="AL343" s="339"/>
      <c r="AM343" s="339"/>
      <c r="AN343" s="339"/>
      <c r="AO343" s="339"/>
      <c r="AP343" s="339"/>
      <c r="AQ343" s="339"/>
      <c r="AR343" s="339"/>
      <c r="AS343" s="339"/>
      <c r="AT343" s="339"/>
      <c r="AU343" s="339"/>
      <c r="AV343" s="339"/>
      <c r="AW343" s="339"/>
      <c r="AX343" s="339"/>
      <c r="AY343" s="339"/>
      <c r="AZ343" s="339"/>
      <c r="BA343" s="339"/>
      <c r="BB343" s="339"/>
      <c r="BC343" s="339"/>
      <c r="BD343" s="339"/>
    </row>
    <row r="344" spans="3:56">
      <c r="C344" s="339"/>
      <c r="D344" s="339"/>
      <c r="E344" s="339"/>
      <c r="F344" s="339"/>
      <c r="G344" s="339"/>
      <c r="H344" s="339"/>
      <c r="I344" s="339"/>
      <c r="J344" s="339"/>
      <c r="K344" s="339"/>
      <c r="L344" s="339"/>
      <c r="M344" s="339"/>
      <c r="N344" s="339"/>
      <c r="O344" s="339"/>
      <c r="P344" s="339"/>
      <c r="Q344" s="339"/>
      <c r="R344" s="339"/>
      <c r="S344" s="339"/>
      <c r="T344" s="339"/>
      <c r="U344" s="339"/>
      <c r="V344" s="339"/>
      <c r="W344" s="339"/>
      <c r="X344" s="339"/>
      <c r="Y344" s="339"/>
      <c r="Z344" s="339"/>
      <c r="AA344" s="339"/>
      <c r="AB344" s="339"/>
      <c r="AC344" s="339"/>
      <c r="AD344" s="339"/>
      <c r="AE344" s="339"/>
      <c r="AF344" s="339"/>
      <c r="AG344" s="339"/>
      <c r="AH344" s="339"/>
      <c r="AI344" s="339"/>
      <c r="AJ344" s="339"/>
      <c r="AK344" s="339"/>
      <c r="AL344" s="339"/>
      <c r="AM344" s="339"/>
      <c r="AN344" s="339"/>
      <c r="AO344" s="339"/>
      <c r="AP344" s="339"/>
      <c r="AQ344" s="339"/>
      <c r="AR344" s="339"/>
      <c r="AS344" s="339"/>
      <c r="AT344" s="339"/>
      <c r="AU344" s="339"/>
      <c r="AV344" s="339"/>
      <c r="AW344" s="339"/>
      <c r="AX344" s="339"/>
      <c r="AY344" s="339"/>
      <c r="AZ344" s="339"/>
      <c r="BA344" s="339"/>
      <c r="BB344" s="339"/>
      <c r="BC344" s="339"/>
      <c r="BD344" s="339"/>
    </row>
    <row r="345" spans="3:56">
      <c r="C345" s="339"/>
      <c r="D345" s="339"/>
      <c r="E345" s="339"/>
      <c r="F345" s="339"/>
      <c r="G345" s="339"/>
      <c r="H345" s="339"/>
      <c r="I345" s="339"/>
      <c r="J345" s="339"/>
      <c r="K345" s="339"/>
      <c r="L345" s="339"/>
      <c r="M345" s="339"/>
      <c r="N345" s="339"/>
      <c r="O345" s="339"/>
      <c r="P345" s="339"/>
      <c r="Q345" s="339"/>
      <c r="R345" s="339"/>
      <c r="S345" s="339"/>
      <c r="T345" s="339"/>
      <c r="U345" s="339"/>
      <c r="V345" s="339"/>
      <c r="W345" s="339"/>
      <c r="X345" s="339"/>
      <c r="Y345" s="339"/>
      <c r="Z345" s="339"/>
      <c r="AA345" s="339"/>
      <c r="AB345" s="339"/>
      <c r="AC345" s="339"/>
      <c r="AD345" s="339"/>
      <c r="AE345" s="339"/>
      <c r="AF345" s="339"/>
      <c r="AG345" s="339"/>
      <c r="AH345" s="339"/>
      <c r="AI345" s="339"/>
      <c r="AJ345" s="339"/>
      <c r="AK345" s="339"/>
      <c r="AL345" s="339"/>
      <c r="AM345" s="339"/>
      <c r="AN345" s="339"/>
      <c r="AO345" s="339"/>
      <c r="AP345" s="339"/>
      <c r="AQ345" s="339"/>
      <c r="AR345" s="339"/>
      <c r="AS345" s="339"/>
      <c r="AT345" s="339"/>
      <c r="AU345" s="339"/>
      <c r="AV345" s="339"/>
      <c r="AW345" s="339"/>
      <c r="AX345" s="339"/>
      <c r="AY345" s="339"/>
      <c r="AZ345" s="339"/>
      <c r="BA345" s="339"/>
      <c r="BB345" s="339"/>
      <c r="BC345" s="339"/>
      <c r="BD345" s="339"/>
    </row>
    <row r="346" spans="3:56">
      <c r="C346" s="339"/>
      <c r="D346" s="339"/>
      <c r="E346" s="339"/>
      <c r="F346" s="339"/>
      <c r="G346" s="339"/>
      <c r="H346" s="339"/>
      <c r="I346" s="339"/>
      <c r="J346" s="339"/>
      <c r="K346" s="339"/>
      <c r="L346" s="339"/>
      <c r="M346" s="339"/>
      <c r="N346" s="339"/>
      <c r="O346" s="339"/>
      <c r="P346" s="339"/>
      <c r="Q346" s="339"/>
      <c r="R346" s="339"/>
      <c r="S346" s="339"/>
      <c r="T346" s="339"/>
      <c r="U346" s="339"/>
      <c r="V346" s="339"/>
      <c r="W346" s="339"/>
      <c r="X346" s="339"/>
      <c r="Y346" s="339"/>
      <c r="Z346" s="339"/>
      <c r="AA346" s="339"/>
      <c r="AB346" s="339"/>
      <c r="AC346" s="339"/>
      <c r="AD346" s="339"/>
      <c r="AE346" s="339"/>
      <c r="AF346" s="339"/>
      <c r="AG346" s="339"/>
      <c r="AH346" s="339"/>
      <c r="AI346" s="339"/>
      <c r="AJ346" s="339"/>
      <c r="AK346" s="339"/>
      <c r="AL346" s="339"/>
      <c r="AM346" s="339"/>
      <c r="AN346" s="339"/>
      <c r="AO346" s="339"/>
      <c r="AP346" s="339"/>
      <c r="AQ346" s="339"/>
      <c r="AR346" s="339"/>
      <c r="AS346" s="339"/>
      <c r="AT346" s="339"/>
      <c r="AU346" s="339"/>
      <c r="AV346" s="339"/>
      <c r="AW346" s="339"/>
      <c r="AX346" s="339"/>
      <c r="AY346" s="339"/>
      <c r="AZ346" s="339"/>
      <c r="BA346" s="339"/>
      <c r="BB346" s="339"/>
      <c r="BC346" s="339"/>
      <c r="BD346" s="339"/>
    </row>
    <row r="347" spans="3:56">
      <c r="C347" s="339"/>
      <c r="D347" s="339"/>
      <c r="E347" s="339"/>
      <c r="F347" s="339"/>
      <c r="G347" s="339"/>
      <c r="H347" s="339"/>
      <c r="I347" s="339"/>
      <c r="J347" s="339"/>
      <c r="K347" s="339"/>
      <c r="L347" s="339"/>
      <c r="M347" s="339"/>
      <c r="N347" s="339"/>
      <c r="O347" s="339"/>
      <c r="P347" s="339"/>
      <c r="Q347" s="339"/>
      <c r="R347" s="339"/>
      <c r="S347" s="339"/>
      <c r="T347" s="339"/>
      <c r="U347" s="339"/>
      <c r="V347" s="339"/>
      <c r="W347" s="339"/>
      <c r="X347" s="339"/>
      <c r="Y347" s="339"/>
      <c r="Z347" s="339"/>
      <c r="AA347" s="339"/>
      <c r="AB347" s="339"/>
      <c r="AC347" s="339"/>
      <c r="AD347" s="339"/>
      <c r="AE347" s="339"/>
      <c r="AF347" s="339"/>
      <c r="AG347" s="339"/>
      <c r="AH347" s="339"/>
      <c r="AI347" s="339"/>
      <c r="AJ347" s="339"/>
      <c r="AK347" s="339"/>
      <c r="AL347" s="339"/>
      <c r="AM347" s="339"/>
      <c r="AN347" s="339"/>
      <c r="AO347" s="339"/>
      <c r="AP347" s="339"/>
      <c r="AQ347" s="339"/>
      <c r="AR347" s="339"/>
      <c r="AS347" s="339"/>
      <c r="AT347" s="339"/>
      <c r="AU347" s="339"/>
      <c r="AV347" s="339"/>
      <c r="AW347" s="339"/>
      <c r="AX347" s="339"/>
      <c r="AY347" s="339"/>
      <c r="AZ347" s="339"/>
      <c r="BA347" s="339"/>
      <c r="BB347" s="339"/>
      <c r="BC347" s="339"/>
      <c r="BD347" s="339"/>
    </row>
    <row r="348" spans="3:56">
      <c r="C348" s="339"/>
      <c r="D348" s="339"/>
      <c r="E348" s="339"/>
      <c r="F348" s="339"/>
      <c r="G348" s="339"/>
      <c r="H348" s="339"/>
      <c r="I348" s="339"/>
      <c r="J348" s="339"/>
      <c r="K348" s="339"/>
      <c r="L348" s="339"/>
      <c r="M348" s="339"/>
      <c r="N348" s="339"/>
      <c r="O348" s="339"/>
      <c r="P348" s="339"/>
      <c r="Q348" s="339"/>
      <c r="R348" s="339"/>
      <c r="S348" s="339"/>
      <c r="T348" s="339"/>
      <c r="U348" s="339"/>
      <c r="V348" s="339"/>
      <c r="W348" s="339"/>
      <c r="X348" s="339"/>
      <c r="Y348" s="339"/>
      <c r="Z348" s="339"/>
      <c r="AA348" s="339"/>
      <c r="AB348" s="339"/>
      <c r="AC348" s="339"/>
      <c r="AD348" s="339"/>
      <c r="AE348" s="339"/>
      <c r="AF348" s="339"/>
      <c r="AG348" s="339"/>
      <c r="AH348" s="339"/>
      <c r="AI348" s="339"/>
      <c r="AJ348" s="339"/>
      <c r="AK348" s="339"/>
      <c r="AL348" s="339"/>
      <c r="AM348" s="339"/>
      <c r="AN348" s="339"/>
      <c r="AO348" s="339"/>
      <c r="AP348" s="339"/>
      <c r="AQ348" s="339"/>
      <c r="AR348" s="339"/>
      <c r="AS348" s="339"/>
      <c r="AT348" s="339"/>
      <c r="AU348" s="339"/>
      <c r="AV348" s="339"/>
      <c r="AW348" s="339"/>
      <c r="AX348" s="339"/>
      <c r="AY348" s="339"/>
      <c r="AZ348" s="339"/>
      <c r="BA348" s="339"/>
      <c r="BB348" s="339"/>
      <c r="BC348" s="339"/>
      <c r="BD348" s="339"/>
    </row>
    <row r="349" spans="3:56">
      <c r="C349" s="339"/>
      <c r="D349" s="339"/>
      <c r="E349" s="339"/>
      <c r="F349" s="339"/>
      <c r="G349" s="339"/>
      <c r="H349" s="339"/>
      <c r="I349" s="339"/>
      <c r="J349" s="339"/>
      <c r="K349" s="339"/>
      <c r="L349" s="339"/>
      <c r="M349" s="339"/>
      <c r="N349" s="339"/>
      <c r="O349" s="339"/>
      <c r="P349" s="339"/>
      <c r="Q349" s="339"/>
      <c r="R349" s="339"/>
      <c r="S349" s="339"/>
      <c r="T349" s="339"/>
      <c r="U349" s="339"/>
      <c r="V349" s="339"/>
      <c r="W349" s="339"/>
      <c r="X349" s="339"/>
      <c r="Y349" s="339"/>
      <c r="Z349" s="339"/>
      <c r="AA349" s="339"/>
      <c r="AB349" s="339"/>
      <c r="AC349" s="339"/>
      <c r="AD349" s="339"/>
      <c r="AE349" s="339"/>
      <c r="AF349" s="339"/>
      <c r="AG349" s="339"/>
      <c r="AH349" s="339"/>
      <c r="AI349" s="339"/>
      <c r="AJ349" s="339"/>
      <c r="AK349" s="339"/>
      <c r="AL349" s="339"/>
      <c r="AM349" s="339"/>
      <c r="AN349" s="339"/>
      <c r="AO349" s="339"/>
      <c r="AP349" s="339"/>
      <c r="AQ349" s="339"/>
      <c r="AR349" s="339"/>
      <c r="AS349" s="339"/>
      <c r="AT349" s="339"/>
      <c r="AU349" s="339"/>
      <c r="AV349" s="339"/>
      <c r="AW349" s="339"/>
      <c r="AX349" s="339"/>
      <c r="AY349" s="339"/>
      <c r="AZ349" s="339"/>
      <c r="BA349" s="339"/>
      <c r="BB349" s="339"/>
      <c r="BC349" s="339"/>
      <c r="BD349" s="339"/>
    </row>
    <row r="350" spans="3:56">
      <c r="C350" s="339"/>
      <c r="D350" s="339"/>
      <c r="E350" s="339"/>
      <c r="F350" s="339"/>
      <c r="G350" s="339"/>
      <c r="H350" s="339"/>
      <c r="I350" s="339"/>
      <c r="J350" s="339"/>
      <c r="K350" s="339"/>
      <c r="L350" s="339"/>
      <c r="M350" s="339"/>
      <c r="N350" s="339"/>
      <c r="O350" s="339"/>
      <c r="P350" s="339"/>
      <c r="Q350" s="339"/>
      <c r="R350" s="339"/>
      <c r="S350" s="339"/>
      <c r="T350" s="339"/>
      <c r="U350" s="339"/>
      <c r="V350" s="339"/>
      <c r="W350" s="339"/>
      <c r="X350" s="339"/>
      <c r="Y350" s="339"/>
      <c r="Z350" s="339"/>
      <c r="AA350" s="339"/>
      <c r="AB350" s="339"/>
      <c r="AC350" s="339"/>
      <c r="AD350" s="339"/>
      <c r="AE350" s="339"/>
      <c r="AF350" s="339"/>
      <c r="AG350" s="339"/>
      <c r="AH350" s="339"/>
      <c r="AI350" s="339"/>
      <c r="AJ350" s="339"/>
      <c r="AK350" s="339"/>
      <c r="AL350" s="339"/>
      <c r="AM350" s="339"/>
      <c r="AN350" s="339"/>
      <c r="AO350" s="339"/>
      <c r="AP350" s="339"/>
      <c r="AQ350" s="339"/>
      <c r="AR350" s="339"/>
      <c r="AS350" s="339"/>
      <c r="AT350" s="339"/>
      <c r="AU350" s="339"/>
      <c r="AV350" s="339"/>
      <c r="AW350" s="339"/>
      <c r="AX350" s="339"/>
      <c r="AY350" s="339"/>
      <c r="AZ350" s="339"/>
      <c r="BA350" s="339"/>
      <c r="BB350" s="339"/>
      <c r="BC350" s="339"/>
      <c r="BD350" s="339"/>
    </row>
    <row r="351" spans="3:56">
      <c r="C351" s="339"/>
      <c r="D351" s="339"/>
      <c r="E351" s="339"/>
      <c r="F351" s="339"/>
      <c r="G351" s="339"/>
      <c r="H351" s="339"/>
      <c r="I351" s="339"/>
      <c r="J351" s="339"/>
      <c r="K351" s="339"/>
      <c r="L351" s="339"/>
      <c r="M351" s="339"/>
      <c r="N351" s="339"/>
      <c r="O351" s="339"/>
      <c r="P351" s="339"/>
      <c r="Q351" s="339"/>
      <c r="R351" s="339"/>
      <c r="S351" s="339"/>
      <c r="T351" s="339"/>
      <c r="U351" s="339"/>
      <c r="V351" s="339"/>
      <c r="W351" s="339"/>
      <c r="X351" s="339"/>
      <c r="Y351" s="339"/>
      <c r="Z351" s="339"/>
      <c r="AA351" s="339"/>
      <c r="AB351" s="339"/>
      <c r="AC351" s="339"/>
      <c r="AD351" s="339"/>
      <c r="AE351" s="339"/>
      <c r="AF351" s="339"/>
      <c r="AG351" s="339"/>
      <c r="AH351" s="339"/>
      <c r="AI351" s="339"/>
      <c r="AJ351" s="339"/>
      <c r="AK351" s="339"/>
      <c r="AL351" s="339"/>
      <c r="AM351" s="339"/>
      <c r="AN351" s="339"/>
      <c r="AO351" s="339"/>
      <c r="AP351" s="339"/>
      <c r="AQ351" s="339"/>
      <c r="AR351" s="339"/>
      <c r="AS351" s="339"/>
      <c r="AT351" s="339"/>
      <c r="AU351" s="339"/>
      <c r="AV351" s="339"/>
      <c r="AW351" s="339"/>
      <c r="AX351" s="339"/>
      <c r="AY351" s="339"/>
      <c r="AZ351" s="339"/>
      <c r="BA351" s="339"/>
      <c r="BB351" s="339"/>
      <c r="BC351" s="339"/>
      <c r="BD351" s="339"/>
    </row>
    <row r="352" spans="3:56">
      <c r="C352" s="339"/>
      <c r="D352" s="339"/>
      <c r="E352" s="339"/>
      <c r="F352" s="339"/>
      <c r="G352" s="339"/>
      <c r="H352" s="339"/>
      <c r="I352" s="339"/>
      <c r="J352" s="339"/>
      <c r="K352" s="339"/>
      <c r="L352" s="339"/>
      <c r="M352" s="339"/>
      <c r="N352" s="339"/>
      <c r="O352" s="339"/>
      <c r="P352" s="339"/>
      <c r="Q352" s="339"/>
      <c r="R352" s="339"/>
      <c r="S352" s="339"/>
      <c r="T352" s="339"/>
      <c r="U352" s="339"/>
      <c r="V352" s="339"/>
      <c r="W352" s="339"/>
      <c r="X352" s="339"/>
      <c r="Y352" s="339"/>
      <c r="Z352" s="339"/>
      <c r="AA352" s="339"/>
      <c r="AB352" s="339"/>
      <c r="AC352" s="339"/>
      <c r="AD352" s="339"/>
      <c r="AE352" s="339"/>
      <c r="AF352" s="339"/>
      <c r="AG352" s="339"/>
      <c r="AH352" s="339"/>
      <c r="AI352" s="339"/>
      <c r="AJ352" s="339"/>
      <c r="AK352" s="339"/>
      <c r="AL352" s="339"/>
      <c r="AM352" s="339"/>
      <c r="AN352" s="339"/>
      <c r="AO352" s="339"/>
      <c r="AP352" s="339"/>
      <c r="AQ352" s="339"/>
      <c r="AR352" s="339"/>
      <c r="AS352" s="339"/>
      <c r="AT352" s="339"/>
      <c r="AU352" s="339"/>
      <c r="AV352" s="339"/>
      <c r="AW352" s="339"/>
      <c r="AX352" s="339"/>
      <c r="AY352" s="339"/>
      <c r="AZ352" s="339"/>
      <c r="BA352" s="339"/>
      <c r="BB352" s="339"/>
      <c r="BC352" s="339"/>
      <c r="BD352" s="339"/>
    </row>
    <row r="353" spans="3:56">
      <c r="C353" s="339"/>
      <c r="D353" s="339"/>
      <c r="E353" s="339"/>
      <c r="F353" s="339"/>
      <c r="G353" s="339"/>
      <c r="H353" s="339"/>
      <c r="I353" s="339"/>
      <c r="J353" s="339"/>
      <c r="K353" s="339"/>
      <c r="L353" s="339"/>
      <c r="M353" s="339"/>
      <c r="N353" s="339"/>
      <c r="O353" s="339"/>
      <c r="P353" s="339"/>
      <c r="Q353" s="339"/>
      <c r="R353" s="339"/>
      <c r="S353" s="339"/>
      <c r="T353" s="339"/>
      <c r="U353" s="339"/>
      <c r="V353" s="339"/>
      <c r="W353" s="339"/>
      <c r="X353" s="339"/>
      <c r="Y353" s="339"/>
      <c r="Z353" s="339"/>
      <c r="AA353" s="339"/>
      <c r="AB353" s="339"/>
      <c r="AC353" s="339"/>
      <c r="AD353" s="339"/>
      <c r="AE353" s="339"/>
      <c r="AF353" s="339"/>
      <c r="AG353" s="339"/>
      <c r="AH353" s="339"/>
      <c r="AI353" s="339"/>
      <c r="AJ353" s="339"/>
      <c r="AK353" s="339"/>
      <c r="AL353" s="339"/>
      <c r="AM353" s="339"/>
      <c r="AN353" s="339"/>
      <c r="AO353" s="339"/>
      <c r="AP353" s="339"/>
      <c r="AQ353" s="339"/>
      <c r="AR353" s="339"/>
      <c r="AS353" s="339"/>
      <c r="AT353" s="339"/>
      <c r="AU353" s="339"/>
      <c r="AV353" s="339"/>
      <c r="AW353" s="339"/>
      <c r="AX353" s="339"/>
      <c r="AY353" s="339"/>
      <c r="AZ353" s="339"/>
      <c r="BA353" s="339"/>
      <c r="BB353" s="339"/>
      <c r="BC353" s="339"/>
      <c r="BD353" s="339"/>
    </row>
    <row r="354" spans="3:56">
      <c r="C354" s="339"/>
      <c r="D354" s="339"/>
      <c r="E354" s="339"/>
      <c r="F354" s="339"/>
      <c r="G354" s="339"/>
      <c r="H354" s="339"/>
      <c r="I354" s="339"/>
      <c r="J354" s="339"/>
      <c r="K354" s="339"/>
      <c r="L354" s="339"/>
      <c r="M354" s="339"/>
      <c r="N354" s="339"/>
      <c r="O354" s="339"/>
      <c r="P354" s="339"/>
      <c r="Q354" s="339"/>
      <c r="R354" s="339"/>
      <c r="S354" s="339"/>
      <c r="T354" s="339"/>
      <c r="U354" s="339"/>
      <c r="V354" s="339"/>
      <c r="W354" s="339"/>
      <c r="X354" s="339"/>
      <c r="Y354" s="339"/>
      <c r="Z354" s="339"/>
      <c r="AA354" s="339"/>
      <c r="AB354" s="339"/>
      <c r="AC354" s="339"/>
      <c r="AD354" s="339"/>
      <c r="AE354" s="339"/>
      <c r="AF354" s="339"/>
      <c r="AG354" s="339"/>
      <c r="AH354" s="339"/>
      <c r="AI354" s="339"/>
      <c r="AJ354" s="339"/>
      <c r="AK354" s="339"/>
      <c r="AL354" s="339"/>
      <c r="AM354" s="339"/>
      <c r="AN354" s="339"/>
      <c r="AO354" s="339"/>
      <c r="AP354" s="339"/>
      <c r="AQ354" s="339"/>
      <c r="AR354" s="339"/>
      <c r="AS354" s="339"/>
      <c r="AT354" s="339"/>
      <c r="AU354" s="339"/>
      <c r="AV354" s="339"/>
      <c r="AW354" s="339"/>
      <c r="AX354" s="339"/>
      <c r="AY354" s="339"/>
      <c r="AZ354" s="339"/>
      <c r="BA354" s="339"/>
      <c r="BB354" s="339"/>
      <c r="BC354" s="339"/>
      <c r="BD354" s="339"/>
    </row>
    <row r="355" spans="3:56">
      <c r="C355" s="339"/>
      <c r="D355" s="339"/>
      <c r="E355" s="339"/>
      <c r="F355" s="339"/>
      <c r="G355" s="339"/>
      <c r="H355" s="339"/>
      <c r="I355" s="339"/>
      <c r="J355" s="339"/>
      <c r="K355" s="339"/>
      <c r="L355" s="339"/>
      <c r="M355" s="339"/>
      <c r="N355" s="339"/>
      <c r="O355" s="339"/>
      <c r="P355" s="339"/>
      <c r="Q355" s="339"/>
      <c r="R355" s="339"/>
      <c r="S355" s="339"/>
      <c r="T355" s="339"/>
      <c r="U355" s="339"/>
      <c r="V355" s="339"/>
      <c r="W355" s="339"/>
      <c r="X355" s="339"/>
      <c r="Y355" s="339"/>
      <c r="Z355" s="339"/>
      <c r="AA355" s="339"/>
      <c r="AB355" s="339"/>
      <c r="AC355" s="339"/>
      <c r="AD355" s="339"/>
      <c r="AE355" s="339"/>
      <c r="AF355" s="339"/>
      <c r="AG355" s="339"/>
      <c r="AH355" s="339"/>
      <c r="AI355" s="339"/>
      <c r="AJ355" s="339"/>
      <c r="AK355" s="339"/>
      <c r="AL355" s="339"/>
      <c r="AM355" s="339"/>
      <c r="AN355" s="339"/>
      <c r="AO355" s="339"/>
      <c r="AP355" s="339"/>
      <c r="AQ355" s="339"/>
      <c r="AR355" s="339"/>
      <c r="AS355" s="339"/>
      <c r="AT355" s="339"/>
      <c r="AU355" s="339"/>
      <c r="AV355" s="339"/>
      <c r="AW355" s="339"/>
      <c r="AX355" s="339"/>
      <c r="AY355" s="339"/>
      <c r="AZ355" s="339"/>
      <c r="BA355" s="339"/>
      <c r="BB355" s="339"/>
      <c r="BC355" s="339"/>
      <c r="BD355" s="339"/>
    </row>
    <row r="356" spans="3:56">
      <c r="C356" s="339"/>
      <c r="D356" s="339"/>
      <c r="E356" s="339"/>
      <c r="F356" s="339"/>
      <c r="G356" s="339"/>
      <c r="H356" s="339"/>
      <c r="I356" s="339"/>
      <c r="J356" s="339"/>
      <c r="K356" s="339"/>
      <c r="L356" s="339"/>
      <c r="M356" s="339"/>
      <c r="N356" s="339"/>
      <c r="O356" s="339"/>
      <c r="P356" s="339"/>
      <c r="Q356" s="339"/>
      <c r="R356" s="339"/>
      <c r="S356" s="339"/>
      <c r="T356" s="339"/>
      <c r="U356" s="339"/>
      <c r="V356" s="339"/>
      <c r="W356" s="339"/>
      <c r="X356" s="339"/>
      <c r="Y356" s="339"/>
      <c r="Z356" s="339"/>
      <c r="AA356" s="339"/>
      <c r="AB356" s="339"/>
      <c r="AC356" s="339"/>
      <c r="AD356" s="339"/>
      <c r="AE356" s="339"/>
      <c r="AF356" s="339"/>
      <c r="AG356" s="339"/>
      <c r="AH356" s="339"/>
      <c r="AI356" s="339"/>
      <c r="AJ356" s="339"/>
      <c r="AK356" s="339"/>
      <c r="AL356" s="339"/>
      <c r="AM356" s="339"/>
      <c r="AN356" s="339"/>
      <c r="AO356" s="339"/>
      <c r="AP356" s="339"/>
      <c r="AQ356" s="339"/>
      <c r="AR356" s="339"/>
      <c r="AS356" s="339"/>
      <c r="AT356" s="339"/>
      <c r="AU356" s="339"/>
      <c r="AV356" s="339"/>
      <c r="AW356" s="339"/>
      <c r="AX356" s="339"/>
      <c r="AY356" s="339"/>
      <c r="AZ356" s="339"/>
      <c r="BA356" s="339"/>
      <c r="BB356" s="339"/>
      <c r="BC356" s="339"/>
      <c r="BD356" s="339"/>
    </row>
    <row r="357" spans="3:56">
      <c r="C357" s="339"/>
      <c r="D357" s="339"/>
      <c r="E357" s="339"/>
      <c r="F357" s="339"/>
      <c r="G357" s="339"/>
      <c r="H357" s="339"/>
      <c r="I357" s="339"/>
      <c r="J357" s="339"/>
      <c r="K357" s="339"/>
      <c r="L357" s="339"/>
      <c r="M357" s="339"/>
      <c r="N357" s="339"/>
      <c r="O357" s="339"/>
      <c r="P357" s="339"/>
      <c r="Q357" s="339"/>
      <c r="R357" s="339"/>
      <c r="S357" s="339"/>
      <c r="T357" s="339"/>
      <c r="U357" s="339"/>
      <c r="V357" s="339"/>
      <c r="W357" s="339"/>
      <c r="X357" s="339"/>
      <c r="Y357" s="339"/>
      <c r="Z357" s="339"/>
      <c r="AA357" s="339"/>
      <c r="AB357" s="339"/>
      <c r="AC357" s="339"/>
      <c r="AD357" s="339"/>
      <c r="AE357" s="339"/>
      <c r="AF357" s="339"/>
      <c r="AG357" s="339"/>
      <c r="AH357" s="339"/>
      <c r="AI357" s="339"/>
      <c r="AJ357" s="339"/>
      <c r="AK357" s="339"/>
      <c r="AL357" s="339"/>
      <c r="AM357" s="339"/>
      <c r="AN357" s="339"/>
      <c r="AO357" s="339"/>
      <c r="AP357" s="339"/>
      <c r="AQ357" s="339"/>
      <c r="AR357" s="339"/>
      <c r="AS357" s="339"/>
      <c r="AT357" s="339"/>
      <c r="AU357" s="339"/>
      <c r="AV357" s="339"/>
      <c r="AW357" s="339"/>
      <c r="AX357" s="339"/>
      <c r="AY357" s="339"/>
      <c r="AZ357" s="339"/>
      <c r="BA357" s="339"/>
      <c r="BB357" s="339"/>
      <c r="BC357" s="339"/>
      <c r="BD357" s="339"/>
    </row>
    <row r="358" spans="3:56">
      <c r="C358" s="339"/>
      <c r="D358" s="339"/>
      <c r="E358" s="339"/>
      <c r="F358" s="339"/>
      <c r="G358" s="339"/>
      <c r="H358" s="339"/>
      <c r="I358" s="339"/>
      <c r="J358" s="339"/>
      <c r="K358" s="339"/>
      <c r="L358" s="339"/>
      <c r="M358" s="339"/>
      <c r="N358" s="339"/>
      <c r="O358" s="339"/>
      <c r="P358" s="339"/>
      <c r="Q358" s="339"/>
      <c r="R358" s="339"/>
      <c r="S358" s="339"/>
      <c r="T358" s="339"/>
      <c r="U358" s="339"/>
      <c r="V358" s="339"/>
      <c r="W358" s="339"/>
      <c r="X358" s="339"/>
      <c r="Y358" s="339"/>
      <c r="Z358" s="339"/>
      <c r="AA358" s="339"/>
      <c r="AB358" s="339"/>
      <c r="AC358" s="339"/>
      <c r="AD358" s="339"/>
      <c r="AE358" s="339"/>
      <c r="AF358" s="339"/>
      <c r="AG358" s="339"/>
      <c r="AH358" s="339"/>
      <c r="AI358" s="339"/>
      <c r="AJ358" s="339"/>
      <c r="AK358" s="339"/>
      <c r="AL358" s="339"/>
      <c r="AM358" s="339"/>
      <c r="AN358" s="339"/>
      <c r="AO358" s="339"/>
      <c r="AP358" s="339"/>
      <c r="AQ358" s="339"/>
      <c r="AR358" s="339"/>
      <c r="AS358" s="339"/>
      <c r="AT358" s="339"/>
      <c r="AU358" s="339"/>
      <c r="AV358" s="339"/>
      <c r="AW358" s="339"/>
      <c r="AX358" s="339"/>
      <c r="AY358" s="339"/>
      <c r="AZ358" s="339"/>
      <c r="BA358" s="339"/>
      <c r="BB358" s="339"/>
      <c r="BC358" s="339"/>
      <c r="BD358" s="339"/>
    </row>
    <row r="359" spans="3:56">
      <c r="C359" s="339"/>
      <c r="D359" s="339"/>
      <c r="E359" s="339"/>
      <c r="F359" s="339"/>
      <c r="G359" s="339"/>
      <c r="H359" s="339"/>
      <c r="I359" s="339"/>
      <c r="J359" s="339"/>
      <c r="K359" s="339"/>
      <c r="L359" s="339"/>
      <c r="M359" s="339"/>
      <c r="N359" s="339"/>
      <c r="O359" s="339"/>
      <c r="P359" s="339"/>
      <c r="Q359" s="339"/>
      <c r="R359" s="339"/>
      <c r="S359" s="339"/>
      <c r="T359" s="339"/>
      <c r="U359" s="339"/>
      <c r="V359" s="339"/>
      <c r="W359" s="339"/>
      <c r="X359" s="339"/>
      <c r="Y359" s="339"/>
      <c r="Z359" s="339"/>
      <c r="AA359" s="339"/>
      <c r="AB359" s="339"/>
      <c r="AC359" s="339"/>
      <c r="AD359" s="339"/>
      <c r="AE359" s="339"/>
      <c r="AF359" s="339"/>
      <c r="AG359" s="339"/>
      <c r="AH359" s="339"/>
      <c r="AI359" s="339"/>
      <c r="AJ359" s="339"/>
      <c r="AK359" s="339"/>
      <c r="AL359" s="339"/>
      <c r="AM359" s="339"/>
      <c r="AN359" s="339"/>
      <c r="AO359" s="339"/>
      <c r="AP359" s="339"/>
      <c r="AQ359" s="339"/>
      <c r="AR359" s="339"/>
      <c r="AS359" s="339"/>
      <c r="AT359" s="339"/>
      <c r="AU359" s="339"/>
      <c r="AV359" s="339"/>
      <c r="AW359" s="339"/>
      <c r="AX359" s="339"/>
      <c r="AY359" s="339"/>
      <c r="AZ359" s="339"/>
      <c r="BA359" s="339"/>
      <c r="BB359" s="339"/>
      <c r="BC359" s="339"/>
      <c r="BD359" s="339"/>
    </row>
    <row r="360" spans="3:56">
      <c r="C360" s="339"/>
      <c r="D360" s="339"/>
      <c r="E360" s="339"/>
      <c r="F360" s="339"/>
      <c r="G360" s="339"/>
      <c r="H360" s="339"/>
      <c r="I360" s="339"/>
      <c r="J360" s="339"/>
      <c r="K360" s="339"/>
      <c r="L360" s="339"/>
      <c r="M360" s="339"/>
      <c r="N360" s="339"/>
      <c r="O360" s="339"/>
      <c r="P360" s="339"/>
      <c r="Q360" s="339"/>
      <c r="R360" s="339"/>
      <c r="S360" s="339"/>
      <c r="T360" s="339"/>
      <c r="U360" s="339"/>
      <c r="V360" s="339"/>
      <c r="W360" s="339"/>
      <c r="X360" s="339"/>
      <c r="Y360" s="339"/>
      <c r="Z360" s="339"/>
      <c r="AA360" s="339"/>
      <c r="AB360" s="339"/>
      <c r="AC360" s="339"/>
      <c r="AD360" s="339"/>
      <c r="AE360" s="339"/>
      <c r="AF360" s="339"/>
      <c r="AG360" s="339"/>
      <c r="AH360" s="339"/>
      <c r="AI360" s="339"/>
      <c r="AJ360" s="339"/>
      <c r="AK360" s="339"/>
      <c r="AL360" s="339"/>
      <c r="AM360" s="339"/>
      <c r="AN360" s="339"/>
      <c r="AO360" s="339"/>
      <c r="AP360" s="339"/>
      <c r="AQ360" s="339"/>
      <c r="AR360" s="339"/>
      <c r="AS360" s="339"/>
      <c r="AT360" s="339"/>
      <c r="AU360" s="339"/>
      <c r="AV360" s="339"/>
      <c r="AW360" s="339"/>
      <c r="AX360" s="339"/>
      <c r="AY360" s="339"/>
      <c r="AZ360" s="339"/>
      <c r="BA360" s="339"/>
      <c r="BB360" s="339"/>
      <c r="BC360" s="339"/>
      <c r="BD360" s="339"/>
    </row>
    <row r="361" spans="3:56">
      <c r="C361" s="339"/>
      <c r="D361" s="339"/>
      <c r="E361" s="339"/>
      <c r="F361" s="339"/>
      <c r="G361" s="339"/>
      <c r="H361" s="339"/>
      <c r="I361" s="339"/>
      <c r="J361" s="339"/>
      <c r="K361" s="339"/>
      <c r="L361" s="339"/>
      <c r="M361" s="339"/>
      <c r="N361" s="339"/>
      <c r="O361" s="339"/>
      <c r="P361" s="339"/>
      <c r="Q361" s="339"/>
      <c r="R361" s="339"/>
      <c r="S361" s="339"/>
      <c r="T361" s="339"/>
      <c r="U361" s="339"/>
      <c r="V361" s="339"/>
      <c r="W361" s="339"/>
      <c r="X361" s="339"/>
      <c r="Y361" s="339"/>
      <c r="Z361" s="339"/>
      <c r="AA361" s="339"/>
      <c r="AB361" s="339"/>
      <c r="AC361" s="339"/>
      <c r="AD361" s="339"/>
      <c r="AE361" s="339"/>
      <c r="AF361" s="339"/>
      <c r="AG361" s="339"/>
      <c r="AH361" s="339"/>
      <c r="AI361" s="339"/>
      <c r="AJ361" s="339"/>
      <c r="AK361" s="339"/>
      <c r="AL361" s="339"/>
      <c r="AM361" s="339"/>
      <c r="AN361" s="339"/>
      <c r="AO361" s="339"/>
      <c r="AP361" s="339"/>
      <c r="AQ361" s="339"/>
      <c r="AR361" s="339"/>
      <c r="AS361" s="339"/>
      <c r="AT361" s="339"/>
      <c r="AU361" s="339"/>
      <c r="AV361" s="339"/>
      <c r="AW361" s="339"/>
      <c r="AX361" s="339"/>
      <c r="AY361" s="339"/>
      <c r="AZ361" s="339"/>
      <c r="BA361" s="339"/>
      <c r="BB361" s="339"/>
      <c r="BC361" s="339"/>
      <c r="BD361" s="339"/>
    </row>
    <row r="362" spans="3:56">
      <c r="C362" s="339"/>
      <c r="D362" s="339"/>
      <c r="E362" s="339"/>
      <c r="F362" s="339"/>
      <c r="G362" s="339"/>
      <c r="H362" s="339"/>
      <c r="I362" s="339"/>
      <c r="J362" s="339"/>
      <c r="K362" s="339"/>
      <c r="L362" s="339"/>
      <c r="M362" s="339"/>
      <c r="N362" s="339"/>
      <c r="O362" s="339"/>
      <c r="P362" s="339"/>
      <c r="Q362" s="339"/>
      <c r="R362" s="339"/>
      <c r="S362" s="339"/>
      <c r="T362" s="339"/>
      <c r="U362" s="339"/>
      <c r="V362" s="339"/>
      <c r="W362" s="339"/>
      <c r="X362" s="339"/>
      <c r="Y362" s="339"/>
      <c r="Z362" s="339"/>
      <c r="AA362" s="339"/>
      <c r="AB362" s="339"/>
      <c r="AC362" s="339"/>
      <c r="AD362" s="339"/>
      <c r="AE362" s="339"/>
      <c r="AF362" s="339"/>
      <c r="AG362" s="339"/>
      <c r="AH362" s="339"/>
      <c r="AI362" s="339"/>
      <c r="AJ362" s="339"/>
      <c r="AK362" s="339"/>
      <c r="AL362" s="339"/>
      <c r="AM362" s="339"/>
      <c r="AN362" s="339"/>
      <c r="AO362" s="339"/>
      <c r="AP362" s="339"/>
      <c r="AQ362" s="339"/>
      <c r="AR362" s="339"/>
      <c r="AS362" s="339"/>
      <c r="AT362" s="339"/>
      <c r="AU362" s="339"/>
      <c r="AV362" s="339"/>
      <c r="AW362" s="339"/>
      <c r="AX362" s="339"/>
      <c r="AY362" s="339"/>
      <c r="AZ362" s="339"/>
      <c r="BA362" s="339"/>
      <c r="BB362" s="339"/>
      <c r="BC362" s="339"/>
      <c r="BD362" s="339"/>
    </row>
    <row r="363" spans="3:56">
      <c r="C363" s="339"/>
      <c r="D363" s="339"/>
      <c r="E363" s="339"/>
      <c r="F363" s="339"/>
      <c r="G363" s="339"/>
      <c r="H363" s="339"/>
      <c r="I363" s="339"/>
      <c r="J363" s="339"/>
      <c r="K363" s="339"/>
      <c r="L363" s="339"/>
      <c r="M363" s="339"/>
      <c r="N363" s="339"/>
      <c r="O363" s="339"/>
      <c r="P363" s="339"/>
      <c r="Q363" s="339"/>
      <c r="R363" s="339"/>
      <c r="S363" s="339"/>
      <c r="T363" s="339"/>
      <c r="U363" s="339"/>
      <c r="V363" s="339"/>
      <c r="W363" s="339"/>
      <c r="X363" s="339"/>
      <c r="Y363" s="339"/>
      <c r="Z363" s="339"/>
      <c r="AA363" s="339"/>
      <c r="AB363" s="339"/>
      <c r="AC363" s="339"/>
      <c r="AD363" s="339"/>
      <c r="AE363" s="339"/>
      <c r="AF363" s="339"/>
      <c r="AG363" s="339"/>
      <c r="AH363" s="339"/>
      <c r="AI363" s="339"/>
      <c r="AJ363" s="339"/>
      <c r="AK363" s="339"/>
      <c r="AL363" s="339"/>
      <c r="AM363" s="339"/>
      <c r="AN363" s="339"/>
      <c r="AO363" s="339"/>
      <c r="AP363" s="339"/>
      <c r="AQ363" s="339"/>
      <c r="AR363" s="339"/>
      <c r="AS363" s="339"/>
      <c r="AT363" s="339"/>
      <c r="AU363" s="339"/>
      <c r="AV363" s="339"/>
      <c r="AW363" s="339"/>
      <c r="AX363" s="339"/>
      <c r="AY363" s="339"/>
      <c r="AZ363" s="339"/>
      <c r="BA363" s="339"/>
      <c r="BB363" s="339"/>
      <c r="BC363" s="339"/>
      <c r="BD363" s="339"/>
    </row>
    <row r="364" spans="3:56">
      <c r="C364" s="339"/>
      <c r="D364" s="339"/>
      <c r="E364" s="339"/>
      <c r="F364" s="339"/>
      <c r="G364" s="339"/>
      <c r="H364" s="339"/>
      <c r="I364" s="339"/>
      <c r="J364" s="339"/>
      <c r="K364" s="339"/>
      <c r="L364" s="339"/>
      <c r="M364" s="339"/>
      <c r="N364" s="339"/>
      <c r="O364" s="339"/>
      <c r="P364" s="339"/>
      <c r="Q364" s="339"/>
      <c r="R364" s="339"/>
      <c r="S364" s="339"/>
      <c r="T364" s="339"/>
      <c r="U364" s="339"/>
      <c r="V364" s="339"/>
      <c r="W364" s="339"/>
      <c r="X364" s="339"/>
      <c r="Y364" s="339"/>
      <c r="Z364" s="339"/>
      <c r="AA364" s="339"/>
      <c r="AB364" s="339"/>
      <c r="AC364" s="339"/>
      <c r="AD364" s="339"/>
      <c r="AE364" s="339"/>
      <c r="AF364" s="339"/>
      <c r="AG364" s="339"/>
      <c r="AH364" s="339"/>
      <c r="AI364" s="339"/>
      <c r="AJ364" s="339"/>
      <c r="AK364" s="339"/>
      <c r="AL364" s="339"/>
      <c r="AM364" s="339"/>
      <c r="AN364" s="339"/>
      <c r="AO364" s="339"/>
      <c r="AP364" s="339"/>
      <c r="AQ364" s="339"/>
      <c r="AR364" s="339"/>
      <c r="AS364" s="339"/>
      <c r="AT364" s="339"/>
      <c r="AU364" s="339"/>
      <c r="AV364" s="339"/>
      <c r="AW364" s="339"/>
      <c r="AX364" s="339"/>
      <c r="AY364" s="339"/>
      <c r="AZ364" s="339"/>
      <c r="BA364" s="339"/>
      <c r="BB364" s="339"/>
      <c r="BC364" s="339"/>
      <c r="BD364" s="339"/>
    </row>
    <row r="365" spans="3:56">
      <c r="C365" s="339"/>
      <c r="D365" s="339"/>
      <c r="E365" s="339"/>
      <c r="F365" s="339"/>
      <c r="G365" s="339"/>
      <c r="H365" s="339"/>
      <c r="I365" s="339"/>
      <c r="J365" s="339"/>
      <c r="K365" s="339"/>
      <c r="L365" s="339"/>
      <c r="M365" s="339"/>
      <c r="N365" s="339"/>
      <c r="O365" s="339"/>
      <c r="P365" s="339"/>
      <c r="Q365" s="339"/>
      <c r="R365" s="339"/>
      <c r="S365" s="339"/>
      <c r="T365" s="339"/>
      <c r="U365" s="339"/>
      <c r="V365" s="339"/>
      <c r="W365" s="339"/>
      <c r="X365" s="339"/>
      <c r="Y365" s="339"/>
      <c r="Z365" s="339"/>
      <c r="AA365" s="339"/>
      <c r="AB365" s="339"/>
      <c r="AC365" s="339"/>
      <c r="AD365" s="339"/>
      <c r="AE365" s="339"/>
      <c r="AF365" s="339"/>
      <c r="AG365" s="339"/>
      <c r="AH365" s="339"/>
      <c r="AI365" s="339"/>
      <c r="AJ365" s="339"/>
      <c r="AK365" s="339"/>
      <c r="AL365" s="339"/>
      <c r="AM365" s="339"/>
      <c r="AN365" s="339"/>
      <c r="AO365" s="339"/>
      <c r="AP365" s="339"/>
      <c r="AQ365" s="339"/>
      <c r="AR365" s="339"/>
      <c r="AS365" s="339"/>
      <c r="AT365" s="339"/>
      <c r="AU365" s="339"/>
      <c r="AV365" s="339"/>
      <c r="AW365" s="339"/>
      <c r="AX365" s="339"/>
      <c r="AY365" s="339"/>
      <c r="AZ365" s="339"/>
      <c r="BA365" s="339"/>
      <c r="BB365" s="339"/>
      <c r="BC365" s="339"/>
      <c r="BD365" s="339"/>
    </row>
    <row r="366" spans="3:56">
      <c r="C366" s="339"/>
      <c r="D366" s="339"/>
      <c r="E366" s="339"/>
      <c r="F366" s="339"/>
      <c r="G366" s="339"/>
      <c r="H366" s="339"/>
      <c r="I366" s="339"/>
      <c r="J366" s="339"/>
      <c r="K366" s="339"/>
      <c r="L366" s="339"/>
      <c r="M366" s="339"/>
      <c r="N366" s="339"/>
      <c r="O366" s="339"/>
      <c r="P366" s="339"/>
      <c r="Q366" s="339"/>
      <c r="R366" s="339"/>
      <c r="S366" s="339"/>
      <c r="T366" s="339"/>
      <c r="U366" s="339"/>
      <c r="V366" s="339"/>
      <c r="W366" s="339"/>
      <c r="X366" s="339"/>
      <c r="Y366" s="339"/>
      <c r="Z366" s="339"/>
      <c r="AA366" s="339"/>
      <c r="AB366" s="339"/>
      <c r="AC366" s="339"/>
      <c r="AD366" s="339"/>
      <c r="AE366" s="339"/>
      <c r="AF366" s="339"/>
      <c r="AG366" s="339"/>
      <c r="AH366" s="339"/>
      <c r="AI366" s="339"/>
      <c r="AJ366" s="339"/>
      <c r="AK366" s="339"/>
      <c r="AL366" s="339"/>
      <c r="AM366" s="339"/>
      <c r="AN366" s="339"/>
      <c r="AO366" s="339"/>
      <c r="AP366" s="339"/>
      <c r="AQ366" s="339"/>
      <c r="AR366" s="339"/>
      <c r="AS366" s="339"/>
      <c r="AT366" s="339"/>
      <c r="AU366" s="339"/>
      <c r="AV366" s="339"/>
      <c r="AW366" s="339"/>
      <c r="AX366" s="339"/>
      <c r="AY366" s="339"/>
      <c r="AZ366" s="339"/>
      <c r="BA366" s="339"/>
      <c r="BB366" s="339"/>
      <c r="BC366" s="339"/>
      <c r="BD366" s="339"/>
    </row>
    <row r="367" spans="3:56">
      <c r="C367" s="339"/>
      <c r="D367" s="339"/>
      <c r="E367" s="339"/>
      <c r="F367" s="339"/>
      <c r="G367" s="339"/>
      <c r="H367" s="339"/>
      <c r="I367" s="339"/>
      <c r="J367" s="339"/>
      <c r="K367" s="339"/>
      <c r="L367" s="339"/>
      <c r="M367" s="339"/>
      <c r="N367" s="339"/>
      <c r="O367" s="339"/>
      <c r="P367" s="339"/>
      <c r="Q367" s="339"/>
      <c r="R367" s="339"/>
      <c r="S367" s="339"/>
      <c r="T367" s="339"/>
      <c r="U367" s="339"/>
      <c r="V367" s="339"/>
      <c r="W367" s="339"/>
      <c r="X367" s="339"/>
      <c r="Y367" s="339"/>
      <c r="Z367" s="339"/>
      <c r="AA367" s="339"/>
      <c r="AB367" s="339"/>
      <c r="AC367" s="339"/>
      <c r="AD367" s="339"/>
      <c r="AE367" s="339"/>
      <c r="AF367" s="339"/>
      <c r="AG367" s="339"/>
      <c r="AH367" s="339"/>
      <c r="AI367" s="339"/>
      <c r="AJ367" s="339"/>
      <c r="AK367" s="339"/>
      <c r="AL367" s="339"/>
      <c r="AM367" s="339"/>
      <c r="AN367" s="339"/>
      <c r="AO367" s="339"/>
      <c r="AP367" s="339"/>
      <c r="AQ367" s="339"/>
      <c r="AR367" s="339"/>
      <c r="AS367" s="339"/>
      <c r="AT367" s="339"/>
      <c r="AU367" s="339"/>
      <c r="AV367" s="339"/>
      <c r="AW367" s="339"/>
      <c r="AX367" s="339"/>
      <c r="AY367" s="339"/>
      <c r="AZ367" s="339"/>
      <c r="BA367" s="339"/>
      <c r="BB367" s="339"/>
      <c r="BC367" s="339"/>
      <c r="BD367" s="339"/>
    </row>
    <row r="368" spans="3:56">
      <c r="C368" s="339"/>
      <c r="D368" s="339"/>
      <c r="E368" s="339"/>
      <c r="F368" s="339"/>
      <c r="G368" s="339"/>
      <c r="H368" s="339"/>
      <c r="I368" s="339"/>
      <c r="J368" s="339"/>
      <c r="K368" s="339"/>
      <c r="L368" s="339"/>
      <c r="M368" s="339"/>
      <c r="N368" s="339"/>
      <c r="O368" s="339"/>
      <c r="P368" s="339"/>
      <c r="Q368" s="339"/>
      <c r="R368" s="339"/>
      <c r="S368" s="339"/>
      <c r="T368" s="339"/>
      <c r="U368" s="339"/>
      <c r="V368" s="339"/>
      <c r="W368" s="339"/>
      <c r="X368" s="339"/>
      <c r="Y368" s="339"/>
      <c r="Z368" s="339"/>
      <c r="AA368" s="339"/>
      <c r="AB368" s="339"/>
      <c r="AC368" s="339"/>
      <c r="AD368" s="339"/>
      <c r="AE368" s="339"/>
      <c r="AF368" s="339"/>
      <c r="AG368" s="339"/>
      <c r="AH368" s="339"/>
      <c r="AI368" s="339"/>
      <c r="AJ368" s="339"/>
      <c r="AK368" s="339"/>
      <c r="AL368" s="339"/>
      <c r="AM368" s="339"/>
      <c r="AN368" s="339"/>
      <c r="AO368" s="339"/>
      <c r="AP368" s="339"/>
      <c r="AQ368" s="339"/>
      <c r="AR368" s="339"/>
      <c r="AS368" s="339"/>
      <c r="AT368" s="339"/>
      <c r="AU368" s="339"/>
      <c r="AV368" s="339"/>
      <c r="AW368" s="339"/>
      <c r="AX368" s="339"/>
      <c r="AY368" s="339"/>
      <c r="AZ368" s="339"/>
      <c r="BA368" s="339"/>
      <c r="BB368" s="339"/>
      <c r="BC368" s="339"/>
      <c r="BD368" s="339"/>
    </row>
    <row r="369" spans="3:56">
      <c r="C369" s="339"/>
      <c r="D369" s="339"/>
      <c r="E369" s="339"/>
      <c r="F369" s="339"/>
      <c r="G369" s="339"/>
      <c r="H369" s="339"/>
      <c r="I369" s="339"/>
      <c r="J369" s="339"/>
      <c r="K369" s="339"/>
      <c r="L369" s="339"/>
      <c r="M369" s="339"/>
      <c r="N369" s="339"/>
      <c r="O369" s="339"/>
      <c r="P369" s="339"/>
      <c r="Q369" s="339"/>
      <c r="R369" s="339"/>
      <c r="S369" s="339"/>
      <c r="T369" s="339"/>
      <c r="U369" s="339"/>
      <c r="V369" s="339"/>
      <c r="W369" s="339"/>
      <c r="X369" s="339"/>
      <c r="Y369" s="339"/>
      <c r="Z369" s="339"/>
      <c r="AA369" s="339"/>
      <c r="AB369" s="339"/>
      <c r="AC369" s="339"/>
      <c r="AD369" s="339"/>
      <c r="AE369" s="339"/>
      <c r="AF369" s="339"/>
      <c r="AG369" s="339"/>
      <c r="AH369" s="339"/>
      <c r="AI369" s="339"/>
      <c r="AJ369" s="339"/>
      <c r="AK369" s="339"/>
      <c r="AL369" s="339"/>
      <c r="AM369" s="339"/>
      <c r="AN369" s="339"/>
      <c r="AO369" s="339"/>
      <c r="AP369" s="339"/>
      <c r="AQ369" s="339"/>
      <c r="AR369" s="339"/>
      <c r="AS369" s="339"/>
      <c r="AT369" s="339"/>
      <c r="AU369" s="339"/>
      <c r="AV369" s="339"/>
      <c r="AW369" s="339"/>
      <c r="AX369" s="339"/>
      <c r="AY369" s="339"/>
      <c r="AZ369" s="339"/>
      <c r="BA369" s="339"/>
      <c r="BB369" s="339"/>
      <c r="BC369" s="339"/>
      <c r="BD369" s="339"/>
    </row>
    <row r="370" spans="3:56">
      <c r="C370" s="339"/>
      <c r="D370" s="339"/>
      <c r="E370" s="339"/>
      <c r="F370" s="339"/>
      <c r="G370" s="339"/>
      <c r="H370" s="339"/>
      <c r="I370" s="339"/>
      <c r="J370" s="339"/>
      <c r="K370" s="339"/>
      <c r="L370" s="339"/>
      <c r="M370" s="339"/>
      <c r="N370" s="339"/>
      <c r="O370" s="339"/>
      <c r="P370" s="339"/>
      <c r="Q370" s="339"/>
      <c r="R370" s="339"/>
      <c r="S370" s="339"/>
      <c r="T370" s="339"/>
      <c r="U370" s="339"/>
      <c r="V370" s="339"/>
      <c r="W370" s="339"/>
      <c r="X370" s="339"/>
      <c r="Y370" s="339"/>
      <c r="Z370" s="339"/>
      <c r="AA370" s="339"/>
      <c r="AB370" s="339"/>
      <c r="AC370" s="339"/>
      <c r="AD370" s="339"/>
      <c r="AE370" s="339"/>
      <c r="AF370" s="339"/>
      <c r="AG370" s="339"/>
      <c r="AH370" s="339"/>
      <c r="AI370" s="339"/>
      <c r="AJ370" s="339"/>
      <c r="AK370" s="339"/>
      <c r="AL370" s="339"/>
      <c r="AM370" s="339"/>
      <c r="AN370" s="339"/>
      <c r="AO370" s="339"/>
      <c r="AP370" s="339"/>
      <c r="AQ370" s="339"/>
      <c r="AR370" s="339"/>
      <c r="AS370" s="339"/>
      <c r="AT370" s="339"/>
      <c r="AU370" s="339"/>
      <c r="AV370" s="339"/>
      <c r="AW370" s="339"/>
      <c r="AX370" s="339"/>
      <c r="AY370" s="339"/>
      <c r="AZ370" s="339"/>
      <c r="BA370" s="339"/>
      <c r="BB370" s="339"/>
      <c r="BC370" s="339"/>
      <c r="BD370" s="339"/>
    </row>
    <row r="371" spans="3:56">
      <c r="C371" s="339"/>
      <c r="D371" s="339"/>
      <c r="E371" s="339"/>
      <c r="F371" s="339"/>
      <c r="G371" s="339"/>
      <c r="H371" s="339"/>
      <c r="I371" s="339"/>
      <c r="J371" s="339"/>
      <c r="K371" s="339"/>
      <c r="L371" s="339"/>
      <c r="M371" s="339"/>
      <c r="N371" s="339"/>
      <c r="O371" s="339"/>
      <c r="P371" s="339"/>
      <c r="Q371" s="339"/>
      <c r="R371" s="339"/>
      <c r="S371" s="339"/>
      <c r="T371" s="339"/>
      <c r="U371" s="339"/>
      <c r="V371" s="339"/>
      <c r="W371" s="339"/>
      <c r="X371" s="339"/>
      <c r="Y371" s="339"/>
      <c r="Z371" s="339"/>
      <c r="AA371" s="339"/>
      <c r="AB371" s="339"/>
      <c r="AC371" s="339"/>
      <c r="AD371" s="339"/>
      <c r="AE371" s="339"/>
      <c r="AF371" s="339"/>
      <c r="AG371" s="339"/>
      <c r="AH371" s="339"/>
      <c r="AI371" s="339"/>
      <c r="AJ371" s="339"/>
      <c r="AK371" s="339"/>
      <c r="AL371" s="339"/>
      <c r="AM371" s="339"/>
      <c r="AN371" s="339"/>
      <c r="AO371" s="339"/>
      <c r="AP371" s="339"/>
      <c r="AQ371" s="339"/>
      <c r="AR371" s="339"/>
      <c r="AS371" s="339"/>
      <c r="AT371" s="339"/>
      <c r="AU371" s="339"/>
      <c r="AV371" s="339"/>
      <c r="AW371" s="339"/>
      <c r="AX371" s="339"/>
      <c r="AY371" s="339"/>
      <c r="AZ371" s="339"/>
      <c r="BA371" s="339"/>
      <c r="BB371" s="339"/>
      <c r="BC371" s="339"/>
      <c r="BD371" s="339"/>
    </row>
    <row r="372" spans="3:56">
      <c r="C372" s="339"/>
      <c r="D372" s="339"/>
      <c r="E372" s="339"/>
      <c r="F372" s="339"/>
      <c r="G372" s="339"/>
      <c r="H372" s="339"/>
      <c r="I372" s="339"/>
      <c r="J372" s="339"/>
      <c r="K372" s="339"/>
      <c r="L372" s="339"/>
      <c r="M372" s="339"/>
      <c r="N372" s="339"/>
      <c r="O372" s="339"/>
      <c r="P372" s="339"/>
      <c r="Q372" s="339"/>
      <c r="R372" s="339"/>
      <c r="S372" s="339"/>
      <c r="T372" s="339"/>
      <c r="U372" s="339"/>
      <c r="V372" s="339"/>
      <c r="W372" s="339"/>
      <c r="X372" s="339"/>
      <c r="Y372" s="339"/>
      <c r="Z372" s="339"/>
      <c r="AA372" s="339"/>
      <c r="AB372" s="339"/>
      <c r="AC372" s="339"/>
      <c r="AD372" s="339"/>
      <c r="AE372" s="339"/>
      <c r="AF372" s="339"/>
      <c r="AG372" s="339"/>
      <c r="AH372" s="339"/>
      <c r="AI372" s="339"/>
      <c r="AJ372" s="339"/>
      <c r="AK372" s="339"/>
      <c r="AL372" s="339"/>
      <c r="AM372" s="339"/>
      <c r="AN372" s="339"/>
      <c r="AO372" s="339"/>
      <c r="AP372" s="339"/>
      <c r="AQ372" s="339"/>
      <c r="AR372" s="339"/>
      <c r="AS372" s="339"/>
      <c r="AT372" s="339"/>
      <c r="AU372" s="339"/>
      <c r="AV372" s="339"/>
      <c r="AW372" s="339"/>
      <c r="AX372" s="339"/>
      <c r="AY372" s="339"/>
      <c r="AZ372" s="339"/>
      <c r="BA372" s="339"/>
      <c r="BB372" s="339"/>
      <c r="BC372" s="339"/>
      <c r="BD372" s="339"/>
    </row>
    <row r="373" spans="3:56">
      <c r="C373" s="339"/>
      <c r="D373" s="339"/>
      <c r="E373" s="339"/>
      <c r="F373" s="339"/>
      <c r="G373" s="339"/>
      <c r="H373" s="339"/>
      <c r="I373" s="339"/>
      <c r="J373" s="339"/>
      <c r="K373" s="339"/>
      <c r="L373" s="339"/>
      <c r="M373" s="339"/>
      <c r="N373" s="339"/>
      <c r="O373" s="339"/>
      <c r="P373" s="339"/>
      <c r="Q373" s="339"/>
      <c r="R373" s="339"/>
      <c r="S373" s="339"/>
      <c r="T373" s="339"/>
      <c r="U373" s="339"/>
      <c r="V373" s="339"/>
      <c r="W373" s="339"/>
      <c r="X373" s="339"/>
      <c r="Y373" s="339"/>
      <c r="Z373" s="339"/>
      <c r="AA373" s="339"/>
      <c r="AB373" s="339"/>
      <c r="AC373" s="339"/>
      <c r="AD373" s="339"/>
      <c r="AE373" s="339"/>
      <c r="AF373" s="339"/>
      <c r="AG373" s="339"/>
      <c r="AH373" s="339"/>
      <c r="AI373" s="339"/>
      <c r="AJ373" s="339"/>
      <c r="AK373" s="339"/>
      <c r="AL373" s="339"/>
      <c r="AM373" s="339"/>
      <c r="AN373" s="339"/>
      <c r="AO373" s="339"/>
      <c r="AP373" s="339"/>
      <c r="AQ373" s="339"/>
      <c r="AR373" s="339"/>
      <c r="AS373" s="339"/>
      <c r="AT373" s="339"/>
      <c r="AU373" s="339"/>
      <c r="AV373" s="339"/>
      <c r="AW373" s="339"/>
      <c r="AX373" s="339"/>
      <c r="AY373" s="339"/>
      <c r="AZ373" s="339"/>
      <c r="BA373" s="339"/>
      <c r="BB373" s="339"/>
      <c r="BC373" s="339"/>
      <c r="BD373" s="339"/>
    </row>
    <row r="374" spans="3:56">
      <c r="C374" s="339"/>
      <c r="D374" s="339"/>
      <c r="E374" s="339"/>
      <c r="F374" s="339"/>
      <c r="G374" s="339"/>
      <c r="H374" s="339"/>
      <c r="I374" s="339"/>
      <c r="J374" s="339"/>
      <c r="K374" s="339"/>
      <c r="L374" s="339"/>
      <c r="M374" s="339"/>
      <c r="N374" s="339"/>
      <c r="O374" s="339"/>
      <c r="P374" s="339"/>
      <c r="Q374" s="339"/>
      <c r="R374" s="339"/>
      <c r="S374" s="339"/>
      <c r="T374" s="339"/>
      <c r="U374" s="339"/>
      <c r="V374" s="339"/>
      <c r="W374" s="339"/>
      <c r="X374" s="339"/>
      <c r="Y374" s="339"/>
      <c r="Z374" s="339"/>
      <c r="AA374" s="339"/>
      <c r="AB374" s="339"/>
      <c r="AC374" s="339"/>
      <c r="AD374" s="339"/>
      <c r="AE374" s="339"/>
      <c r="AF374" s="339"/>
      <c r="AG374" s="339"/>
      <c r="AH374" s="339"/>
      <c r="AI374" s="339"/>
      <c r="AJ374" s="339"/>
      <c r="AK374" s="339"/>
      <c r="AL374" s="339"/>
      <c r="AM374" s="339"/>
      <c r="AN374" s="339"/>
      <c r="AO374" s="339"/>
      <c r="AP374" s="339"/>
      <c r="AQ374" s="339"/>
      <c r="AR374" s="339"/>
      <c r="AS374" s="339"/>
      <c r="AT374" s="339"/>
      <c r="AU374" s="339"/>
      <c r="AV374" s="339"/>
      <c r="AW374" s="339"/>
      <c r="AX374" s="339"/>
      <c r="AY374" s="339"/>
      <c r="AZ374" s="339"/>
      <c r="BA374" s="339"/>
      <c r="BB374" s="339"/>
      <c r="BC374" s="339"/>
      <c r="BD374" s="339"/>
    </row>
    <row r="375" spans="3:56">
      <c r="C375" s="339"/>
      <c r="D375" s="339"/>
      <c r="E375" s="339"/>
      <c r="F375" s="339"/>
      <c r="G375" s="339"/>
      <c r="H375" s="339"/>
      <c r="I375" s="339"/>
      <c r="J375" s="339"/>
      <c r="K375" s="339"/>
      <c r="L375" s="339"/>
      <c r="M375" s="339"/>
      <c r="N375" s="339"/>
      <c r="O375" s="339"/>
      <c r="P375" s="339"/>
      <c r="Q375" s="339"/>
      <c r="R375" s="339"/>
      <c r="S375" s="339"/>
      <c r="T375" s="339"/>
      <c r="U375" s="339"/>
      <c r="V375" s="339"/>
      <c r="W375" s="339"/>
      <c r="X375" s="339"/>
      <c r="Y375" s="339"/>
      <c r="Z375" s="339"/>
      <c r="AA375" s="339"/>
      <c r="AB375" s="339"/>
      <c r="AC375" s="339"/>
      <c r="AD375" s="339"/>
      <c r="AE375" s="339"/>
      <c r="AF375" s="339"/>
      <c r="AG375" s="339"/>
      <c r="AH375" s="339"/>
      <c r="AI375" s="339"/>
      <c r="AJ375" s="339"/>
      <c r="AK375" s="339"/>
      <c r="AL375" s="339"/>
      <c r="AM375" s="339"/>
      <c r="AN375" s="339"/>
      <c r="AO375" s="339"/>
      <c r="AP375" s="339"/>
      <c r="AQ375" s="339"/>
      <c r="AR375" s="339"/>
      <c r="AS375" s="339"/>
      <c r="AT375" s="339"/>
      <c r="AU375" s="339"/>
      <c r="AV375" s="339"/>
      <c r="AW375" s="339"/>
      <c r="AX375" s="339"/>
      <c r="AY375" s="339"/>
      <c r="AZ375" s="339"/>
      <c r="BA375" s="339"/>
      <c r="BB375" s="339"/>
      <c r="BC375" s="339"/>
      <c r="BD375" s="339"/>
    </row>
    <row r="376" spans="3:56">
      <c r="C376" s="339"/>
      <c r="D376" s="339"/>
      <c r="E376" s="339"/>
      <c r="F376" s="339"/>
      <c r="G376" s="339"/>
      <c r="H376" s="339"/>
      <c r="I376" s="339"/>
      <c r="J376" s="339"/>
      <c r="K376" s="339"/>
      <c r="L376" s="339"/>
      <c r="M376" s="339"/>
      <c r="N376" s="339"/>
      <c r="O376" s="339"/>
      <c r="P376" s="339"/>
      <c r="Q376" s="339"/>
      <c r="R376" s="339"/>
      <c r="S376" s="339"/>
      <c r="T376" s="339"/>
      <c r="U376" s="339"/>
      <c r="V376" s="339"/>
      <c r="W376" s="339"/>
      <c r="X376" s="339"/>
      <c r="Y376" s="339"/>
      <c r="Z376" s="339"/>
      <c r="AA376" s="339"/>
      <c r="AB376" s="339"/>
      <c r="AC376" s="339"/>
      <c r="AD376" s="339"/>
      <c r="AE376" s="339"/>
      <c r="AF376" s="339"/>
      <c r="AG376" s="339"/>
      <c r="AH376" s="339"/>
      <c r="AI376" s="339"/>
      <c r="AJ376" s="339"/>
      <c r="AK376" s="339"/>
      <c r="AL376" s="339"/>
      <c r="AM376" s="339"/>
      <c r="AN376" s="339"/>
      <c r="AO376" s="339"/>
      <c r="AP376" s="339"/>
      <c r="AQ376" s="339"/>
      <c r="AR376" s="339"/>
      <c r="AS376" s="339"/>
      <c r="AT376" s="339"/>
      <c r="AU376" s="339"/>
      <c r="AV376" s="339"/>
      <c r="AW376" s="339"/>
      <c r="AX376" s="339"/>
      <c r="AY376" s="339"/>
      <c r="AZ376" s="339"/>
      <c r="BA376" s="339"/>
      <c r="BB376" s="339"/>
      <c r="BC376" s="339"/>
      <c r="BD376" s="339"/>
    </row>
    <row r="377" spans="3:56">
      <c r="C377" s="339"/>
      <c r="D377" s="339"/>
      <c r="E377" s="339"/>
      <c r="F377" s="339"/>
      <c r="G377" s="339"/>
      <c r="H377" s="339"/>
      <c r="I377" s="339"/>
      <c r="J377" s="339"/>
      <c r="K377" s="339"/>
      <c r="L377" s="339"/>
      <c r="M377" s="339"/>
      <c r="N377" s="339"/>
      <c r="O377" s="339"/>
      <c r="P377" s="339"/>
      <c r="Q377" s="339"/>
      <c r="R377" s="339"/>
      <c r="S377" s="339"/>
      <c r="T377" s="339"/>
      <c r="U377" s="339"/>
      <c r="V377" s="339"/>
      <c r="W377" s="339"/>
      <c r="X377" s="339"/>
      <c r="Y377" s="339"/>
      <c r="Z377" s="339"/>
      <c r="AA377" s="339"/>
      <c r="AB377" s="339"/>
      <c r="AC377" s="339"/>
      <c r="AD377" s="339"/>
      <c r="AE377" s="339"/>
      <c r="AF377" s="339"/>
      <c r="AG377" s="339"/>
      <c r="AH377" s="339"/>
      <c r="AI377" s="339"/>
      <c r="AJ377" s="339"/>
      <c r="AK377" s="339"/>
      <c r="AL377" s="339"/>
      <c r="AM377" s="339"/>
      <c r="AN377" s="339"/>
      <c r="AO377" s="339"/>
      <c r="AP377" s="339"/>
      <c r="AQ377" s="339"/>
      <c r="AR377" s="339"/>
      <c r="AS377" s="339"/>
      <c r="AT377" s="339"/>
      <c r="AU377" s="339"/>
      <c r="AV377" s="339"/>
      <c r="AW377" s="339"/>
      <c r="AX377" s="339"/>
      <c r="AY377" s="339"/>
      <c r="AZ377" s="339"/>
      <c r="BA377" s="339"/>
      <c r="BB377" s="339"/>
      <c r="BC377" s="339"/>
      <c r="BD377" s="339"/>
    </row>
    <row r="378" spans="3:56">
      <c r="C378" s="339"/>
      <c r="D378" s="339"/>
      <c r="E378" s="339"/>
      <c r="F378" s="339"/>
      <c r="G378" s="339"/>
      <c r="H378" s="339"/>
      <c r="I378" s="339"/>
      <c r="J378" s="339"/>
      <c r="K378" s="339"/>
      <c r="L378" s="339"/>
      <c r="M378" s="339"/>
      <c r="N378" s="339"/>
      <c r="O378" s="339"/>
      <c r="P378" s="339"/>
      <c r="Q378" s="339"/>
      <c r="R378" s="339"/>
      <c r="S378" s="339"/>
      <c r="T378" s="339"/>
      <c r="U378" s="339"/>
      <c r="V378" s="339"/>
      <c r="W378" s="339"/>
      <c r="X378" s="339"/>
      <c r="Y378" s="339"/>
      <c r="Z378" s="339"/>
      <c r="AA378" s="339"/>
      <c r="AB378" s="339"/>
      <c r="AC378" s="339"/>
      <c r="AD378" s="339"/>
      <c r="AE378" s="339"/>
      <c r="AF378" s="339"/>
      <c r="AG378" s="339"/>
      <c r="AH378" s="339"/>
      <c r="AI378" s="339"/>
      <c r="AJ378" s="339"/>
      <c r="AK378" s="339"/>
      <c r="AL378" s="339"/>
      <c r="AM378" s="339"/>
      <c r="AN378" s="339"/>
      <c r="AO378" s="339"/>
      <c r="AP378" s="339"/>
      <c r="AQ378" s="339"/>
      <c r="AR378" s="339"/>
      <c r="AS378" s="339"/>
      <c r="AT378" s="339"/>
      <c r="AU378" s="339"/>
      <c r="AV378" s="339"/>
      <c r="AW378" s="339"/>
      <c r="AX378" s="339"/>
      <c r="AY378" s="339"/>
      <c r="AZ378" s="339"/>
      <c r="BA378" s="339"/>
      <c r="BB378" s="339"/>
      <c r="BC378" s="339"/>
      <c r="BD378" s="339"/>
    </row>
    <row r="379" spans="3:56">
      <c r="C379" s="339"/>
      <c r="D379" s="339"/>
      <c r="E379" s="339"/>
      <c r="F379" s="339"/>
      <c r="G379" s="339"/>
      <c r="H379" s="339"/>
      <c r="I379" s="339"/>
      <c r="J379" s="339"/>
      <c r="K379" s="339"/>
      <c r="L379" s="339"/>
      <c r="M379" s="339"/>
      <c r="N379" s="339"/>
      <c r="O379" s="339"/>
      <c r="P379" s="339"/>
      <c r="Q379" s="339"/>
      <c r="R379" s="339"/>
      <c r="S379" s="339"/>
      <c r="T379" s="339"/>
      <c r="U379" s="339"/>
      <c r="V379" s="339"/>
      <c r="W379" s="339"/>
      <c r="X379" s="339"/>
      <c r="Y379" s="339"/>
      <c r="Z379" s="339"/>
      <c r="AA379" s="339"/>
      <c r="AB379" s="339"/>
      <c r="AC379" s="339"/>
      <c r="AD379" s="339"/>
      <c r="AE379" s="339"/>
      <c r="AF379" s="339"/>
      <c r="AG379" s="339"/>
      <c r="AH379" s="339"/>
      <c r="AI379" s="339"/>
      <c r="AJ379" s="339"/>
      <c r="AK379" s="339"/>
      <c r="AL379" s="339"/>
      <c r="AM379" s="339"/>
      <c r="AN379" s="339"/>
      <c r="AO379" s="339"/>
      <c r="AP379" s="339"/>
      <c r="AQ379" s="339"/>
      <c r="AR379" s="339"/>
      <c r="AS379" s="339"/>
      <c r="AT379" s="339"/>
      <c r="AU379" s="339"/>
      <c r="AV379" s="339"/>
      <c r="AW379" s="339"/>
      <c r="AX379" s="339"/>
      <c r="AY379" s="339"/>
      <c r="AZ379" s="339"/>
      <c r="BA379" s="339"/>
      <c r="BB379" s="339"/>
      <c r="BC379" s="339"/>
      <c r="BD379" s="339"/>
    </row>
    <row r="380" spans="3:56">
      <c r="C380" s="339"/>
      <c r="D380" s="339"/>
      <c r="E380" s="339"/>
      <c r="F380" s="339"/>
      <c r="G380" s="339"/>
      <c r="H380" s="339"/>
      <c r="I380" s="339"/>
      <c r="J380" s="339"/>
      <c r="K380" s="339"/>
      <c r="L380" s="339"/>
      <c r="M380" s="339"/>
      <c r="N380" s="339"/>
      <c r="O380" s="339"/>
      <c r="P380" s="339"/>
      <c r="Q380" s="339"/>
      <c r="R380" s="339"/>
      <c r="S380" s="339"/>
      <c r="T380" s="339"/>
      <c r="U380" s="339"/>
      <c r="V380" s="339"/>
      <c r="W380" s="339"/>
      <c r="X380" s="339"/>
      <c r="Y380" s="339"/>
      <c r="Z380" s="339"/>
      <c r="AA380" s="339"/>
      <c r="AB380" s="339"/>
      <c r="AC380" s="339"/>
      <c r="AD380" s="339"/>
      <c r="AE380" s="339"/>
      <c r="AF380" s="339"/>
      <c r="AG380" s="339"/>
      <c r="AH380" s="339"/>
      <c r="AI380" s="339"/>
      <c r="AJ380" s="339"/>
      <c r="AK380" s="339"/>
      <c r="AL380" s="339"/>
      <c r="AM380" s="339"/>
      <c r="AN380" s="339"/>
      <c r="AO380" s="339"/>
      <c r="AP380" s="339"/>
      <c r="AQ380" s="339"/>
      <c r="AR380" s="339"/>
      <c r="AS380" s="339"/>
      <c r="AT380" s="339"/>
      <c r="AU380" s="339"/>
      <c r="AV380" s="339"/>
      <c r="AW380" s="339"/>
      <c r="AX380" s="339"/>
      <c r="AY380" s="339"/>
      <c r="AZ380" s="339"/>
      <c r="BA380" s="339"/>
      <c r="BB380" s="339"/>
      <c r="BC380" s="339"/>
      <c r="BD380" s="339"/>
    </row>
    <row r="381" spans="3:56">
      <c r="C381" s="339"/>
      <c r="D381" s="339"/>
      <c r="E381" s="339"/>
      <c r="F381" s="339"/>
      <c r="G381" s="339"/>
      <c r="H381" s="339"/>
      <c r="I381" s="339"/>
      <c r="J381" s="339"/>
      <c r="K381" s="339"/>
      <c r="L381" s="339"/>
      <c r="M381" s="339"/>
      <c r="N381" s="339"/>
      <c r="O381" s="339"/>
      <c r="P381" s="339"/>
      <c r="Q381" s="339"/>
      <c r="R381" s="339"/>
      <c r="S381" s="339"/>
      <c r="T381" s="339"/>
      <c r="U381" s="339"/>
      <c r="V381" s="339"/>
      <c r="W381" s="339"/>
      <c r="X381" s="339"/>
      <c r="Y381" s="339"/>
      <c r="Z381" s="339"/>
      <c r="AA381" s="339"/>
      <c r="AB381" s="339"/>
      <c r="AC381" s="339"/>
      <c r="AD381" s="339"/>
      <c r="AE381" s="339"/>
      <c r="AF381" s="339"/>
      <c r="AG381" s="339"/>
      <c r="AH381" s="339"/>
      <c r="AI381" s="339"/>
      <c r="AJ381" s="339"/>
      <c r="AK381" s="339"/>
      <c r="AL381" s="339"/>
      <c r="AM381" s="339"/>
      <c r="AN381" s="339"/>
      <c r="AO381" s="339"/>
      <c r="AP381" s="339"/>
      <c r="AQ381" s="339"/>
      <c r="AR381" s="339"/>
      <c r="AS381" s="339"/>
      <c r="AT381" s="339"/>
      <c r="AU381" s="339"/>
      <c r="AV381" s="339"/>
      <c r="AW381" s="339"/>
      <c r="AX381" s="339"/>
      <c r="AY381" s="339"/>
      <c r="AZ381" s="339"/>
      <c r="BA381" s="339"/>
      <c r="BB381" s="339"/>
      <c r="BC381" s="339"/>
      <c r="BD381" s="339"/>
    </row>
    <row r="382" spans="3:56">
      <c r="C382" s="339"/>
      <c r="D382" s="339"/>
      <c r="E382" s="339"/>
      <c r="F382" s="339"/>
      <c r="G382" s="339"/>
      <c r="H382" s="339"/>
      <c r="I382" s="339"/>
      <c r="J382" s="339"/>
      <c r="K382" s="339"/>
      <c r="L382" s="339"/>
      <c r="M382" s="339"/>
      <c r="N382" s="339"/>
      <c r="O382" s="339"/>
      <c r="P382" s="339"/>
      <c r="Q382" s="339"/>
      <c r="R382" s="339"/>
      <c r="S382" s="339"/>
      <c r="T382" s="339"/>
      <c r="U382" s="339"/>
      <c r="V382" s="339"/>
      <c r="W382" s="339"/>
      <c r="X382" s="339"/>
      <c r="Y382" s="339"/>
      <c r="Z382" s="339"/>
      <c r="AA382" s="339"/>
      <c r="AB382" s="339"/>
      <c r="AC382" s="339"/>
      <c r="AD382" s="339"/>
      <c r="AE382" s="339"/>
      <c r="AF382" s="339"/>
      <c r="AG382" s="339"/>
      <c r="AH382" s="339"/>
      <c r="AI382" s="339"/>
      <c r="AJ382" s="339"/>
      <c r="AK382" s="339"/>
      <c r="AL382" s="339"/>
      <c r="AM382" s="339"/>
      <c r="AN382" s="339"/>
      <c r="AO382" s="339"/>
      <c r="AP382" s="339"/>
      <c r="AQ382" s="339"/>
      <c r="AR382" s="339"/>
      <c r="AS382" s="339"/>
      <c r="AT382" s="339"/>
      <c r="AU382" s="339"/>
      <c r="AV382" s="339"/>
      <c r="AW382" s="339"/>
      <c r="AX382" s="339"/>
      <c r="AY382" s="339"/>
      <c r="AZ382" s="339"/>
      <c r="BA382" s="339"/>
      <c r="BB382" s="339"/>
      <c r="BC382" s="339"/>
      <c r="BD382" s="339"/>
    </row>
    <row r="383" spans="3:56">
      <c r="C383" s="339"/>
      <c r="D383" s="339"/>
      <c r="E383" s="339"/>
      <c r="F383" s="339"/>
      <c r="G383" s="339"/>
      <c r="H383" s="339"/>
      <c r="I383" s="339"/>
      <c r="J383" s="339"/>
      <c r="K383" s="339"/>
      <c r="L383" s="339"/>
      <c r="M383" s="339"/>
      <c r="N383" s="339"/>
      <c r="O383" s="339"/>
      <c r="P383" s="339"/>
      <c r="Q383" s="339"/>
      <c r="R383" s="339"/>
      <c r="S383" s="339"/>
      <c r="T383" s="339"/>
      <c r="U383" s="339"/>
      <c r="V383" s="339"/>
      <c r="W383" s="339"/>
      <c r="X383" s="339"/>
      <c r="Y383" s="339"/>
      <c r="Z383" s="339"/>
      <c r="AA383" s="339"/>
      <c r="AB383" s="339"/>
      <c r="AC383" s="339"/>
      <c r="AD383" s="339"/>
      <c r="AE383" s="339"/>
      <c r="AF383" s="339"/>
      <c r="AG383" s="339"/>
      <c r="AH383" s="339"/>
      <c r="AI383" s="339"/>
      <c r="AJ383" s="339"/>
      <c r="AK383" s="339"/>
      <c r="AL383" s="339"/>
      <c r="AM383" s="339"/>
      <c r="AN383" s="339"/>
      <c r="AO383" s="339"/>
      <c r="AP383" s="339"/>
      <c r="AQ383" s="339"/>
      <c r="AR383" s="339"/>
      <c r="AS383" s="339"/>
      <c r="AT383" s="339"/>
      <c r="AU383" s="339"/>
      <c r="AV383" s="339"/>
      <c r="AW383" s="339"/>
      <c r="AX383" s="339"/>
      <c r="AY383" s="339"/>
      <c r="AZ383" s="339"/>
      <c r="BA383" s="339"/>
      <c r="BB383" s="339"/>
      <c r="BC383" s="339"/>
      <c r="BD383" s="339"/>
    </row>
    <row r="384" spans="3:56">
      <c r="C384" s="339"/>
      <c r="D384" s="339"/>
      <c r="E384" s="339"/>
      <c r="F384" s="339"/>
      <c r="G384" s="339"/>
      <c r="H384" s="339"/>
      <c r="I384" s="339"/>
      <c r="J384" s="339"/>
      <c r="K384" s="339"/>
      <c r="L384" s="339"/>
      <c r="M384" s="339"/>
      <c r="N384" s="339"/>
      <c r="O384" s="339"/>
      <c r="P384" s="339"/>
      <c r="Q384" s="339"/>
      <c r="R384" s="339"/>
      <c r="S384" s="339"/>
      <c r="T384" s="339"/>
      <c r="U384" s="339"/>
      <c r="V384" s="339"/>
      <c r="W384" s="339"/>
      <c r="X384" s="339"/>
      <c r="Y384" s="339"/>
      <c r="Z384" s="339"/>
      <c r="AA384" s="339"/>
      <c r="AB384" s="339"/>
      <c r="AC384" s="339"/>
      <c r="AD384" s="339"/>
      <c r="AE384" s="339"/>
      <c r="AF384" s="339"/>
      <c r="AG384" s="339"/>
      <c r="AH384" s="339"/>
      <c r="AI384" s="339"/>
      <c r="AJ384" s="339"/>
      <c r="AK384" s="339"/>
      <c r="AL384" s="339"/>
      <c r="AM384" s="339"/>
      <c r="AN384" s="339"/>
      <c r="AO384" s="339"/>
      <c r="AP384" s="339"/>
      <c r="AQ384" s="339"/>
      <c r="AR384" s="339"/>
      <c r="AS384" s="339"/>
      <c r="AT384" s="339"/>
      <c r="AU384" s="339"/>
      <c r="AV384" s="339"/>
      <c r="AW384" s="339"/>
      <c r="AX384" s="339"/>
      <c r="AY384" s="339"/>
      <c r="AZ384" s="339"/>
      <c r="BA384" s="339"/>
      <c r="BB384" s="339"/>
      <c r="BC384" s="339"/>
      <c r="BD384" s="339"/>
    </row>
    <row r="385" spans="3:56">
      <c r="C385" s="339"/>
      <c r="D385" s="339"/>
      <c r="E385" s="339"/>
      <c r="F385" s="339"/>
      <c r="G385" s="339"/>
      <c r="H385" s="339"/>
      <c r="I385" s="339"/>
      <c r="J385" s="339"/>
      <c r="K385" s="339"/>
      <c r="L385" s="339"/>
      <c r="M385" s="339"/>
      <c r="N385" s="339"/>
      <c r="O385" s="339"/>
      <c r="P385" s="339"/>
      <c r="Q385" s="339"/>
      <c r="R385" s="339"/>
      <c r="S385" s="339"/>
      <c r="T385" s="339"/>
      <c r="U385" s="339"/>
      <c r="V385" s="339"/>
      <c r="W385" s="339"/>
      <c r="X385" s="339"/>
      <c r="Y385" s="339"/>
      <c r="Z385" s="339"/>
      <c r="AA385" s="339"/>
      <c r="AB385" s="339"/>
      <c r="AC385" s="339"/>
      <c r="AD385" s="339"/>
      <c r="AE385" s="339"/>
      <c r="AF385" s="339"/>
      <c r="AG385" s="339"/>
      <c r="AH385" s="339"/>
      <c r="AI385" s="339"/>
      <c r="AJ385" s="339"/>
      <c r="AK385" s="339"/>
      <c r="AL385" s="339"/>
      <c r="AM385" s="339"/>
      <c r="AN385" s="339"/>
      <c r="AO385" s="339"/>
      <c r="AP385" s="339"/>
      <c r="AQ385" s="339"/>
      <c r="AR385" s="339"/>
      <c r="AS385" s="339"/>
      <c r="AT385" s="339"/>
      <c r="AU385" s="339"/>
      <c r="AV385" s="339"/>
      <c r="AW385" s="339"/>
      <c r="AX385" s="339"/>
      <c r="AY385" s="339"/>
      <c r="AZ385" s="339"/>
      <c r="BA385" s="339"/>
      <c r="BB385" s="339"/>
      <c r="BC385" s="339"/>
      <c r="BD385" s="339"/>
    </row>
    <row r="386" spans="3:56">
      <c r="C386" s="339"/>
      <c r="D386" s="339"/>
      <c r="E386" s="339"/>
      <c r="F386" s="339"/>
      <c r="G386" s="339"/>
      <c r="H386" s="339"/>
      <c r="I386" s="339"/>
      <c r="J386" s="339"/>
      <c r="K386" s="339"/>
      <c r="L386" s="339"/>
      <c r="M386" s="339"/>
      <c r="N386" s="339"/>
      <c r="O386" s="339"/>
      <c r="P386" s="339"/>
      <c r="Q386" s="339"/>
      <c r="R386" s="339"/>
      <c r="S386" s="339"/>
      <c r="T386" s="339"/>
      <c r="U386" s="339"/>
      <c r="V386" s="339"/>
      <c r="W386" s="339"/>
      <c r="X386" s="339"/>
      <c r="Y386" s="339"/>
      <c r="Z386" s="339"/>
      <c r="AA386" s="339"/>
      <c r="AB386" s="339"/>
      <c r="AC386" s="339"/>
      <c r="AD386" s="339"/>
      <c r="AE386" s="339"/>
      <c r="AF386" s="339"/>
      <c r="AG386" s="339"/>
      <c r="AH386" s="339"/>
      <c r="AI386" s="339"/>
      <c r="AJ386" s="339"/>
      <c r="AK386" s="339"/>
      <c r="AL386" s="339"/>
      <c r="AM386" s="339"/>
      <c r="AN386" s="339"/>
      <c r="AO386" s="339"/>
      <c r="AP386" s="339"/>
      <c r="AQ386" s="339"/>
      <c r="AR386" s="339"/>
      <c r="AS386" s="339"/>
      <c r="AT386" s="339"/>
      <c r="AU386" s="339"/>
      <c r="AV386" s="339"/>
      <c r="AW386" s="339"/>
      <c r="AX386" s="339"/>
      <c r="AY386" s="339"/>
      <c r="AZ386" s="339"/>
      <c r="BA386" s="339"/>
      <c r="BB386" s="339"/>
      <c r="BC386" s="339"/>
      <c r="BD386" s="339"/>
    </row>
    <row r="387" spans="3:56">
      <c r="C387" s="339"/>
      <c r="D387" s="339"/>
      <c r="E387" s="339"/>
      <c r="F387" s="339"/>
      <c r="G387" s="339"/>
      <c r="H387" s="339"/>
      <c r="I387" s="339"/>
      <c r="J387" s="339"/>
      <c r="K387" s="339"/>
      <c r="L387" s="339"/>
      <c r="M387" s="339"/>
      <c r="N387" s="339"/>
      <c r="O387" s="339"/>
      <c r="P387" s="339"/>
      <c r="Q387" s="339"/>
      <c r="R387" s="339"/>
      <c r="S387" s="339"/>
      <c r="T387" s="339"/>
      <c r="U387" s="339"/>
      <c r="V387" s="339"/>
      <c r="W387" s="339"/>
      <c r="X387" s="339"/>
      <c r="Y387" s="339"/>
      <c r="Z387" s="339"/>
      <c r="AA387" s="339"/>
      <c r="AB387" s="339"/>
      <c r="AC387" s="339"/>
      <c r="AD387" s="339"/>
      <c r="AE387" s="339"/>
      <c r="AF387" s="339"/>
      <c r="AG387" s="339"/>
      <c r="AH387" s="339"/>
      <c r="AI387" s="339"/>
      <c r="AJ387" s="339"/>
      <c r="AK387" s="339"/>
      <c r="AL387" s="339"/>
      <c r="AM387" s="339"/>
      <c r="AN387" s="339"/>
      <c r="AO387" s="339"/>
      <c r="AP387" s="339"/>
      <c r="AQ387" s="339"/>
      <c r="AR387" s="339"/>
      <c r="AS387" s="339"/>
      <c r="AT387" s="339"/>
      <c r="AU387" s="339"/>
      <c r="AV387" s="339"/>
      <c r="AW387" s="339"/>
      <c r="AX387" s="339"/>
      <c r="AY387" s="339"/>
      <c r="AZ387" s="339"/>
      <c r="BA387" s="339"/>
      <c r="BB387" s="339"/>
      <c r="BC387" s="339"/>
      <c r="BD387" s="339"/>
    </row>
    <row r="388" spans="3:56">
      <c r="C388" s="339"/>
      <c r="D388" s="339"/>
      <c r="E388" s="339"/>
      <c r="F388" s="339"/>
      <c r="G388" s="339"/>
      <c r="H388" s="339"/>
      <c r="I388" s="339"/>
      <c r="J388" s="339"/>
      <c r="K388" s="339"/>
      <c r="L388" s="339"/>
      <c r="M388" s="339"/>
      <c r="N388" s="339"/>
      <c r="O388" s="339"/>
      <c r="P388" s="339"/>
      <c r="Q388" s="339"/>
      <c r="R388" s="339"/>
      <c r="S388" s="339"/>
      <c r="T388" s="339"/>
      <c r="U388" s="339"/>
      <c r="V388" s="339"/>
      <c r="W388" s="339"/>
      <c r="X388" s="339"/>
      <c r="Y388" s="339"/>
      <c r="Z388" s="339"/>
      <c r="AA388" s="339"/>
      <c r="AB388" s="339"/>
      <c r="AC388" s="339"/>
      <c r="AD388" s="339"/>
      <c r="AE388" s="339"/>
      <c r="AF388" s="339"/>
      <c r="AG388" s="339"/>
      <c r="AH388" s="339"/>
      <c r="AI388" s="339"/>
      <c r="AJ388" s="339"/>
      <c r="AK388" s="339"/>
      <c r="AL388" s="339"/>
      <c r="AM388" s="339"/>
      <c r="AN388" s="339"/>
      <c r="AO388" s="339"/>
      <c r="AP388" s="339"/>
      <c r="AQ388" s="339"/>
      <c r="AR388" s="339"/>
      <c r="AS388" s="339"/>
      <c r="AT388" s="339"/>
      <c r="AU388" s="339"/>
      <c r="AV388" s="339"/>
      <c r="AW388" s="339"/>
      <c r="AX388" s="339"/>
      <c r="AY388" s="339"/>
      <c r="AZ388" s="339"/>
      <c r="BA388" s="339"/>
      <c r="BB388" s="339"/>
      <c r="BC388" s="339"/>
      <c r="BD388" s="339"/>
    </row>
    <row r="389" spans="3:56">
      <c r="C389" s="339"/>
      <c r="D389" s="339"/>
      <c r="E389" s="339"/>
      <c r="F389" s="339"/>
      <c r="G389" s="339"/>
      <c r="H389" s="339"/>
      <c r="I389" s="339"/>
      <c r="J389" s="339"/>
      <c r="K389" s="339"/>
      <c r="L389" s="339"/>
      <c r="M389" s="339"/>
      <c r="N389" s="339"/>
      <c r="O389" s="339"/>
      <c r="P389" s="339"/>
      <c r="Q389" s="339"/>
      <c r="R389" s="339"/>
      <c r="S389" s="339"/>
      <c r="T389" s="339"/>
      <c r="U389" s="339"/>
      <c r="V389" s="339"/>
      <c r="W389" s="339"/>
      <c r="X389" s="339"/>
      <c r="Y389" s="339"/>
      <c r="Z389" s="339"/>
      <c r="AA389" s="339"/>
      <c r="AB389" s="339"/>
      <c r="AC389" s="339"/>
      <c r="AD389" s="339"/>
      <c r="AE389" s="339"/>
      <c r="AF389" s="339"/>
      <c r="AG389" s="339"/>
      <c r="AH389" s="339"/>
      <c r="AI389" s="339"/>
      <c r="AJ389" s="339"/>
      <c r="AK389" s="339"/>
      <c r="AL389" s="339"/>
      <c r="AM389" s="339"/>
      <c r="AN389" s="339"/>
      <c r="AO389" s="339"/>
      <c r="AP389" s="339"/>
      <c r="AQ389" s="339"/>
      <c r="AR389" s="339"/>
      <c r="AS389" s="339"/>
      <c r="AT389" s="339"/>
      <c r="AU389" s="339"/>
      <c r="AV389" s="339"/>
      <c r="AW389" s="339"/>
      <c r="AX389" s="339"/>
      <c r="AY389" s="339"/>
      <c r="AZ389" s="339"/>
      <c r="BA389" s="339"/>
      <c r="BB389" s="339"/>
      <c r="BC389" s="339"/>
      <c r="BD389" s="339"/>
    </row>
    <row r="390" spans="3:56">
      <c r="C390" s="339"/>
      <c r="D390" s="339"/>
      <c r="E390" s="339"/>
      <c r="F390" s="339"/>
      <c r="G390" s="339"/>
      <c r="H390" s="339"/>
      <c r="I390" s="339"/>
      <c r="J390" s="339"/>
      <c r="K390" s="339"/>
      <c r="L390" s="339"/>
      <c r="M390" s="339"/>
      <c r="N390" s="339"/>
      <c r="O390" s="339"/>
      <c r="P390" s="339"/>
      <c r="Q390" s="339"/>
      <c r="R390" s="339"/>
      <c r="S390" s="339"/>
      <c r="T390" s="339"/>
      <c r="U390" s="339"/>
      <c r="V390" s="339"/>
      <c r="W390" s="339"/>
      <c r="X390" s="339"/>
      <c r="Y390" s="339"/>
      <c r="Z390" s="339"/>
      <c r="AA390" s="339"/>
      <c r="AB390" s="339"/>
      <c r="AC390" s="339"/>
      <c r="AD390" s="339"/>
      <c r="AE390" s="339"/>
      <c r="AF390" s="339"/>
      <c r="AG390" s="339"/>
      <c r="AH390" s="339"/>
      <c r="AI390" s="339"/>
      <c r="AJ390" s="339"/>
      <c r="AK390" s="339"/>
      <c r="AL390" s="339"/>
      <c r="AM390" s="339"/>
      <c r="AN390" s="339"/>
      <c r="AO390" s="339"/>
      <c r="AP390" s="339"/>
      <c r="AQ390" s="339"/>
      <c r="AR390" s="339"/>
      <c r="AS390" s="339"/>
      <c r="AT390" s="339"/>
      <c r="AU390" s="339"/>
      <c r="AV390" s="339"/>
      <c r="AW390" s="339"/>
      <c r="AX390" s="339"/>
      <c r="AY390" s="339"/>
      <c r="AZ390" s="339"/>
      <c r="BA390" s="339"/>
      <c r="BB390" s="339"/>
      <c r="BC390" s="339"/>
      <c r="BD390" s="339"/>
    </row>
    <row r="391" spans="3:56">
      <c r="C391" s="339"/>
      <c r="D391" s="339"/>
      <c r="E391" s="339"/>
      <c r="F391" s="339"/>
      <c r="G391" s="339"/>
      <c r="H391" s="339"/>
      <c r="I391" s="339"/>
      <c r="J391" s="339"/>
      <c r="K391" s="339"/>
      <c r="L391" s="339"/>
      <c r="M391" s="339"/>
      <c r="N391" s="339"/>
      <c r="O391" s="339"/>
      <c r="P391" s="339"/>
      <c r="Q391" s="339"/>
      <c r="R391" s="339"/>
      <c r="S391" s="339"/>
      <c r="T391" s="339"/>
      <c r="U391" s="339"/>
      <c r="V391" s="339"/>
      <c r="W391" s="339"/>
      <c r="X391" s="339"/>
      <c r="Y391" s="339"/>
      <c r="Z391" s="339"/>
      <c r="AA391" s="339"/>
      <c r="AB391" s="339"/>
      <c r="AC391" s="339"/>
      <c r="AD391" s="339"/>
      <c r="AE391" s="339"/>
      <c r="AF391" s="339"/>
      <c r="AG391" s="339"/>
      <c r="AH391" s="339"/>
      <c r="AI391" s="339"/>
      <c r="AJ391" s="339"/>
      <c r="AK391" s="339"/>
      <c r="AL391" s="339"/>
      <c r="AM391" s="339"/>
      <c r="AN391" s="339"/>
      <c r="AO391" s="339"/>
      <c r="AP391" s="339"/>
      <c r="AQ391" s="339"/>
      <c r="AR391" s="339"/>
      <c r="AS391" s="339"/>
      <c r="AT391" s="339"/>
      <c r="AU391" s="339"/>
      <c r="AV391" s="339"/>
      <c r="AW391" s="339"/>
      <c r="AX391" s="339"/>
      <c r="AY391" s="339"/>
      <c r="AZ391" s="339"/>
      <c r="BA391" s="339"/>
      <c r="BB391" s="339"/>
      <c r="BC391" s="339"/>
      <c r="BD391" s="339"/>
    </row>
    <row r="392" spans="3:56">
      <c r="C392" s="339"/>
      <c r="D392" s="339"/>
      <c r="E392" s="339"/>
      <c r="F392" s="339"/>
      <c r="G392" s="339"/>
      <c r="H392" s="339"/>
      <c r="I392" s="339"/>
      <c r="J392" s="339"/>
      <c r="K392" s="339"/>
      <c r="L392" s="339"/>
      <c r="M392" s="339"/>
      <c r="N392" s="339"/>
      <c r="O392" s="339"/>
      <c r="P392" s="339"/>
      <c r="Q392" s="339"/>
      <c r="R392" s="339"/>
      <c r="S392" s="339"/>
      <c r="T392" s="339"/>
      <c r="U392" s="339"/>
      <c r="V392" s="339"/>
      <c r="W392" s="339"/>
      <c r="X392" s="339"/>
      <c r="Y392" s="339"/>
      <c r="Z392" s="339"/>
      <c r="AA392" s="339"/>
      <c r="AB392" s="339"/>
      <c r="AC392" s="339"/>
      <c r="AD392" s="339"/>
      <c r="AE392" s="339"/>
      <c r="AF392" s="339"/>
      <c r="AG392" s="339"/>
      <c r="AH392" s="339"/>
      <c r="AI392" s="339"/>
      <c r="AJ392" s="339"/>
      <c r="AK392" s="339"/>
      <c r="AL392" s="339"/>
      <c r="AM392" s="339"/>
      <c r="AN392" s="339"/>
      <c r="AO392" s="339"/>
      <c r="AP392" s="339"/>
      <c r="AQ392" s="339"/>
      <c r="AR392" s="339"/>
      <c r="AS392" s="339"/>
      <c r="AT392" s="339"/>
      <c r="AU392" s="339"/>
      <c r="AV392" s="339"/>
      <c r="AW392" s="339"/>
      <c r="AX392" s="339"/>
      <c r="AY392" s="339"/>
      <c r="AZ392" s="339"/>
      <c r="BA392" s="339"/>
      <c r="BB392" s="339"/>
      <c r="BC392" s="339"/>
      <c r="BD392" s="339"/>
    </row>
    <row r="393" spans="3:56">
      <c r="C393" s="339"/>
      <c r="D393" s="339"/>
      <c r="E393" s="339"/>
      <c r="F393" s="339"/>
      <c r="G393" s="339"/>
      <c r="H393" s="339"/>
      <c r="I393" s="339"/>
      <c r="J393" s="339"/>
      <c r="K393" s="339"/>
      <c r="L393" s="339"/>
      <c r="M393" s="339"/>
      <c r="N393" s="339"/>
      <c r="O393" s="339"/>
      <c r="P393" s="339"/>
      <c r="Q393" s="339"/>
      <c r="R393" s="339"/>
      <c r="S393" s="339"/>
      <c r="T393" s="339"/>
      <c r="U393" s="339"/>
      <c r="V393" s="339"/>
      <c r="W393" s="339"/>
      <c r="X393" s="339"/>
      <c r="Y393" s="339"/>
      <c r="Z393" s="339"/>
      <c r="AA393" s="339"/>
      <c r="AB393" s="339"/>
      <c r="AC393" s="339"/>
      <c r="AD393" s="339"/>
      <c r="AE393" s="339"/>
      <c r="AF393" s="339"/>
      <c r="AG393" s="339"/>
      <c r="AH393" s="339"/>
      <c r="AI393" s="339"/>
      <c r="AJ393" s="339"/>
      <c r="AK393" s="339"/>
      <c r="AL393" s="339"/>
      <c r="AM393" s="339"/>
      <c r="AN393" s="339"/>
      <c r="AO393" s="339"/>
      <c r="AP393" s="339"/>
      <c r="AQ393" s="339"/>
      <c r="AR393" s="339"/>
      <c r="AS393" s="339"/>
      <c r="AT393" s="339"/>
      <c r="AU393" s="339"/>
      <c r="AV393" s="339"/>
      <c r="AW393" s="339"/>
      <c r="AX393" s="339"/>
      <c r="AY393" s="339"/>
      <c r="AZ393" s="339"/>
      <c r="BA393" s="339"/>
      <c r="BB393" s="339"/>
      <c r="BC393" s="339"/>
      <c r="BD393" s="339"/>
    </row>
    <row r="394" spans="3:56">
      <c r="C394" s="339"/>
      <c r="D394" s="339"/>
      <c r="E394" s="339"/>
      <c r="F394" s="339"/>
      <c r="G394" s="339"/>
      <c r="H394" s="339"/>
      <c r="I394" s="339"/>
      <c r="J394" s="339"/>
      <c r="K394" s="339"/>
      <c r="L394" s="339"/>
      <c r="M394" s="339"/>
      <c r="N394" s="339"/>
      <c r="O394" s="339"/>
      <c r="P394" s="339"/>
      <c r="Q394" s="339"/>
      <c r="R394" s="339"/>
      <c r="S394" s="339"/>
      <c r="T394" s="339"/>
      <c r="U394" s="339"/>
      <c r="V394" s="339"/>
      <c r="W394" s="339"/>
      <c r="X394" s="339"/>
      <c r="Y394" s="339"/>
      <c r="Z394" s="339"/>
      <c r="AA394" s="339"/>
      <c r="AB394" s="339"/>
      <c r="AC394" s="339"/>
      <c r="AD394" s="339"/>
      <c r="AE394" s="339"/>
      <c r="AF394" s="339"/>
      <c r="AG394" s="339"/>
      <c r="AH394" s="339"/>
      <c r="AI394" s="339"/>
      <c r="AJ394" s="339"/>
      <c r="AK394" s="339"/>
      <c r="AL394" s="339"/>
      <c r="AM394" s="339"/>
      <c r="AN394" s="339"/>
      <c r="AO394" s="339"/>
      <c r="AP394" s="339"/>
      <c r="AQ394" s="339"/>
      <c r="AR394" s="339"/>
      <c r="AS394" s="339"/>
      <c r="AT394" s="339"/>
      <c r="AU394" s="339"/>
      <c r="AV394" s="339"/>
      <c r="AW394" s="339"/>
      <c r="AX394" s="339"/>
      <c r="AY394" s="339"/>
      <c r="AZ394" s="339"/>
      <c r="BA394" s="339"/>
      <c r="BB394" s="339"/>
      <c r="BC394" s="339"/>
      <c r="BD394" s="339"/>
    </row>
    <row r="395" spans="3:56">
      <c r="C395" s="339"/>
      <c r="D395" s="339"/>
      <c r="E395" s="339"/>
      <c r="F395" s="339"/>
      <c r="G395" s="339"/>
      <c r="H395" s="339"/>
      <c r="I395" s="339"/>
      <c r="J395" s="339"/>
      <c r="K395" s="339"/>
      <c r="L395" s="339"/>
      <c r="M395" s="339"/>
      <c r="N395" s="339"/>
      <c r="O395" s="339"/>
      <c r="P395" s="339"/>
      <c r="Q395" s="339"/>
      <c r="R395" s="339"/>
      <c r="S395" s="339"/>
      <c r="T395" s="339"/>
      <c r="U395" s="339"/>
      <c r="V395" s="339"/>
      <c r="W395" s="339"/>
      <c r="X395" s="339"/>
      <c r="Y395" s="339"/>
      <c r="Z395" s="339"/>
      <c r="AA395" s="339"/>
      <c r="AB395" s="339"/>
      <c r="AC395" s="339"/>
      <c r="AD395" s="339"/>
      <c r="AE395" s="339"/>
      <c r="AF395" s="339"/>
      <c r="AG395" s="339"/>
      <c r="AH395" s="339"/>
      <c r="AI395" s="339"/>
      <c r="AJ395" s="339"/>
      <c r="AK395" s="339"/>
      <c r="AL395" s="339"/>
      <c r="AM395" s="339"/>
      <c r="AN395" s="339"/>
      <c r="AO395" s="339"/>
      <c r="AP395" s="339"/>
      <c r="AQ395" s="339"/>
      <c r="AR395" s="339"/>
      <c r="AS395" s="339"/>
      <c r="AT395" s="339"/>
      <c r="AU395" s="339"/>
      <c r="AV395" s="339"/>
      <c r="AW395" s="339"/>
      <c r="AX395" s="339"/>
      <c r="AY395" s="339"/>
      <c r="AZ395" s="339"/>
      <c r="BA395" s="339"/>
      <c r="BB395" s="339"/>
      <c r="BC395" s="339"/>
      <c r="BD395" s="339"/>
    </row>
    <row r="396" spans="3:56">
      <c r="C396" s="339"/>
      <c r="D396" s="339"/>
      <c r="E396" s="339"/>
      <c r="F396" s="339"/>
      <c r="G396" s="339"/>
      <c r="H396" s="339"/>
      <c r="I396" s="339"/>
      <c r="J396" s="339"/>
      <c r="K396" s="339"/>
      <c r="L396" s="339"/>
      <c r="M396" s="339"/>
      <c r="N396" s="339"/>
      <c r="O396" s="339"/>
      <c r="P396" s="339"/>
      <c r="Q396" s="339"/>
      <c r="R396" s="339"/>
      <c r="S396" s="339"/>
      <c r="T396" s="339"/>
      <c r="U396" s="339"/>
      <c r="V396" s="339"/>
      <c r="W396" s="339"/>
      <c r="X396" s="339"/>
      <c r="Y396" s="339"/>
      <c r="Z396" s="339"/>
      <c r="AA396" s="339"/>
      <c r="AB396" s="339"/>
      <c r="AC396" s="339"/>
      <c r="AD396" s="339"/>
      <c r="AE396" s="339"/>
      <c r="AF396" s="339"/>
      <c r="AG396" s="339"/>
      <c r="AH396" s="339"/>
      <c r="AI396" s="339"/>
      <c r="AJ396" s="339"/>
      <c r="AK396" s="339"/>
      <c r="AL396" s="339"/>
      <c r="AM396" s="339"/>
      <c r="AN396" s="339"/>
      <c r="AO396" s="339"/>
      <c r="AP396" s="339"/>
      <c r="AQ396" s="339"/>
      <c r="AR396" s="339"/>
      <c r="AS396" s="339"/>
      <c r="AT396" s="339"/>
      <c r="AU396" s="339"/>
      <c r="AV396" s="339"/>
      <c r="AW396" s="339"/>
      <c r="AX396" s="339"/>
      <c r="AY396" s="339"/>
      <c r="AZ396" s="339"/>
      <c r="BA396" s="339"/>
      <c r="BB396" s="339"/>
      <c r="BC396" s="339"/>
      <c r="BD396" s="339"/>
    </row>
    <row r="397" spans="3:56">
      <c r="C397" s="339"/>
      <c r="D397" s="339"/>
      <c r="E397" s="339"/>
      <c r="F397" s="339"/>
      <c r="G397" s="339"/>
      <c r="H397" s="339"/>
      <c r="I397" s="339"/>
      <c r="J397" s="339"/>
      <c r="K397" s="339"/>
      <c r="L397" s="339"/>
      <c r="M397" s="339"/>
      <c r="N397" s="339"/>
      <c r="O397" s="339"/>
      <c r="P397" s="339"/>
      <c r="Q397" s="339"/>
      <c r="R397" s="339"/>
      <c r="S397" s="339"/>
      <c r="T397" s="339"/>
      <c r="U397" s="339"/>
      <c r="V397" s="339"/>
      <c r="W397" s="339"/>
      <c r="X397" s="339"/>
      <c r="Y397" s="339"/>
      <c r="Z397" s="339"/>
      <c r="AA397" s="339"/>
      <c r="AB397" s="339"/>
      <c r="AC397" s="339"/>
      <c r="AD397" s="339"/>
      <c r="AE397" s="339"/>
      <c r="AF397" s="339"/>
      <c r="AG397" s="339"/>
      <c r="AH397" s="339"/>
      <c r="AI397" s="339"/>
      <c r="AJ397" s="339"/>
      <c r="AK397" s="339"/>
      <c r="AL397" s="339"/>
      <c r="AM397" s="339"/>
      <c r="AN397" s="339"/>
      <c r="AO397" s="339"/>
      <c r="AP397" s="339"/>
      <c r="AQ397" s="339"/>
      <c r="AR397" s="339"/>
      <c r="AS397" s="339"/>
      <c r="AT397" s="339"/>
      <c r="AU397" s="339"/>
      <c r="AV397" s="339"/>
      <c r="AW397" s="339"/>
      <c r="AX397" s="339"/>
      <c r="AY397" s="339"/>
      <c r="AZ397" s="339"/>
      <c r="BA397" s="339"/>
      <c r="BB397" s="339"/>
      <c r="BC397" s="339"/>
      <c r="BD397" s="339"/>
    </row>
    <row r="398" spans="3:56">
      <c r="C398" s="339"/>
      <c r="D398" s="339"/>
      <c r="E398" s="339"/>
      <c r="F398" s="339"/>
      <c r="G398" s="339"/>
      <c r="H398" s="339"/>
      <c r="I398" s="339"/>
      <c r="J398" s="339"/>
      <c r="K398" s="339"/>
      <c r="L398" s="339"/>
      <c r="M398" s="339"/>
      <c r="N398" s="339"/>
      <c r="O398" s="339"/>
      <c r="P398" s="339"/>
      <c r="Q398" s="339"/>
      <c r="R398" s="339"/>
      <c r="S398" s="339"/>
      <c r="T398" s="339"/>
      <c r="U398" s="339"/>
      <c r="V398" s="339"/>
      <c r="W398" s="339"/>
      <c r="X398" s="339"/>
      <c r="Y398" s="339"/>
      <c r="Z398" s="339"/>
      <c r="AA398" s="339"/>
      <c r="AB398" s="339"/>
      <c r="AC398" s="339"/>
      <c r="AD398" s="339"/>
      <c r="AE398" s="339"/>
      <c r="AF398" s="339"/>
      <c r="AG398" s="339"/>
      <c r="AH398" s="339"/>
      <c r="AI398" s="339"/>
      <c r="AJ398" s="339"/>
      <c r="AK398" s="339"/>
      <c r="AL398" s="339"/>
      <c r="AM398" s="339"/>
      <c r="AN398" s="339"/>
      <c r="AO398" s="339"/>
      <c r="AP398" s="339"/>
      <c r="AQ398" s="339"/>
      <c r="AR398" s="339"/>
      <c r="AS398" s="339"/>
      <c r="AT398" s="339"/>
      <c r="AU398" s="339"/>
      <c r="AV398" s="339"/>
      <c r="AW398" s="339"/>
      <c r="AX398" s="339"/>
      <c r="AY398" s="339"/>
      <c r="AZ398" s="339"/>
      <c r="BA398" s="339"/>
      <c r="BB398" s="339"/>
      <c r="BC398" s="339"/>
      <c r="BD398" s="339"/>
    </row>
    <row r="399" spans="3:56">
      <c r="C399" s="339"/>
      <c r="D399" s="339"/>
      <c r="E399" s="339"/>
      <c r="F399" s="339"/>
      <c r="G399" s="339"/>
      <c r="H399" s="339"/>
      <c r="I399" s="339"/>
      <c r="J399" s="339"/>
      <c r="K399" s="339"/>
      <c r="L399" s="339"/>
      <c r="M399" s="339"/>
      <c r="N399" s="339"/>
      <c r="O399" s="339"/>
      <c r="P399" s="339"/>
      <c r="Q399" s="339"/>
      <c r="R399" s="339"/>
      <c r="S399" s="339"/>
      <c r="T399" s="339"/>
      <c r="U399" s="339"/>
      <c r="V399" s="339"/>
      <c r="W399" s="339"/>
      <c r="X399" s="339"/>
      <c r="Y399" s="339"/>
      <c r="Z399" s="339"/>
      <c r="AA399" s="339"/>
      <c r="AB399" s="339"/>
      <c r="AC399" s="339"/>
      <c r="AD399" s="339"/>
      <c r="AE399" s="339"/>
      <c r="AF399" s="339"/>
      <c r="AG399" s="339"/>
      <c r="AH399" s="339"/>
      <c r="AI399" s="339"/>
      <c r="AJ399" s="339"/>
      <c r="AK399" s="339"/>
      <c r="AL399" s="339"/>
      <c r="AM399" s="339"/>
      <c r="AN399" s="339"/>
      <c r="AO399" s="339"/>
      <c r="AP399" s="339"/>
      <c r="AQ399" s="339"/>
      <c r="AR399" s="339"/>
      <c r="AS399" s="339"/>
      <c r="AT399" s="339"/>
      <c r="AU399" s="339"/>
      <c r="AV399" s="339"/>
      <c r="AW399" s="339"/>
      <c r="AX399" s="339"/>
      <c r="AY399" s="339"/>
      <c r="AZ399" s="339"/>
      <c r="BA399" s="339"/>
      <c r="BB399" s="339"/>
      <c r="BC399" s="339"/>
      <c r="BD399" s="339"/>
    </row>
    <row r="400" spans="3:56">
      <c r="C400" s="339"/>
      <c r="D400" s="339"/>
      <c r="E400" s="339"/>
      <c r="F400" s="339"/>
      <c r="G400" s="339"/>
      <c r="H400" s="339"/>
      <c r="I400" s="339"/>
      <c r="J400" s="339"/>
      <c r="K400" s="339"/>
      <c r="L400" s="339"/>
      <c r="M400" s="339"/>
      <c r="N400" s="339"/>
      <c r="O400" s="339"/>
      <c r="P400" s="339"/>
      <c r="Q400" s="339"/>
      <c r="R400" s="339"/>
      <c r="S400" s="339"/>
      <c r="T400" s="339"/>
      <c r="U400" s="339"/>
      <c r="V400" s="339"/>
      <c r="W400" s="339"/>
      <c r="X400" s="339"/>
      <c r="Y400" s="339"/>
      <c r="Z400" s="339"/>
      <c r="AA400" s="339"/>
      <c r="AB400" s="339"/>
      <c r="AC400" s="339"/>
      <c r="AD400" s="339"/>
      <c r="AE400" s="339"/>
      <c r="AF400" s="339"/>
      <c r="AG400" s="339"/>
      <c r="AH400" s="339"/>
      <c r="AI400" s="339"/>
      <c r="AJ400" s="339"/>
      <c r="AK400" s="339"/>
      <c r="AL400" s="339"/>
      <c r="AM400" s="339"/>
      <c r="AN400" s="339"/>
      <c r="AO400" s="339"/>
      <c r="AP400" s="339"/>
      <c r="AQ400" s="339"/>
      <c r="AR400" s="339"/>
      <c r="AS400" s="339"/>
      <c r="AT400" s="339"/>
      <c r="AU400" s="339"/>
      <c r="AV400" s="339"/>
      <c r="AW400" s="339"/>
      <c r="AX400" s="339"/>
      <c r="AY400" s="339"/>
      <c r="AZ400" s="339"/>
      <c r="BA400" s="339"/>
      <c r="BB400" s="339"/>
      <c r="BC400" s="339"/>
      <c r="BD400" s="339"/>
    </row>
    <row r="401" spans="3:56">
      <c r="C401" s="339"/>
      <c r="D401" s="339"/>
      <c r="E401" s="339"/>
      <c r="F401" s="339"/>
      <c r="G401" s="339"/>
      <c r="H401" s="339"/>
      <c r="I401" s="339"/>
      <c r="J401" s="339"/>
      <c r="K401" s="339"/>
      <c r="L401" s="339"/>
      <c r="M401" s="339"/>
      <c r="N401" s="339"/>
      <c r="O401" s="339"/>
      <c r="P401" s="339"/>
      <c r="Q401" s="339"/>
      <c r="R401" s="339"/>
      <c r="S401" s="339"/>
      <c r="T401" s="339"/>
      <c r="U401" s="339"/>
      <c r="V401" s="339"/>
      <c r="W401" s="339"/>
      <c r="X401" s="339"/>
      <c r="Y401" s="339"/>
      <c r="Z401" s="339"/>
      <c r="AA401" s="339"/>
      <c r="AB401" s="339"/>
      <c r="AC401" s="339"/>
      <c r="AD401" s="339"/>
      <c r="AE401" s="339"/>
      <c r="AF401" s="339"/>
      <c r="AG401" s="339"/>
      <c r="AH401" s="339"/>
      <c r="AI401" s="339"/>
      <c r="AJ401" s="339"/>
      <c r="AK401" s="339"/>
      <c r="AL401" s="339"/>
      <c r="AM401" s="339"/>
      <c r="AN401" s="339"/>
      <c r="AO401" s="339"/>
      <c r="AP401" s="339"/>
      <c r="AQ401" s="339"/>
      <c r="AR401" s="339"/>
      <c r="AS401" s="339"/>
      <c r="AT401" s="339"/>
      <c r="AU401" s="339"/>
      <c r="AV401" s="339"/>
      <c r="AW401" s="339"/>
      <c r="AX401" s="339"/>
      <c r="AY401" s="339"/>
      <c r="AZ401" s="339"/>
      <c r="BA401" s="339"/>
      <c r="BB401" s="339"/>
      <c r="BC401" s="339"/>
      <c r="BD401" s="339"/>
    </row>
    <row r="402" spans="3:56">
      <c r="C402" s="339"/>
      <c r="D402" s="339"/>
      <c r="E402" s="339"/>
      <c r="F402" s="339"/>
      <c r="G402" s="339"/>
      <c r="H402" s="339"/>
      <c r="I402" s="339"/>
      <c r="J402" s="339"/>
      <c r="K402" s="339"/>
      <c r="L402" s="339"/>
      <c r="M402" s="339"/>
      <c r="N402" s="339"/>
      <c r="O402" s="339"/>
      <c r="P402" s="339"/>
      <c r="Q402" s="339"/>
      <c r="R402" s="339"/>
      <c r="S402" s="339"/>
      <c r="T402" s="339"/>
      <c r="U402" s="339"/>
      <c r="V402" s="339"/>
      <c r="W402" s="339"/>
      <c r="X402" s="339"/>
      <c r="Y402" s="339"/>
      <c r="Z402" s="339"/>
      <c r="AA402" s="339"/>
      <c r="AB402" s="339"/>
      <c r="AC402" s="339"/>
      <c r="AD402" s="339"/>
      <c r="AE402" s="339"/>
      <c r="AF402" s="339"/>
      <c r="AG402" s="339"/>
      <c r="AH402" s="339"/>
      <c r="AI402" s="339"/>
      <c r="AJ402" s="339"/>
      <c r="AK402" s="339"/>
      <c r="AL402" s="339"/>
      <c r="AM402" s="339"/>
      <c r="AN402" s="339"/>
      <c r="AO402" s="339"/>
      <c r="AP402" s="339"/>
      <c r="AQ402" s="339"/>
      <c r="AR402" s="339"/>
      <c r="AS402" s="339"/>
      <c r="AT402" s="339"/>
      <c r="AU402" s="339"/>
      <c r="AV402" s="339"/>
      <c r="AW402" s="339"/>
      <c r="AX402" s="339"/>
      <c r="AY402" s="339"/>
      <c r="AZ402" s="339"/>
      <c r="BA402" s="339"/>
      <c r="BB402" s="339"/>
      <c r="BC402" s="339"/>
      <c r="BD402" s="339"/>
    </row>
    <row r="403" spans="3:56">
      <c r="C403" s="339"/>
      <c r="D403" s="339"/>
      <c r="E403" s="339"/>
      <c r="F403" s="339"/>
      <c r="G403" s="339"/>
      <c r="H403" s="339"/>
      <c r="I403" s="339"/>
      <c r="J403" s="339"/>
      <c r="K403" s="339"/>
      <c r="L403" s="339"/>
      <c r="M403" s="339"/>
      <c r="N403" s="339"/>
      <c r="O403" s="339"/>
      <c r="P403" s="339"/>
      <c r="Q403" s="339"/>
      <c r="R403" s="339"/>
      <c r="S403" s="339"/>
      <c r="T403" s="339"/>
      <c r="U403" s="339"/>
      <c r="V403" s="339"/>
      <c r="W403" s="339"/>
      <c r="X403" s="339"/>
      <c r="Y403" s="339"/>
      <c r="Z403" s="339"/>
      <c r="AA403" s="339"/>
      <c r="AB403" s="339"/>
      <c r="AC403" s="339"/>
      <c r="AD403" s="339"/>
      <c r="AE403" s="339"/>
      <c r="AF403" s="339"/>
      <c r="AG403" s="339"/>
      <c r="AH403" s="339"/>
      <c r="AI403" s="339"/>
      <c r="AJ403" s="339"/>
      <c r="AK403" s="339"/>
      <c r="AL403" s="339"/>
      <c r="AM403" s="339"/>
      <c r="AN403" s="339"/>
      <c r="AO403" s="339"/>
      <c r="AP403" s="339"/>
      <c r="AQ403" s="339"/>
      <c r="AR403" s="339"/>
      <c r="AS403" s="339"/>
      <c r="AT403" s="339"/>
      <c r="AU403" s="339"/>
      <c r="AV403" s="339"/>
      <c r="AW403" s="339"/>
      <c r="AX403" s="339"/>
      <c r="AY403" s="339"/>
      <c r="AZ403" s="339"/>
      <c r="BA403" s="339"/>
      <c r="BB403" s="339"/>
      <c r="BC403" s="339"/>
      <c r="BD403" s="339"/>
    </row>
    <row r="404" spans="3:56">
      <c r="C404" s="339"/>
      <c r="D404" s="339"/>
      <c r="E404" s="339"/>
      <c r="F404" s="339"/>
      <c r="G404" s="339"/>
      <c r="H404" s="339"/>
      <c r="I404" s="339"/>
      <c r="J404" s="339"/>
      <c r="K404" s="339"/>
      <c r="L404" s="339"/>
      <c r="M404" s="339"/>
      <c r="N404" s="339"/>
      <c r="O404" s="339"/>
      <c r="P404" s="339"/>
      <c r="Q404" s="339"/>
      <c r="R404" s="339"/>
      <c r="S404" s="339"/>
      <c r="T404" s="339"/>
      <c r="U404" s="339"/>
      <c r="V404" s="339"/>
      <c r="W404" s="339"/>
      <c r="X404" s="339"/>
      <c r="Y404" s="339"/>
      <c r="Z404" s="339"/>
      <c r="AA404" s="339"/>
      <c r="AB404" s="339"/>
      <c r="AC404" s="339"/>
      <c r="AD404" s="339"/>
      <c r="AE404" s="339"/>
      <c r="AF404" s="339"/>
      <c r="AG404" s="339"/>
      <c r="AH404" s="339"/>
      <c r="AI404" s="339"/>
      <c r="AJ404" s="339"/>
      <c r="AK404" s="339"/>
      <c r="AL404" s="339"/>
      <c r="AM404" s="339"/>
      <c r="AN404" s="339"/>
      <c r="AO404" s="339"/>
      <c r="AP404" s="339"/>
      <c r="AQ404" s="339"/>
      <c r="AR404" s="339"/>
      <c r="AS404" s="339"/>
      <c r="AT404" s="339"/>
      <c r="AU404" s="339"/>
      <c r="AV404" s="339"/>
      <c r="AW404" s="339"/>
      <c r="AX404" s="339"/>
      <c r="AY404" s="339"/>
      <c r="AZ404" s="339"/>
      <c r="BA404" s="339"/>
      <c r="BB404" s="339"/>
      <c r="BC404" s="339"/>
      <c r="BD404" s="339"/>
    </row>
    <row r="405" spans="3:56">
      <c r="C405" s="339"/>
      <c r="D405" s="339"/>
      <c r="E405" s="339"/>
      <c r="F405" s="339"/>
      <c r="G405" s="339"/>
      <c r="H405" s="339"/>
      <c r="I405" s="339"/>
      <c r="J405" s="339"/>
      <c r="K405" s="339"/>
      <c r="L405" s="339"/>
      <c r="M405" s="339"/>
      <c r="N405" s="339"/>
      <c r="O405" s="339"/>
      <c r="P405" s="339"/>
      <c r="Q405" s="339"/>
      <c r="R405" s="339"/>
      <c r="S405" s="339"/>
      <c r="T405" s="339"/>
      <c r="U405" s="339"/>
      <c r="V405" s="339"/>
      <c r="W405" s="339"/>
      <c r="X405" s="339"/>
      <c r="Y405" s="339"/>
      <c r="Z405" s="339"/>
      <c r="AA405" s="339"/>
      <c r="AB405" s="339"/>
      <c r="AC405" s="339"/>
      <c r="AD405" s="339"/>
      <c r="AE405" s="339"/>
      <c r="AF405" s="339"/>
      <c r="AG405" s="339"/>
      <c r="AH405" s="339"/>
      <c r="AI405" s="339"/>
      <c r="AJ405" s="339"/>
      <c r="AK405" s="339"/>
      <c r="AL405" s="339"/>
      <c r="AM405" s="339"/>
      <c r="AN405" s="339"/>
      <c r="AO405" s="339"/>
      <c r="AP405" s="339"/>
      <c r="AQ405" s="339"/>
      <c r="AR405" s="339"/>
      <c r="AS405" s="339"/>
      <c r="AT405" s="339"/>
      <c r="AU405" s="339"/>
      <c r="AV405" s="339"/>
      <c r="AW405" s="339"/>
      <c r="AX405" s="339"/>
      <c r="AY405" s="339"/>
      <c r="AZ405" s="339"/>
      <c r="BA405" s="339"/>
      <c r="BB405" s="339"/>
      <c r="BC405" s="339"/>
      <c r="BD405" s="339"/>
    </row>
    <row r="406" spans="3:56">
      <c r="C406" s="339"/>
      <c r="D406" s="339"/>
      <c r="E406" s="339"/>
      <c r="F406" s="339"/>
      <c r="G406" s="339"/>
      <c r="H406" s="339"/>
      <c r="I406" s="339"/>
      <c r="J406" s="339"/>
      <c r="K406" s="339"/>
      <c r="L406" s="339"/>
      <c r="M406" s="339"/>
      <c r="N406" s="339"/>
      <c r="O406" s="339"/>
      <c r="P406" s="339"/>
      <c r="Q406" s="339"/>
      <c r="R406" s="339"/>
      <c r="S406" s="339"/>
      <c r="T406" s="339"/>
      <c r="U406" s="339"/>
      <c r="V406" s="339"/>
      <c r="W406" s="339"/>
      <c r="X406" s="339"/>
      <c r="Y406" s="339"/>
      <c r="Z406" s="339"/>
      <c r="AA406" s="339"/>
      <c r="AB406" s="339"/>
      <c r="AC406" s="339"/>
      <c r="AD406" s="339"/>
      <c r="AE406" s="339"/>
      <c r="AF406" s="339"/>
      <c r="AG406" s="339"/>
      <c r="AH406" s="339"/>
      <c r="AI406" s="339"/>
      <c r="AJ406" s="339"/>
      <c r="AK406" s="339"/>
      <c r="AL406" s="339"/>
      <c r="AM406" s="339"/>
      <c r="AN406" s="339"/>
      <c r="AO406" s="339"/>
      <c r="AP406" s="339"/>
      <c r="AQ406" s="339"/>
      <c r="AR406" s="339"/>
      <c r="AS406" s="339"/>
      <c r="AT406" s="339"/>
      <c r="AU406" s="339"/>
      <c r="AV406" s="339"/>
      <c r="AW406" s="339"/>
      <c r="AX406" s="339"/>
      <c r="AY406" s="339"/>
      <c r="AZ406" s="339"/>
      <c r="BA406" s="339"/>
      <c r="BB406" s="339"/>
      <c r="BC406" s="339"/>
      <c r="BD406" s="339"/>
    </row>
    <row r="407" spans="3:56">
      <c r="C407" s="339"/>
      <c r="D407" s="339"/>
      <c r="E407" s="339"/>
      <c r="F407" s="339"/>
      <c r="G407" s="339"/>
      <c r="H407" s="339"/>
      <c r="I407" s="339"/>
      <c r="J407" s="339"/>
      <c r="K407" s="339"/>
      <c r="L407" s="339"/>
      <c r="M407" s="339"/>
      <c r="N407" s="339"/>
      <c r="O407" s="339"/>
      <c r="P407" s="339"/>
      <c r="Q407" s="339"/>
      <c r="R407" s="339"/>
      <c r="S407" s="339"/>
      <c r="T407" s="339"/>
      <c r="U407" s="339"/>
      <c r="V407" s="339"/>
      <c r="W407" s="339"/>
      <c r="X407" s="339"/>
      <c r="Y407" s="339"/>
      <c r="Z407" s="339"/>
      <c r="AA407" s="339"/>
      <c r="AB407" s="339"/>
      <c r="AC407" s="339"/>
      <c r="AD407" s="339"/>
      <c r="AE407" s="339"/>
      <c r="AF407" s="339"/>
      <c r="AG407" s="339"/>
      <c r="AH407" s="339"/>
      <c r="AI407" s="339"/>
      <c r="AJ407" s="339"/>
      <c r="AK407" s="339"/>
      <c r="AL407" s="339"/>
      <c r="AM407" s="339"/>
      <c r="AN407" s="339"/>
      <c r="AO407" s="339"/>
      <c r="AP407" s="339"/>
      <c r="AQ407" s="339"/>
      <c r="AR407" s="339"/>
      <c r="AS407" s="339"/>
      <c r="AT407" s="339"/>
      <c r="AU407" s="339"/>
      <c r="AV407" s="339"/>
      <c r="AW407" s="339"/>
      <c r="AX407" s="339"/>
      <c r="AY407" s="339"/>
      <c r="AZ407" s="339"/>
      <c r="BA407" s="339"/>
      <c r="BB407" s="339"/>
      <c r="BC407" s="339"/>
      <c r="BD407" s="339"/>
    </row>
    <row r="408" spans="3:56">
      <c r="C408" s="339"/>
      <c r="D408" s="339"/>
      <c r="E408" s="339"/>
      <c r="F408" s="339"/>
      <c r="G408" s="339"/>
      <c r="H408" s="339"/>
      <c r="I408" s="339"/>
      <c r="J408" s="339"/>
      <c r="K408" s="339"/>
      <c r="L408" s="339"/>
      <c r="M408" s="339"/>
      <c r="N408" s="339"/>
      <c r="O408" s="339"/>
      <c r="P408" s="339"/>
      <c r="Q408" s="339"/>
      <c r="R408" s="339"/>
      <c r="S408" s="339"/>
      <c r="T408" s="339"/>
      <c r="U408" s="339"/>
      <c r="V408" s="339"/>
      <c r="W408" s="339"/>
      <c r="X408" s="339"/>
      <c r="Y408" s="339"/>
      <c r="Z408" s="339"/>
      <c r="AA408" s="339"/>
      <c r="AB408" s="339"/>
      <c r="AC408" s="339"/>
      <c r="AD408" s="339"/>
      <c r="AE408" s="339"/>
      <c r="AF408" s="339"/>
      <c r="AG408" s="339"/>
      <c r="AH408" s="339"/>
      <c r="AI408" s="339"/>
      <c r="AJ408" s="339"/>
      <c r="AK408" s="339"/>
      <c r="AL408" s="339"/>
      <c r="AM408" s="339"/>
      <c r="AN408" s="339"/>
      <c r="AO408" s="339"/>
      <c r="AP408" s="339"/>
      <c r="AQ408" s="339"/>
      <c r="AR408" s="339"/>
      <c r="AS408" s="339"/>
      <c r="AT408" s="339"/>
      <c r="AU408" s="339"/>
      <c r="AV408" s="339"/>
      <c r="AW408" s="339"/>
      <c r="AX408" s="339"/>
      <c r="AY408" s="339"/>
      <c r="AZ408" s="339"/>
      <c r="BA408" s="339"/>
      <c r="BB408" s="339"/>
      <c r="BC408" s="339"/>
      <c r="BD408" s="339"/>
    </row>
    <row r="409" spans="3:56">
      <c r="C409" s="339"/>
      <c r="D409" s="339"/>
      <c r="E409" s="339"/>
      <c r="F409" s="339"/>
      <c r="G409" s="339"/>
      <c r="H409" s="339"/>
      <c r="I409" s="339"/>
      <c r="J409" s="339"/>
      <c r="K409" s="339"/>
      <c r="L409" s="339"/>
      <c r="M409" s="339"/>
      <c r="N409" s="339"/>
      <c r="O409" s="339"/>
      <c r="P409" s="339"/>
      <c r="Q409" s="339"/>
      <c r="R409" s="339"/>
      <c r="S409" s="339"/>
      <c r="T409" s="339"/>
      <c r="U409" s="339"/>
      <c r="V409" s="339"/>
      <c r="W409" s="339"/>
      <c r="X409" s="339"/>
      <c r="Y409" s="339"/>
      <c r="Z409" s="339"/>
      <c r="AA409" s="339"/>
      <c r="AB409" s="339"/>
      <c r="AC409" s="339"/>
      <c r="AD409" s="339"/>
      <c r="AE409" s="339"/>
      <c r="AF409" s="339"/>
      <c r="AG409" s="339"/>
      <c r="AH409" s="339"/>
      <c r="AI409" s="339"/>
      <c r="AJ409" s="339"/>
      <c r="AK409" s="339"/>
      <c r="AL409" s="339"/>
      <c r="AM409" s="339"/>
      <c r="AN409" s="339"/>
      <c r="AO409" s="339"/>
      <c r="AP409" s="339"/>
      <c r="AQ409" s="339"/>
      <c r="AR409" s="339"/>
      <c r="AS409" s="339"/>
      <c r="AT409" s="339"/>
      <c r="AU409" s="339"/>
      <c r="AV409" s="339"/>
      <c r="AW409" s="339"/>
      <c r="AX409" s="339"/>
      <c r="AY409" s="339"/>
      <c r="AZ409" s="339"/>
      <c r="BA409" s="339"/>
      <c r="BB409" s="339"/>
      <c r="BC409" s="339"/>
      <c r="BD409" s="339"/>
    </row>
    <row r="410" spans="3:56">
      <c r="C410" s="339"/>
      <c r="D410" s="339"/>
      <c r="E410" s="339"/>
      <c r="F410" s="339"/>
      <c r="G410" s="339"/>
      <c r="H410" s="339"/>
      <c r="I410" s="339"/>
      <c r="J410" s="339"/>
      <c r="K410" s="339"/>
      <c r="L410" s="339"/>
      <c r="M410" s="339"/>
      <c r="N410" s="339"/>
      <c r="O410" s="339"/>
      <c r="P410" s="339"/>
      <c r="Q410" s="339"/>
      <c r="R410" s="339"/>
      <c r="S410" s="339"/>
      <c r="T410" s="339"/>
      <c r="U410" s="339"/>
      <c r="V410" s="339"/>
      <c r="W410" s="339"/>
      <c r="X410" s="339"/>
      <c r="Y410" s="339"/>
      <c r="Z410" s="339"/>
      <c r="AA410" s="339"/>
      <c r="AB410" s="339"/>
      <c r="AC410" s="339"/>
      <c r="AD410" s="339"/>
      <c r="AE410" s="339"/>
      <c r="AF410" s="339"/>
      <c r="AG410" s="339"/>
      <c r="AH410" s="339"/>
      <c r="AI410" s="339"/>
      <c r="AJ410" s="339"/>
      <c r="AK410" s="339"/>
      <c r="AL410" s="339"/>
      <c r="AM410" s="339"/>
      <c r="AN410" s="339"/>
      <c r="AO410" s="339"/>
      <c r="AP410" s="339"/>
      <c r="AQ410" s="339"/>
      <c r="AR410" s="339"/>
      <c r="AS410" s="339"/>
      <c r="AT410" s="339"/>
      <c r="AU410" s="339"/>
      <c r="AV410" s="339"/>
      <c r="AW410" s="339"/>
      <c r="AX410" s="339"/>
      <c r="AY410" s="339"/>
      <c r="AZ410" s="339"/>
      <c r="BA410" s="339"/>
      <c r="BB410" s="339"/>
      <c r="BC410" s="339"/>
      <c r="BD410" s="339"/>
    </row>
    <row r="411" spans="3:56">
      <c r="C411" s="339"/>
      <c r="D411" s="339"/>
      <c r="E411" s="339"/>
      <c r="F411" s="339"/>
      <c r="G411" s="339"/>
      <c r="H411" s="339"/>
      <c r="I411" s="339"/>
      <c r="J411" s="339"/>
      <c r="K411" s="339"/>
      <c r="L411" s="339"/>
      <c r="M411" s="339"/>
      <c r="N411" s="339"/>
      <c r="O411" s="339"/>
      <c r="P411" s="339"/>
      <c r="Q411" s="339"/>
      <c r="R411" s="339"/>
      <c r="S411" s="339"/>
      <c r="T411" s="339"/>
      <c r="U411" s="339"/>
      <c r="V411" s="339"/>
      <c r="W411" s="339"/>
      <c r="X411" s="339"/>
      <c r="Y411" s="339"/>
      <c r="Z411" s="339"/>
      <c r="AA411" s="339"/>
      <c r="AB411" s="339"/>
      <c r="AC411" s="339"/>
      <c r="AD411" s="339"/>
      <c r="AE411" s="339"/>
      <c r="AF411" s="339"/>
      <c r="AG411" s="339"/>
      <c r="AH411" s="339"/>
      <c r="AI411" s="339"/>
      <c r="AJ411" s="339"/>
      <c r="AK411" s="339"/>
      <c r="AL411" s="339"/>
      <c r="AM411" s="339"/>
      <c r="AN411" s="339"/>
      <c r="AO411" s="339"/>
      <c r="AP411" s="339"/>
      <c r="AQ411" s="339"/>
      <c r="AR411" s="339"/>
      <c r="AS411" s="339"/>
      <c r="AT411" s="339"/>
      <c r="AU411" s="339"/>
      <c r="AV411" s="339"/>
      <c r="AW411" s="339"/>
      <c r="AX411" s="339"/>
      <c r="AY411" s="339"/>
      <c r="AZ411" s="339"/>
      <c r="BA411" s="339"/>
      <c r="BB411" s="339"/>
      <c r="BC411" s="339"/>
      <c r="BD411" s="339"/>
    </row>
    <row r="412" spans="3:56">
      <c r="C412" s="339"/>
      <c r="D412" s="339"/>
      <c r="E412" s="339"/>
      <c r="F412" s="339"/>
      <c r="G412" s="339"/>
      <c r="H412" s="339"/>
      <c r="I412" s="339"/>
      <c r="J412" s="339"/>
      <c r="K412" s="339"/>
      <c r="L412" s="339"/>
      <c r="M412" s="339"/>
      <c r="N412" s="339"/>
      <c r="O412" s="339"/>
      <c r="P412" s="339"/>
      <c r="Q412" s="339"/>
      <c r="R412" s="339"/>
      <c r="S412" s="339"/>
      <c r="T412" s="339"/>
      <c r="U412" s="339"/>
      <c r="V412" s="339"/>
      <c r="W412" s="339"/>
      <c r="X412" s="339"/>
      <c r="Y412" s="339"/>
      <c r="Z412" s="339"/>
      <c r="AA412" s="339"/>
      <c r="AB412" s="339"/>
      <c r="AC412" s="339"/>
      <c r="AD412" s="339"/>
      <c r="AE412" s="339"/>
      <c r="AF412" s="339"/>
      <c r="AG412" s="339"/>
      <c r="AH412" s="339"/>
      <c r="AI412" s="339"/>
      <c r="AJ412" s="339"/>
      <c r="AK412" s="339"/>
      <c r="AL412" s="339"/>
      <c r="AM412" s="339"/>
      <c r="AN412" s="339"/>
      <c r="AO412" s="339"/>
      <c r="AP412" s="339"/>
      <c r="AQ412" s="339"/>
      <c r="AR412" s="339"/>
      <c r="AS412" s="339"/>
      <c r="AT412" s="339"/>
      <c r="AU412" s="339"/>
      <c r="AV412" s="339"/>
      <c r="AW412" s="339"/>
      <c r="AX412" s="339"/>
      <c r="AY412" s="339"/>
      <c r="AZ412" s="339"/>
      <c r="BA412" s="339"/>
      <c r="BB412" s="339"/>
      <c r="BC412" s="339"/>
      <c r="BD412" s="339"/>
    </row>
    <row r="413" spans="3:56">
      <c r="C413" s="339"/>
      <c r="D413" s="339"/>
      <c r="E413" s="339"/>
      <c r="F413" s="339"/>
      <c r="G413" s="339"/>
      <c r="H413" s="339"/>
      <c r="I413" s="339"/>
      <c r="J413" s="339"/>
      <c r="K413" s="339"/>
      <c r="L413" s="339"/>
      <c r="M413" s="339"/>
      <c r="N413" s="339"/>
      <c r="O413" s="339"/>
      <c r="P413" s="339"/>
      <c r="Q413" s="339"/>
      <c r="R413" s="339"/>
      <c r="S413" s="339"/>
      <c r="T413" s="339"/>
      <c r="U413" s="339"/>
      <c r="V413" s="339"/>
      <c r="W413" s="339"/>
      <c r="X413" s="339"/>
      <c r="Y413" s="339"/>
      <c r="Z413" s="339"/>
      <c r="AA413" s="339"/>
      <c r="AB413" s="339"/>
      <c r="AC413" s="339"/>
      <c r="AD413" s="339"/>
      <c r="AE413" s="339"/>
      <c r="AF413" s="339"/>
      <c r="AG413" s="339"/>
      <c r="AH413" s="339"/>
      <c r="AI413" s="339"/>
      <c r="AJ413" s="339"/>
      <c r="AK413" s="339"/>
      <c r="AL413" s="339"/>
      <c r="AM413" s="339"/>
      <c r="AN413" s="339"/>
      <c r="AO413" s="339"/>
      <c r="AP413" s="339"/>
      <c r="AQ413" s="339"/>
      <c r="AR413" s="339"/>
      <c r="AS413" s="339"/>
      <c r="AT413" s="339"/>
      <c r="AU413" s="339"/>
      <c r="AV413" s="339"/>
      <c r="AW413" s="339"/>
      <c r="AX413" s="339"/>
      <c r="AY413" s="339"/>
      <c r="AZ413" s="339"/>
      <c r="BA413" s="339"/>
      <c r="BB413" s="339"/>
      <c r="BC413" s="339"/>
      <c r="BD413" s="339"/>
    </row>
    <row r="414" spans="3:56">
      <c r="C414" s="339"/>
      <c r="D414" s="339"/>
      <c r="E414" s="339"/>
      <c r="F414" s="339"/>
      <c r="G414" s="339"/>
      <c r="H414" s="339"/>
      <c r="I414" s="339"/>
      <c r="J414" s="339"/>
      <c r="K414" s="339"/>
      <c r="L414" s="339"/>
      <c r="M414" s="339"/>
      <c r="N414" s="339"/>
      <c r="O414" s="339"/>
      <c r="P414" s="339"/>
      <c r="Q414" s="339"/>
      <c r="R414" s="339"/>
      <c r="S414" s="339"/>
      <c r="T414" s="339"/>
      <c r="U414" s="339"/>
      <c r="V414" s="339"/>
      <c r="W414" s="339"/>
      <c r="X414" s="339"/>
      <c r="Y414" s="339"/>
      <c r="Z414" s="339"/>
      <c r="AA414" s="339"/>
      <c r="AB414" s="339"/>
      <c r="AC414" s="339"/>
      <c r="AD414" s="339"/>
      <c r="AE414" s="339"/>
      <c r="AF414" s="339"/>
      <c r="AG414" s="339"/>
      <c r="AH414" s="339"/>
      <c r="AI414" s="339"/>
      <c r="AJ414" s="339"/>
      <c r="AK414" s="339"/>
      <c r="AL414" s="339"/>
      <c r="AM414" s="339"/>
      <c r="AN414" s="339"/>
      <c r="AO414" s="339"/>
      <c r="AP414" s="339"/>
      <c r="AQ414" s="339"/>
      <c r="AR414" s="339"/>
      <c r="AS414" s="339"/>
      <c r="AT414" s="339"/>
      <c r="AU414" s="339"/>
      <c r="AV414" s="339"/>
      <c r="AW414" s="339"/>
      <c r="AX414" s="339"/>
      <c r="AY414" s="339"/>
      <c r="AZ414" s="339"/>
      <c r="BA414" s="339"/>
      <c r="BB414" s="339"/>
      <c r="BC414" s="339"/>
      <c r="BD414" s="339"/>
    </row>
    <row r="415" spans="3:56">
      <c r="C415" s="339"/>
      <c r="D415" s="339"/>
      <c r="E415" s="339"/>
      <c r="F415" s="339"/>
      <c r="G415" s="339"/>
      <c r="H415" s="339"/>
      <c r="I415" s="339"/>
      <c r="J415" s="339"/>
      <c r="K415" s="339"/>
      <c r="L415" s="339"/>
      <c r="M415" s="339"/>
      <c r="N415" s="339"/>
      <c r="O415" s="339"/>
      <c r="P415" s="339"/>
      <c r="Q415" s="339"/>
      <c r="R415" s="339"/>
      <c r="S415" s="339"/>
      <c r="T415" s="339"/>
      <c r="U415" s="339"/>
      <c r="V415" s="339"/>
      <c r="W415" s="339"/>
      <c r="X415" s="339"/>
      <c r="Y415" s="339"/>
      <c r="Z415" s="339"/>
      <c r="AA415" s="339"/>
      <c r="AB415" s="339"/>
      <c r="AC415" s="339"/>
      <c r="AD415" s="339"/>
      <c r="AE415" s="339"/>
      <c r="AF415" s="339"/>
      <c r="AG415" s="339"/>
      <c r="AH415" s="339"/>
      <c r="AI415" s="339"/>
      <c r="AJ415" s="339"/>
      <c r="AK415" s="339"/>
      <c r="AL415" s="339"/>
      <c r="AM415" s="339"/>
      <c r="AN415" s="339"/>
      <c r="AO415" s="339"/>
      <c r="AP415" s="339"/>
      <c r="AQ415" s="339"/>
      <c r="AR415" s="339"/>
      <c r="AS415" s="339"/>
      <c r="AT415" s="339"/>
      <c r="AU415" s="339"/>
      <c r="AV415" s="339"/>
      <c r="AW415" s="339"/>
      <c r="AX415" s="339"/>
      <c r="AY415" s="339"/>
      <c r="AZ415" s="339"/>
      <c r="BA415" s="339"/>
      <c r="BB415" s="339"/>
      <c r="BC415" s="339"/>
      <c r="BD415" s="339"/>
    </row>
    <row r="416" spans="3:56">
      <c r="C416" s="339"/>
      <c r="D416" s="339"/>
      <c r="E416" s="339"/>
      <c r="F416" s="339"/>
      <c r="G416" s="339"/>
      <c r="H416" s="339"/>
      <c r="I416" s="339"/>
      <c r="J416" s="339"/>
      <c r="K416" s="339"/>
      <c r="L416" s="339"/>
      <c r="M416" s="339"/>
      <c r="N416" s="339"/>
      <c r="O416" s="339"/>
      <c r="P416" s="339"/>
      <c r="Q416" s="339"/>
      <c r="R416" s="339"/>
      <c r="S416" s="339"/>
      <c r="T416" s="339"/>
      <c r="U416" s="339"/>
      <c r="V416" s="339"/>
      <c r="W416" s="339"/>
      <c r="X416" s="339"/>
      <c r="Y416" s="339"/>
      <c r="Z416" s="339"/>
      <c r="AA416" s="339"/>
      <c r="AB416" s="339"/>
      <c r="AC416" s="339"/>
      <c r="AD416" s="339"/>
      <c r="AE416" s="339"/>
      <c r="AF416" s="339"/>
      <c r="AG416" s="339"/>
      <c r="AH416" s="339"/>
      <c r="AI416" s="339"/>
      <c r="AJ416" s="339"/>
      <c r="AK416" s="339"/>
      <c r="AL416" s="339"/>
      <c r="AM416" s="339"/>
      <c r="AN416" s="339"/>
      <c r="AO416" s="339"/>
      <c r="AP416" s="339"/>
      <c r="AQ416" s="339"/>
      <c r="AR416" s="339"/>
      <c r="AS416" s="339"/>
      <c r="AT416" s="339"/>
      <c r="AU416" s="339"/>
      <c r="AV416" s="339"/>
      <c r="AW416" s="339"/>
      <c r="AX416" s="339"/>
      <c r="AY416" s="339"/>
      <c r="AZ416" s="339"/>
      <c r="BA416" s="339"/>
      <c r="BB416" s="339"/>
      <c r="BC416" s="339"/>
      <c r="BD416" s="339"/>
    </row>
    <row r="417" spans="3:56">
      <c r="C417" s="339"/>
      <c r="D417" s="339"/>
      <c r="E417" s="339"/>
      <c r="F417" s="339"/>
      <c r="G417" s="339"/>
      <c r="H417" s="339"/>
      <c r="I417" s="339"/>
      <c r="J417" s="339"/>
      <c r="K417" s="339"/>
      <c r="L417" s="339"/>
      <c r="M417" s="339"/>
      <c r="N417" s="339"/>
      <c r="O417" s="339"/>
      <c r="P417" s="339"/>
      <c r="Q417" s="339"/>
      <c r="R417" s="339"/>
      <c r="S417" s="339"/>
      <c r="T417" s="339"/>
      <c r="U417" s="339"/>
      <c r="V417" s="339"/>
      <c r="W417" s="339"/>
      <c r="X417" s="339"/>
      <c r="Y417" s="339"/>
      <c r="Z417" s="339"/>
      <c r="AA417" s="339"/>
      <c r="AB417" s="339"/>
      <c r="AC417" s="339"/>
      <c r="AD417" s="339"/>
      <c r="AE417" s="339"/>
      <c r="AF417" s="339"/>
      <c r="AG417" s="339"/>
      <c r="AH417" s="339"/>
      <c r="AI417" s="339"/>
      <c r="AJ417" s="339"/>
      <c r="AK417" s="339"/>
      <c r="AL417" s="339"/>
      <c r="AM417" s="339"/>
      <c r="AN417" s="339"/>
      <c r="AO417" s="339"/>
      <c r="AP417" s="339"/>
      <c r="AQ417" s="339"/>
      <c r="AR417" s="339"/>
      <c r="AS417" s="339"/>
      <c r="AT417" s="339"/>
      <c r="AU417" s="339"/>
      <c r="AV417" s="339"/>
      <c r="AW417" s="339"/>
      <c r="AX417" s="339"/>
      <c r="AY417" s="339"/>
      <c r="AZ417" s="339"/>
      <c r="BA417" s="339"/>
      <c r="BB417" s="339"/>
      <c r="BC417" s="339"/>
      <c r="BD417" s="339"/>
    </row>
    <row r="418" spans="3:56">
      <c r="C418" s="339"/>
      <c r="D418" s="339"/>
      <c r="E418" s="339"/>
      <c r="F418" s="339"/>
      <c r="G418" s="339"/>
      <c r="H418" s="339"/>
      <c r="I418" s="339"/>
      <c r="J418" s="339"/>
      <c r="K418" s="339"/>
      <c r="L418" s="339"/>
      <c r="M418" s="339"/>
      <c r="N418" s="339"/>
      <c r="O418" s="339"/>
      <c r="P418" s="339"/>
      <c r="Q418" s="339"/>
      <c r="R418" s="339"/>
      <c r="S418" s="339"/>
      <c r="T418" s="339"/>
      <c r="U418" s="339"/>
      <c r="V418" s="339"/>
      <c r="W418" s="339"/>
      <c r="X418" s="339"/>
      <c r="Y418" s="339"/>
      <c r="Z418" s="339"/>
      <c r="AA418" s="339"/>
      <c r="AB418" s="339"/>
      <c r="AC418" s="339"/>
      <c r="AD418" s="339"/>
      <c r="AE418" s="339"/>
      <c r="AF418" s="339"/>
      <c r="AG418" s="339"/>
      <c r="AH418" s="339"/>
      <c r="AI418" s="339"/>
      <c r="AJ418" s="339"/>
      <c r="AK418" s="339"/>
      <c r="AL418" s="339"/>
      <c r="AM418" s="339"/>
      <c r="AN418" s="339"/>
      <c r="AO418" s="339"/>
      <c r="AP418" s="339"/>
      <c r="AQ418" s="339"/>
      <c r="AR418" s="339"/>
      <c r="AS418" s="339"/>
      <c r="AT418" s="339"/>
      <c r="AU418" s="339"/>
      <c r="AV418" s="339"/>
      <c r="AW418" s="339"/>
      <c r="AX418" s="339"/>
      <c r="AY418" s="339"/>
      <c r="AZ418" s="339"/>
      <c r="BA418" s="339"/>
      <c r="BB418" s="339"/>
      <c r="BC418" s="339"/>
      <c r="BD418" s="339"/>
    </row>
    <row r="419" spans="3:56">
      <c r="C419" s="339"/>
      <c r="D419" s="339"/>
      <c r="E419" s="339"/>
      <c r="F419" s="339"/>
      <c r="G419" s="339"/>
      <c r="H419" s="339"/>
      <c r="I419" s="339"/>
      <c r="J419" s="339"/>
      <c r="K419" s="339"/>
      <c r="L419" s="339"/>
      <c r="M419" s="339"/>
      <c r="N419" s="339"/>
      <c r="O419" s="339"/>
      <c r="P419" s="339"/>
      <c r="Q419" s="339"/>
      <c r="R419" s="339"/>
      <c r="S419" s="339"/>
      <c r="T419" s="339"/>
      <c r="U419" s="339"/>
      <c r="V419" s="339"/>
      <c r="W419" s="339"/>
      <c r="X419" s="339"/>
      <c r="Y419" s="339"/>
      <c r="Z419" s="339"/>
      <c r="AA419" s="339"/>
      <c r="AB419" s="339"/>
      <c r="AC419" s="339"/>
      <c r="AD419" s="339"/>
      <c r="AE419" s="339"/>
      <c r="AF419" s="339"/>
      <c r="AG419" s="339"/>
      <c r="AH419" s="339"/>
      <c r="AI419" s="339"/>
      <c r="AJ419" s="339"/>
      <c r="AK419" s="339"/>
      <c r="AL419" s="339"/>
      <c r="AM419" s="339"/>
      <c r="AN419" s="339"/>
      <c r="AO419" s="339"/>
      <c r="AP419" s="339"/>
      <c r="AQ419" s="339"/>
      <c r="AR419" s="339"/>
      <c r="AS419" s="339"/>
      <c r="AT419" s="339"/>
      <c r="AU419" s="339"/>
      <c r="AV419" s="339"/>
      <c r="AW419" s="339"/>
      <c r="AX419" s="339"/>
      <c r="AY419" s="339"/>
      <c r="AZ419" s="339"/>
      <c r="BA419" s="339"/>
      <c r="BB419" s="339"/>
      <c r="BC419" s="339"/>
      <c r="BD419" s="339"/>
    </row>
    <row r="420" spans="3:56">
      <c r="C420" s="339"/>
      <c r="D420" s="339"/>
      <c r="E420" s="339"/>
      <c r="F420" s="339"/>
      <c r="G420" s="339"/>
      <c r="H420" s="339"/>
      <c r="I420" s="339"/>
      <c r="J420" s="339"/>
      <c r="K420" s="339"/>
      <c r="L420" s="339"/>
      <c r="M420" s="339"/>
      <c r="N420" s="339"/>
      <c r="O420" s="339"/>
      <c r="P420" s="339"/>
      <c r="Q420" s="339"/>
      <c r="R420" s="339"/>
      <c r="S420" s="339"/>
      <c r="T420" s="339"/>
      <c r="U420" s="339"/>
      <c r="V420" s="339"/>
      <c r="W420" s="339"/>
      <c r="X420" s="339"/>
      <c r="Y420" s="339"/>
      <c r="Z420" s="339"/>
      <c r="AA420" s="339"/>
      <c r="AB420" s="339"/>
      <c r="AC420" s="339"/>
      <c r="AD420" s="339"/>
      <c r="AE420" s="339"/>
      <c r="AF420" s="339"/>
      <c r="AG420" s="339"/>
      <c r="AH420" s="339"/>
      <c r="AI420" s="339"/>
      <c r="AJ420" s="339"/>
      <c r="AK420" s="339"/>
      <c r="AL420" s="339"/>
      <c r="AM420" s="339"/>
      <c r="AN420" s="339"/>
      <c r="AO420" s="339"/>
      <c r="AP420" s="339"/>
      <c r="AQ420" s="339"/>
      <c r="AR420" s="339"/>
      <c r="AS420" s="339"/>
      <c r="AT420" s="339"/>
      <c r="AU420" s="339"/>
      <c r="AV420" s="339"/>
      <c r="AW420" s="339"/>
      <c r="AX420" s="339"/>
      <c r="AY420" s="339"/>
      <c r="AZ420" s="339"/>
      <c r="BA420" s="339"/>
      <c r="BB420" s="339"/>
      <c r="BC420" s="339"/>
      <c r="BD420" s="339"/>
    </row>
    <row r="421" spans="3:56">
      <c r="C421" s="339"/>
      <c r="D421" s="339"/>
      <c r="E421" s="339"/>
      <c r="F421" s="339"/>
      <c r="G421" s="339"/>
      <c r="H421" s="339"/>
      <c r="I421" s="339"/>
      <c r="J421" s="339"/>
      <c r="K421" s="339"/>
      <c r="L421" s="339"/>
      <c r="M421" s="339"/>
      <c r="N421" s="339"/>
      <c r="O421" s="339"/>
      <c r="P421" s="339"/>
      <c r="Q421" s="339"/>
      <c r="R421" s="339"/>
      <c r="S421" s="339"/>
      <c r="T421" s="339"/>
      <c r="U421" s="339"/>
      <c r="V421" s="339"/>
      <c r="W421" s="339"/>
      <c r="X421" s="339"/>
      <c r="Y421" s="339"/>
      <c r="Z421" s="339"/>
      <c r="AA421" s="339"/>
      <c r="AB421" s="339"/>
      <c r="AC421" s="339"/>
      <c r="AD421" s="339"/>
      <c r="AE421" s="339"/>
      <c r="AF421" s="339"/>
      <c r="AG421" s="339"/>
      <c r="AH421" s="339"/>
      <c r="AI421" s="339"/>
      <c r="AJ421" s="339"/>
      <c r="AK421" s="339"/>
      <c r="AL421" s="339"/>
      <c r="AM421" s="339"/>
      <c r="AN421" s="339"/>
      <c r="AO421" s="339"/>
      <c r="AP421" s="339"/>
      <c r="AQ421" s="339"/>
      <c r="AR421" s="339"/>
      <c r="AS421" s="339"/>
      <c r="AT421" s="339"/>
      <c r="AU421" s="339"/>
      <c r="AV421" s="339"/>
      <c r="AW421" s="339"/>
      <c r="AX421" s="339"/>
      <c r="AY421" s="339"/>
      <c r="AZ421" s="339"/>
      <c r="BA421" s="339"/>
      <c r="BB421" s="339"/>
      <c r="BC421" s="339"/>
      <c r="BD421" s="339"/>
    </row>
    <row r="422" spans="3:56">
      <c r="C422" s="339"/>
      <c r="D422" s="339"/>
      <c r="E422" s="339"/>
      <c r="F422" s="339"/>
      <c r="G422" s="339"/>
      <c r="H422" s="339"/>
      <c r="I422" s="339"/>
      <c r="J422" s="339"/>
      <c r="K422" s="339"/>
      <c r="L422" s="339"/>
      <c r="M422" s="339"/>
      <c r="N422" s="339"/>
      <c r="O422" s="339"/>
      <c r="P422" s="339"/>
      <c r="Q422" s="339"/>
      <c r="R422" s="339"/>
      <c r="S422" s="339"/>
      <c r="T422" s="339"/>
      <c r="U422" s="339"/>
      <c r="V422" s="339"/>
      <c r="W422" s="339"/>
      <c r="X422" s="339"/>
      <c r="Y422" s="339"/>
      <c r="Z422" s="339"/>
      <c r="AA422" s="339"/>
      <c r="AB422" s="339"/>
      <c r="AC422" s="339"/>
      <c r="AD422" s="339"/>
      <c r="AE422" s="339"/>
      <c r="AF422" s="339"/>
      <c r="AG422" s="339"/>
      <c r="AH422" s="339"/>
      <c r="AI422" s="339"/>
      <c r="AJ422" s="339"/>
      <c r="AK422" s="339"/>
      <c r="AL422" s="339"/>
      <c r="AM422" s="339"/>
      <c r="AN422" s="339"/>
      <c r="AO422" s="339"/>
      <c r="AP422" s="339"/>
      <c r="AQ422" s="339"/>
      <c r="AR422" s="339"/>
      <c r="AS422" s="339"/>
      <c r="AT422" s="339"/>
      <c r="AU422" s="339"/>
      <c r="AV422" s="339"/>
      <c r="AW422" s="339"/>
      <c r="AX422" s="339"/>
      <c r="AY422" s="339"/>
      <c r="AZ422" s="339"/>
      <c r="BA422" s="339"/>
      <c r="BB422" s="339"/>
      <c r="BC422" s="339"/>
      <c r="BD422" s="339"/>
    </row>
    <row r="423" spans="3:56">
      <c r="C423" s="339"/>
      <c r="D423" s="339"/>
      <c r="E423" s="339"/>
      <c r="F423" s="339"/>
      <c r="G423" s="339"/>
      <c r="H423" s="339"/>
      <c r="I423" s="339"/>
      <c r="J423" s="339"/>
      <c r="K423" s="339"/>
      <c r="L423" s="339"/>
      <c r="M423" s="339"/>
      <c r="N423" s="339"/>
      <c r="O423" s="339"/>
      <c r="P423" s="339"/>
      <c r="Q423" s="339"/>
      <c r="R423" s="339"/>
      <c r="S423" s="339"/>
      <c r="T423" s="339"/>
      <c r="U423" s="339"/>
      <c r="V423" s="339"/>
      <c r="W423" s="339"/>
      <c r="X423" s="339"/>
      <c r="Y423" s="339"/>
      <c r="Z423" s="339"/>
      <c r="AA423" s="339"/>
      <c r="AB423" s="339"/>
      <c r="AC423" s="339"/>
      <c r="AD423" s="339"/>
      <c r="AE423" s="339"/>
      <c r="AF423" s="339"/>
      <c r="AG423" s="339"/>
      <c r="AH423" s="339"/>
      <c r="AI423" s="339"/>
      <c r="AJ423" s="339"/>
      <c r="AK423" s="339"/>
      <c r="AL423" s="339"/>
      <c r="AM423" s="339"/>
      <c r="AN423" s="339"/>
      <c r="AO423" s="339"/>
      <c r="AP423" s="339"/>
      <c r="AQ423" s="339"/>
      <c r="AR423" s="339"/>
      <c r="AS423" s="339"/>
      <c r="AT423" s="339"/>
      <c r="AU423" s="339"/>
      <c r="AV423" s="339"/>
      <c r="AW423" s="339"/>
      <c r="AX423" s="339"/>
      <c r="AY423" s="339"/>
      <c r="AZ423" s="339"/>
      <c r="BA423" s="339"/>
      <c r="BB423" s="339"/>
      <c r="BC423" s="339"/>
      <c r="BD423" s="339"/>
    </row>
    <row r="424" spans="3:56">
      <c r="C424" s="339"/>
      <c r="D424" s="339"/>
      <c r="E424" s="339"/>
      <c r="F424" s="339"/>
      <c r="G424" s="339"/>
      <c r="H424" s="339"/>
      <c r="I424" s="339"/>
      <c r="J424" s="339"/>
      <c r="K424" s="339"/>
      <c r="L424" s="339"/>
      <c r="M424" s="339"/>
      <c r="N424" s="339"/>
      <c r="O424" s="339"/>
      <c r="P424" s="339"/>
      <c r="Q424" s="339"/>
      <c r="R424" s="339"/>
      <c r="S424" s="339"/>
      <c r="T424" s="339"/>
      <c r="U424" s="339"/>
      <c r="V424" s="339"/>
      <c r="W424" s="339"/>
      <c r="X424" s="339"/>
      <c r="Y424" s="339"/>
      <c r="Z424" s="339"/>
      <c r="AA424" s="339"/>
      <c r="AB424" s="339"/>
      <c r="AC424" s="339"/>
      <c r="AD424" s="339"/>
      <c r="AE424" s="339"/>
      <c r="AF424" s="339"/>
      <c r="AG424" s="339"/>
      <c r="AH424" s="339"/>
      <c r="AI424" s="339"/>
      <c r="AJ424" s="339"/>
      <c r="AK424" s="339"/>
      <c r="AL424" s="339"/>
      <c r="AM424" s="339"/>
      <c r="AN424" s="339"/>
      <c r="AO424" s="339"/>
      <c r="AP424" s="339"/>
      <c r="AQ424" s="339"/>
      <c r="AR424" s="339"/>
      <c r="AS424" s="339"/>
      <c r="AT424" s="339"/>
      <c r="AU424" s="339"/>
      <c r="AV424" s="339"/>
      <c r="AW424" s="339"/>
      <c r="AX424" s="339"/>
      <c r="AY424" s="339"/>
      <c r="AZ424" s="339"/>
      <c r="BA424" s="339"/>
      <c r="BB424" s="339"/>
      <c r="BC424" s="339"/>
      <c r="BD424" s="339"/>
    </row>
    <row r="425" spans="3:56">
      <c r="C425" s="339"/>
      <c r="D425" s="339"/>
      <c r="E425" s="339"/>
      <c r="F425" s="339"/>
      <c r="G425" s="339"/>
      <c r="H425" s="339"/>
      <c r="I425" s="339"/>
      <c r="J425" s="339"/>
      <c r="K425" s="339"/>
      <c r="L425" s="339"/>
      <c r="M425" s="339"/>
      <c r="N425" s="339"/>
      <c r="O425" s="339"/>
      <c r="P425" s="339"/>
      <c r="Q425" s="339"/>
      <c r="R425" s="339"/>
      <c r="S425" s="339"/>
      <c r="T425" s="339"/>
      <c r="U425" s="339"/>
      <c r="V425" s="339"/>
      <c r="W425" s="339"/>
      <c r="X425" s="339"/>
      <c r="Y425" s="339"/>
      <c r="Z425" s="339"/>
      <c r="AA425" s="339"/>
      <c r="AB425" s="339"/>
      <c r="AC425" s="339"/>
      <c r="AD425" s="339"/>
      <c r="AE425" s="339"/>
      <c r="AF425" s="339"/>
      <c r="AG425" s="339"/>
      <c r="AH425" s="339"/>
      <c r="AI425" s="339"/>
      <c r="AJ425" s="339"/>
      <c r="AK425" s="339"/>
      <c r="AL425" s="339"/>
      <c r="AM425" s="339"/>
      <c r="AN425" s="339"/>
      <c r="AO425" s="339"/>
      <c r="AP425" s="339"/>
      <c r="AQ425" s="339"/>
      <c r="AR425" s="339"/>
      <c r="AS425" s="339"/>
      <c r="AT425" s="339"/>
      <c r="AU425" s="339"/>
      <c r="AV425" s="339"/>
      <c r="AW425" s="339"/>
      <c r="AX425" s="339"/>
      <c r="AY425" s="339"/>
      <c r="AZ425" s="339"/>
      <c r="BA425" s="339"/>
      <c r="BB425" s="339"/>
      <c r="BC425" s="339"/>
      <c r="BD425" s="339"/>
    </row>
    <row r="426" spans="3:56">
      <c r="C426" s="339"/>
      <c r="D426" s="339"/>
      <c r="E426" s="339"/>
      <c r="F426" s="339"/>
      <c r="G426" s="339"/>
      <c r="H426" s="339"/>
      <c r="I426" s="339"/>
      <c r="J426" s="339"/>
      <c r="K426" s="339"/>
      <c r="L426" s="339"/>
      <c r="M426" s="339"/>
      <c r="N426" s="339"/>
      <c r="O426" s="339"/>
      <c r="P426" s="339"/>
      <c r="Q426" s="339"/>
      <c r="R426" s="339"/>
      <c r="S426" s="339"/>
      <c r="T426" s="339"/>
      <c r="U426" s="339"/>
      <c r="V426" s="339"/>
      <c r="W426" s="339"/>
      <c r="X426" s="339"/>
      <c r="Y426" s="339"/>
      <c r="Z426" s="339"/>
      <c r="AA426" s="339"/>
      <c r="AB426" s="339"/>
      <c r="AC426" s="339"/>
      <c r="AD426" s="339"/>
      <c r="AE426" s="339"/>
      <c r="AF426" s="339"/>
      <c r="AG426" s="339"/>
      <c r="AH426" s="339"/>
      <c r="AI426" s="339"/>
      <c r="AJ426" s="339"/>
      <c r="AK426" s="339"/>
      <c r="AL426" s="339"/>
      <c r="AM426" s="339"/>
      <c r="AN426" s="339"/>
      <c r="AO426" s="339"/>
      <c r="AP426" s="339"/>
      <c r="AQ426" s="339"/>
      <c r="AR426" s="339"/>
      <c r="AS426" s="339"/>
      <c r="AT426" s="339"/>
      <c r="AU426" s="339"/>
      <c r="AV426" s="339"/>
      <c r="AW426" s="339"/>
      <c r="AX426" s="339"/>
      <c r="AY426" s="339"/>
      <c r="AZ426" s="339"/>
      <c r="BA426" s="339"/>
      <c r="BB426" s="339"/>
      <c r="BC426" s="339"/>
      <c r="BD426" s="339"/>
    </row>
    <row r="427" spans="3:56">
      <c r="C427" s="339"/>
      <c r="D427" s="339"/>
      <c r="E427" s="339"/>
      <c r="F427" s="339"/>
      <c r="G427" s="339"/>
      <c r="H427" s="339"/>
      <c r="I427" s="339"/>
      <c r="J427" s="339"/>
      <c r="K427" s="339"/>
      <c r="L427" s="339"/>
      <c r="M427" s="339"/>
      <c r="N427" s="339"/>
      <c r="O427" s="339"/>
      <c r="P427" s="339"/>
      <c r="Q427" s="339"/>
      <c r="R427" s="339"/>
      <c r="S427" s="339"/>
      <c r="T427" s="339"/>
      <c r="U427" s="339"/>
      <c r="V427" s="339"/>
      <c r="W427" s="339"/>
      <c r="X427" s="339"/>
      <c r="Y427" s="339"/>
      <c r="Z427" s="339"/>
      <c r="AA427" s="339"/>
      <c r="AB427" s="339"/>
      <c r="AC427" s="339"/>
      <c r="AD427" s="339"/>
      <c r="AE427" s="339"/>
      <c r="AF427" s="339"/>
      <c r="AG427" s="339"/>
      <c r="AH427" s="339"/>
      <c r="AI427" s="339"/>
      <c r="AJ427" s="339"/>
      <c r="AK427" s="339"/>
      <c r="AL427" s="339"/>
      <c r="AM427" s="339"/>
      <c r="AN427" s="339"/>
      <c r="AO427" s="339"/>
      <c r="AP427" s="339"/>
      <c r="AQ427" s="339"/>
      <c r="AR427" s="339"/>
      <c r="AS427" s="339"/>
      <c r="AT427" s="339"/>
      <c r="AU427" s="339"/>
      <c r="AV427" s="339"/>
      <c r="AW427" s="339"/>
      <c r="AX427" s="339"/>
      <c r="AY427" s="339"/>
      <c r="AZ427" s="339"/>
      <c r="BA427" s="339"/>
      <c r="BB427" s="339"/>
      <c r="BC427" s="339"/>
      <c r="BD427" s="339"/>
    </row>
    <row r="428" spans="3:56">
      <c r="C428" s="339"/>
      <c r="D428" s="339"/>
      <c r="E428" s="339"/>
      <c r="F428" s="339"/>
      <c r="G428" s="339"/>
      <c r="H428" s="339"/>
      <c r="I428" s="339"/>
      <c r="J428" s="339"/>
      <c r="K428" s="339"/>
      <c r="L428" s="339"/>
      <c r="M428" s="339"/>
      <c r="N428" s="339"/>
      <c r="O428" s="339"/>
      <c r="P428" s="339"/>
      <c r="Q428" s="339"/>
      <c r="R428" s="339"/>
      <c r="S428" s="339"/>
      <c r="T428" s="339"/>
      <c r="U428" s="339"/>
      <c r="V428" s="339"/>
      <c r="W428" s="339"/>
      <c r="X428" s="339"/>
      <c r="Y428" s="339"/>
      <c r="Z428" s="339"/>
      <c r="AA428" s="339"/>
      <c r="AB428" s="339"/>
      <c r="AC428" s="339"/>
      <c r="AD428" s="339"/>
      <c r="AE428" s="339"/>
      <c r="AF428" s="339"/>
      <c r="AG428" s="339"/>
      <c r="AH428" s="339"/>
      <c r="AI428" s="339"/>
      <c r="AJ428" s="339"/>
      <c r="AK428" s="339"/>
      <c r="AL428" s="339"/>
      <c r="AM428" s="339"/>
      <c r="AN428" s="339"/>
      <c r="AO428" s="339"/>
      <c r="AP428" s="339"/>
      <c r="AQ428" s="339"/>
      <c r="AR428" s="339"/>
      <c r="AS428" s="339"/>
      <c r="AT428" s="339"/>
      <c r="AU428" s="339"/>
      <c r="AV428" s="339"/>
      <c r="AW428" s="339"/>
      <c r="AX428" s="339"/>
      <c r="AY428" s="339"/>
      <c r="AZ428" s="339"/>
      <c r="BA428" s="339"/>
      <c r="BB428" s="339"/>
      <c r="BC428" s="339"/>
      <c r="BD428" s="339"/>
    </row>
    <row r="429" spans="3:56">
      <c r="C429" s="339"/>
      <c r="D429" s="339"/>
      <c r="E429" s="339"/>
      <c r="F429" s="339"/>
      <c r="G429" s="339"/>
      <c r="H429" s="339"/>
      <c r="I429" s="339"/>
      <c r="J429" s="339"/>
      <c r="K429" s="339"/>
      <c r="L429" s="339"/>
      <c r="M429" s="339"/>
      <c r="N429" s="339"/>
      <c r="O429" s="339"/>
      <c r="P429" s="339"/>
      <c r="Q429" s="339"/>
      <c r="R429" s="339"/>
      <c r="S429" s="339"/>
      <c r="T429" s="339"/>
      <c r="U429" s="339"/>
      <c r="V429" s="339"/>
      <c r="W429" s="339"/>
      <c r="X429" s="339"/>
      <c r="Y429" s="339"/>
      <c r="Z429" s="339"/>
      <c r="AA429" s="339"/>
      <c r="AB429" s="339"/>
      <c r="AC429" s="339"/>
      <c r="AD429" s="339"/>
      <c r="AE429" s="339"/>
      <c r="AF429" s="339"/>
      <c r="AG429" s="339"/>
      <c r="AH429" s="339"/>
      <c r="AI429" s="339"/>
      <c r="AJ429" s="339"/>
      <c r="AK429" s="339"/>
      <c r="AL429" s="339"/>
      <c r="AM429" s="339"/>
      <c r="AN429" s="339"/>
      <c r="AO429" s="339"/>
      <c r="AP429" s="339"/>
      <c r="AQ429" s="339"/>
      <c r="AR429" s="339"/>
      <c r="AS429" s="339"/>
      <c r="AT429" s="339"/>
      <c r="AU429" s="339"/>
      <c r="AV429" s="339"/>
      <c r="AW429" s="339"/>
      <c r="AX429" s="339"/>
      <c r="AY429" s="339"/>
      <c r="AZ429" s="339"/>
      <c r="BA429" s="339"/>
      <c r="BB429" s="339"/>
      <c r="BC429" s="339"/>
      <c r="BD429" s="339"/>
    </row>
    <row r="430" spans="3:56">
      <c r="C430" s="339"/>
      <c r="D430" s="339"/>
      <c r="E430" s="339"/>
      <c r="F430" s="339"/>
      <c r="G430" s="339"/>
      <c r="H430" s="339"/>
      <c r="I430" s="339"/>
      <c r="J430" s="339"/>
      <c r="K430" s="339"/>
      <c r="L430" s="339"/>
      <c r="M430" s="339"/>
      <c r="N430" s="339"/>
      <c r="O430" s="339"/>
      <c r="P430" s="339"/>
      <c r="Q430" s="339"/>
      <c r="R430" s="339"/>
      <c r="S430" s="339"/>
      <c r="T430" s="339"/>
      <c r="U430" s="339"/>
      <c r="V430" s="339"/>
      <c r="W430" s="339"/>
      <c r="X430" s="339"/>
      <c r="Y430" s="339"/>
      <c r="Z430" s="339"/>
      <c r="AA430" s="339"/>
      <c r="AB430" s="339"/>
      <c r="AC430" s="339"/>
      <c r="AD430" s="339"/>
      <c r="AE430" s="339"/>
      <c r="AF430" s="339"/>
      <c r="AG430" s="339"/>
      <c r="AH430" s="339"/>
      <c r="AI430" s="339"/>
      <c r="AJ430" s="339"/>
      <c r="AK430" s="339"/>
      <c r="AL430" s="339"/>
      <c r="AM430" s="339"/>
      <c r="AN430" s="339"/>
      <c r="AO430" s="339"/>
      <c r="AP430" s="339"/>
      <c r="AQ430" s="339"/>
      <c r="AR430" s="339"/>
      <c r="AS430" s="339"/>
      <c r="AT430" s="339"/>
      <c r="AU430" s="339"/>
      <c r="AV430" s="339"/>
      <c r="AW430" s="339"/>
      <c r="AX430" s="339"/>
      <c r="AY430" s="339"/>
      <c r="AZ430" s="339"/>
      <c r="BA430" s="339"/>
      <c r="BB430" s="339"/>
      <c r="BC430" s="339"/>
      <c r="BD430" s="339"/>
    </row>
    <row r="431" spans="3:56">
      <c r="C431" s="339"/>
      <c r="D431" s="339"/>
      <c r="E431" s="339"/>
      <c r="F431" s="339"/>
      <c r="G431" s="339"/>
      <c r="H431" s="339"/>
      <c r="I431" s="339"/>
      <c r="J431" s="339"/>
      <c r="K431" s="339"/>
      <c r="L431" s="339"/>
      <c r="M431" s="339"/>
      <c r="N431" s="339"/>
      <c r="O431" s="339"/>
      <c r="P431" s="339"/>
      <c r="Q431" s="339"/>
      <c r="R431" s="339"/>
      <c r="S431" s="339"/>
      <c r="T431" s="339"/>
      <c r="U431" s="339"/>
      <c r="V431" s="339"/>
      <c r="W431" s="339"/>
      <c r="X431" s="339"/>
      <c r="Y431" s="339"/>
      <c r="Z431" s="339"/>
      <c r="AA431" s="339"/>
      <c r="AB431" s="339"/>
      <c r="AC431" s="339"/>
      <c r="AD431" s="339"/>
      <c r="AE431" s="339"/>
      <c r="AF431" s="339"/>
      <c r="AG431" s="339"/>
      <c r="AH431" s="339"/>
      <c r="AI431" s="339"/>
      <c r="AJ431" s="339"/>
      <c r="AK431" s="339"/>
      <c r="AL431" s="339"/>
      <c r="AM431" s="339"/>
      <c r="AN431" s="339"/>
      <c r="AO431" s="339"/>
      <c r="AP431" s="339"/>
      <c r="AQ431" s="339"/>
      <c r="AR431" s="339"/>
      <c r="AS431" s="339"/>
      <c r="AT431" s="339"/>
      <c r="AU431" s="339"/>
      <c r="AV431" s="339"/>
      <c r="AW431" s="339"/>
      <c r="AX431" s="339"/>
      <c r="AY431" s="339"/>
      <c r="AZ431" s="339"/>
      <c r="BA431" s="339"/>
      <c r="BB431" s="339"/>
      <c r="BC431" s="339"/>
      <c r="BD431" s="339"/>
    </row>
    <row r="432" spans="3:56">
      <c r="C432" s="339"/>
      <c r="D432" s="339"/>
      <c r="E432" s="339"/>
      <c r="F432" s="339"/>
      <c r="G432" s="339"/>
      <c r="H432" s="339"/>
      <c r="I432" s="339"/>
      <c r="J432" s="339"/>
      <c r="K432" s="339"/>
      <c r="L432" s="339"/>
      <c r="M432" s="339"/>
      <c r="N432" s="339"/>
      <c r="O432" s="339"/>
      <c r="P432" s="339"/>
      <c r="Q432" s="339"/>
      <c r="R432" s="339"/>
      <c r="S432" s="339"/>
      <c r="T432" s="339"/>
      <c r="U432" s="339"/>
      <c r="V432" s="339"/>
      <c r="W432" s="339"/>
      <c r="X432" s="339"/>
      <c r="Y432" s="339"/>
      <c r="Z432" s="339"/>
      <c r="AA432" s="339"/>
      <c r="AB432" s="339"/>
      <c r="AC432" s="339"/>
      <c r="AD432" s="339"/>
      <c r="AE432" s="339"/>
      <c r="AF432" s="339"/>
      <c r="AG432" s="339"/>
      <c r="AH432" s="339"/>
      <c r="AI432" s="339"/>
      <c r="AJ432" s="339"/>
      <c r="AK432" s="339"/>
      <c r="AL432" s="339"/>
      <c r="AM432" s="339"/>
      <c r="AN432" s="339"/>
      <c r="AO432" s="339"/>
      <c r="AP432" s="339"/>
      <c r="AQ432" s="339"/>
      <c r="AR432" s="339"/>
      <c r="AS432" s="339"/>
      <c r="AT432" s="339"/>
      <c r="AU432" s="339"/>
      <c r="AV432" s="339"/>
      <c r="AW432" s="339"/>
      <c r="AX432" s="339"/>
      <c r="AY432" s="339"/>
      <c r="AZ432" s="339"/>
      <c r="BA432" s="339"/>
      <c r="BB432" s="339"/>
      <c r="BC432" s="339"/>
      <c r="BD432" s="339"/>
    </row>
    <row r="433" spans="3:56">
      <c r="C433" s="339"/>
      <c r="D433" s="339"/>
      <c r="E433" s="339"/>
      <c r="F433" s="339"/>
      <c r="G433" s="339"/>
      <c r="H433" s="339"/>
      <c r="I433" s="339"/>
      <c r="J433" s="339"/>
      <c r="K433" s="339"/>
      <c r="L433" s="339"/>
      <c r="M433" s="339"/>
      <c r="N433" s="339"/>
      <c r="O433" s="339"/>
      <c r="P433" s="339"/>
      <c r="Q433" s="339"/>
      <c r="R433" s="339"/>
      <c r="S433" s="339"/>
      <c r="T433" s="339"/>
      <c r="U433" s="339"/>
      <c r="V433" s="339"/>
      <c r="W433" s="339"/>
      <c r="X433" s="339"/>
      <c r="Y433" s="339"/>
      <c r="Z433" s="339"/>
      <c r="AA433" s="339"/>
      <c r="AB433" s="339"/>
      <c r="AC433" s="339"/>
      <c r="AD433" s="339"/>
      <c r="AE433" s="339"/>
      <c r="AF433" s="339"/>
      <c r="AG433" s="339"/>
      <c r="AH433" s="339"/>
      <c r="AI433" s="339"/>
      <c r="AJ433" s="339"/>
      <c r="AK433" s="339"/>
      <c r="AL433" s="339"/>
      <c r="AM433" s="339"/>
      <c r="AN433" s="339"/>
      <c r="AO433" s="339"/>
      <c r="AP433" s="339"/>
      <c r="AQ433" s="339"/>
      <c r="AR433" s="339"/>
      <c r="AS433" s="339"/>
      <c r="AT433" s="339"/>
      <c r="AU433" s="339"/>
      <c r="AV433" s="339"/>
      <c r="AW433" s="339"/>
      <c r="AX433" s="339"/>
      <c r="AY433" s="339"/>
      <c r="AZ433" s="339"/>
      <c r="BA433" s="339"/>
      <c r="BB433" s="339"/>
      <c r="BC433" s="339"/>
      <c r="BD433" s="339"/>
    </row>
    <row r="434" spans="3:56">
      <c r="C434" s="339"/>
      <c r="D434" s="339"/>
      <c r="E434" s="339"/>
      <c r="F434" s="339"/>
      <c r="G434" s="339"/>
      <c r="H434" s="339"/>
      <c r="I434" s="339"/>
      <c r="J434" s="339"/>
      <c r="K434" s="339"/>
      <c r="L434" s="339"/>
      <c r="M434" s="339"/>
      <c r="N434" s="339"/>
      <c r="O434" s="339"/>
      <c r="P434" s="339"/>
      <c r="Q434" s="339"/>
      <c r="R434" s="339"/>
      <c r="S434" s="339"/>
      <c r="T434" s="339"/>
      <c r="U434" s="339"/>
      <c r="V434" s="339"/>
      <c r="W434" s="339"/>
      <c r="X434" s="339"/>
      <c r="Y434" s="339"/>
      <c r="Z434" s="339"/>
      <c r="AA434" s="339"/>
      <c r="AB434" s="339"/>
      <c r="AC434" s="339"/>
      <c r="AD434" s="339"/>
      <c r="AE434" s="339"/>
      <c r="AF434" s="339"/>
      <c r="AG434" s="339"/>
      <c r="AH434" s="339"/>
      <c r="AI434" s="339"/>
      <c r="AJ434" s="339"/>
      <c r="AK434" s="339"/>
      <c r="AL434" s="339"/>
      <c r="AM434" s="339"/>
      <c r="AN434" s="339"/>
      <c r="AO434" s="339"/>
      <c r="AP434" s="339"/>
      <c r="AQ434" s="339"/>
      <c r="AR434" s="339"/>
      <c r="AS434" s="339"/>
      <c r="AT434" s="339"/>
      <c r="AU434" s="339"/>
      <c r="AV434" s="339"/>
      <c r="AW434" s="339"/>
      <c r="AX434" s="339"/>
      <c r="AY434" s="339"/>
      <c r="AZ434" s="339"/>
      <c r="BA434" s="339"/>
      <c r="BB434" s="339"/>
      <c r="BC434" s="339"/>
      <c r="BD434" s="339"/>
    </row>
    <row r="435" spans="3:56">
      <c r="C435" s="339"/>
      <c r="D435" s="339"/>
      <c r="E435" s="339"/>
      <c r="F435" s="339"/>
      <c r="G435" s="339"/>
      <c r="H435" s="339"/>
      <c r="I435" s="339"/>
      <c r="J435" s="339"/>
      <c r="K435" s="339"/>
      <c r="L435" s="339"/>
      <c r="M435" s="339"/>
      <c r="N435" s="339"/>
      <c r="O435" s="339"/>
      <c r="P435" s="339"/>
      <c r="Q435" s="339"/>
      <c r="R435" s="339"/>
      <c r="S435" s="339"/>
      <c r="T435" s="339"/>
      <c r="U435" s="339"/>
      <c r="V435" s="339"/>
      <c r="W435" s="339"/>
      <c r="X435" s="339"/>
      <c r="Y435" s="339"/>
      <c r="Z435" s="339"/>
      <c r="AA435" s="339"/>
      <c r="AB435" s="339"/>
      <c r="AC435" s="339"/>
      <c r="AD435" s="339"/>
      <c r="AE435" s="339"/>
      <c r="AF435" s="339"/>
      <c r="AG435" s="339"/>
      <c r="AH435" s="339"/>
      <c r="AI435" s="339"/>
      <c r="AJ435" s="339"/>
      <c r="AK435" s="339"/>
      <c r="AL435" s="339"/>
      <c r="AM435" s="339"/>
      <c r="AN435" s="339"/>
      <c r="AO435" s="339"/>
      <c r="AP435" s="339"/>
      <c r="AQ435" s="339"/>
      <c r="AR435" s="339"/>
      <c r="AS435" s="339"/>
      <c r="AT435" s="339"/>
      <c r="AU435" s="339"/>
      <c r="AV435" s="339"/>
      <c r="AW435" s="339"/>
      <c r="AX435" s="339"/>
      <c r="AY435" s="339"/>
      <c r="AZ435" s="339"/>
      <c r="BA435" s="339"/>
      <c r="BB435" s="339"/>
      <c r="BC435" s="339"/>
      <c r="BD435" s="339"/>
    </row>
    <row r="436" spans="3:56">
      <c r="C436" s="339"/>
      <c r="D436" s="339"/>
      <c r="E436" s="339"/>
      <c r="F436" s="339"/>
      <c r="G436" s="339"/>
      <c r="H436" s="339"/>
      <c r="I436" s="339"/>
      <c r="J436" s="339"/>
      <c r="K436" s="339"/>
      <c r="L436" s="339"/>
      <c r="M436" s="339"/>
      <c r="N436" s="339"/>
      <c r="O436" s="339"/>
      <c r="P436" s="339"/>
      <c r="Q436" s="339"/>
      <c r="R436" s="339"/>
      <c r="S436" s="339"/>
      <c r="T436" s="339"/>
      <c r="U436" s="339"/>
      <c r="V436" s="339"/>
      <c r="W436" s="339"/>
      <c r="X436" s="339"/>
      <c r="Y436" s="339"/>
      <c r="Z436" s="339"/>
      <c r="AA436" s="339"/>
      <c r="AB436" s="339"/>
      <c r="AC436" s="339"/>
      <c r="AD436" s="339"/>
      <c r="AE436" s="339"/>
      <c r="AF436" s="339"/>
      <c r="AG436" s="339"/>
      <c r="AH436" s="339"/>
      <c r="AI436" s="339"/>
      <c r="AJ436" s="339"/>
      <c r="AK436" s="339"/>
      <c r="AL436" s="339"/>
      <c r="AM436" s="339"/>
      <c r="AN436" s="339"/>
      <c r="AO436" s="339"/>
      <c r="AP436" s="339"/>
      <c r="AQ436" s="339"/>
      <c r="AR436" s="339"/>
      <c r="AS436" s="339"/>
      <c r="AT436" s="339"/>
      <c r="AU436" s="339"/>
      <c r="AV436" s="339"/>
      <c r="AW436" s="339"/>
      <c r="AX436" s="339"/>
      <c r="AY436" s="339"/>
      <c r="AZ436" s="339"/>
      <c r="BA436" s="339"/>
      <c r="BB436" s="339"/>
      <c r="BC436" s="339"/>
      <c r="BD436" s="339"/>
    </row>
    <row r="437" spans="3:56">
      <c r="C437" s="339"/>
      <c r="D437" s="339"/>
      <c r="E437" s="339"/>
      <c r="F437" s="339"/>
      <c r="G437" s="339"/>
      <c r="H437" s="339"/>
      <c r="I437" s="339"/>
      <c r="J437" s="339"/>
      <c r="K437" s="339"/>
      <c r="L437" s="339"/>
      <c r="M437" s="339"/>
      <c r="N437" s="339"/>
      <c r="O437" s="339"/>
      <c r="P437" s="339"/>
      <c r="Q437" s="339"/>
      <c r="R437" s="339"/>
      <c r="S437" s="339"/>
      <c r="T437" s="339"/>
      <c r="U437" s="339"/>
      <c r="V437" s="339"/>
      <c r="W437" s="339"/>
      <c r="X437" s="339"/>
      <c r="Y437" s="339"/>
      <c r="Z437" s="339"/>
      <c r="AA437" s="339"/>
      <c r="AB437" s="339"/>
      <c r="AC437" s="339"/>
      <c r="AD437" s="339"/>
      <c r="AE437" s="339"/>
      <c r="AF437" s="339"/>
      <c r="AG437" s="339"/>
      <c r="AH437" s="339"/>
      <c r="AI437" s="339"/>
      <c r="AJ437" s="339"/>
      <c r="AK437" s="339"/>
      <c r="AL437" s="339"/>
      <c r="AM437" s="339"/>
      <c r="AN437" s="339"/>
      <c r="AO437" s="339"/>
      <c r="AP437" s="339"/>
      <c r="AQ437" s="339"/>
      <c r="AR437" s="339"/>
      <c r="AS437" s="339"/>
      <c r="AT437" s="339"/>
      <c r="AU437" s="339"/>
      <c r="AV437" s="339"/>
      <c r="AW437" s="339"/>
      <c r="AX437" s="339"/>
      <c r="AY437" s="339"/>
      <c r="AZ437" s="339"/>
      <c r="BA437" s="339"/>
      <c r="BB437" s="339"/>
      <c r="BC437" s="339"/>
      <c r="BD437" s="339"/>
    </row>
    <row r="438" spans="3:56">
      <c r="C438" s="339"/>
      <c r="D438" s="339"/>
      <c r="E438" s="339"/>
      <c r="F438" s="339"/>
      <c r="G438" s="339"/>
      <c r="H438" s="339"/>
      <c r="I438" s="339"/>
      <c r="J438" s="339"/>
      <c r="K438" s="339"/>
      <c r="L438" s="339"/>
      <c r="M438" s="339"/>
      <c r="N438" s="339"/>
      <c r="O438" s="339"/>
      <c r="P438" s="339"/>
      <c r="Q438" s="339"/>
      <c r="R438" s="339"/>
      <c r="S438" s="339"/>
      <c r="T438" s="339"/>
      <c r="U438" s="339"/>
      <c r="V438" s="339"/>
      <c r="W438" s="339"/>
      <c r="X438" s="339"/>
      <c r="Y438" s="339"/>
      <c r="Z438" s="339"/>
      <c r="AA438" s="339"/>
      <c r="AB438" s="339"/>
      <c r="AC438" s="339"/>
      <c r="AD438" s="339"/>
      <c r="AE438" s="339"/>
      <c r="AF438" s="339"/>
      <c r="AG438" s="339"/>
      <c r="AH438" s="339"/>
      <c r="AI438" s="339"/>
      <c r="AJ438" s="339"/>
      <c r="AK438" s="339"/>
      <c r="AL438" s="339"/>
      <c r="AM438" s="339"/>
      <c r="AN438" s="339"/>
      <c r="AO438" s="339"/>
      <c r="AP438" s="339"/>
      <c r="AQ438" s="339"/>
      <c r="AR438" s="339"/>
      <c r="AS438" s="339"/>
      <c r="AT438" s="339"/>
      <c r="AU438" s="339"/>
      <c r="AV438" s="339"/>
      <c r="AW438" s="339"/>
      <c r="AX438" s="339"/>
      <c r="AY438" s="339"/>
      <c r="AZ438" s="339"/>
      <c r="BA438" s="339"/>
      <c r="BB438" s="339"/>
      <c r="BC438" s="339"/>
      <c r="BD438" s="339"/>
    </row>
    <row r="439" spans="3:56">
      <c r="C439" s="339"/>
      <c r="D439" s="339"/>
      <c r="E439" s="339"/>
      <c r="F439" s="339"/>
      <c r="G439" s="339"/>
      <c r="H439" s="339"/>
      <c r="I439" s="339"/>
      <c r="J439" s="339"/>
      <c r="K439" s="339"/>
      <c r="L439" s="339"/>
      <c r="M439" s="339"/>
      <c r="N439" s="339"/>
      <c r="O439" s="339"/>
      <c r="P439" s="339"/>
      <c r="Q439" s="339"/>
      <c r="R439" s="339"/>
      <c r="S439" s="339"/>
      <c r="T439" s="339"/>
      <c r="U439" s="339"/>
      <c r="V439" s="339"/>
      <c r="W439" s="339"/>
      <c r="X439" s="339"/>
      <c r="Y439" s="339"/>
      <c r="Z439" s="339"/>
      <c r="AA439" s="339"/>
      <c r="AB439" s="339"/>
      <c r="AC439" s="339"/>
      <c r="AD439" s="339"/>
      <c r="AE439" s="339"/>
      <c r="AF439" s="339"/>
      <c r="AG439" s="339"/>
      <c r="AH439" s="339"/>
      <c r="AI439" s="339"/>
      <c r="AJ439" s="339"/>
      <c r="AK439" s="339"/>
      <c r="AL439" s="339"/>
      <c r="AM439" s="339"/>
      <c r="AN439" s="339"/>
      <c r="AO439" s="339"/>
      <c r="AP439" s="339"/>
      <c r="AQ439" s="339"/>
      <c r="AR439" s="339"/>
      <c r="AS439" s="339"/>
      <c r="AT439" s="339"/>
      <c r="AU439" s="339"/>
      <c r="AV439" s="339"/>
      <c r="AW439" s="339"/>
      <c r="AX439" s="339"/>
      <c r="AY439" s="339"/>
      <c r="AZ439" s="339"/>
      <c r="BA439" s="339"/>
      <c r="BB439" s="339"/>
      <c r="BC439" s="339"/>
      <c r="BD439" s="339"/>
    </row>
    <row r="440" spans="3:56">
      <c r="C440" s="339"/>
      <c r="D440" s="339"/>
      <c r="E440" s="339"/>
      <c r="F440" s="339"/>
      <c r="G440" s="339"/>
      <c r="H440" s="339"/>
      <c r="I440" s="339"/>
      <c r="J440" s="339"/>
      <c r="K440" s="339"/>
      <c r="L440" s="339"/>
      <c r="M440" s="339"/>
      <c r="N440" s="339"/>
      <c r="O440" s="339"/>
      <c r="P440" s="339"/>
      <c r="Q440" s="339"/>
      <c r="R440" s="339"/>
      <c r="S440" s="339"/>
      <c r="T440" s="339"/>
      <c r="U440" s="339"/>
      <c r="V440" s="339"/>
      <c r="W440" s="339"/>
      <c r="X440" s="339"/>
      <c r="Y440" s="339"/>
      <c r="Z440" s="339"/>
      <c r="AA440" s="339"/>
      <c r="AB440" s="339"/>
      <c r="AC440" s="339"/>
      <c r="AD440" s="339"/>
      <c r="AE440" s="339"/>
      <c r="AF440" s="339"/>
      <c r="AG440" s="339"/>
      <c r="AH440" s="339"/>
      <c r="AI440" s="339"/>
      <c r="AJ440" s="339"/>
      <c r="AK440" s="339"/>
      <c r="AL440" s="339"/>
      <c r="AM440" s="339"/>
      <c r="AN440" s="339"/>
      <c r="AO440" s="339"/>
      <c r="AP440" s="339"/>
      <c r="AQ440" s="339"/>
      <c r="AR440" s="339"/>
      <c r="AS440" s="339"/>
      <c r="AT440" s="339"/>
      <c r="AU440" s="339"/>
      <c r="AV440" s="339"/>
      <c r="AW440" s="339"/>
      <c r="AX440" s="339"/>
      <c r="AY440" s="339"/>
      <c r="AZ440" s="339"/>
      <c r="BA440" s="339"/>
      <c r="BB440" s="339"/>
      <c r="BC440" s="339"/>
      <c r="BD440" s="339"/>
    </row>
    <row r="441" spans="3:56">
      <c r="C441" s="339"/>
      <c r="D441" s="339"/>
      <c r="E441" s="339"/>
      <c r="F441" s="339"/>
      <c r="G441" s="339"/>
      <c r="H441" s="339"/>
      <c r="I441" s="339"/>
      <c r="J441" s="339"/>
      <c r="K441" s="339"/>
      <c r="L441" s="339"/>
      <c r="M441" s="339"/>
      <c r="N441" s="339"/>
      <c r="O441" s="339"/>
      <c r="P441" s="339"/>
      <c r="Q441" s="339"/>
      <c r="R441" s="339"/>
      <c r="S441" s="339"/>
      <c r="T441" s="339"/>
      <c r="U441" s="339"/>
      <c r="V441" s="339"/>
      <c r="W441" s="339"/>
      <c r="X441" s="339"/>
      <c r="Y441" s="339"/>
      <c r="Z441" s="339"/>
      <c r="AA441" s="339"/>
      <c r="AB441" s="339"/>
      <c r="AC441" s="339"/>
      <c r="AD441" s="339"/>
      <c r="AE441" s="339"/>
      <c r="AF441" s="339"/>
      <c r="AG441" s="339"/>
      <c r="AH441" s="339"/>
      <c r="AI441" s="339"/>
      <c r="AJ441" s="339"/>
      <c r="AK441" s="339"/>
      <c r="AL441" s="339"/>
      <c r="AM441" s="339"/>
      <c r="AN441" s="339"/>
      <c r="AO441" s="339"/>
      <c r="AP441" s="339"/>
      <c r="AQ441" s="339"/>
      <c r="AR441" s="339"/>
      <c r="AS441" s="339"/>
      <c r="AT441" s="339"/>
      <c r="AU441" s="339"/>
      <c r="AV441" s="339"/>
      <c r="AW441" s="339"/>
      <c r="AX441" s="339"/>
      <c r="AY441" s="339"/>
      <c r="AZ441" s="339"/>
      <c r="BA441" s="339"/>
      <c r="BB441" s="339"/>
      <c r="BC441" s="339"/>
      <c r="BD441" s="339"/>
    </row>
    <row r="442" spans="3:56">
      <c r="C442" s="339"/>
      <c r="D442" s="339"/>
      <c r="E442" s="339"/>
      <c r="F442" s="339"/>
      <c r="G442" s="339"/>
      <c r="H442" s="339"/>
      <c r="I442" s="339"/>
      <c r="J442" s="339"/>
      <c r="K442" s="339"/>
      <c r="L442" s="339"/>
      <c r="M442" s="339"/>
      <c r="N442" s="339"/>
      <c r="O442" s="339"/>
      <c r="P442" s="339"/>
      <c r="Q442" s="339"/>
      <c r="R442" s="339"/>
      <c r="S442" s="339"/>
      <c r="T442" s="339"/>
      <c r="U442" s="339"/>
      <c r="V442" s="339"/>
      <c r="W442" s="339"/>
      <c r="X442" s="339"/>
      <c r="Y442" s="339"/>
      <c r="Z442" s="339"/>
      <c r="AA442" s="339"/>
      <c r="AB442" s="339"/>
      <c r="AC442" s="339"/>
      <c r="AD442" s="339"/>
      <c r="AE442" s="339"/>
      <c r="AF442" s="339"/>
      <c r="AG442" s="339"/>
      <c r="AH442" s="339"/>
      <c r="AI442" s="339"/>
      <c r="AJ442" s="339"/>
      <c r="AK442" s="339"/>
      <c r="AL442" s="339"/>
      <c r="AM442" s="339"/>
      <c r="AN442" s="339"/>
      <c r="AO442" s="339"/>
      <c r="AP442" s="339"/>
      <c r="AQ442" s="339"/>
      <c r="AR442" s="339"/>
      <c r="AS442" s="339"/>
      <c r="AT442" s="339"/>
      <c r="AU442" s="339"/>
      <c r="AV442" s="339"/>
      <c r="AW442" s="339"/>
      <c r="AX442" s="339"/>
      <c r="AY442" s="339"/>
      <c r="AZ442" s="339"/>
      <c r="BA442" s="339"/>
      <c r="BB442" s="339"/>
      <c r="BC442" s="339"/>
      <c r="BD442" s="339"/>
    </row>
    <row r="443" spans="3:56">
      <c r="C443" s="339"/>
      <c r="D443" s="339"/>
      <c r="E443" s="339"/>
      <c r="F443" s="339"/>
      <c r="G443" s="339"/>
      <c r="H443" s="339"/>
      <c r="I443" s="339"/>
      <c r="J443" s="339"/>
      <c r="K443" s="339"/>
      <c r="L443" s="339"/>
      <c r="M443" s="339"/>
      <c r="N443" s="339"/>
      <c r="O443" s="339"/>
      <c r="P443" s="339"/>
      <c r="Q443" s="339"/>
      <c r="R443" s="339"/>
      <c r="S443" s="339"/>
      <c r="T443" s="339"/>
      <c r="U443" s="339"/>
      <c r="V443" s="339"/>
      <c r="W443" s="339"/>
      <c r="X443" s="339"/>
      <c r="Y443" s="339"/>
      <c r="Z443" s="339"/>
      <c r="AA443" s="339"/>
      <c r="AB443" s="339"/>
      <c r="AC443" s="339"/>
      <c r="AD443" s="339"/>
      <c r="AE443" s="339"/>
      <c r="AF443" s="339"/>
      <c r="AG443" s="339"/>
      <c r="AH443" s="339"/>
      <c r="AI443" s="339"/>
      <c r="AJ443" s="339"/>
      <c r="AK443" s="339"/>
      <c r="AL443" s="339"/>
      <c r="AM443" s="339"/>
      <c r="AN443" s="339"/>
      <c r="AO443" s="339"/>
      <c r="AP443" s="339"/>
      <c r="AQ443" s="339"/>
      <c r="AR443" s="339"/>
      <c r="AS443" s="339"/>
      <c r="AT443" s="339"/>
      <c r="AU443" s="339"/>
      <c r="AV443" s="339"/>
      <c r="AW443" s="339"/>
      <c r="AX443" s="339"/>
      <c r="AY443" s="339"/>
      <c r="AZ443" s="339"/>
      <c r="BA443" s="339"/>
      <c r="BB443" s="339"/>
      <c r="BC443" s="339"/>
      <c r="BD443" s="339"/>
    </row>
    <row r="444" spans="3:56">
      <c r="C444" s="339"/>
      <c r="D444" s="339"/>
      <c r="E444" s="339"/>
      <c r="F444" s="339"/>
      <c r="G444" s="339"/>
      <c r="H444" s="339"/>
      <c r="I444" s="339"/>
      <c r="J444" s="339"/>
      <c r="K444" s="339"/>
      <c r="L444" s="339"/>
      <c r="M444" s="339"/>
      <c r="N444" s="339"/>
      <c r="O444" s="339"/>
      <c r="P444" s="339"/>
      <c r="Q444" s="339"/>
      <c r="R444" s="339"/>
      <c r="S444" s="339"/>
      <c r="T444" s="339"/>
      <c r="U444" s="339"/>
      <c r="V444" s="339"/>
      <c r="W444" s="339"/>
      <c r="X444" s="339"/>
      <c r="Y444" s="339"/>
      <c r="Z444" s="339"/>
      <c r="AA444" s="339"/>
      <c r="AB444" s="339"/>
      <c r="AC444" s="339"/>
      <c r="AD444" s="339"/>
      <c r="AE444" s="339"/>
      <c r="AF444" s="339"/>
      <c r="AG444" s="339"/>
      <c r="AH444" s="339"/>
      <c r="AI444" s="339"/>
      <c r="AJ444" s="339"/>
      <c r="AK444" s="339"/>
      <c r="AL444" s="339"/>
      <c r="AM444" s="339"/>
      <c r="AN444" s="339"/>
      <c r="AO444" s="339"/>
      <c r="AP444" s="339"/>
      <c r="AQ444" s="339"/>
      <c r="AR444" s="339"/>
      <c r="AS444" s="339"/>
      <c r="AT444" s="339"/>
      <c r="AU444" s="339"/>
      <c r="AV444" s="339"/>
      <c r="AW444" s="339"/>
      <c r="AX444" s="339"/>
      <c r="AY444" s="339"/>
      <c r="AZ444" s="339"/>
      <c r="BA444" s="339"/>
      <c r="BB444" s="339"/>
      <c r="BC444" s="339"/>
      <c r="BD444" s="339"/>
    </row>
    <row r="445" spans="3:56">
      <c r="C445" s="339"/>
      <c r="D445" s="339"/>
      <c r="E445" s="339"/>
      <c r="F445" s="339"/>
      <c r="G445" s="339"/>
      <c r="H445" s="339"/>
      <c r="I445" s="339"/>
      <c r="J445" s="339"/>
      <c r="K445" s="339"/>
      <c r="L445" s="339"/>
      <c r="M445" s="339"/>
      <c r="N445" s="339"/>
      <c r="O445" s="339"/>
      <c r="P445" s="339"/>
      <c r="Q445" s="339"/>
      <c r="R445" s="339"/>
      <c r="S445" s="339"/>
      <c r="T445" s="339"/>
      <c r="U445" s="339"/>
      <c r="V445" s="339"/>
      <c r="W445" s="339"/>
      <c r="X445" s="339"/>
      <c r="Y445" s="339"/>
      <c r="Z445" s="339"/>
      <c r="AA445" s="339"/>
      <c r="AB445" s="339"/>
      <c r="AC445" s="339"/>
      <c r="AD445" s="339"/>
      <c r="AE445" s="339"/>
      <c r="AF445" s="339"/>
      <c r="AG445" s="339"/>
      <c r="AH445" s="339"/>
      <c r="AI445" s="339"/>
      <c r="AJ445" s="339"/>
      <c r="AK445" s="339"/>
      <c r="AL445" s="339"/>
      <c r="AM445" s="339"/>
      <c r="AN445" s="339"/>
      <c r="AO445" s="339"/>
      <c r="AP445" s="339"/>
      <c r="AQ445" s="339"/>
      <c r="AR445" s="339"/>
      <c r="AS445" s="339"/>
      <c r="AT445" s="339"/>
      <c r="AU445" s="339"/>
      <c r="AV445" s="339"/>
      <c r="AW445" s="339"/>
      <c r="AX445" s="339"/>
      <c r="AY445" s="339"/>
      <c r="AZ445" s="339"/>
      <c r="BA445" s="339"/>
      <c r="BB445" s="339"/>
      <c r="BC445" s="339"/>
      <c r="BD445" s="339"/>
    </row>
    <row r="446" spans="3:56">
      <c r="C446" s="339"/>
      <c r="D446" s="339"/>
      <c r="E446" s="339"/>
      <c r="F446" s="339"/>
      <c r="G446" s="339"/>
      <c r="H446" s="339"/>
      <c r="I446" s="339"/>
      <c r="J446" s="339"/>
      <c r="K446" s="339"/>
      <c r="L446" s="339"/>
      <c r="M446" s="339"/>
      <c r="N446" s="339"/>
      <c r="O446" s="339"/>
      <c r="P446" s="339"/>
      <c r="Q446" s="339"/>
      <c r="R446" s="339"/>
      <c r="S446" s="339"/>
      <c r="T446" s="339"/>
      <c r="U446" s="339"/>
      <c r="V446" s="339"/>
      <c r="W446" s="339"/>
      <c r="X446" s="339"/>
      <c r="Y446" s="339"/>
      <c r="Z446" s="339"/>
      <c r="AA446" s="339"/>
      <c r="AB446" s="339"/>
      <c r="AC446" s="339"/>
      <c r="AD446" s="339"/>
      <c r="AE446" s="339"/>
      <c r="AF446" s="339"/>
      <c r="AG446" s="339"/>
      <c r="AH446" s="339"/>
      <c r="AI446" s="339"/>
      <c r="AJ446" s="339"/>
      <c r="AK446" s="339"/>
      <c r="AL446" s="339"/>
      <c r="AM446" s="339"/>
      <c r="AN446" s="339"/>
      <c r="AO446" s="339"/>
      <c r="AP446" s="339"/>
      <c r="AQ446" s="339"/>
      <c r="AR446" s="339"/>
      <c r="AS446" s="339"/>
      <c r="AT446" s="339"/>
      <c r="AU446" s="339"/>
      <c r="AV446" s="339"/>
      <c r="AW446" s="339"/>
      <c r="AX446" s="339"/>
      <c r="AY446" s="339"/>
      <c r="AZ446" s="339"/>
      <c r="BA446" s="339"/>
      <c r="BB446" s="339"/>
      <c r="BC446" s="339"/>
      <c r="BD446" s="339"/>
    </row>
    <row r="447" spans="3:56">
      <c r="C447" s="339"/>
      <c r="D447" s="339"/>
      <c r="E447" s="339"/>
      <c r="F447" s="339"/>
      <c r="G447" s="339"/>
      <c r="H447" s="339"/>
      <c r="I447" s="339"/>
      <c r="J447" s="339"/>
      <c r="K447" s="339"/>
      <c r="L447" s="339"/>
      <c r="M447" s="339"/>
      <c r="N447" s="339"/>
      <c r="O447" s="339"/>
      <c r="P447" s="339"/>
      <c r="Q447" s="339"/>
      <c r="R447" s="339"/>
      <c r="S447" s="339"/>
      <c r="T447" s="339"/>
      <c r="U447" s="339"/>
      <c r="V447" s="339"/>
      <c r="W447" s="339"/>
      <c r="X447" s="339"/>
      <c r="Y447" s="339"/>
      <c r="Z447" s="339"/>
      <c r="AA447" s="339"/>
      <c r="AB447" s="339"/>
      <c r="AC447" s="339"/>
      <c r="AD447" s="339"/>
      <c r="AE447" s="339"/>
      <c r="AF447" s="339"/>
      <c r="AG447" s="339"/>
      <c r="AH447" s="339"/>
      <c r="AI447" s="339"/>
      <c r="AJ447" s="339"/>
      <c r="AK447" s="339"/>
      <c r="AL447" s="339"/>
      <c r="AM447" s="339"/>
      <c r="AN447" s="339"/>
      <c r="AO447" s="339"/>
      <c r="AP447" s="339"/>
      <c r="AQ447" s="339"/>
      <c r="AR447" s="339"/>
      <c r="AS447" s="339"/>
      <c r="AT447" s="339"/>
      <c r="AU447" s="339"/>
      <c r="AV447" s="339"/>
      <c r="AW447" s="339"/>
      <c r="AX447" s="339"/>
      <c r="AY447" s="339"/>
      <c r="AZ447" s="339"/>
      <c r="BA447" s="339"/>
      <c r="BB447" s="339"/>
      <c r="BC447" s="339"/>
      <c r="BD447" s="339"/>
    </row>
    <row r="448" spans="3:56">
      <c r="C448" s="339"/>
      <c r="D448" s="339"/>
      <c r="E448" s="339"/>
      <c r="F448" s="339"/>
      <c r="G448" s="339"/>
      <c r="H448" s="339"/>
      <c r="I448" s="339"/>
      <c r="J448" s="339"/>
      <c r="K448" s="339"/>
      <c r="L448" s="339"/>
      <c r="M448" s="339"/>
      <c r="N448" s="339"/>
      <c r="O448" s="339"/>
      <c r="P448" s="339"/>
      <c r="Q448" s="339"/>
      <c r="R448" s="339"/>
      <c r="S448" s="339"/>
      <c r="T448" s="339"/>
      <c r="U448" s="339"/>
      <c r="V448" s="339"/>
      <c r="W448" s="339"/>
      <c r="X448" s="339"/>
      <c r="Y448" s="339"/>
      <c r="Z448" s="339"/>
      <c r="AA448" s="339"/>
      <c r="AB448" s="339"/>
      <c r="AC448" s="339"/>
      <c r="AD448" s="339"/>
      <c r="AE448" s="339"/>
      <c r="AF448" s="339"/>
      <c r="AG448" s="339"/>
      <c r="AH448" s="339"/>
      <c r="AI448" s="339"/>
      <c r="AJ448" s="339"/>
      <c r="AK448" s="339"/>
      <c r="AL448" s="339"/>
      <c r="AM448" s="339"/>
      <c r="AN448" s="339"/>
      <c r="AO448" s="339"/>
      <c r="AP448" s="339"/>
      <c r="AQ448" s="339"/>
      <c r="AR448" s="339"/>
      <c r="AS448" s="339"/>
      <c r="AT448" s="339"/>
      <c r="AU448" s="339"/>
      <c r="AV448" s="339"/>
      <c r="AW448" s="339"/>
      <c r="AX448" s="339"/>
      <c r="AY448" s="339"/>
      <c r="AZ448" s="339"/>
      <c r="BA448" s="339"/>
      <c r="BB448" s="339"/>
      <c r="BC448" s="339"/>
      <c r="BD448" s="339"/>
    </row>
    <row r="449" spans="3:56">
      <c r="C449" s="339"/>
      <c r="D449" s="339"/>
      <c r="E449" s="339"/>
      <c r="F449" s="339"/>
      <c r="G449" s="339"/>
      <c r="H449" s="339"/>
      <c r="I449" s="339"/>
      <c r="J449" s="339"/>
      <c r="K449" s="339"/>
      <c r="L449" s="339"/>
      <c r="M449" s="339"/>
      <c r="N449" s="339"/>
      <c r="O449" s="339"/>
      <c r="P449" s="339"/>
      <c r="Q449" s="339"/>
      <c r="R449" s="339"/>
      <c r="S449" s="339"/>
      <c r="T449" s="339"/>
      <c r="U449" s="339"/>
      <c r="V449" s="339"/>
      <c r="W449" s="339"/>
      <c r="X449" s="339"/>
      <c r="Y449" s="339"/>
      <c r="Z449" s="339"/>
      <c r="AA449" s="339"/>
      <c r="AB449" s="339"/>
      <c r="AC449" s="339"/>
      <c r="AD449" s="339"/>
      <c r="AE449" s="339"/>
      <c r="AF449" s="339"/>
      <c r="AG449" s="339"/>
      <c r="AH449" s="339"/>
      <c r="AI449" s="339"/>
      <c r="AJ449" s="339"/>
      <c r="AK449" s="339"/>
      <c r="AL449" s="339"/>
      <c r="AM449" s="339"/>
      <c r="AN449" s="339"/>
      <c r="AO449" s="339"/>
      <c r="AP449" s="339"/>
      <c r="AQ449" s="339"/>
      <c r="AR449" s="339"/>
      <c r="AS449" s="339"/>
      <c r="AT449" s="339"/>
      <c r="AU449" s="339"/>
      <c r="AV449" s="339"/>
      <c r="AW449" s="339"/>
      <c r="AX449" s="339"/>
      <c r="AY449" s="339"/>
      <c r="AZ449" s="339"/>
      <c r="BA449" s="339"/>
      <c r="BB449" s="339"/>
      <c r="BC449" s="339"/>
      <c r="BD449" s="339"/>
    </row>
    <row r="450" spans="3:56">
      <c r="C450" s="339"/>
      <c r="D450" s="339"/>
      <c r="E450" s="339"/>
      <c r="F450" s="339"/>
      <c r="G450" s="339"/>
      <c r="H450" s="339"/>
      <c r="I450" s="339"/>
      <c r="J450" s="339"/>
      <c r="K450" s="339"/>
      <c r="L450" s="339"/>
      <c r="M450" s="339"/>
      <c r="N450" s="339"/>
      <c r="O450" s="339"/>
      <c r="P450" s="339"/>
      <c r="Q450" s="339"/>
      <c r="R450" s="339"/>
      <c r="S450" s="339"/>
      <c r="T450" s="339"/>
      <c r="U450" s="339"/>
      <c r="V450" s="339"/>
      <c r="W450" s="339"/>
      <c r="X450" s="339"/>
      <c r="Y450" s="339"/>
      <c r="Z450" s="339"/>
      <c r="AA450" s="339"/>
      <c r="AB450" s="339"/>
      <c r="AC450" s="339"/>
      <c r="AD450" s="339"/>
      <c r="AE450" s="339"/>
      <c r="AF450" s="339"/>
      <c r="AG450" s="339"/>
      <c r="AH450" s="339"/>
      <c r="AI450" s="339"/>
      <c r="AJ450" s="339"/>
      <c r="AK450" s="339"/>
      <c r="AL450" s="339"/>
      <c r="AM450" s="339"/>
      <c r="AN450" s="339"/>
      <c r="AO450" s="339"/>
      <c r="AP450" s="339"/>
      <c r="AQ450" s="339"/>
      <c r="AR450" s="339"/>
      <c r="AS450" s="339"/>
      <c r="AT450" s="339"/>
      <c r="AU450" s="339"/>
      <c r="AV450" s="339"/>
      <c r="AW450" s="339"/>
      <c r="AX450" s="339"/>
      <c r="AY450" s="339"/>
      <c r="AZ450" s="339"/>
      <c r="BA450" s="339"/>
      <c r="BB450" s="339"/>
      <c r="BC450" s="339"/>
      <c r="BD450" s="339"/>
    </row>
    <row r="451" spans="3:56">
      <c r="C451" s="339"/>
      <c r="D451" s="339"/>
      <c r="E451" s="339"/>
      <c r="F451" s="339"/>
      <c r="G451" s="339"/>
      <c r="H451" s="339"/>
      <c r="I451" s="339"/>
      <c r="J451" s="339"/>
      <c r="K451" s="339"/>
      <c r="L451" s="339"/>
      <c r="M451" s="339"/>
      <c r="N451" s="339"/>
      <c r="O451" s="339"/>
      <c r="P451" s="339"/>
      <c r="Q451" s="339"/>
      <c r="R451" s="339"/>
      <c r="S451" s="339"/>
      <c r="T451" s="339"/>
      <c r="U451" s="339"/>
      <c r="V451" s="339"/>
      <c r="W451" s="339"/>
      <c r="X451" s="339"/>
      <c r="Y451" s="339"/>
      <c r="Z451" s="339"/>
      <c r="AA451" s="339"/>
      <c r="AB451" s="339"/>
      <c r="AC451" s="339"/>
      <c r="AD451" s="339"/>
      <c r="AE451" s="339"/>
      <c r="AF451" s="339"/>
      <c r="AG451" s="339"/>
      <c r="AH451" s="339"/>
      <c r="AI451" s="339"/>
      <c r="AJ451" s="339"/>
      <c r="AK451" s="339"/>
      <c r="AL451" s="339"/>
      <c r="AM451" s="339"/>
      <c r="AN451" s="339"/>
      <c r="AO451" s="339"/>
      <c r="AP451" s="339"/>
      <c r="AQ451" s="339"/>
      <c r="AR451" s="339"/>
      <c r="AS451" s="339"/>
      <c r="AT451" s="339"/>
      <c r="AU451" s="339"/>
      <c r="AV451" s="339"/>
      <c r="AW451" s="339"/>
      <c r="AX451" s="339"/>
      <c r="AY451" s="339"/>
      <c r="AZ451" s="339"/>
      <c r="BA451" s="339"/>
      <c r="BB451" s="339"/>
      <c r="BC451" s="339"/>
      <c r="BD451" s="339"/>
    </row>
    <row r="452" spans="3:56">
      <c r="C452" s="339"/>
      <c r="D452" s="339"/>
      <c r="E452" s="339"/>
      <c r="F452" s="339"/>
      <c r="G452" s="339"/>
      <c r="H452" s="339"/>
      <c r="I452" s="339"/>
      <c r="J452" s="339"/>
      <c r="K452" s="339"/>
      <c r="L452" s="339"/>
      <c r="M452" s="339"/>
      <c r="N452" s="339"/>
      <c r="O452" s="339"/>
      <c r="P452" s="339"/>
      <c r="Q452" s="339"/>
      <c r="R452" s="339"/>
      <c r="S452" s="339"/>
      <c r="T452" s="339"/>
      <c r="U452" s="339"/>
      <c r="V452" s="339"/>
      <c r="W452" s="339"/>
      <c r="X452" s="339"/>
      <c r="Y452" s="339"/>
      <c r="Z452" s="339"/>
      <c r="AA452" s="339"/>
      <c r="AB452" s="339"/>
      <c r="AC452" s="339"/>
      <c r="AD452" s="339"/>
      <c r="AE452" s="339"/>
      <c r="AF452" s="339"/>
      <c r="AG452" s="339"/>
      <c r="AH452" s="339"/>
      <c r="AI452" s="339"/>
      <c r="AJ452" s="339"/>
      <c r="AK452" s="339"/>
      <c r="AL452" s="339"/>
      <c r="AM452" s="339"/>
      <c r="AN452" s="339"/>
      <c r="AO452" s="339"/>
      <c r="AP452" s="339"/>
      <c r="AQ452" s="339"/>
      <c r="AR452" s="339"/>
      <c r="AS452" s="339"/>
      <c r="AT452" s="339"/>
      <c r="AU452" s="339"/>
      <c r="AV452" s="339"/>
      <c r="AW452" s="339"/>
      <c r="AX452" s="339"/>
      <c r="AY452" s="339"/>
      <c r="AZ452" s="339"/>
      <c r="BA452" s="339"/>
      <c r="BB452" s="339"/>
      <c r="BC452" s="339"/>
      <c r="BD452" s="339"/>
    </row>
    <row r="453" spans="3:56">
      <c r="C453" s="339"/>
      <c r="D453" s="339"/>
      <c r="E453" s="339"/>
      <c r="F453" s="339"/>
      <c r="G453" s="339"/>
      <c r="H453" s="339"/>
      <c r="I453" s="339"/>
      <c r="J453" s="339"/>
      <c r="K453" s="339"/>
      <c r="L453" s="339"/>
      <c r="M453" s="339"/>
      <c r="N453" s="339"/>
      <c r="O453" s="339"/>
      <c r="P453" s="339"/>
      <c r="Q453" s="339"/>
      <c r="R453" s="339"/>
      <c r="S453" s="339"/>
      <c r="T453" s="339"/>
      <c r="U453" s="339"/>
      <c r="V453" s="339"/>
      <c r="W453" s="339"/>
      <c r="X453" s="339"/>
      <c r="Y453" s="339"/>
      <c r="Z453" s="339"/>
      <c r="AA453" s="339"/>
      <c r="AB453" s="339"/>
      <c r="AC453" s="339"/>
      <c r="AD453" s="339"/>
      <c r="AE453" s="339"/>
      <c r="AF453" s="339"/>
      <c r="AG453" s="339"/>
      <c r="AH453" s="339"/>
      <c r="AI453" s="339"/>
      <c r="AJ453" s="339"/>
      <c r="AK453" s="339"/>
      <c r="AL453" s="339"/>
      <c r="AM453" s="339"/>
      <c r="AN453" s="339"/>
      <c r="AO453" s="339"/>
      <c r="AP453" s="339"/>
      <c r="AQ453" s="339"/>
      <c r="AR453" s="339"/>
      <c r="AS453" s="339"/>
      <c r="AT453" s="339"/>
      <c r="AU453" s="339"/>
      <c r="AV453" s="339"/>
      <c r="AW453" s="339"/>
      <c r="AX453" s="339"/>
      <c r="AY453" s="339"/>
      <c r="AZ453" s="339"/>
      <c r="BA453" s="339"/>
      <c r="BB453" s="339"/>
      <c r="BC453" s="339"/>
      <c r="BD453" s="339"/>
    </row>
    <row r="454" spans="3:56">
      <c r="C454" s="339"/>
      <c r="D454" s="339"/>
      <c r="E454" s="339"/>
      <c r="F454" s="339"/>
      <c r="G454" s="339"/>
      <c r="H454" s="339"/>
      <c r="I454" s="339"/>
      <c r="J454" s="339"/>
      <c r="K454" s="339"/>
      <c r="L454" s="339"/>
      <c r="M454" s="339"/>
      <c r="N454" s="339"/>
      <c r="O454" s="339"/>
      <c r="P454" s="339"/>
      <c r="Q454" s="339"/>
      <c r="R454" s="339"/>
      <c r="S454" s="339"/>
      <c r="T454" s="339"/>
      <c r="U454" s="339"/>
      <c r="V454" s="339"/>
      <c r="W454" s="339"/>
      <c r="X454" s="339"/>
      <c r="Y454" s="339"/>
      <c r="Z454" s="339"/>
      <c r="AA454" s="339"/>
      <c r="AB454" s="339"/>
      <c r="AC454" s="339"/>
      <c r="AD454" s="339"/>
      <c r="AE454" s="339"/>
      <c r="AF454" s="339"/>
      <c r="AG454" s="339"/>
      <c r="AH454" s="339"/>
      <c r="AI454" s="339"/>
      <c r="AJ454" s="339"/>
      <c r="AK454" s="339"/>
      <c r="AL454" s="339"/>
      <c r="AM454" s="339"/>
      <c r="AN454" s="339"/>
      <c r="AO454" s="339"/>
      <c r="AP454" s="339"/>
      <c r="AQ454" s="339"/>
      <c r="AR454" s="339"/>
      <c r="AS454" s="339"/>
      <c r="AT454" s="339"/>
      <c r="AU454" s="339"/>
      <c r="AV454" s="339"/>
      <c r="AW454" s="339"/>
      <c r="AX454" s="339"/>
      <c r="AY454" s="339"/>
      <c r="AZ454" s="339"/>
      <c r="BA454" s="339"/>
      <c r="BB454" s="339"/>
      <c r="BC454" s="339"/>
      <c r="BD454" s="339"/>
    </row>
    <row r="455" spans="3:56">
      <c r="C455" s="339"/>
      <c r="D455" s="339"/>
      <c r="E455" s="339"/>
      <c r="F455" s="339"/>
      <c r="G455" s="339"/>
      <c r="H455" s="339"/>
      <c r="I455" s="339"/>
      <c r="J455" s="339"/>
      <c r="K455" s="339"/>
      <c r="L455" s="339"/>
      <c r="M455" s="339"/>
      <c r="N455" s="339"/>
      <c r="O455" s="339"/>
      <c r="P455" s="339"/>
      <c r="Q455" s="339"/>
      <c r="R455" s="339"/>
      <c r="S455" s="339"/>
      <c r="T455" s="339"/>
      <c r="U455" s="339"/>
      <c r="V455" s="339"/>
      <c r="W455" s="339"/>
      <c r="X455" s="339"/>
      <c r="Y455" s="339"/>
      <c r="Z455" s="339"/>
      <c r="AA455" s="339"/>
      <c r="AB455" s="339"/>
      <c r="AC455" s="339"/>
      <c r="AD455" s="339"/>
      <c r="AE455" s="339"/>
      <c r="AF455" s="339"/>
      <c r="AG455" s="339"/>
      <c r="AH455" s="339"/>
      <c r="AI455" s="339"/>
      <c r="AJ455" s="339"/>
      <c r="AK455" s="339"/>
      <c r="AL455" s="339"/>
      <c r="AM455" s="339"/>
      <c r="AN455" s="339"/>
      <c r="AO455" s="339"/>
      <c r="AP455" s="339"/>
      <c r="AQ455" s="339"/>
      <c r="AR455" s="339"/>
      <c r="AS455" s="339"/>
      <c r="AT455" s="339"/>
      <c r="AU455" s="339"/>
      <c r="AV455" s="339"/>
      <c r="AW455" s="339"/>
      <c r="AX455" s="339"/>
      <c r="AY455" s="339"/>
      <c r="AZ455" s="339"/>
      <c r="BA455" s="339"/>
      <c r="BB455" s="339"/>
      <c r="BC455" s="339"/>
      <c r="BD455" s="339"/>
    </row>
    <row r="456" spans="3:56">
      <c r="C456" s="339"/>
      <c r="D456" s="339"/>
      <c r="E456" s="339"/>
      <c r="F456" s="339"/>
      <c r="G456" s="339"/>
      <c r="H456" s="339"/>
      <c r="I456" s="339"/>
      <c r="J456" s="339"/>
      <c r="K456" s="339"/>
      <c r="L456" s="339"/>
      <c r="M456" s="339"/>
      <c r="N456" s="339"/>
      <c r="O456" s="339"/>
      <c r="P456" s="339"/>
      <c r="Q456" s="339"/>
      <c r="R456" s="339"/>
      <c r="S456" s="339"/>
      <c r="T456" s="339"/>
      <c r="U456" s="339"/>
      <c r="V456" s="339"/>
      <c r="W456" s="339"/>
      <c r="X456" s="339"/>
      <c r="Y456" s="339"/>
      <c r="Z456" s="339"/>
      <c r="AA456" s="339"/>
      <c r="AB456" s="339"/>
      <c r="AC456" s="339"/>
      <c r="AD456" s="339"/>
      <c r="AE456" s="339"/>
      <c r="AF456" s="339"/>
      <c r="AG456" s="339"/>
      <c r="AH456" s="339"/>
      <c r="AI456" s="339"/>
      <c r="AJ456" s="339"/>
      <c r="AK456" s="339"/>
      <c r="AL456" s="339"/>
      <c r="AM456" s="339"/>
      <c r="AN456" s="339"/>
      <c r="AO456" s="339"/>
      <c r="AP456" s="339"/>
      <c r="AQ456" s="339"/>
      <c r="AR456" s="339"/>
      <c r="AS456" s="339"/>
      <c r="AT456" s="339"/>
      <c r="AU456" s="339"/>
      <c r="AV456" s="339"/>
      <c r="AW456" s="339"/>
      <c r="AX456" s="339"/>
      <c r="AY456" s="339"/>
      <c r="AZ456" s="339"/>
      <c r="BA456" s="339"/>
      <c r="BB456" s="339"/>
      <c r="BC456" s="339"/>
      <c r="BD456" s="339"/>
    </row>
    <row r="457" spans="3:56">
      <c r="C457" s="339"/>
      <c r="D457" s="339"/>
      <c r="E457" s="339"/>
      <c r="F457" s="339"/>
      <c r="G457" s="339"/>
      <c r="H457" s="339"/>
      <c r="I457" s="339"/>
      <c r="J457" s="339"/>
      <c r="K457" s="339"/>
      <c r="L457" s="339"/>
      <c r="M457" s="339"/>
      <c r="N457" s="339"/>
      <c r="O457" s="339"/>
      <c r="P457" s="339"/>
      <c r="Q457" s="339"/>
      <c r="R457" s="339"/>
      <c r="S457" s="339"/>
      <c r="T457" s="339"/>
      <c r="U457" s="339"/>
      <c r="V457" s="339"/>
      <c r="W457" s="339"/>
      <c r="X457" s="339"/>
      <c r="Y457" s="339"/>
      <c r="Z457" s="339"/>
      <c r="AA457" s="339"/>
      <c r="AB457" s="339"/>
      <c r="AC457" s="339"/>
      <c r="AD457" s="339"/>
      <c r="AE457" s="339"/>
      <c r="AF457" s="339"/>
      <c r="AG457" s="339"/>
      <c r="AH457" s="339"/>
      <c r="AI457" s="339"/>
      <c r="AJ457" s="339"/>
      <c r="AK457" s="339"/>
      <c r="AL457" s="339"/>
      <c r="AM457" s="339"/>
      <c r="AN457" s="339"/>
      <c r="AO457" s="339"/>
      <c r="AP457" s="339"/>
      <c r="AQ457" s="339"/>
      <c r="AR457" s="339"/>
      <c r="AS457" s="339"/>
      <c r="AT457" s="339"/>
      <c r="AU457" s="339"/>
      <c r="AV457" s="339"/>
      <c r="AW457" s="339"/>
      <c r="AX457" s="339"/>
      <c r="AY457" s="339"/>
      <c r="AZ457" s="339"/>
      <c r="BA457" s="339"/>
      <c r="BB457" s="339"/>
      <c r="BC457" s="339"/>
      <c r="BD457" s="339"/>
    </row>
    <row r="458" spans="3:56">
      <c r="C458" s="339"/>
      <c r="D458" s="339"/>
      <c r="E458" s="339"/>
      <c r="F458" s="339"/>
      <c r="G458" s="339"/>
      <c r="H458" s="339"/>
      <c r="I458" s="339"/>
      <c r="J458" s="339"/>
      <c r="K458" s="339"/>
      <c r="L458" s="339"/>
      <c r="M458" s="339"/>
      <c r="N458" s="339"/>
      <c r="O458" s="339"/>
      <c r="P458" s="339"/>
      <c r="Q458" s="339"/>
      <c r="R458" s="339"/>
      <c r="S458" s="339"/>
      <c r="T458" s="339"/>
      <c r="U458" s="339"/>
      <c r="V458" s="339"/>
      <c r="W458" s="339"/>
      <c r="X458" s="339"/>
      <c r="Y458" s="339"/>
      <c r="Z458" s="339"/>
      <c r="AA458" s="339"/>
      <c r="AB458" s="339"/>
      <c r="AC458" s="339"/>
      <c r="AD458" s="339"/>
      <c r="AE458" s="339"/>
      <c r="AF458" s="339"/>
      <c r="AG458" s="339"/>
      <c r="AH458" s="339"/>
      <c r="AI458" s="339"/>
      <c r="AJ458" s="339"/>
      <c r="AK458" s="339"/>
      <c r="AL458" s="339"/>
      <c r="AM458" s="339"/>
      <c r="AN458" s="339"/>
      <c r="AO458" s="339"/>
      <c r="AP458" s="339"/>
      <c r="AQ458" s="339"/>
      <c r="AR458" s="339"/>
      <c r="AS458" s="339"/>
      <c r="AT458" s="339"/>
      <c r="AU458" s="339"/>
      <c r="AV458" s="339"/>
      <c r="AW458" s="339"/>
      <c r="AX458" s="339"/>
      <c r="AY458" s="339"/>
      <c r="AZ458" s="339"/>
      <c r="BA458" s="339"/>
      <c r="BB458" s="339"/>
      <c r="BC458" s="339"/>
      <c r="BD458" s="339"/>
    </row>
    <row r="459" spans="3:56">
      <c r="C459" s="339"/>
      <c r="D459" s="339"/>
      <c r="E459" s="339"/>
      <c r="F459" s="339"/>
      <c r="G459" s="339"/>
      <c r="H459" s="339"/>
      <c r="I459" s="339"/>
      <c r="J459" s="339"/>
      <c r="K459" s="339"/>
      <c r="L459" s="339"/>
      <c r="M459" s="339"/>
      <c r="N459" s="339"/>
      <c r="O459" s="339"/>
      <c r="P459" s="339"/>
      <c r="Q459" s="339"/>
      <c r="R459" s="339"/>
      <c r="S459" s="339"/>
      <c r="T459" s="339"/>
      <c r="U459" s="339"/>
      <c r="V459" s="339"/>
      <c r="W459" s="339"/>
      <c r="X459" s="339"/>
      <c r="Y459" s="339"/>
      <c r="Z459" s="339"/>
      <c r="AA459" s="339"/>
      <c r="AB459" s="339"/>
      <c r="AC459" s="339"/>
      <c r="AD459" s="339"/>
      <c r="AE459" s="339"/>
      <c r="AF459" s="339"/>
      <c r="AG459" s="339"/>
      <c r="AH459" s="339"/>
      <c r="AI459" s="339"/>
      <c r="AJ459" s="339"/>
      <c r="AK459" s="339"/>
      <c r="AL459" s="339"/>
      <c r="AM459" s="339"/>
      <c r="AN459" s="339"/>
      <c r="AO459" s="339"/>
      <c r="AP459" s="339"/>
      <c r="AQ459" s="339"/>
      <c r="AR459" s="339"/>
      <c r="AS459" s="339"/>
      <c r="AT459" s="339"/>
      <c r="AU459" s="339"/>
      <c r="AV459" s="339"/>
      <c r="AW459" s="339"/>
      <c r="AX459" s="339"/>
      <c r="AY459" s="339"/>
      <c r="AZ459" s="339"/>
      <c r="BA459" s="339"/>
      <c r="BB459" s="339"/>
      <c r="BC459" s="339"/>
      <c r="BD459" s="339"/>
    </row>
    <row r="460" spans="3:56">
      <c r="C460" s="339"/>
      <c r="D460" s="339"/>
      <c r="E460" s="339"/>
      <c r="F460" s="339"/>
      <c r="G460" s="339"/>
      <c r="H460" s="339"/>
      <c r="I460" s="339"/>
      <c r="J460" s="339"/>
      <c r="K460" s="339"/>
      <c r="L460" s="339"/>
      <c r="M460" s="339"/>
      <c r="N460" s="339"/>
      <c r="O460" s="339"/>
      <c r="P460" s="339"/>
      <c r="Q460" s="339"/>
      <c r="R460" s="339"/>
      <c r="S460" s="339"/>
      <c r="T460" s="339"/>
      <c r="U460" s="339"/>
      <c r="V460" s="339"/>
      <c r="W460" s="339"/>
      <c r="X460" s="339"/>
      <c r="Y460" s="339"/>
      <c r="Z460" s="339"/>
      <c r="AA460" s="339"/>
      <c r="AB460" s="339"/>
      <c r="AC460" s="339"/>
      <c r="AD460" s="339"/>
      <c r="AE460" s="339"/>
      <c r="AF460" s="339"/>
      <c r="AG460" s="339"/>
      <c r="AH460" s="339"/>
      <c r="AI460" s="339"/>
      <c r="AJ460" s="339"/>
      <c r="AK460" s="339"/>
      <c r="AL460" s="339"/>
      <c r="AM460" s="339"/>
      <c r="AN460" s="339"/>
      <c r="AO460" s="339"/>
      <c r="AP460" s="339"/>
      <c r="AQ460" s="339"/>
      <c r="AR460" s="339"/>
      <c r="AS460" s="339"/>
      <c r="AT460" s="339"/>
      <c r="AU460" s="339"/>
      <c r="AV460" s="339"/>
      <c r="AW460" s="339"/>
      <c r="AX460" s="339"/>
      <c r="AY460" s="339"/>
      <c r="AZ460" s="339"/>
      <c r="BA460" s="339"/>
      <c r="BB460" s="339"/>
      <c r="BC460" s="339"/>
      <c r="BD460" s="339"/>
    </row>
    <row r="461" spans="3:56">
      <c r="C461" s="339"/>
      <c r="D461" s="339"/>
      <c r="E461" s="339"/>
      <c r="F461" s="339"/>
      <c r="G461" s="339"/>
      <c r="H461" s="339"/>
      <c r="I461" s="339"/>
      <c r="J461" s="339"/>
      <c r="K461" s="339"/>
      <c r="L461" s="339"/>
      <c r="M461" s="339"/>
      <c r="N461" s="339"/>
      <c r="O461" s="339"/>
      <c r="P461" s="339"/>
      <c r="Q461" s="339"/>
      <c r="R461" s="339"/>
      <c r="S461" s="339"/>
      <c r="T461" s="339"/>
      <c r="U461" s="339"/>
      <c r="V461" s="339"/>
      <c r="W461" s="339"/>
      <c r="X461" s="339"/>
      <c r="Y461" s="339"/>
      <c r="Z461" s="339"/>
      <c r="AA461" s="339"/>
      <c r="AB461" s="339"/>
      <c r="AC461" s="339"/>
      <c r="AD461" s="339"/>
      <c r="AE461" s="339"/>
      <c r="AF461" s="339"/>
      <c r="AG461" s="339"/>
      <c r="AH461" s="339"/>
      <c r="AI461" s="339"/>
      <c r="AJ461" s="339"/>
      <c r="AK461" s="339"/>
      <c r="AL461" s="339"/>
      <c r="AM461" s="339"/>
      <c r="AN461" s="339"/>
      <c r="AO461" s="339"/>
      <c r="AP461" s="339"/>
      <c r="AQ461" s="339"/>
      <c r="AR461" s="339"/>
      <c r="AS461" s="339"/>
      <c r="AT461" s="339"/>
      <c r="AU461" s="339"/>
      <c r="AV461" s="339"/>
      <c r="AW461" s="339"/>
      <c r="AX461" s="339"/>
      <c r="AY461" s="339"/>
      <c r="AZ461" s="339"/>
      <c r="BA461" s="339"/>
      <c r="BB461" s="339"/>
      <c r="BC461" s="339"/>
      <c r="BD461" s="339"/>
    </row>
    <row r="462" spans="3:56">
      <c r="C462" s="339"/>
      <c r="D462" s="339"/>
      <c r="E462" s="339"/>
      <c r="F462" s="339"/>
      <c r="G462" s="339"/>
      <c r="H462" s="339"/>
      <c r="I462" s="339"/>
      <c r="J462" s="339"/>
      <c r="K462" s="339"/>
      <c r="L462" s="339"/>
      <c r="M462" s="339"/>
      <c r="N462" s="339"/>
      <c r="O462" s="339"/>
      <c r="P462" s="339"/>
      <c r="Q462" s="339"/>
      <c r="R462" s="339"/>
      <c r="S462" s="339"/>
      <c r="T462" s="339"/>
      <c r="U462" s="339"/>
      <c r="V462" s="339"/>
      <c r="W462" s="339"/>
      <c r="X462" s="339"/>
      <c r="Y462" s="339"/>
      <c r="Z462" s="339"/>
      <c r="AA462" s="339"/>
      <c r="AB462" s="339"/>
      <c r="AC462" s="339"/>
      <c r="AD462" s="339"/>
      <c r="AE462" s="339"/>
      <c r="AF462" s="339"/>
      <c r="AG462" s="339"/>
      <c r="AH462" s="339"/>
      <c r="AI462" s="339"/>
      <c r="AJ462" s="339"/>
      <c r="AK462" s="339"/>
      <c r="AL462" s="339"/>
      <c r="AM462" s="339"/>
      <c r="AN462" s="339"/>
      <c r="AO462" s="339"/>
      <c r="AP462" s="339"/>
      <c r="AQ462" s="339"/>
      <c r="AR462" s="339"/>
      <c r="AS462" s="339"/>
      <c r="AT462" s="339"/>
      <c r="AU462" s="339"/>
      <c r="AV462" s="339"/>
      <c r="AW462" s="339"/>
      <c r="AX462" s="339"/>
      <c r="AY462" s="339"/>
      <c r="AZ462" s="339"/>
      <c r="BA462" s="339"/>
      <c r="BB462" s="339"/>
      <c r="BC462" s="339"/>
      <c r="BD462" s="339"/>
    </row>
    <row r="463" spans="3:56">
      <c r="C463" s="339"/>
      <c r="D463" s="339"/>
      <c r="E463" s="339"/>
      <c r="F463" s="339"/>
      <c r="G463" s="339"/>
      <c r="H463" s="339"/>
      <c r="I463" s="339"/>
      <c r="J463" s="339"/>
      <c r="K463" s="339"/>
      <c r="L463" s="339"/>
      <c r="M463" s="339"/>
      <c r="N463" s="339"/>
      <c r="O463" s="339"/>
      <c r="P463" s="339"/>
      <c r="Q463" s="339"/>
      <c r="R463" s="339"/>
      <c r="S463" s="339"/>
      <c r="T463" s="339"/>
      <c r="U463" s="339"/>
      <c r="V463" s="339"/>
      <c r="W463" s="339"/>
      <c r="X463" s="339"/>
      <c r="Y463" s="339"/>
      <c r="Z463" s="339"/>
      <c r="AA463" s="339"/>
      <c r="AB463" s="339"/>
      <c r="AC463" s="339"/>
      <c r="AD463" s="339"/>
      <c r="AE463" s="339"/>
      <c r="AF463" s="339"/>
      <c r="AG463" s="339"/>
      <c r="AH463" s="339"/>
      <c r="AI463" s="339"/>
      <c r="AJ463" s="339"/>
      <c r="AK463" s="339"/>
      <c r="AL463" s="339"/>
      <c r="AM463" s="339"/>
      <c r="AN463" s="339"/>
      <c r="AO463" s="339"/>
      <c r="AP463" s="339"/>
      <c r="AQ463" s="339"/>
      <c r="AR463" s="339"/>
      <c r="AS463" s="339"/>
      <c r="AT463" s="339"/>
      <c r="AU463" s="339"/>
      <c r="AV463" s="339"/>
      <c r="AW463" s="339"/>
      <c r="AX463" s="339"/>
      <c r="AY463" s="339"/>
      <c r="AZ463" s="339"/>
      <c r="BA463" s="339"/>
      <c r="BB463" s="339"/>
      <c r="BC463" s="339"/>
      <c r="BD463" s="339"/>
    </row>
    <row r="464" spans="3:56">
      <c r="C464" s="339"/>
      <c r="D464" s="339"/>
      <c r="E464" s="339"/>
      <c r="F464" s="339"/>
      <c r="G464" s="339"/>
      <c r="H464" s="339"/>
      <c r="I464" s="339"/>
      <c r="J464" s="339"/>
      <c r="K464" s="339"/>
      <c r="L464" s="339"/>
      <c r="M464" s="339"/>
      <c r="N464" s="339"/>
      <c r="O464" s="339"/>
      <c r="P464" s="339"/>
      <c r="Q464" s="339"/>
      <c r="R464" s="339"/>
      <c r="S464" s="339"/>
      <c r="T464" s="339"/>
      <c r="U464" s="339"/>
      <c r="V464" s="339"/>
      <c r="W464" s="339"/>
      <c r="X464" s="339"/>
      <c r="Y464" s="339"/>
      <c r="Z464" s="339"/>
      <c r="AA464" s="339"/>
      <c r="AB464" s="339"/>
      <c r="AC464" s="339"/>
      <c r="AD464" s="339"/>
      <c r="AE464" s="339"/>
      <c r="AF464" s="339"/>
      <c r="AG464" s="339"/>
      <c r="AH464" s="339"/>
      <c r="AI464" s="339"/>
      <c r="AJ464" s="339"/>
      <c r="AK464" s="339"/>
      <c r="AL464" s="339"/>
      <c r="AM464" s="339"/>
      <c r="AN464" s="339"/>
      <c r="AO464" s="339"/>
      <c r="AP464" s="339"/>
      <c r="AQ464" s="339"/>
      <c r="AR464" s="339"/>
      <c r="AS464" s="339"/>
      <c r="AT464" s="339"/>
      <c r="AU464" s="339"/>
      <c r="AV464" s="339"/>
      <c r="AW464" s="339"/>
      <c r="AX464" s="339"/>
      <c r="AY464" s="339"/>
      <c r="AZ464" s="339"/>
      <c r="BA464" s="339"/>
      <c r="BB464" s="339"/>
      <c r="BC464" s="339"/>
      <c r="BD464" s="339"/>
    </row>
    <row r="465" spans="3:56">
      <c r="C465" s="339"/>
      <c r="D465" s="339"/>
      <c r="E465" s="339"/>
      <c r="F465" s="339"/>
      <c r="G465" s="339"/>
      <c r="H465" s="339"/>
      <c r="I465" s="339"/>
      <c r="J465" s="339"/>
      <c r="K465" s="339"/>
      <c r="L465" s="339"/>
      <c r="M465" s="339"/>
      <c r="N465" s="339"/>
      <c r="O465" s="339"/>
      <c r="P465" s="339"/>
      <c r="Q465" s="339"/>
      <c r="R465" s="339"/>
      <c r="S465" s="339"/>
      <c r="T465" s="339"/>
      <c r="U465" s="339"/>
      <c r="V465" s="339"/>
      <c r="W465" s="339"/>
      <c r="X465" s="339"/>
      <c r="Y465" s="339"/>
      <c r="Z465" s="339"/>
      <c r="AA465" s="339"/>
      <c r="AB465" s="339"/>
      <c r="AC465" s="339"/>
      <c r="AD465" s="339"/>
      <c r="AE465" s="339"/>
      <c r="AF465" s="339"/>
      <c r="AG465" s="339"/>
      <c r="AH465" s="339"/>
      <c r="AI465" s="339"/>
      <c r="AJ465" s="339"/>
      <c r="AK465" s="339"/>
      <c r="AL465" s="339"/>
      <c r="AM465" s="339"/>
      <c r="AN465" s="339"/>
      <c r="AO465" s="339"/>
      <c r="AP465" s="339"/>
      <c r="AQ465" s="339"/>
      <c r="AR465" s="339"/>
      <c r="AS465" s="339"/>
      <c r="AT465" s="339"/>
      <c r="AU465" s="339"/>
      <c r="AV465" s="339"/>
      <c r="AW465" s="339"/>
      <c r="AX465" s="339"/>
      <c r="AY465" s="339"/>
      <c r="AZ465" s="339"/>
      <c r="BA465" s="339"/>
      <c r="BB465" s="339"/>
      <c r="BC465" s="339"/>
      <c r="BD465" s="339"/>
    </row>
    <row r="466" spans="3:56">
      <c r="C466" s="339"/>
      <c r="D466" s="339"/>
      <c r="E466" s="339"/>
      <c r="F466" s="339"/>
      <c r="G466" s="339"/>
      <c r="H466" s="339"/>
      <c r="I466" s="339"/>
      <c r="J466" s="339"/>
      <c r="K466" s="339"/>
      <c r="L466" s="339"/>
      <c r="M466" s="339"/>
      <c r="N466" s="339"/>
      <c r="O466" s="339"/>
      <c r="P466" s="339"/>
      <c r="Q466" s="339"/>
      <c r="R466" s="339"/>
      <c r="S466" s="339"/>
      <c r="T466" s="339"/>
      <c r="U466" s="339"/>
      <c r="V466" s="339"/>
      <c r="W466" s="339"/>
      <c r="X466" s="339"/>
      <c r="Y466" s="339"/>
      <c r="Z466" s="339"/>
      <c r="AA466" s="339"/>
      <c r="AB466" s="339"/>
      <c r="AC466" s="339"/>
      <c r="AD466" s="339"/>
      <c r="AE466" s="339"/>
      <c r="AF466" s="339"/>
      <c r="AG466" s="339"/>
      <c r="AH466" s="339"/>
      <c r="AI466" s="339"/>
      <c r="AJ466" s="339"/>
      <c r="AK466" s="339"/>
      <c r="AL466" s="339"/>
      <c r="AM466" s="339"/>
      <c r="AN466" s="339"/>
      <c r="AO466" s="339"/>
      <c r="AP466" s="339"/>
      <c r="AQ466" s="339"/>
      <c r="AR466" s="339"/>
      <c r="AS466" s="339"/>
      <c r="AT466" s="339"/>
      <c r="AU466" s="339"/>
      <c r="AV466" s="339"/>
      <c r="AW466" s="339"/>
      <c r="AX466" s="339"/>
      <c r="AY466" s="339"/>
      <c r="AZ466" s="339"/>
      <c r="BA466" s="339"/>
      <c r="BB466" s="339"/>
      <c r="BC466" s="339"/>
      <c r="BD466" s="339"/>
    </row>
    <row r="467" spans="3:56">
      <c r="C467" s="339"/>
      <c r="D467" s="339"/>
      <c r="E467" s="339"/>
      <c r="F467" s="339"/>
      <c r="G467" s="339"/>
      <c r="H467" s="339"/>
      <c r="I467" s="339"/>
      <c r="J467" s="339"/>
      <c r="K467" s="339"/>
      <c r="L467" s="339"/>
      <c r="M467" s="339"/>
      <c r="N467" s="339"/>
      <c r="O467" s="339"/>
      <c r="P467" s="339"/>
      <c r="Q467" s="339"/>
      <c r="R467" s="339"/>
      <c r="S467" s="339"/>
      <c r="T467" s="339"/>
      <c r="U467" s="339"/>
      <c r="V467" s="339"/>
      <c r="W467" s="339"/>
      <c r="X467" s="339"/>
      <c r="Y467" s="339"/>
      <c r="Z467" s="339"/>
      <c r="AA467" s="339"/>
      <c r="AB467" s="339"/>
      <c r="AC467" s="339"/>
      <c r="AD467" s="339"/>
      <c r="AE467" s="339"/>
      <c r="AF467" s="339"/>
      <c r="AG467" s="339"/>
      <c r="AH467" s="339"/>
      <c r="AI467" s="339"/>
      <c r="AJ467" s="339"/>
      <c r="AK467" s="339"/>
      <c r="AL467" s="339"/>
      <c r="AM467" s="339"/>
      <c r="AN467" s="339"/>
      <c r="AO467" s="339"/>
      <c r="AP467" s="339"/>
      <c r="AQ467" s="339"/>
      <c r="AR467" s="339"/>
      <c r="AS467" s="339"/>
      <c r="AT467" s="339"/>
      <c r="AU467" s="339"/>
      <c r="AV467" s="339"/>
      <c r="AW467" s="339"/>
      <c r="AX467" s="339"/>
      <c r="AY467" s="339"/>
      <c r="AZ467" s="339"/>
      <c r="BA467" s="339"/>
      <c r="BB467" s="339"/>
      <c r="BC467" s="339"/>
      <c r="BD467" s="339"/>
    </row>
    <row r="468" spans="3:56">
      <c r="C468" s="339"/>
      <c r="D468" s="339"/>
      <c r="E468" s="339"/>
      <c r="F468" s="339"/>
      <c r="G468" s="339"/>
      <c r="H468" s="339"/>
      <c r="I468" s="339"/>
      <c r="J468" s="339"/>
      <c r="K468" s="339"/>
      <c r="L468" s="339"/>
      <c r="M468" s="339"/>
      <c r="N468" s="339"/>
      <c r="O468" s="339"/>
      <c r="P468" s="339"/>
      <c r="Q468" s="339"/>
      <c r="R468" s="339"/>
      <c r="S468" s="339"/>
      <c r="T468" s="339"/>
      <c r="U468" s="339"/>
      <c r="V468" s="339"/>
      <c r="W468" s="339"/>
      <c r="X468" s="339"/>
      <c r="Y468" s="339"/>
      <c r="Z468" s="339"/>
      <c r="AA468" s="339"/>
      <c r="AB468" s="339"/>
      <c r="AC468" s="339"/>
      <c r="AD468" s="339"/>
      <c r="AE468" s="339"/>
      <c r="AF468" s="339"/>
      <c r="AG468" s="339"/>
      <c r="AH468" s="339"/>
      <c r="AI468" s="339"/>
      <c r="AJ468" s="339"/>
      <c r="AK468" s="339"/>
      <c r="AL468" s="339"/>
      <c r="AM468" s="339"/>
      <c r="AN468" s="339"/>
      <c r="AO468" s="339"/>
      <c r="AP468" s="339"/>
      <c r="AQ468" s="339"/>
      <c r="AR468" s="339"/>
      <c r="AS468" s="339"/>
      <c r="AT468" s="339"/>
      <c r="AU468" s="339"/>
      <c r="AV468" s="339"/>
      <c r="AW468" s="339"/>
      <c r="AX468" s="339"/>
      <c r="AY468" s="339"/>
      <c r="AZ468" s="339"/>
      <c r="BA468" s="339"/>
      <c r="BB468" s="339"/>
      <c r="BC468" s="339"/>
      <c r="BD468" s="339"/>
    </row>
    <row r="469" spans="3:56">
      <c r="C469" s="339"/>
      <c r="D469" s="339"/>
      <c r="E469" s="339"/>
      <c r="F469" s="339"/>
      <c r="G469" s="339"/>
      <c r="H469" s="339"/>
      <c r="I469" s="339"/>
      <c r="J469" s="339"/>
      <c r="K469" s="339"/>
      <c r="L469" s="339"/>
      <c r="M469" s="339"/>
      <c r="N469" s="339"/>
      <c r="O469" s="339"/>
      <c r="P469" s="339"/>
      <c r="Q469" s="339"/>
      <c r="R469" s="339"/>
      <c r="S469" s="339"/>
      <c r="T469" s="339"/>
      <c r="U469" s="339"/>
      <c r="V469" s="339"/>
      <c r="W469" s="339"/>
      <c r="X469" s="339"/>
      <c r="Y469" s="339"/>
      <c r="Z469" s="339"/>
      <c r="AA469" s="339"/>
      <c r="AB469" s="339"/>
      <c r="AC469" s="339"/>
      <c r="AD469" s="339"/>
      <c r="AE469" s="339"/>
      <c r="AF469" s="339"/>
      <c r="AG469" s="339"/>
      <c r="AH469" s="339"/>
      <c r="AI469" s="339"/>
      <c r="AJ469" s="339"/>
      <c r="AK469" s="339"/>
      <c r="AL469" s="339"/>
      <c r="AM469" s="339"/>
      <c r="AN469" s="339"/>
      <c r="AO469" s="339"/>
      <c r="AP469" s="339"/>
      <c r="AQ469" s="339"/>
      <c r="AR469" s="339"/>
      <c r="AS469" s="339"/>
      <c r="AT469" s="339"/>
      <c r="AU469" s="339"/>
      <c r="AV469" s="339"/>
      <c r="AW469" s="339"/>
      <c r="AX469" s="339"/>
      <c r="AY469" s="339"/>
      <c r="AZ469" s="339"/>
      <c r="BA469" s="339"/>
      <c r="BB469" s="339"/>
      <c r="BC469" s="339"/>
      <c r="BD469" s="339"/>
    </row>
    <row r="470" spans="3:56">
      <c r="C470" s="339"/>
      <c r="D470" s="339"/>
      <c r="E470" s="339"/>
      <c r="F470" s="339"/>
      <c r="G470" s="339"/>
      <c r="H470" s="339"/>
      <c r="I470" s="339"/>
      <c r="J470" s="339"/>
      <c r="K470" s="339"/>
      <c r="L470" s="339"/>
      <c r="M470" s="339"/>
      <c r="N470" s="339"/>
      <c r="O470" s="339"/>
      <c r="P470" s="339"/>
      <c r="Q470" s="339"/>
      <c r="R470" s="339"/>
      <c r="S470" s="339"/>
      <c r="T470" s="339"/>
      <c r="U470" s="339"/>
      <c r="V470" s="339"/>
      <c r="W470" s="339"/>
      <c r="X470" s="339"/>
      <c r="Y470" s="339"/>
      <c r="Z470" s="339"/>
      <c r="AA470" s="339"/>
      <c r="AB470" s="339"/>
      <c r="AC470" s="339"/>
      <c r="AD470" s="339"/>
      <c r="AE470" s="339"/>
      <c r="AF470" s="339"/>
      <c r="AG470" s="339"/>
      <c r="AH470" s="339"/>
      <c r="AI470" s="339"/>
      <c r="AJ470" s="339"/>
      <c r="AK470" s="339"/>
      <c r="AL470" s="339"/>
      <c r="AM470" s="339"/>
      <c r="AN470" s="339"/>
      <c r="AO470" s="339"/>
      <c r="AP470" s="339"/>
      <c r="AQ470" s="339"/>
      <c r="AR470" s="339"/>
      <c r="AS470" s="339"/>
      <c r="AT470" s="339"/>
      <c r="AU470" s="339"/>
      <c r="AV470" s="339"/>
      <c r="AW470" s="339"/>
      <c r="AX470" s="339"/>
      <c r="AY470" s="339"/>
      <c r="AZ470" s="339"/>
      <c r="BA470" s="339"/>
      <c r="BB470" s="339"/>
      <c r="BC470" s="339"/>
      <c r="BD470" s="339"/>
    </row>
    <row r="471" spans="3:56">
      <c r="C471" s="339"/>
      <c r="D471" s="339"/>
      <c r="E471" s="339"/>
      <c r="F471" s="339"/>
      <c r="G471" s="339"/>
      <c r="H471" s="339"/>
      <c r="I471" s="339"/>
      <c r="J471" s="339"/>
      <c r="K471" s="339"/>
      <c r="L471" s="339"/>
      <c r="M471" s="339"/>
      <c r="N471" s="339"/>
      <c r="O471" s="339"/>
      <c r="P471" s="339"/>
      <c r="Q471" s="339"/>
      <c r="R471" s="339"/>
      <c r="S471" s="339"/>
      <c r="T471" s="339"/>
      <c r="U471" s="339"/>
      <c r="V471" s="339"/>
      <c r="W471" s="339"/>
      <c r="X471" s="339"/>
      <c r="Y471" s="339"/>
      <c r="Z471" s="339"/>
      <c r="AA471" s="339"/>
      <c r="AB471" s="339"/>
      <c r="AC471" s="339"/>
      <c r="AD471" s="339"/>
      <c r="AE471" s="339"/>
      <c r="AF471" s="339"/>
      <c r="AG471" s="339"/>
      <c r="AH471" s="339"/>
      <c r="AI471" s="339"/>
      <c r="AJ471" s="339"/>
      <c r="AK471" s="339"/>
      <c r="AL471" s="339"/>
      <c r="AM471" s="339"/>
      <c r="AN471" s="339"/>
      <c r="AO471" s="339"/>
      <c r="AP471" s="339"/>
      <c r="AQ471" s="339"/>
      <c r="AR471" s="339"/>
      <c r="AS471" s="339"/>
      <c r="AT471" s="339"/>
      <c r="AU471" s="339"/>
      <c r="AV471" s="339"/>
      <c r="AW471" s="339"/>
      <c r="AX471" s="339"/>
      <c r="AY471" s="339"/>
      <c r="AZ471" s="339"/>
      <c r="BA471" s="339"/>
      <c r="BB471" s="339"/>
      <c r="BC471" s="339"/>
      <c r="BD471" s="339"/>
    </row>
    <row r="472" spans="3:56">
      <c r="C472" s="339"/>
      <c r="D472" s="339"/>
      <c r="E472" s="339"/>
      <c r="F472" s="339"/>
      <c r="G472" s="339"/>
      <c r="H472" s="339"/>
      <c r="I472" s="339"/>
      <c r="J472" s="339"/>
      <c r="K472" s="339"/>
      <c r="L472" s="339"/>
      <c r="M472" s="339"/>
      <c r="N472" s="339"/>
      <c r="O472" s="339"/>
      <c r="P472" s="339"/>
      <c r="Q472" s="339"/>
      <c r="R472" s="339"/>
      <c r="S472" s="339"/>
      <c r="T472" s="339"/>
      <c r="U472" s="339"/>
      <c r="V472" s="339"/>
      <c r="W472" s="339"/>
      <c r="X472" s="339"/>
      <c r="Y472" s="339"/>
      <c r="Z472" s="339"/>
      <c r="AA472" s="339"/>
      <c r="AB472" s="339"/>
      <c r="AC472" s="339"/>
      <c r="AD472" s="339"/>
      <c r="AE472" s="339"/>
      <c r="AF472" s="339"/>
      <c r="AG472" s="339"/>
      <c r="AH472" s="339"/>
      <c r="AI472" s="339"/>
      <c r="AJ472" s="339"/>
      <c r="AK472" s="339"/>
      <c r="AL472" s="339"/>
      <c r="AM472" s="339"/>
      <c r="AN472" s="339"/>
      <c r="AO472" s="339"/>
      <c r="AP472" s="339"/>
      <c r="AQ472" s="339"/>
      <c r="AR472" s="339"/>
      <c r="AS472" s="339"/>
      <c r="AT472" s="339"/>
      <c r="AU472" s="339"/>
      <c r="AV472" s="339"/>
      <c r="AW472" s="339"/>
      <c r="AX472" s="339"/>
      <c r="AY472" s="339"/>
      <c r="AZ472" s="339"/>
      <c r="BA472" s="339"/>
      <c r="BB472" s="339"/>
      <c r="BC472" s="339"/>
      <c r="BD472" s="339"/>
    </row>
    <row r="473" spans="3:56">
      <c r="C473" s="339"/>
      <c r="D473" s="339"/>
      <c r="E473" s="339"/>
      <c r="F473" s="339"/>
      <c r="G473" s="339"/>
      <c r="H473" s="339"/>
      <c r="I473" s="339"/>
      <c r="J473" s="339"/>
      <c r="K473" s="339"/>
      <c r="L473" s="339"/>
      <c r="M473" s="339"/>
      <c r="N473" s="339"/>
      <c r="O473" s="339"/>
      <c r="P473" s="339"/>
      <c r="Q473" s="339"/>
      <c r="R473" s="339"/>
      <c r="S473" s="339"/>
      <c r="T473" s="339"/>
      <c r="U473" s="339"/>
      <c r="V473" s="339"/>
      <c r="W473" s="339"/>
      <c r="X473" s="339"/>
      <c r="Y473" s="339"/>
      <c r="Z473" s="339"/>
      <c r="AA473" s="339"/>
      <c r="AB473" s="339"/>
      <c r="AC473" s="339"/>
      <c r="AD473" s="339"/>
      <c r="AE473" s="339"/>
      <c r="AF473" s="339"/>
      <c r="AG473" s="339"/>
      <c r="AH473" s="339"/>
      <c r="AI473" s="339"/>
      <c r="AJ473" s="339"/>
      <c r="AK473" s="339"/>
      <c r="AL473" s="339"/>
      <c r="AM473" s="339"/>
      <c r="AN473" s="339"/>
      <c r="AO473" s="339"/>
      <c r="AP473" s="339"/>
      <c r="AQ473" s="339"/>
      <c r="AR473" s="339"/>
      <c r="AS473" s="339"/>
      <c r="AT473" s="339"/>
      <c r="AU473" s="339"/>
      <c r="AV473" s="339"/>
      <c r="AW473" s="339"/>
      <c r="AX473" s="339"/>
      <c r="AY473" s="339"/>
      <c r="AZ473" s="339"/>
      <c r="BA473" s="339"/>
      <c r="BB473" s="339"/>
      <c r="BC473" s="339"/>
      <c r="BD473" s="339"/>
    </row>
    <row r="474" spans="3:56">
      <c r="C474" s="339"/>
      <c r="D474" s="339"/>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339"/>
      <c r="AF474" s="339"/>
      <c r="AG474" s="339"/>
      <c r="AH474" s="339"/>
      <c r="AI474" s="339"/>
      <c r="AJ474" s="339"/>
      <c r="AK474" s="339"/>
      <c r="AL474" s="339"/>
      <c r="AM474" s="339"/>
      <c r="AN474" s="339"/>
      <c r="AO474" s="339"/>
      <c r="AP474" s="339"/>
      <c r="AQ474" s="339"/>
      <c r="AR474" s="339"/>
      <c r="AS474" s="339"/>
      <c r="AT474" s="339"/>
      <c r="AU474" s="339"/>
      <c r="AV474" s="339"/>
      <c r="AW474" s="339"/>
      <c r="AX474" s="339"/>
      <c r="AY474" s="339"/>
      <c r="AZ474" s="339"/>
      <c r="BA474" s="339"/>
      <c r="BB474" s="339"/>
      <c r="BC474" s="339"/>
      <c r="BD474" s="339"/>
    </row>
    <row r="475" spans="3:56">
      <c r="C475" s="339"/>
      <c r="D475" s="339"/>
      <c r="E475" s="339"/>
      <c r="F475" s="339"/>
      <c r="G475" s="339"/>
      <c r="H475" s="339"/>
      <c r="I475" s="339"/>
      <c r="J475" s="339"/>
      <c r="K475" s="339"/>
      <c r="L475" s="339"/>
      <c r="M475" s="339"/>
      <c r="N475" s="339"/>
      <c r="O475" s="339"/>
      <c r="P475" s="339"/>
      <c r="Q475" s="339"/>
      <c r="R475" s="339"/>
      <c r="S475" s="339"/>
      <c r="T475" s="339"/>
      <c r="U475" s="339"/>
      <c r="V475" s="339"/>
      <c r="W475" s="339"/>
      <c r="X475" s="339"/>
      <c r="Y475" s="339"/>
      <c r="Z475" s="339"/>
      <c r="AA475" s="339"/>
      <c r="AB475" s="339"/>
      <c r="AC475" s="339"/>
      <c r="AD475" s="339"/>
      <c r="AE475" s="339"/>
      <c r="AF475" s="339"/>
      <c r="AG475" s="339"/>
      <c r="AH475" s="339"/>
      <c r="AI475" s="339"/>
      <c r="AJ475" s="339"/>
      <c r="AK475" s="339"/>
      <c r="AL475" s="339"/>
      <c r="AM475" s="339"/>
      <c r="AN475" s="339"/>
      <c r="AO475" s="339"/>
      <c r="AP475" s="339"/>
      <c r="AQ475" s="339"/>
      <c r="AR475" s="339"/>
      <c r="AS475" s="339"/>
      <c r="AT475" s="339"/>
      <c r="AU475" s="339"/>
      <c r="AV475" s="339"/>
      <c r="AW475" s="339"/>
      <c r="AX475" s="339"/>
      <c r="AY475" s="339"/>
      <c r="AZ475" s="339"/>
      <c r="BA475" s="339"/>
      <c r="BB475" s="339"/>
      <c r="BC475" s="339"/>
      <c r="BD475" s="339"/>
    </row>
    <row r="476" spans="3:56">
      <c r="C476" s="339"/>
      <c r="D476" s="339"/>
      <c r="E476" s="339"/>
      <c r="F476" s="339"/>
      <c r="G476" s="339"/>
      <c r="H476" s="339"/>
      <c r="I476" s="339"/>
      <c r="J476" s="339"/>
      <c r="K476" s="339"/>
      <c r="L476" s="339"/>
      <c r="M476" s="339"/>
      <c r="N476" s="339"/>
      <c r="O476" s="339"/>
      <c r="P476" s="339"/>
      <c r="Q476" s="339"/>
      <c r="R476" s="339"/>
      <c r="S476" s="339"/>
      <c r="T476" s="339"/>
      <c r="U476" s="339"/>
      <c r="V476" s="339"/>
      <c r="W476" s="339"/>
      <c r="X476" s="339"/>
      <c r="Y476" s="339"/>
      <c r="Z476" s="339"/>
      <c r="AA476" s="339"/>
      <c r="AB476" s="339"/>
      <c r="AC476" s="339"/>
      <c r="AD476" s="339"/>
      <c r="AE476" s="339"/>
      <c r="AF476" s="339"/>
      <c r="AG476" s="339"/>
      <c r="AH476" s="339"/>
      <c r="AI476" s="339"/>
      <c r="AJ476" s="339"/>
      <c r="AK476" s="339"/>
      <c r="AL476" s="339"/>
      <c r="AM476" s="339"/>
      <c r="AN476" s="339"/>
      <c r="AO476" s="339"/>
      <c r="AP476" s="339"/>
      <c r="AQ476" s="339"/>
      <c r="AR476" s="339"/>
      <c r="AS476" s="339"/>
      <c r="AT476" s="339"/>
      <c r="AU476" s="339"/>
      <c r="AV476" s="339"/>
      <c r="AW476" s="339"/>
      <c r="AX476" s="339"/>
      <c r="AY476" s="339"/>
      <c r="AZ476" s="339"/>
      <c r="BA476" s="339"/>
      <c r="BB476" s="339"/>
      <c r="BC476" s="339"/>
      <c r="BD476" s="339"/>
    </row>
    <row r="477" spans="3:56">
      <c r="C477" s="339"/>
      <c r="D477" s="339"/>
      <c r="E477" s="339"/>
      <c r="F477" s="339"/>
      <c r="G477" s="339"/>
      <c r="H477" s="339"/>
      <c r="I477" s="339"/>
      <c r="J477" s="339"/>
      <c r="K477" s="339"/>
      <c r="L477" s="339"/>
      <c r="M477" s="339"/>
      <c r="N477" s="339"/>
      <c r="O477" s="339"/>
      <c r="P477" s="339"/>
      <c r="Q477" s="339"/>
      <c r="R477" s="339"/>
      <c r="S477" s="339"/>
      <c r="T477" s="339"/>
      <c r="U477" s="339"/>
      <c r="V477" s="339"/>
      <c r="W477" s="339"/>
      <c r="X477" s="339"/>
      <c r="Y477" s="339"/>
      <c r="Z477" s="339"/>
      <c r="AA477" s="339"/>
      <c r="AB477" s="339"/>
      <c r="AC477" s="339"/>
      <c r="AD477" s="339"/>
      <c r="AE477" s="339"/>
      <c r="AF477" s="339"/>
      <c r="AG477" s="339"/>
      <c r="AH477" s="339"/>
      <c r="AI477" s="339"/>
      <c r="AJ477" s="339"/>
      <c r="AK477" s="339"/>
      <c r="AL477" s="339"/>
      <c r="AM477" s="339"/>
      <c r="AN477" s="339"/>
      <c r="AO477" s="339"/>
      <c r="AP477" s="339"/>
      <c r="AQ477" s="339"/>
      <c r="AR477" s="339"/>
      <c r="AS477" s="339"/>
      <c r="AT477" s="339"/>
      <c r="AU477" s="339"/>
      <c r="AV477" s="339"/>
      <c r="AW477" s="339"/>
      <c r="AX477" s="339"/>
      <c r="AY477" s="339"/>
      <c r="AZ477" s="339"/>
      <c r="BA477" s="339"/>
      <c r="BB477" s="339"/>
      <c r="BC477" s="339"/>
      <c r="BD477" s="339"/>
    </row>
    <row r="478" spans="3:56">
      <c r="C478" s="339"/>
      <c r="D478" s="339"/>
      <c r="E478" s="339"/>
      <c r="F478" s="339"/>
      <c r="G478" s="339"/>
      <c r="H478" s="339"/>
      <c r="I478" s="339"/>
      <c r="J478" s="339"/>
      <c r="K478" s="339"/>
      <c r="L478" s="339"/>
      <c r="M478" s="339"/>
      <c r="N478" s="339"/>
      <c r="O478" s="339"/>
      <c r="P478" s="339"/>
      <c r="Q478" s="339"/>
      <c r="R478" s="339"/>
      <c r="S478" s="339"/>
      <c r="T478" s="339"/>
      <c r="U478" s="339"/>
      <c r="V478" s="339"/>
      <c r="W478" s="339"/>
      <c r="X478" s="339"/>
      <c r="Y478" s="339"/>
      <c r="Z478" s="339"/>
      <c r="AA478" s="339"/>
      <c r="AB478" s="339"/>
      <c r="AC478" s="339"/>
      <c r="AD478" s="339"/>
      <c r="AE478" s="339"/>
      <c r="AF478" s="339"/>
      <c r="AG478" s="339"/>
      <c r="AH478" s="339"/>
      <c r="AI478" s="339"/>
      <c r="AJ478" s="339"/>
      <c r="AK478" s="339"/>
      <c r="AL478" s="339"/>
      <c r="AM478" s="339"/>
      <c r="AN478" s="339"/>
      <c r="AO478" s="339"/>
      <c r="AP478" s="339"/>
      <c r="AQ478" s="339"/>
      <c r="AR478" s="339"/>
      <c r="AS478" s="339"/>
      <c r="AT478" s="339"/>
      <c r="AU478" s="339"/>
      <c r="AV478" s="339"/>
      <c r="AW478" s="339"/>
      <c r="AX478" s="339"/>
      <c r="AY478" s="339"/>
      <c r="AZ478" s="339"/>
      <c r="BA478" s="339"/>
      <c r="BB478" s="339"/>
      <c r="BC478" s="339"/>
      <c r="BD478" s="339"/>
    </row>
    <row r="479" spans="3:56">
      <c r="C479" s="339"/>
      <c r="D479" s="339"/>
      <c r="E479" s="339"/>
      <c r="F479" s="339"/>
      <c r="G479" s="339"/>
      <c r="H479" s="339"/>
      <c r="I479" s="339"/>
      <c r="J479" s="339"/>
      <c r="K479" s="339"/>
      <c r="L479" s="339"/>
      <c r="M479" s="339"/>
      <c r="N479" s="339"/>
      <c r="O479" s="339"/>
      <c r="P479" s="339"/>
      <c r="Q479" s="339"/>
      <c r="R479" s="339"/>
      <c r="S479" s="339"/>
      <c r="T479" s="339"/>
      <c r="U479" s="339"/>
      <c r="V479" s="339"/>
      <c r="W479" s="339"/>
      <c r="X479" s="339"/>
      <c r="Y479" s="339"/>
      <c r="Z479" s="339"/>
      <c r="AA479" s="339"/>
      <c r="AB479" s="339"/>
      <c r="AC479" s="339"/>
      <c r="AD479" s="339"/>
      <c r="AE479" s="339"/>
      <c r="AF479" s="339"/>
      <c r="AG479" s="339"/>
      <c r="AH479" s="339"/>
      <c r="AI479" s="339"/>
      <c r="AJ479" s="339"/>
      <c r="AK479" s="339"/>
      <c r="AL479" s="339"/>
      <c r="AM479" s="339"/>
      <c r="AN479" s="339"/>
      <c r="AO479" s="339"/>
      <c r="AP479" s="339"/>
      <c r="AQ479" s="339"/>
      <c r="AR479" s="339"/>
      <c r="AS479" s="339"/>
      <c r="AT479" s="339"/>
      <c r="AU479" s="339"/>
      <c r="AV479" s="339"/>
      <c r="AW479" s="339"/>
      <c r="AX479" s="339"/>
      <c r="AY479" s="339"/>
      <c r="AZ479" s="339"/>
      <c r="BA479" s="339"/>
      <c r="BB479" s="339"/>
      <c r="BC479" s="339"/>
      <c r="BD479" s="339"/>
    </row>
    <row r="480" spans="3:56">
      <c r="C480" s="339"/>
      <c r="D480" s="339"/>
      <c r="E480" s="339"/>
      <c r="F480" s="339"/>
      <c r="G480" s="339"/>
      <c r="H480" s="339"/>
      <c r="I480" s="339"/>
      <c r="J480" s="339"/>
      <c r="K480" s="339"/>
      <c r="L480" s="339"/>
      <c r="M480" s="339"/>
      <c r="N480" s="339"/>
      <c r="O480" s="339"/>
      <c r="P480" s="339"/>
      <c r="Q480" s="339"/>
      <c r="R480" s="339"/>
      <c r="S480" s="339"/>
      <c r="T480" s="339"/>
      <c r="U480" s="339"/>
      <c r="V480" s="339"/>
      <c r="W480" s="339"/>
      <c r="X480" s="339"/>
      <c r="Y480" s="339"/>
      <c r="Z480" s="339"/>
      <c r="AA480" s="339"/>
      <c r="AB480" s="339"/>
      <c r="AC480" s="339"/>
      <c r="AD480" s="339"/>
      <c r="AE480" s="339"/>
      <c r="AF480" s="339"/>
      <c r="AG480" s="339"/>
      <c r="AH480" s="339"/>
      <c r="AI480" s="339"/>
      <c r="AJ480" s="339"/>
      <c r="AK480" s="339"/>
      <c r="AL480" s="339"/>
      <c r="AM480" s="339"/>
      <c r="AN480" s="339"/>
      <c r="AO480" s="339"/>
      <c r="AP480" s="339"/>
      <c r="AQ480" s="339"/>
      <c r="AR480" s="339"/>
      <c r="AS480" s="339"/>
      <c r="AT480" s="339"/>
      <c r="AU480" s="339"/>
      <c r="AV480" s="339"/>
      <c r="AW480" s="339"/>
      <c r="AX480" s="339"/>
      <c r="AY480" s="339"/>
      <c r="AZ480" s="339"/>
      <c r="BA480" s="339"/>
      <c r="BB480" s="339"/>
      <c r="BC480" s="339"/>
      <c r="BD480" s="339"/>
    </row>
    <row r="481" spans="3:56">
      <c r="C481" s="339"/>
      <c r="D481" s="339"/>
      <c r="E481" s="339"/>
      <c r="F481" s="339"/>
      <c r="G481" s="339"/>
      <c r="H481" s="339"/>
      <c r="I481" s="339"/>
      <c r="J481" s="339"/>
      <c r="K481" s="339"/>
      <c r="L481" s="339"/>
      <c r="M481" s="339"/>
      <c r="N481" s="339"/>
      <c r="O481" s="339"/>
      <c r="P481" s="339"/>
      <c r="Q481" s="339"/>
      <c r="R481" s="339"/>
      <c r="S481" s="339"/>
      <c r="T481" s="339"/>
      <c r="U481" s="339"/>
      <c r="V481" s="339"/>
      <c r="W481" s="339"/>
      <c r="X481" s="339"/>
      <c r="Y481" s="339"/>
      <c r="Z481" s="339"/>
      <c r="AA481" s="339"/>
      <c r="AB481" s="339"/>
      <c r="AC481" s="339"/>
      <c r="AD481" s="339"/>
      <c r="AE481" s="339"/>
      <c r="AF481" s="339"/>
      <c r="AG481" s="339"/>
      <c r="AH481" s="339"/>
      <c r="AI481" s="339"/>
      <c r="AJ481" s="339"/>
      <c r="AK481" s="339"/>
      <c r="AL481" s="339"/>
      <c r="AM481" s="339"/>
      <c r="AN481" s="339"/>
      <c r="AO481" s="339"/>
      <c r="AP481" s="339"/>
      <c r="AQ481" s="339"/>
      <c r="AR481" s="339"/>
      <c r="AS481" s="339"/>
      <c r="AT481" s="339"/>
      <c r="AU481" s="339"/>
      <c r="AV481" s="339"/>
      <c r="AW481" s="339"/>
      <c r="AX481" s="339"/>
      <c r="AY481" s="339"/>
      <c r="AZ481" s="339"/>
      <c r="BA481" s="339"/>
      <c r="BB481" s="339"/>
      <c r="BC481" s="339"/>
      <c r="BD481" s="339"/>
    </row>
    <row r="482" spans="3:56">
      <c r="C482" s="339"/>
      <c r="D482" s="339"/>
      <c r="E482" s="339"/>
      <c r="F482" s="339"/>
      <c r="G482" s="339"/>
      <c r="H482" s="339"/>
      <c r="I482" s="339"/>
      <c r="J482" s="339"/>
      <c r="K482" s="339"/>
      <c r="L482" s="339"/>
      <c r="M482" s="339"/>
      <c r="N482" s="339"/>
      <c r="O482" s="339"/>
      <c r="P482" s="339"/>
      <c r="Q482" s="339"/>
      <c r="R482" s="339"/>
      <c r="S482" s="339"/>
      <c r="T482" s="339"/>
      <c r="U482" s="339"/>
      <c r="V482" s="339"/>
      <c r="W482" s="339"/>
      <c r="X482" s="339"/>
      <c r="Y482" s="339"/>
      <c r="Z482" s="339"/>
      <c r="AA482" s="339"/>
      <c r="AB482" s="339"/>
      <c r="AC482" s="339"/>
      <c r="AD482" s="339"/>
      <c r="AE482" s="339"/>
      <c r="AF482" s="339"/>
      <c r="AG482" s="339"/>
      <c r="AH482" s="339"/>
      <c r="AI482" s="339"/>
      <c r="AJ482" s="339"/>
      <c r="AK482" s="339"/>
      <c r="AL482" s="339"/>
      <c r="AM482" s="339"/>
      <c r="AN482" s="339"/>
      <c r="AO482" s="339"/>
      <c r="AP482" s="339"/>
      <c r="AQ482" s="339"/>
      <c r="AR482" s="339"/>
      <c r="AS482" s="339"/>
      <c r="AT482" s="339"/>
      <c r="AU482" s="339"/>
      <c r="AV482" s="339"/>
      <c r="AW482" s="339"/>
      <c r="AX482" s="339"/>
      <c r="AY482" s="339"/>
      <c r="AZ482" s="339"/>
      <c r="BA482" s="339"/>
      <c r="BB482" s="339"/>
      <c r="BC482" s="339"/>
      <c r="BD482" s="339"/>
    </row>
    <row r="483" spans="3:56">
      <c r="C483" s="339"/>
      <c r="D483" s="339"/>
      <c r="E483" s="339"/>
      <c r="F483" s="339"/>
      <c r="G483" s="339"/>
      <c r="H483" s="339"/>
      <c r="I483" s="339"/>
      <c r="J483" s="339"/>
      <c r="K483" s="339"/>
      <c r="L483" s="339"/>
      <c r="M483" s="339"/>
      <c r="N483" s="339"/>
      <c r="O483" s="339"/>
      <c r="P483" s="339"/>
      <c r="Q483" s="339"/>
      <c r="R483" s="339"/>
      <c r="S483" s="339"/>
      <c r="T483" s="339"/>
      <c r="U483" s="339"/>
      <c r="V483" s="339"/>
      <c r="W483" s="339"/>
      <c r="X483" s="339"/>
      <c r="Y483" s="339"/>
      <c r="Z483" s="339"/>
      <c r="AA483" s="339"/>
      <c r="AB483" s="339"/>
      <c r="AC483" s="339"/>
      <c r="AD483" s="339"/>
      <c r="AE483" s="339"/>
      <c r="AF483" s="339"/>
      <c r="AG483" s="339"/>
      <c r="AH483" s="339"/>
      <c r="AI483" s="339"/>
      <c r="AJ483" s="339"/>
      <c r="AK483" s="339"/>
      <c r="AL483" s="339"/>
      <c r="AM483" s="339"/>
      <c r="AN483" s="339"/>
      <c r="AO483" s="339"/>
      <c r="AP483" s="339"/>
      <c r="AQ483" s="339"/>
      <c r="AR483" s="339"/>
      <c r="AS483" s="339"/>
      <c r="AT483" s="339"/>
      <c r="AU483" s="339"/>
      <c r="AV483" s="339"/>
      <c r="AW483" s="339"/>
      <c r="AX483" s="339"/>
      <c r="AY483" s="339"/>
      <c r="AZ483" s="339"/>
      <c r="BA483" s="339"/>
      <c r="BB483" s="339"/>
      <c r="BC483" s="339"/>
      <c r="BD483" s="339"/>
    </row>
    <row r="484" spans="3:56">
      <c r="C484" s="339"/>
      <c r="D484" s="339"/>
      <c r="E484" s="339"/>
      <c r="F484" s="339"/>
      <c r="G484" s="339"/>
      <c r="H484" s="339"/>
      <c r="I484" s="339"/>
      <c r="J484" s="339"/>
      <c r="K484" s="339"/>
      <c r="L484" s="339"/>
      <c r="M484" s="339"/>
      <c r="N484" s="339"/>
      <c r="O484" s="339"/>
      <c r="P484" s="339"/>
      <c r="Q484" s="339"/>
      <c r="R484" s="339"/>
      <c r="S484" s="339"/>
      <c r="T484" s="339"/>
      <c r="U484" s="339"/>
      <c r="V484" s="339"/>
      <c r="W484" s="339"/>
      <c r="X484" s="339"/>
      <c r="Y484" s="339"/>
      <c r="Z484" s="339"/>
      <c r="AA484" s="339"/>
      <c r="AB484" s="339"/>
      <c r="AC484" s="339"/>
      <c r="AD484" s="339"/>
      <c r="AE484" s="339"/>
      <c r="AF484" s="339"/>
      <c r="AG484" s="339"/>
      <c r="AH484" s="339"/>
      <c r="AI484" s="339"/>
      <c r="AJ484" s="339"/>
      <c r="AK484" s="339"/>
      <c r="AL484" s="339"/>
      <c r="AM484" s="339"/>
      <c r="AN484" s="339"/>
      <c r="AO484" s="339"/>
      <c r="AP484" s="339"/>
      <c r="AQ484" s="339"/>
      <c r="AR484" s="339"/>
      <c r="AS484" s="339"/>
      <c r="AT484" s="339"/>
      <c r="AU484" s="339"/>
      <c r="AV484" s="339"/>
      <c r="AW484" s="339"/>
      <c r="AX484" s="339"/>
      <c r="AY484" s="339"/>
      <c r="AZ484" s="339"/>
      <c r="BA484" s="339"/>
      <c r="BB484" s="339"/>
      <c r="BC484" s="339"/>
      <c r="BD484" s="339"/>
    </row>
    <row r="485" spans="3:56">
      <c r="C485" s="339"/>
      <c r="D485" s="339"/>
      <c r="E485" s="339"/>
      <c r="F485" s="339"/>
      <c r="G485" s="339"/>
      <c r="H485" s="339"/>
      <c r="I485" s="339"/>
      <c r="J485" s="339"/>
      <c r="K485" s="339"/>
      <c r="L485" s="339"/>
      <c r="M485" s="339"/>
      <c r="N485" s="339"/>
      <c r="O485" s="339"/>
      <c r="P485" s="339"/>
      <c r="Q485" s="339"/>
      <c r="R485" s="339"/>
      <c r="S485" s="339"/>
      <c r="T485" s="339"/>
      <c r="U485" s="339"/>
      <c r="V485" s="339"/>
      <c r="W485" s="339"/>
      <c r="X485" s="339"/>
      <c r="Y485" s="339"/>
      <c r="Z485" s="339"/>
      <c r="AA485" s="339"/>
      <c r="AB485" s="339"/>
      <c r="AC485" s="339"/>
      <c r="AD485" s="339"/>
      <c r="AE485" s="339"/>
      <c r="AF485" s="339"/>
      <c r="AG485" s="339"/>
      <c r="AH485" s="339"/>
      <c r="AI485" s="339"/>
      <c r="AJ485" s="339"/>
      <c r="AK485" s="339"/>
      <c r="AL485" s="339"/>
      <c r="AM485" s="339"/>
      <c r="AN485" s="339"/>
      <c r="AO485" s="339"/>
      <c r="AP485" s="339"/>
      <c r="AQ485" s="339"/>
      <c r="AR485" s="339"/>
      <c r="AS485" s="339"/>
      <c r="AT485" s="339"/>
      <c r="AU485" s="339"/>
      <c r="AV485" s="339"/>
      <c r="AW485" s="339"/>
      <c r="AX485" s="339"/>
      <c r="AY485" s="339"/>
      <c r="AZ485" s="339"/>
      <c r="BA485" s="339"/>
      <c r="BB485" s="339"/>
      <c r="BC485" s="339"/>
      <c r="BD485" s="339"/>
    </row>
    <row r="486" spans="3:56">
      <c r="C486" s="339"/>
      <c r="D486" s="339"/>
      <c r="E486" s="339"/>
      <c r="F486" s="339"/>
      <c r="G486" s="339"/>
      <c r="H486" s="339"/>
      <c r="I486" s="339"/>
      <c r="J486" s="339"/>
      <c r="K486" s="339"/>
      <c r="L486" s="339"/>
      <c r="M486" s="339"/>
      <c r="N486" s="339"/>
      <c r="O486" s="339"/>
      <c r="P486" s="339"/>
      <c r="Q486" s="339"/>
      <c r="R486" s="339"/>
      <c r="S486" s="339"/>
      <c r="T486" s="339"/>
      <c r="U486" s="339"/>
      <c r="V486" s="339"/>
      <c r="W486" s="339"/>
      <c r="X486" s="339"/>
      <c r="Y486" s="339"/>
      <c r="Z486" s="339"/>
      <c r="AA486" s="339"/>
      <c r="AB486" s="339"/>
      <c r="AC486" s="339"/>
      <c r="AD486" s="339"/>
      <c r="AE486" s="339"/>
      <c r="AF486" s="339"/>
      <c r="AG486" s="339"/>
      <c r="AH486" s="339"/>
      <c r="AI486" s="339"/>
      <c r="AJ486" s="339"/>
      <c r="AK486" s="339"/>
      <c r="AL486" s="339"/>
      <c r="AM486" s="339"/>
      <c r="AN486" s="339"/>
      <c r="AO486" s="339"/>
      <c r="AP486" s="339"/>
      <c r="AQ486" s="339"/>
      <c r="AR486" s="339"/>
      <c r="AS486" s="339"/>
      <c r="AT486" s="339"/>
      <c r="AU486" s="339"/>
      <c r="AV486" s="339"/>
      <c r="AW486" s="339"/>
      <c r="AX486" s="339"/>
      <c r="AY486" s="339"/>
      <c r="AZ486" s="339"/>
      <c r="BA486" s="339"/>
      <c r="BB486" s="339"/>
      <c r="BC486" s="339"/>
      <c r="BD486" s="339"/>
    </row>
    <row r="487" spans="3:56">
      <c r="C487" s="339"/>
      <c r="D487" s="339"/>
      <c r="E487" s="339"/>
      <c r="F487" s="339"/>
      <c r="G487" s="339"/>
      <c r="H487" s="339"/>
      <c r="I487" s="339"/>
      <c r="J487" s="339"/>
      <c r="K487" s="339"/>
      <c r="L487" s="339"/>
      <c r="M487" s="339"/>
      <c r="N487" s="339"/>
      <c r="O487" s="339"/>
      <c r="P487" s="339"/>
      <c r="Q487" s="339"/>
      <c r="R487" s="339"/>
      <c r="S487" s="339"/>
      <c r="T487" s="339"/>
      <c r="U487" s="339"/>
      <c r="V487" s="339"/>
      <c r="W487" s="339"/>
      <c r="X487" s="339"/>
      <c r="Y487" s="339"/>
      <c r="Z487" s="339"/>
      <c r="AA487" s="339"/>
      <c r="AB487" s="339"/>
      <c r="AC487" s="339"/>
      <c r="AD487" s="339"/>
      <c r="AE487" s="339"/>
      <c r="AF487" s="339"/>
      <c r="AG487" s="339"/>
      <c r="AH487" s="339"/>
      <c r="AI487" s="339"/>
      <c r="AJ487" s="339"/>
      <c r="AK487" s="339"/>
      <c r="AL487" s="339"/>
      <c r="AM487" s="339"/>
      <c r="AN487" s="339"/>
      <c r="AO487" s="339"/>
      <c r="AP487" s="339"/>
      <c r="AQ487" s="339"/>
      <c r="AR487" s="339"/>
      <c r="AS487" s="339"/>
      <c r="AT487" s="339"/>
      <c r="AU487" s="339"/>
      <c r="AV487" s="339"/>
      <c r="AW487" s="339"/>
      <c r="AX487" s="339"/>
      <c r="AY487" s="339"/>
      <c r="AZ487" s="339"/>
      <c r="BA487" s="339"/>
      <c r="BB487" s="339"/>
      <c r="BC487" s="339"/>
      <c r="BD487" s="339"/>
    </row>
    <row r="488" spans="3:56">
      <c r="C488" s="339"/>
      <c r="D488" s="339"/>
      <c r="E488" s="339"/>
      <c r="F488" s="339"/>
      <c r="G488" s="339"/>
      <c r="H488" s="339"/>
      <c r="I488" s="339"/>
      <c r="J488" s="339"/>
      <c r="K488" s="339"/>
      <c r="L488" s="339"/>
      <c r="M488" s="339"/>
      <c r="N488" s="339"/>
      <c r="O488" s="339"/>
      <c r="P488" s="339"/>
      <c r="Q488" s="339"/>
      <c r="R488" s="339"/>
      <c r="S488" s="339"/>
      <c r="T488" s="339"/>
      <c r="U488" s="339"/>
      <c r="V488" s="339"/>
      <c r="W488" s="339"/>
      <c r="X488" s="339"/>
      <c r="Y488" s="339"/>
      <c r="Z488" s="339"/>
      <c r="AA488" s="339"/>
      <c r="AB488" s="339"/>
      <c r="AC488" s="339"/>
      <c r="AD488" s="339"/>
      <c r="AE488" s="339"/>
      <c r="AF488" s="339"/>
      <c r="AG488" s="339"/>
      <c r="AH488" s="339"/>
      <c r="AI488" s="339"/>
      <c r="AJ488" s="339"/>
      <c r="AK488" s="339"/>
      <c r="AL488" s="339"/>
      <c r="AM488" s="339"/>
      <c r="AN488" s="339"/>
      <c r="AO488" s="339"/>
      <c r="AP488" s="339"/>
      <c r="AQ488" s="339"/>
      <c r="AR488" s="339"/>
      <c r="AS488" s="339"/>
      <c r="AT488" s="339"/>
      <c r="AU488" s="339"/>
      <c r="AV488" s="339"/>
      <c r="AW488" s="339"/>
      <c r="AX488" s="339"/>
      <c r="AY488" s="339"/>
      <c r="AZ488" s="339"/>
      <c r="BA488" s="339"/>
      <c r="BB488" s="339"/>
      <c r="BC488" s="339"/>
      <c r="BD488" s="339"/>
    </row>
    <row r="489" spans="3:56">
      <c r="C489" s="339"/>
      <c r="D489" s="339"/>
      <c r="E489" s="339"/>
      <c r="F489" s="339"/>
      <c r="G489" s="339"/>
      <c r="H489" s="339"/>
      <c r="I489" s="339"/>
      <c r="J489" s="339"/>
      <c r="K489" s="339"/>
      <c r="L489" s="339"/>
      <c r="M489" s="339"/>
      <c r="N489" s="339"/>
      <c r="O489" s="339"/>
      <c r="P489" s="339"/>
      <c r="Q489" s="339"/>
      <c r="R489" s="339"/>
      <c r="S489" s="339"/>
      <c r="T489" s="339"/>
      <c r="U489" s="339"/>
      <c r="V489" s="339"/>
      <c r="W489" s="339"/>
      <c r="X489" s="339"/>
      <c r="Y489" s="339"/>
      <c r="Z489" s="339"/>
      <c r="AA489" s="339"/>
      <c r="AB489" s="339"/>
      <c r="AC489" s="339"/>
      <c r="AD489" s="339"/>
      <c r="AE489" s="339"/>
      <c r="AF489" s="339"/>
      <c r="AG489" s="339"/>
      <c r="AH489" s="339"/>
      <c r="AI489" s="339"/>
      <c r="AJ489" s="339"/>
      <c r="AK489" s="339"/>
      <c r="AL489" s="339"/>
      <c r="AM489" s="339"/>
      <c r="AN489" s="339"/>
      <c r="AO489" s="339"/>
      <c r="AP489" s="339"/>
      <c r="AQ489" s="339"/>
      <c r="AR489" s="339"/>
      <c r="AS489" s="339"/>
      <c r="AT489" s="339"/>
      <c r="AU489" s="339"/>
      <c r="AV489" s="339"/>
      <c r="AW489" s="339"/>
      <c r="AX489" s="339"/>
      <c r="AY489" s="339"/>
      <c r="AZ489" s="339"/>
      <c r="BA489" s="339"/>
      <c r="BB489" s="339"/>
      <c r="BC489" s="339"/>
      <c r="BD489" s="339"/>
    </row>
    <row r="490" spans="3:56">
      <c r="C490" s="339"/>
      <c r="D490" s="339"/>
      <c r="E490" s="339"/>
      <c r="F490" s="339"/>
      <c r="G490" s="339"/>
      <c r="H490" s="339"/>
      <c r="I490" s="339"/>
      <c r="J490" s="339"/>
      <c r="K490" s="339"/>
      <c r="L490" s="339"/>
      <c r="M490" s="339"/>
      <c r="N490" s="339"/>
      <c r="O490" s="339"/>
      <c r="P490" s="339"/>
      <c r="Q490" s="339"/>
      <c r="R490" s="339"/>
      <c r="S490" s="339"/>
      <c r="T490" s="339"/>
      <c r="U490" s="339"/>
      <c r="V490" s="339"/>
      <c r="W490" s="339"/>
      <c r="X490" s="339"/>
      <c r="Y490" s="339"/>
      <c r="Z490" s="339"/>
      <c r="AA490" s="339"/>
      <c r="AB490" s="339"/>
      <c r="AC490" s="339"/>
      <c r="AD490" s="339"/>
      <c r="AE490" s="339"/>
      <c r="AF490" s="339"/>
      <c r="AG490" s="339"/>
      <c r="AH490" s="339"/>
      <c r="AI490" s="339"/>
      <c r="AJ490" s="339"/>
      <c r="AK490" s="339"/>
      <c r="AL490" s="339"/>
      <c r="AM490" s="339"/>
      <c r="AN490" s="339"/>
      <c r="AO490" s="339"/>
      <c r="AP490" s="339"/>
      <c r="AQ490" s="339"/>
      <c r="AR490" s="339"/>
      <c r="AS490" s="339"/>
      <c r="AT490" s="339"/>
      <c r="AU490" s="339"/>
      <c r="AV490" s="339"/>
      <c r="AW490" s="339"/>
      <c r="AX490" s="339"/>
      <c r="AY490" s="339"/>
      <c r="AZ490" s="339"/>
      <c r="BA490" s="339"/>
      <c r="BB490" s="339"/>
      <c r="BC490" s="339"/>
      <c r="BD490" s="339"/>
    </row>
    <row r="491" spans="3:56">
      <c r="C491" s="339"/>
      <c r="D491" s="339"/>
      <c r="E491" s="339"/>
      <c r="F491" s="339"/>
      <c r="G491" s="339"/>
      <c r="H491" s="339"/>
      <c r="I491" s="339"/>
      <c r="J491" s="339"/>
      <c r="K491" s="339"/>
      <c r="L491" s="339"/>
      <c r="M491" s="339"/>
      <c r="N491" s="339"/>
      <c r="O491" s="339"/>
      <c r="P491" s="339"/>
      <c r="Q491" s="339"/>
      <c r="R491" s="339"/>
      <c r="S491" s="339"/>
      <c r="T491" s="339"/>
      <c r="U491" s="339"/>
      <c r="V491" s="339"/>
      <c r="W491" s="339"/>
      <c r="X491" s="339"/>
      <c r="Y491" s="339"/>
      <c r="Z491" s="339"/>
      <c r="AA491" s="339"/>
      <c r="AB491" s="339"/>
      <c r="AC491" s="339"/>
      <c r="AD491" s="339"/>
      <c r="AE491" s="339"/>
      <c r="AF491" s="339"/>
      <c r="AG491" s="339"/>
      <c r="AH491" s="339"/>
      <c r="AI491" s="339"/>
      <c r="AJ491" s="339"/>
      <c r="AK491" s="339"/>
      <c r="AL491" s="339"/>
      <c r="AM491" s="339"/>
      <c r="AN491" s="339"/>
      <c r="AO491" s="339"/>
      <c r="AP491" s="339"/>
      <c r="AQ491" s="339"/>
      <c r="AR491" s="339"/>
      <c r="AS491" s="339"/>
      <c r="AT491" s="339"/>
      <c r="AU491" s="339"/>
      <c r="AV491" s="339"/>
      <c r="AW491" s="339"/>
      <c r="AX491" s="339"/>
      <c r="AY491" s="339"/>
      <c r="AZ491" s="339"/>
      <c r="BA491" s="339"/>
      <c r="BB491" s="339"/>
      <c r="BC491" s="339"/>
      <c r="BD491" s="339"/>
    </row>
    <row r="492" spans="3:56">
      <c r="C492" s="339"/>
      <c r="D492" s="339"/>
      <c r="E492" s="339"/>
      <c r="F492" s="339"/>
      <c r="G492" s="339"/>
      <c r="H492" s="339"/>
      <c r="I492" s="339"/>
      <c r="J492" s="339"/>
      <c r="K492" s="339"/>
      <c r="L492" s="339"/>
      <c r="M492" s="339"/>
      <c r="N492" s="339"/>
      <c r="O492" s="339"/>
      <c r="P492" s="339"/>
      <c r="Q492" s="339"/>
      <c r="R492" s="339"/>
      <c r="S492" s="339"/>
      <c r="T492" s="339"/>
      <c r="U492" s="339"/>
      <c r="V492" s="339"/>
      <c r="W492" s="339"/>
      <c r="X492" s="339"/>
      <c r="Y492" s="339"/>
      <c r="Z492" s="339"/>
      <c r="AA492" s="339"/>
      <c r="AB492" s="339"/>
      <c r="AC492" s="339"/>
      <c r="AD492" s="339"/>
      <c r="AE492" s="339"/>
      <c r="AF492" s="339"/>
      <c r="AG492" s="339"/>
      <c r="AH492" s="339"/>
      <c r="AI492" s="339"/>
      <c r="AJ492" s="339"/>
      <c r="AK492" s="339"/>
      <c r="AL492" s="339"/>
      <c r="AM492" s="339"/>
      <c r="AN492" s="339"/>
      <c r="AO492" s="339"/>
      <c r="AP492" s="339"/>
      <c r="AQ492" s="339"/>
      <c r="AR492" s="339"/>
      <c r="AS492" s="339"/>
      <c r="AT492" s="339"/>
      <c r="AU492" s="339"/>
      <c r="AV492" s="339"/>
      <c r="AW492" s="339"/>
      <c r="AX492" s="339"/>
      <c r="AY492" s="339"/>
      <c r="AZ492" s="339"/>
      <c r="BA492" s="339"/>
      <c r="BB492" s="339"/>
      <c r="BC492" s="339"/>
      <c r="BD492" s="339"/>
    </row>
    <row r="493" spans="3:56">
      <c r="C493" s="339"/>
      <c r="D493" s="339"/>
      <c r="E493" s="339"/>
      <c r="F493" s="339"/>
      <c r="G493" s="339"/>
      <c r="H493" s="339"/>
      <c r="I493" s="339"/>
      <c r="J493" s="339"/>
      <c r="K493" s="339"/>
      <c r="L493" s="339"/>
      <c r="M493" s="339"/>
      <c r="N493" s="339"/>
      <c r="O493" s="339"/>
      <c r="P493" s="339"/>
      <c r="Q493" s="339"/>
      <c r="R493" s="339"/>
      <c r="S493" s="339"/>
      <c r="T493" s="339"/>
      <c r="U493" s="339"/>
      <c r="V493" s="339"/>
      <c r="W493" s="339"/>
      <c r="X493" s="339"/>
      <c r="Y493" s="339"/>
      <c r="Z493" s="339"/>
      <c r="AA493" s="339"/>
      <c r="AB493" s="339"/>
      <c r="AC493" s="339"/>
      <c r="AD493" s="339"/>
      <c r="AE493" s="339"/>
      <c r="AF493" s="339"/>
      <c r="AG493" s="339"/>
      <c r="AH493" s="339"/>
      <c r="AI493" s="339"/>
      <c r="AJ493" s="339"/>
      <c r="AK493" s="339"/>
      <c r="AL493" s="339"/>
      <c r="AM493" s="339"/>
      <c r="AN493" s="339"/>
      <c r="AO493" s="339"/>
      <c r="AP493" s="339"/>
      <c r="AQ493" s="339"/>
      <c r="AR493" s="339"/>
      <c r="AS493" s="339"/>
      <c r="AT493" s="339"/>
      <c r="AU493" s="339"/>
      <c r="AV493" s="339"/>
      <c r="AW493" s="339"/>
      <c r="AX493" s="339"/>
      <c r="AY493" s="339"/>
      <c r="AZ493" s="339"/>
      <c r="BA493" s="339"/>
      <c r="BB493" s="339"/>
      <c r="BC493" s="339"/>
      <c r="BD493" s="339"/>
    </row>
    <row r="494" spans="3:56">
      <c r="C494" s="339"/>
      <c r="D494" s="339"/>
      <c r="E494" s="339"/>
      <c r="F494" s="339"/>
      <c r="G494" s="339"/>
      <c r="H494" s="339"/>
      <c r="I494" s="339"/>
      <c r="J494" s="339"/>
      <c r="K494" s="339"/>
      <c r="L494" s="339"/>
      <c r="M494" s="339"/>
      <c r="N494" s="339"/>
      <c r="O494" s="339"/>
      <c r="P494" s="339"/>
      <c r="Q494" s="339"/>
      <c r="R494" s="339"/>
      <c r="S494" s="339"/>
      <c r="T494" s="339"/>
      <c r="U494" s="339"/>
      <c r="V494" s="339"/>
      <c r="W494" s="339"/>
      <c r="X494" s="339"/>
      <c r="Y494" s="339"/>
      <c r="Z494" s="339"/>
      <c r="AA494" s="339"/>
      <c r="AB494" s="339"/>
      <c r="AC494" s="339"/>
      <c r="AD494" s="339"/>
      <c r="AE494" s="339"/>
      <c r="AF494" s="339"/>
      <c r="AG494" s="339"/>
      <c r="AH494" s="339"/>
      <c r="AI494" s="339"/>
      <c r="AJ494" s="339"/>
      <c r="AK494" s="339"/>
      <c r="AL494" s="339"/>
      <c r="AM494" s="339"/>
      <c r="AN494" s="339"/>
      <c r="AO494" s="339"/>
      <c r="AP494" s="339"/>
      <c r="AQ494" s="339"/>
      <c r="AR494" s="339"/>
      <c r="AS494" s="339"/>
      <c r="AT494" s="339"/>
      <c r="AU494" s="339"/>
      <c r="AV494" s="339"/>
      <c r="AW494" s="339"/>
      <c r="AX494" s="339"/>
      <c r="AY494" s="339"/>
      <c r="AZ494" s="339"/>
      <c r="BA494" s="339"/>
      <c r="BB494" s="339"/>
      <c r="BC494" s="339"/>
      <c r="BD494" s="339"/>
    </row>
    <row r="495" spans="3:56">
      <c r="C495" s="339"/>
      <c r="D495" s="339"/>
      <c r="E495" s="339"/>
      <c r="F495" s="339"/>
      <c r="G495" s="339"/>
      <c r="H495" s="339"/>
      <c r="I495" s="339"/>
      <c r="J495" s="339"/>
      <c r="K495" s="339"/>
      <c r="L495" s="339"/>
      <c r="M495" s="339"/>
      <c r="N495" s="339"/>
      <c r="O495" s="339"/>
      <c r="P495" s="339"/>
      <c r="Q495" s="339"/>
      <c r="R495" s="339"/>
      <c r="S495" s="339"/>
      <c r="T495" s="339"/>
      <c r="U495" s="339"/>
      <c r="V495" s="339"/>
      <c r="W495" s="339"/>
      <c r="X495" s="339"/>
      <c r="Y495" s="339"/>
      <c r="Z495" s="339"/>
      <c r="AA495" s="339"/>
      <c r="AB495" s="339"/>
      <c r="AC495" s="339"/>
      <c r="AD495" s="339"/>
      <c r="AE495" s="339"/>
      <c r="AF495" s="339"/>
      <c r="AG495" s="339"/>
      <c r="AH495" s="339"/>
      <c r="AI495" s="339"/>
      <c r="AJ495" s="339"/>
      <c r="AK495" s="339"/>
      <c r="AL495" s="339"/>
      <c r="AM495" s="339"/>
      <c r="AN495" s="339"/>
      <c r="AO495" s="339"/>
      <c r="AP495" s="339"/>
      <c r="AQ495" s="339"/>
      <c r="AR495" s="339"/>
      <c r="AS495" s="339"/>
      <c r="AT495" s="339"/>
      <c r="AU495" s="339"/>
      <c r="AV495" s="339"/>
      <c r="AW495" s="339"/>
      <c r="AX495" s="339"/>
      <c r="AY495" s="339"/>
      <c r="AZ495" s="339"/>
      <c r="BA495" s="339"/>
      <c r="BB495" s="339"/>
      <c r="BC495" s="339"/>
      <c r="BD495" s="339"/>
    </row>
    <row r="496" spans="3:56">
      <c r="C496" s="339"/>
      <c r="D496" s="339"/>
      <c r="E496" s="339"/>
      <c r="F496" s="339"/>
      <c r="G496" s="339"/>
      <c r="H496" s="339"/>
      <c r="I496" s="339"/>
      <c r="J496" s="339"/>
      <c r="K496" s="339"/>
      <c r="L496" s="339"/>
      <c r="M496" s="339"/>
      <c r="N496" s="339"/>
      <c r="O496" s="339"/>
      <c r="P496" s="339"/>
      <c r="Q496" s="339"/>
      <c r="R496" s="339"/>
      <c r="S496" s="339"/>
      <c r="T496" s="339"/>
      <c r="U496" s="339"/>
      <c r="V496" s="339"/>
      <c r="W496" s="339"/>
      <c r="X496" s="339"/>
      <c r="Y496" s="339"/>
      <c r="Z496" s="339"/>
      <c r="AA496" s="339"/>
      <c r="AB496" s="339"/>
      <c r="AC496" s="339"/>
      <c r="AD496" s="339"/>
      <c r="AE496" s="339"/>
      <c r="AF496" s="339"/>
      <c r="AG496" s="339"/>
      <c r="AH496" s="339"/>
      <c r="AI496" s="339"/>
      <c r="AJ496" s="339"/>
      <c r="AK496" s="339"/>
      <c r="AL496" s="339"/>
      <c r="AM496" s="339"/>
      <c r="AN496" s="339"/>
      <c r="AO496" s="339"/>
      <c r="AP496" s="339"/>
      <c r="AQ496" s="339"/>
      <c r="AR496" s="339"/>
      <c r="AS496" s="339"/>
      <c r="AT496" s="339"/>
      <c r="AU496" s="339"/>
      <c r="AV496" s="339"/>
      <c r="AW496" s="339"/>
      <c r="AX496" s="339"/>
      <c r="AY496" s="339"/>
      <c r="AZ496" s="339"/>
      <c r="BA496" s="339"/>
      <c r="BB496" s="339"/>
      <c r="BC496" s="339"/>
      <c r="BD496" s="339"/>
    </row>
    <row r="497" spans="3:56">
      <c r="C497" s="339"/>
      <c r="D497" s="339"/>
      <c r="E497" s="339"/>
      <c r="F497" s="339"/>
      <c r="G497" s="339"/>
      <c r="H497" s="339"/>
      <c r="I497" s="339"/>
      <c r="J497" s="339"/>
      <c r="K497" s="339"/>
      <c r="L497" s="339"/>
      <c r="M497" s="339"/>
      <c r="N497" s="339"/>
      <c r="O497" s="339"/>
      <c r="P497" s="339"/>
      <c r="Q497" s="339"/>
      <c r="R497" s="339"/>
      <c r="S497" s="339"/>
      <c r="T497" s="339"/>
      <c r="U497" s="339"/>
      <c r="V497" s="339"/>
      <c r="W497" s="339"/>
      <c r="X497" s="339"/>
      <c r="Y497" s="339"/>
      <c r="Z497" s="339"/>
      <c r="AA497" s="339"/>
      <c r="AB497" s="339"/>
      <c r="AC497" s="339"/>
      <c r="AD497" s="339"/>
      <c r="AE497" s="339"/>
      <c r="AF497" s="339"/>
      <c r="AG497" s="339"/>
      <c r="AH497" s="339"/>
      <c r="AI497" s="339"/>
      <c r="AJ497" s="339"/>
      <c r="AK497" s="339"/>
      <c r="AL497" s="339"/>
      <c r="AM497" s="339"/>
      <c r="AN497" s="339"/>
      <c r="AO497" s="339"/>
      <c r="AP497" s="339"/>
      <c r="AQ497" s="339"/>
      <c r="AR497" s="339"/>
      <c r="AS497" s="339"/>
      <c r="AT497" s="339"/>
      <c r="AU497" s="339"/>
      <c r="AV497" s="339"/>
      <c r="AW497" s="339"/>
      <c r="AX497" s="339"/>
      <c r="AY497" s="339"/>
      <c r="AZ497" s="339"/>
      <c r="BA497" s="339"/>
      <c r="BB497" s="339"/>
      <c r="BC497" s="339"/>
      <c r="BD497" s="339"/>
    </row>
    <row r="498" spans="3:56">
      <c r="C498" s="339"/>
      <c r="D498" s="339"/>
      <c r="E498" s="339"/>
      <c r="F498" s="339"/>
      <c r="G498" s="339"/>
      <c r="H498" s="339"/>
      <c r="I498" s="339"/>
      <c r="J498" s="339"/>
      <c r="K498" s="339"/>
      <c r="L498" s="339"/>
      <c r="M498" s="339"/>
      <c r="N498" s="339"/>
      <c r="O498" s="339"/>
      <c r="P498" s="339"/>
      <c r="Q498" s="339"/>
      <c r="R498" s="339"/>
      <c r="S498" s="339"/>
      <c r="T498" s="339"/>
      <c r="U498" s="339"/>
      <c r="V498" s="339"/>
      <c r="W498" s="339"/>
      <c r="X498" s="339"/>
      <c r="Y498" s="339"/>
      <c r="Z498" s="339"/>
      <c r="AA498" s="339"/>
      <c r="AB498" s="339"/>
      <c r="AC498" s="339"/>
      <c r="AD498" s="339"/>
      <c r="AE498" s="339"/>
      <c r="AF498" s="339"/>
      <c r="AG498" s="339"/>
      <c r="AH498" s="339"/>
      <c r="AI498" s="339"/>
      <c r="AJ498" s="339"/>
      <c r="AK498" s="339"/>
      <c r="AL498" s="339"/>
      <c r="AM498" s="339"/>
      <c r="AN498" s="339"/>
      <c r="AO498" s="339"/>
      <c r="AP498" s="339"/>
      <c r="AQ498" s="339"/>
      <c r="AR498" s="339"/>
      <c r="AS498" s="339"/>
      <c r="AT498" s="339"/>
      <c r="AU498" s="339"/>
      <c r="AV498" s="339"/>
      <c r="AW498" s="339"/>
      <c r="AX498" s="339"/>
      <c r="AY498" s="339"/>
      <c r="AZ498" s="339"/>
      <c r="BA498" s="339"/>
      <c r="BB498" s="339"/>
      <c r="BC498" s="339"/>
      <c r="BD498" s="339"/>
    </row>
    <row r="499" spans="3:56">
      <c r="C499" s="339"/>
      <c r="D499" s="339"/>
      <c r="E499" s="339"/>
      <c r="F499" s="339"/>
      <c r="G499" s="339"/>
      <c r="H499" s="339"/>
      <c r="I499" s="339"/>
      <c r="J499" s="339"/>
      <c r="K499" s="339"/>
      <c r="L499" s="339"/>
      <c r="M499" s="339"/>
      <c r="N499" s="339"/>
      <c r="O499" s="339"/>
      <c r="P499" s="339"/>
      <c r="Q499" s="339"/>
      <c r="R499" s="339"/>
      <c r="S499" s="339"/>
      <c r="T499" s="339"/>
      <c r="U499" s="339"/>
      <c r="V499" s="339"/>
      <c r="W499" s="339"/>
      <c r="X499" s="339"/>
      <c r="Y499" s="339"/>
      <c r="Z499" s="339"/>
      <c r="AA499" s="339"/>
      <c r="AB499" s="339"/>
      <c r="AC499" s="339"/>
      <c r="AD499" s="339"/>
      <c r="AE499" s="339"/>
      <c r="AF499" s="339"/>
      <c r="AG499" s="339"/>
      <c r="AH499" s="339"/>
      <c r="AI499" s="339"/>
      <c r="AJ499" s="339"/>
      <c r="AK499" s="339"/>
      <c r="AL499" s="339"/>
      <c r="AM499" s="339"/>
      <c r="AN499" s="339"/>
      <c r="AO499" s="339"/>
      <c r="AP499" s="339"/>
      <c r="AQ499" s="339"/>
      <c r="AR499" s="339"/>
      <c r="AS499" s="339"/>
      <c r="AT499" s="339"/>
      <c r="AU499" s="339"/>
      <c r="AV499" s="339"/>
      <c r="AW499" s="339"/>
      <c r="AX499" s="339"/>
      <c r="AY499" s="339"/>
      <c r="AZ499" s="339"/>
      <c r="BA499" s="339"/>
      <c r="BB499" s="339"/>
      <c r="BC499" s="339"/>
      <c r="BD499" s="339"/>
    </row>
    <row r="500" spans="3:56">
      <c r="C500" s="339"/>
      <c r="D500" s="339"/>
      <c r="E500" s="339"/>
      <c r="F500" s="339"/>
      <c r="G500" s="339"/>
      <c r="H500" s="339"/>
      <c r="I500" s="339"/>
      <c r="J500" s="339"/>
      <c r="K500" s="339"/>
      <c r="L500" s="339"/>
      <c r="M500" s="339"/>
      <c r="N500" s="339"/>
      <c r="O500" s="339"/>
      <c r="P500" s="339"/>
      <c r="Q500" s="339"/>
      <c r="R500" s="339"/>
      <c r="S500" s="339"/>
      <c r="T500" s="339"/>
      <c r="U500" s="339"/>
      <c r="V500" s="339"/>
      <c r="W500" s="339"/>
      <c r="X500" s="339"/>
      <c r="Y500" s="339"/>
      <c r="Z500" s="339"/>
      <c r="AA500" s="339"/>
      <c r="AB500" s="339"/>
      <c r="AC500" s="339"/>
      <c r="AD500" s="339"/>
      <c r="AE500" s="339"/>
      <c r="AF500" s="339"/>
      <c r="AG500" s="339"/>
      <c r="AH500" s="339"/>
      <c r="AI500" s="339"/>
      <c r="AJ500" s="339"/>
      <c r="AK500" s="339"/>
      <c r="AL500" s="339"/>
      <c r="AM500" s="339"/>
      <c r="AN500" s="339"/>
      <c r="AO500" s="339"/>
      <c r="AP500" s="339"/>
      <c r="AQ500" s="339"/>
      <c r="AR500" s="339"/>
      <c r="AS500" s="339"/>
      <c r="AT500" s="339"/>
      <c r="AU500" s="339"/>
      <c r="AV500" s="339"/>
      <c r="AW500" s="339"/>
      <c r="AX500" s="339"/>
      <c r="AY500" s="339"/>
      <c r="AZ500" s="339"/>
      <c r="BA500" s="339"/>
      <c r="BB500" s="339"/>
      <c r="BC500" s="339"/>
      <c r="BD500" s="339"/>
    </row>
    <row r="501" spans="3:56">
      <c r="C501" s="339"/>
      <c r="D501" s="339"/>
      <c r="E501" s="339"/>
      <c r="F501" s="339"/>
      <c r="G501" s="339"/>
      <c r="H501" s="339"/>
      <c r="I501" s="339"/>
      <c r="J501" s="339"/>
      <c r="K501" s="339"/>
      <c r="L501" s="339"/>
      <c r="M501" s="339"/>
      <c r="N501" s="339"/>
      <c r="O501" s="339"/>
      <c r="P501" s="339"/>
      <c r="Q501" s="339"/>
      <c r="R501" s="339"/>
      <c r="S501" s="339"/>
      <c r="T501" s="339"/>
      <c r="U501" s="339"/>
      <c r="V501" s="339"/>
      <c r="W501" s="339"/>
      <c r="X501" s="339"/>
      <c r="Y501" s="339"/>
      <c r="Z501" s="339"/>
      <c r="AA501" s="339"/>
      <c r="AB501" s="339"/>
      <c r="AC501" s="339"/>
      <c r="AD501" s="339"/>
      <c r="AE501" s="339"/>
      <c r="AF501" s="339"/>
      <c r="AG501" s="339"/>
      <c r="AH501" s="339"/>
      <c r="AI501" s="339"/>
      <c r="AJ501" s="339"/>
      <c r="AK501" s="339"/>
      <c r="AL501" s="339"/>
      <c r="AM501" s="339"/>
      <c r="AN501" s="339"/>
      <c r="AO501" s="339"/>
      <c r="AP501" s="339"/>
      <c r="AQ501" s="339"/>
      <c r="AR501" s="339"/>
      <c r="AS501" s="339"/>
      <c r="AT501" s="339"/>
      <c r="AU501" s="339"/>
      <c r="AV501" s="339"/>
      <c r="AW501" s="339"/>
      <c r="AX501" s="339"/>
      <c r="AY501" s="339"/>
      <c r="AZ501" s="339"/>
      <c r="BA501" s="339"/>
      <c r="BB501" s="339"/>
      <c r="BC501" s="339"/>
      <c r="BD501" s="339"/>
    </row>
    <row r="502" spans="3:56">
      <c r="C502" s="339"/>
      <c r="D502" s="339"/>
      <c r="E502" s="339"/>
      <c r="F502" s="339"/>
      <c r="G502" s="339"/>
      <c r="H502" s="339"/>
      <c r="I502" s="339"/>
      <c r="J502" s="339"/>
      <c r="K502" s="339"/>
      <c r="L502" s="339"/>
      <c r="M502" s="339"/>
      <c r="N502" s="339"/>
      <c r="O502" s="339"/>
      <c r="P502" s="339"/>
      <c r="Q502" s="339"/>
      <c r="R502" s="339"/>
      <c r="S502" s="339"/>
      <c r="T502" s="339"/>
      <c r="U502" s="339"/>
      <c r="V502" s="339"/>
      <c r="W502" s="339"/>
      <c r="X502" s="339"/>
      <c r="Y502" s="339"/>
      <c r="Z502" s="339"/>
      <c r="AA502" s="339"/>
      <c r="AB502" s="339"/>
      <c r="AC502" s="339"/>
      <c r="AD502" s="339"/>
      <c r="AE502" s="339"/>
      <c r="AF502" s="339"/>
      <c r="AG502" s="339"/>
      <c r="AH502" s="339"/>
      <c r="AI502" s="339"/>
      <c r="AJ502" s="339"/>
      <c r="AK502" s="339"/>
      <c r="AL502" s="339"/>
      <c r="AM502" s="339"/>
      <c r="AN502" s="339"/>
      <c r="AO502" s="339"/>
      <c r="AP502" s="339"/>
      <c r="AQ502" s="339"/>
      <c r="AR502" s="339"/>
      <c r="AS502" s="339"/>
      <c r="AT502" s="339"/>
      <c r="AU502" s="339"/>
      <c r="AV502" s="339"/>
      <c r="AW502" s="339"/>
      <c r="AX502" s="339"/>
      <c r="AY502" s="339"/>
      <c r="AZ502" s="339"/>
      <c r="BA502" s="339"/>
      <c r="BB502" s="339"/>
      <c r="BC502" s="339"/>
      <c r="BD502" s="339"/>
    </row>
    <row r="503" spans="3:56">
      <c r="C503" s="339"/>
      <c r="D503" s="339"/>
      <c r="E503" s="339"/>
      <c r="F503" s="339"/>
      <c r="G503" s="339"/>
      <c r="H503" s="339"/>
      <c r="I503" s="339"/>
      <c r="J503" s="339"/>
      <c r="K503" s="339"/>
      <c r="L503" s="339"/>
      <c r="M503" s="339"/>
      <c r="N503" s="339"/>
      <c r="O503" s="339"/>
      <c r="P503" s="339"/>
      <c r="Q503" s="339"/>
      <c r="R503" s="339"/>
      <c r="S503" s="339"/>
      <c r="T503" s="339"/>
      <c r="U503" s="339"/>
      <c r="V503" s="339"/>
      <c r="W503" s="339"/>
      <c r="X503" s="339"/>
      <c r="Y503" s="339"/>
      <c r="Z503" s="339"/>
      <c r="AA503" s="339"/>
      <c r="AB503" s="339"/>
      <c r="AC503" s="339"/>
      <c r="AD503" s="339"/>
      <c r="AE503" s="339"/>
      <c r="AF503" s="339"/>
      <c r="AG503" s="339"/>
      <c r="AH503" s="339"/>
      <c r="AI503" s="339"/>
      <c r="AJ503" s="339"/>
      <c r="AK503" s="339"/>
      <c r="AL503" s="339"/>
      <c r="AM503" s="339"/>
      <c r="AN503" s="339"/>
      <c r="AO503" s="339"/>
      <c r="AP503" s="339"/>
      <c r="AQ503" s="339"/>
      <c r="AR503" s="339"/>
      <c r="AS503" s="339"/>
      <c r="AT503" s="339"/>
      <c r="AU503" s="339"/>
      <c r="AV503" s="339"/>
      <c r="AW503" s="339"/>
      <c r="AX503" s="339"/>
      <c r="AY503" s="339"/>
      <c r="AZ503" s="339"/>
      <c r="BA503" s="339"/>
      <c r="BB503" s="339"/>
      <c r="BC503" s="339"/>
      <c r="BD503" s="339"/>
    </row>
    <row r="504" spans="3:56">
      <c r="C504" s="339"/>
      <c r="D504" s="339"/>
      <c r="E504" s="339"/>
      <c r="F504" s="339"/>
      <c r="G504" s="339"/>
      <c r="H504" s="339"/>
      <c r="I504" s="339"/>
      <c r="J504" s="339"/>
      <c r="K504" s="339"/>
      <c r="L504" s="339"/>
      <c r="M504" s="339"/>
      <c r="N504" s="339"/>
      <c r="O504" s="339"/>
      <c r="P504" s="339"/>
      <c r="Q504" s="339"/>
      <c r="R504" s="339"/>
      <c r="S504" s="339"/>
      <c r="T504" s="339"/>
      <c r="U504" s="339"/>
      <c r="V504" s="339"/>
      <c r="W504" s="339"/>
      <c r="X504" s="339"/>
      <c r="Y504" s="339"/>
      <c r="Z504" s="339"/>
      <c r="AA504" s="339"/>
      <c r="AB504" s="339"/>
      <c r="AC504" s="339"/>
      <c r="AD504" s="339"/>
      <c r="AE504" s="339"/>
      <c r="AF504" s="339"/>
      <c r="AG504" s="339"/>
      <c r="AH504" s="339"/>
      <c r="AI504" s="339"/>
      <c r="AJ504" s="339"/>
      <c r="AK504" s="339"/>
      <c r="AL504" s="339"/>
      <c r="AM504" s="339"/>
      <c r="AN504" s="339"/>
      <c r="AO504" s="339"/>
      <c r="AP504" s="339"/>
      <c r="AQ504" s="339"/>
      <c r="AR504" s="339"/>
      <c r="AS504" s="339"/>
      <c r="AT504" s="339"/>
      <c r="AU504" s="339"/>
      <c r="AV504" s="339"/>
      <c r="AW504" s="339"/>
      <c r="AX504" s="339"/>
      <c r="AY504" s="339"/>
      <c r="AZ504" s="339"/>
      <c r="BA504" s="339"/>
      <c r="BB504" s="339"/>
      <c r="BC504" s="339"/>
      <c r="BD504" s="339"/>
    </row>
    <row r="505" spans="3:56">
      <c r="C505" s="339"/>
      <c r="D505" s="339"/>
      <c r="E505" s="339"/>
      <c r="F505" s="339"/>
      <c r="G505" s="339"/>
      <c r="H505" s="339"/>
      <c r="I505" s="339"/>
      <c r="J505" s="339"/>
      <c r="K505" s="339"/>
      <c r="L505" s="339"/>
      <c r="M505" s="339"/>
      <c r="N505" s="339"/>
      <c r="O505" s="339"/>
      <c r="P505" s="339"/>
      <c r="Q505" s="339"/>
      <c r="R505" s="339"/>
      <c r="S505" s="339"/>
      <c r="T505" s="339"/>
      <c r="U505" s="339"/>
      <c r="V505" s="339"/>
      <c r="W505" s="339"/>
      <c r="X505" s="339"/>
      <c r="Y505" s="339"/>
      <c r="Z505" s="339"/>
      <c r="AA505" s="339"/>
      <c r="AB505" s="339"/>
      <c r="AC505" s="339"/>
      <c r="AD505" s="339"/>
      <c r="AE505" s="339"/>
      <c r="AF505" s="339"/>
      <c r="AG505" s="339"/>
      <c r="AH505" s="339"/>
      <c r="AI505" s="339"/>
      <c r="AJ505" s="339"/>
      <c r="AK505" s="339"/>
      <c r="AL505" s="339"/>
      <c r="AM505" s="339"/>
      <c r="AN505" s="339"/>
      <c r="AO505" s="339"/>
      <c r="AP505" s="339"/>
      <c r="AQ505" s="339"/>
      <c r="AR505" s="339"/>
      <c r="AS505" s="339"/>
      <c r="AT505" s="339"/>
      <c r="AU505" s="339"/>
      <c r="AV505" s="339"/>
      <c r="AW505" s="339"/>
      <c r="AX505" s="339"/>
      <c r="AY505" s="339"/>
      <c r="AZ505" s="339"/>
      <c r="BA505" s="339"/>
      <c r="BB505" s="339"/>
      <c r="BC505" s="339"/>
      <c r="BD505" s="339"/>
    </row>
    <row r="506" spans="3:56">
      <c r="C506" s="339"/>
      <c r="D506" s="339"/>
      <c r="E506" s="339"/>
      <c r="F506" s="339"/>
      <c r="G506" s="339"/>
      <c r="H506" s="339"/>
      <c r="I506" s="339"/>
      <c r="J506" s="339"/>
      <c r="K506" s="339"/>
      <c r="L506" s="339"/>
      <c r="M506" s="339"/>
      <c r="N506" s="339"/>
      <c r="O506" s="339"/>
      <c r="P506" s="339"/>
      <c r="Q506" s="339"/>
      <c r="R506" s="339"/>
      <c r="S506" s="339"/>
      <c r="T506" s="339"/>
      <c r="U506" s="339"/>
      <c r="V506" s="339"/>
      <c r="W506" s="339"/>
      <c r="X506" s="339"/>
      <c r="Y506" s="339"/>
      <c r="Z506" s="339"/>
      <c r="AA506" s="339"/>
      <c r="AB506" s="339"/>
      <c r="AC506" s="339"/>
      <c r="AD506" s="339"/>
      <c r="AE506" s="339"/>
      <c r="AF506" s="339"/>
      <c r="AG506" s="339"/>
      <c r="AH506" s="339"/>
      <c r="AI506" s="339"/>
      <c r="AJ506" s="339"/>
      <c r="AK506" s="339"/>
      <c r="AL506" s="339"/>
      <c r="AM506" s="339"/>
      <c r="AN506" s="339"/>
      <c r="AO506" s="339"/>
      <c r="AP506" s="339"/>
      <c r="AQ506" s="339"/>
      <c r="AR506" s="339"/>
      <c r="AS506" s="339"/>
      <c r="AT506" s="339"/>
      <c r="AU506" s="339"/>
      <c r="AV506" s="339"/>
      <c r="AW506" s="339"/>
      <c r="AX506" s="339"/>
      <c r="AY506" s="339"/>
      <c r="AZ506" s="339"/>
      <c r="BA506" s="339"/>
      <c r="BB506" s="339"/>
      <c r="BC506" s="339"/>
      <c r="BD506" s="339"/>
    </row>
    <row r="507" spans="3:56">
      <c r="C507" s="339"/>
      <c r="D507" s="339"/>
      <c r="E507" s="339"/>
      <c r="F507" s="339"/>
      <c r="G507" s="339"/>
      <c r="H507" s="339"/>
      <c r="I507" s="339"/>
      <c r="J507" s="339"/>
      <c r="K507" s="339"/>
      <c r="L507" s="339"/>
      <c r="M507" s="339"/>
      <c r="N507" s="339"/>
      <c r="O507" s="339"/>
      <c r="P507" s="339"/>
      <c r="Q507" s="339"/>
      <c r="R507" s="339"/>
      <c r="S507" s="339"/>
      <c r="T507" s="339"/>
      <c r="U507" s="339"/>
      <c r="V507" s="339"/>
      <c r="W507" s="339"/>
      <c r="X507" s="339"/>
      <c r="Y507" s="339"/>
      <c r="Z507" s="339"/>
      <c r="AA507" s="339"/>
      <c r="AB507" s="339"/>
      <c r="AC507" s="339"/>
      <c r="AD507" s="339"/>
      <c r="AE507" s="339"/>
      <c r="AF507" s="339"/>
      <c r="AG507" s="339"/>
      <c r="AH507" s="339"/>
      <c r="AI507" s="339"/>
      <c r="AJ507" s="339"/>
      <c r="AK507" s="339"/>
      <c r="AL507" s="339"/>
      <c r="AM507" s="339"/>
      <c r="AN507" s="339"/>
      <c r="AO507" s="339"/>
      <c r="AP507" s="339"/>
      <c r="AQ507" s="339"/>
      <c r="AR507" s="339"/>
      <c r="AS507" s="339"/>
      <c r="AT507" s="339"/>
      <c r="AU507" s="339"/>
      <c r="AV507" s="339"/>
      <c r="AW507" s="339"/>
      <c r="AX507" s="339"/>
      <c r="AY507" s="339"/>
      <c r="AZ507" s="339"/>
      <c r="BA507" s="339"/>
      <c r="BB507" s="339"/>
      <c r="BC507" s="339"/>
      <c r="BD507" s="339"/>
    </row>
    <row r="508" spans="3:56">
      <c r="C508" s="339"/>
      <c r="D508" s="339"/>
      <c r="E508" s="339"/>
      <c r="F508" s="339"/>
      <c r="G508" s="339"/>
      <c r="H508" s="339"/>
      <c r="I508" s="339"/>
      <c r="J508" s="339"/>
      <c r="K508" s="339"/>
      <c r="L508" s="339"/>
      <c r="M508" s="339"/>
      <c r="N508" s="339"/>
      <c r="O508" s="339"/>
      <c r="P508" s="339"/>
      <c r="Q508" s="339"/>
      <c r="R508" s="339"/>
      <c r="S508" s="339"/>
      <c r="T508" s="339"/>
      <c r="U508" s="339"/>
      <c r="V508" s="339"/>
      <c r="W508" s="339"/>
      <c r="X508" s="339"/>
      <c r="Y508" s="339"/>
      <c r="Z508" s="339"/>
      <c r="AA508" s="339"/>
      <c r="AB508" s="339"/>
      <c r="AC508" s="339"/>
      <c r="AD508" s="339"/>
      <c r="AE508" s="339"/>
      <c r="AF508" s="339"/>
      <c r="AG508" s="339"/>
      <c r="AH508" s="339"/>
      <c r="AI508" s="339"/>
      <c r="AJ508" s="339"/>
      <c r="AK508" s="339"/>
      <c r="AL508" s="339"/>
      <c r="AM508" s="339"/>
      <c r="AN508" s="339"/>
      <c r="AO508" s="339"/>
      <c r="AP508" s="339"/>
      <c r="AQ508" s="339"/>
      <c r="AR508" s="339"/>
      <c r="AS508" s="339"/>
      <c r="AT508" s="339"/>
      <c r="AU508" s="339"/>
      <c r="AV508" s="339"/>
      <c r="AW508" s="339"/>
      <c r="AX508" s="339"/>
      <c r="AY508" s="339"/>
      <c r="AZ508" s="339"/>
      <c r="BA508" s="339"/>
      <c r="BB508" s="339"/>
      <c r="BC508" s="339"/>
      <c r="BD508" s="339"/>
    </row>
    <row r="509" spans="3:56">
      <c r="C509" s="339"/>
      <c r="D509" s="339"/>
      <c r="E509" s="339"/>
      <c r="F509" s="339"/>
      <c r="G509" s="339"/>
      <c r="H509" s="339"/>
      <c r="I509" s="339"/>
      <c r="J509" s="339"/>
      <c r="K509" s="339"/>
      <c r="L509" s="339"/>
      <c r="M509" s="339"/>
      <c r="N509" s="339"/>
      <c r="O509" s="339"/>
      <c r="P509" s="339"/>
      <c r="Q509" s="339"/>
      <c r="R509" s="339"/>
      <c r="S509" s="339"/>
      <c r="T509" s="339"/>
      <c r="U509" s="339"/>
      <c r="V509" s="339"/>
      <c r="W509" s="339"/>
      <c r="X509" s="339"/>
      <c r="Y509" s="339"/>
      <c r="Z509" s="339"/>
      <c r="AA509" s="339"/>
      <c r="AB509" s="339"/>
      <c r="AC509" s="339"/>
      <c r="AD509" s="339"/>
      <c r="AE509" s="339"/>
      <c r="AF509" s="339"/>
      <c r="AG509" s="339"/>
      <c r="AH509" s="339"/>
      <c r="AI509" s="339"/>
      <c r="AJ509" s="339"/>
      <c r="AK509" s="339"/>
      <c r="AL509" s="339"/>
      <c r="AM509" s="339"/>
      <c r="AN509" s="339"/>
      <c r="AO509" s="339"/>
      <c r="AP509" s="339"/>
      <c r="AQ509" s="339"/>
      <c r="AR509" s="339"/>
      <c r="AS509" s="339"/>
      <c r="AT509" s="339"/>
      <c r="AU509" s="339"/>
      <c r="AV509" s="339"/>
      <c r="AW509" s="339"/>
      <c r="AX509" s="339"/>
      <c r="AY509" s="339"/>
      <c r="AZ509" s="339"/>
      <c r="BA509" s="339"/>
      <c r="BB509" s="339"/>
      <c r="BC509" s="339"/>
      <c r="BD509" s="339"/>
    </row>
    <row r="510" spans="3:56">
      <c r="C510" s="339"/>
      <c r="D510" s="339"/>
      <c r="E510" s="339"/>
      <c r="F510" s="339"/>
      <c r="G510" s="339"/>
      <c r="H510" s="339"/>
      <c r="I510" s="339"/>
      <c r="J510" s="339"/>
      <c r="K510" s="339"/>
      <c r="L510" s="339"/>
      <c r="M510" s="339"/>
      <c r="N510" s="339"/>
      <c r="O510" s="339"/>
      <c r="P510" s="339"/>
      <c r="Q510" s="339"/>
      <c r="R510" s="339"/>
      <c r="S510" s="339"/>
      <c r="T510" s="339"/>
      <c r="U510" s="339"/>
      <c r="V510" s="339"/>
      <c r="W510" s="339"/>
      <c r="X510" s="339"/>
      <c r="Y510" s="339"/>
      <c r="Z510" s="339"/>
      <c r="AA510" s="339"/>
      <c r="AB510" s="339"/>
      <c r="AC510" s="339"/>
      <c r="AD510" s="339"/>
      <c r="AE510" s="339"/>
      <c r="AF510" s="339"/>
      <c r="AG510" s="339"/>
      <c r="AH510" s="339"/>
      <c r="AI510" s="339"/>
      <c r="AJ510" s="339"/>
      <c r="AK510" s="339"/>
      <c r="AL510" s="339"/>
      <c r="AM510" s="339"/>
      <c r="AN510" s="339"/>
      <c r="AO510" s="339"/>
      <c r="AP510" s="339"/>
      <c r="AQ510" s="339"/>
      <c r="AR510" s="339"/>
      <c r="AS510" s="339"/>
      <c r="AT510" s="339"/>
      <c r="AU510" s="339"/>
      <c r="AV510" s="339"/>
      <c r="AW510" s="339"/>
      <c r="AX510" s="339"/>
      <c r="AY510" s="339"/>
      <c r="AZ510" s="339"/>
      <c r="BA510" s="339"/>
      <c r="BB510" s="339"/>
      <c r="BC510" s="339"/>
      <c r="BD510" s="339"/>
    </row>
    <row r="511" spans="3:56">
      <c r="C511" s="339"/>
      <c r="D511" s="339"/>
      <c r="E511" s="339"/>
      <c r="F511" s="339"/>
      <c r="G511" s="339"/>
      <c r="H511" s="339"/>
      <c r="I511" s="339"/>
      <c r="J511" s="339"/>
      <c r="K511" s="339"/>
      <c r="L511" s="339"/>
      <c r="M511" s="339"/>
      <c r="N511" s="339"/>
      <c r="O511" s="339"/>
      <c r="P511" s="339"/>
      <c r="Q511" s="339"/>
      <c r="R511" s="339"/>
      <c r="S511" s="339"/>
      <c r="T511" s="339"/>
      <c r="U511" s="339"/>
      <c r="V511" s="339"/>
      <c r="W511" s="339"/>
      <c r="X511" s="339"/>
      <c r="Y511" s="339"/>
      <c r="Z511" s="339"/>
      <c r="AA511" s="339"/>
      <c r="AB511" s="339"/>
      <c r="AC511" s="339"/>
      <c r="AD511" s="339"/>
      <c r="AE511" s="339"/>
      <c r="AF511" s="339"/>
      <c r="AG511" s="339"/>
      <c r="AH511" s="339"/>
      <c r="AI511" s="339"/>
      <c r="AJ511" s="339"/>
      <c r="AK511" s="339"/>
      <c r="AL511" s="339"/>
      <c r="AM511" s="339"/>
      <c r="AN511" s="339"/>
      <c r="AO511" s="339"/>
      <c r="AP511" s="339"/>
      <c r="AQ511" s="339"/>
      <c r="AR511" s="339"/>
      <c r="AS511" s="339"/>
      <c r="AT511" s="339"/>
      <c r="AU511" s="339"/>
      <c r="AV511" s="339"/>
      <c r="AW511" s="339"/>
      <c r="AX511" s="339"/>
      <c r="AY511" s="339"/>
      <c r="AZ511" s="339"/>
      <c r="BA511" s="339"/>
      <c r="BB511" s="339"/>
      <c r="BC511" s="339"/>
      <c r="BD511" s="339"/>
    </row>
    <row r="512" spans="3:56">
      <c r="C512" s="339"/>
      <c r="D512" s="339"/>
      <c r="E512" s="339"/>
      <c r="F512" s="339"/>
      <c r="G512" s="339"/>
      <c r="H512" s="339"/>
      <c r="I512" s="339"/>
      <c r="J512" s="339"/>
      <c r="K512" s="339"/>
      <c r="L512" s="339"/>
      <c r="M512" s="339"/>
      <c r="N512" s="339"/>
      <c r="O512" s="339"/>
      <c r="P512" s="339"/>
      <c r="Q512" s="339"/>
      <c r="R512" s="339"/>
      <c r="S512" s="339"/>
      <c r="T512" s="339"/>
      <c r="U512" s="339"/>
      <c r="V512" s="339"/>
      <c r="W512" s="339"/>
      <c r="X512" s="339"/>
      <c r="Y512" s="339"/>
      <c r="Z512" s="339"/>
      <c r="AA512" s="339"/>
      <c r="AB512" s="339"/>
      <c r="AC512" s="339"/>
      <c r="AD512" s="339"/>
      <c r="AE512" s="339"/>
      <c r="AF512" s="339"/>
      <c r="AG512" s="339"/>
      <c r="AH512" s="339"/>
      <c r="AI512" s="339"/>
      <c r="AJ512" s="339"/>
      <c r="AK512" s="339"/>
      <c r="AL512" s="339"/>
      <c r="AM512" s="339"/>
      <c r="AN512" s="339"/>
      <c r="AO512" s="339"/>
      <c r="AP512" s="339"/>
      <c r="AQ512" s="339"/>
      <c r="AR512" s="339"/>
      <c r="AS512" s="339"/>
      <c r="AT512" s="339"/>
      <c r="AU512" s="339"/>
      <c r="AV512" s="339"/>
      <c r="AW512" s="339"/>
      <c r="AX512" s="339"/>
      <c r="AY512" s="339"/>
      <c r="AZ512" s="339"/>
      <c r="BA512" s="339"/>
      <c r="BB512" s="339"/>
      <c r="BC512" s="339"/>
      <c r="BD512" s="339"/>
    </row>
    <row r="513" spans="3:56">
      <c r="C513" s="339"/>
      <c r="D513" s="339"/>
      <c r="E513" s="339"/>
      <c r="F513" s="339"/>
      <c r="G513" s="339"/>
      <c r="H513" s="339"/>
      <c r="I513" s="339"/>
      <c r="J513" s="339"/>
      <c r="K513" s="339"/>
      <c r="L513" s="339"/>
      <c r="M513" s="339"/>
      <c r="N513" s="339"/>
      <c r="O513" s="339"/>
      <c r="P513" s="339"/>
      <c r="Q513" s="339"/>
      <c r="R513" s="339"/>
      <c r="S513" s="339"/>
      <c r="T513" s="339"/>
      <c r="U513" s="339"/>
      <c r="V513" s="339"/>
      <c r="W513" s="339"/>
      <c r="X513" s="339"/>
      <c r="Y513" s="339"/>
      <c r="Z513" s="339"/>
      <c r="AA513" s="339"/>
      <c r="AB513" s="339"/>
      <c r="AC513" s="339"/>
      <c r="AD513" s="339"/>
      <c r="AE513" s="339"/>
      <c r="AF513" s="339"/>
      <c r="AG513" s="339"/>
      <c r="AH513" s="339"/>
      <c r="AI513" s="339"/>
      <c r="AJ513" s="339"/>
      <c r="AK513" s="339"/>
      <c r="AL513" s="339"/>
      <c r="AM513" s="339"/>
      <c r="AN513" s="339"/>
      <c r="AO513" s="339"/>
      <c r="AP513" s="339"/>
      <c r="AQ513" s="339"/>
      <c r="AR513" s="339"/>
      <c r="AS513" s="339"/>
      <c r="AT513" s="339"/>
      <c r="AU513" s="339"/>
      <c r="AV513" s="339"/>
      <c r="AW513" s="339"/>
      <c r="AX513" s="339"/>
      <c r="AY513" s="339"/>
      <c r="AZ513" s="339"/>
      <c r="BA513" s="339"/>
      <c r="BB513" s="339"/>
      <c r="BC513" s="339"/>
      <c r="BD513" s="339"/>
    </row>
    <row r="514" spans="3:56">
      <c r="C514" s="339"/>
      <c r="D514" s="339"/>
      <c r="E514" s="339"/>
      <c r="F514" s="339"/>
      <c r="G514" s="339"/>
      <c r="H514" s="339"/>
      <c r="I514" s="339"/>
      <c r="J514" s="339"/>
      <c r="K514" s="339"/>
      <c r="L514" s="339"/>
      <c r="M514" s="339"/>
      <c r="N514" s="339"/>
      <c r="O514" s="339"/>
      <c r="P514" s="339"/>
      <c r="Q514" s="339"/>
      <c r="R514" s="339"/>
      <c r="S514" s="339"/>
      <c r="T514" s="339"/>
      <c r="U514" s="339"/>
      <c r="V514" s="339"/>
      <c r="W514" s="339"/>
      <c r="X514" s="339"/>
      <c r="Y514" s="339"/>
      <c r="Z514" s="339"/>
      <c r="AA514" s="339"/>
      <c r="AB514" s="339"/>
      <c r="AC514" s="339"/>
      <c r="AD514" s="339"/>
      <c r="AE514" s="339"/>
      <c r="AF514" s="339"/>
      <c r="AG514" s="339"/>
      <c r="AH514" s="339"/>
      <c r="AI514" s="339"/>
      <c r="AJ514" s="339"/>
      <c r="AK514" s="339"/>
      <c r="AL514" s="339"/>
      <c r="AM514" s="339"/>
      <c r="AN514" s="339"/>
      <c r="AO514" s="339"/>
      <c r="AP514" s="339"/>
      <c r="AQ514" s="339"/>
      <c r="AR514" s="339"/>
      <c r="AS514" s="339"/>
      <c r="AT514" s="339"/>
      <c r="AU514" s="339"/>
      <c r="AV514" s="339"/>
      <c r="AW514" s="339"/>
      <c r="AX514" s="339"/>
      <c r="AY514" s="339"/>
      <c r="AZ514" s="339"/>
      <c r="BA514" s="339"/>
      <c r="BB514" s="339"/>
      <c r="BC514" s="339"/>
      <c r="BD514" s="339"/>
    </row>
    <row r="515" spans="3:56">
      <c r="C515" s="339"/>
      <c r="D515" s="339"/>
      <c r="E515" s="339"/>
      <c r="F515" s="339"/>
      <c r="G515" s="339"/>
      <c r="H515" s="339"/>
      <c r="I515" s="339"/>
      <c r="J515" s="339"/>
      <c r="K515" s="339"/>
      <c r="L515" s="339"/>
      <c r="M515" s="339"/>
      <c r="N515" s="339"/>
      <c r="O515" s="339"/>
      <c r="P515" s="339"/>
      <c r="Q515" s="339"/>
      <c r="R515" s="339"/>
      <c r="S515" s="339"/>
      <c r="T515" s="339"/>
      <c r="U515" s="339"/>
      <c r="V515" s="339"/>
      <c r="W515" s="339"/>
      <c r="X515" s="339"/>
      <c r="Y515" s="339"/>
      <c r="Z515" s="339"/>
      <c r="AA515" s="339"/>
      <c r="AB515" s="339"/>
      <c r="AC515" s="339"/>
      <c r="AD515" s="339"/>
      <c r="AE515" s="339"/>
      <c r="AF515" s="339"/>
      <c r="AG515" s="339"/>
      <c r="AH515" s="339"/>
      <c r="AI515" s="339"/>
      <c r="AJ515" s="339"/>
      <c r="AK515" s="339"/>
      <c r="AL515" s="339"/>
      <c r="AM515" s="339"/>
      <c r="AN515" s="339"/>
      <c r="AO515" s="339"/>
      <c r="AP515" s="339"/>
      <c r="AQ515" s="339"/>
      <c r="AR515" s="339"/>
      <c r="AS515" s="339"/>
      <c r="AT515" s="339"/>
      <c r="AU515" s="339"/>
      <c r="AV515" s="339"/>
      <c r="AW515" s="339"/>
      <c r="AX515" s="339"/>
      <c r="AY515" s="339"/>
      <c r="AZ515" s="339"/>
      <c r="BA515" s="339"/>
      <c r="BB515" s="339"/>
      <c r="BC515" s="339"/>
      <c r="BD515" s="339"/>
    </row>
    <row r="516" spans="3:56">
      <c r="C516" s="339"/>
      <c r="D516" s="339"/>
      <c r="E516" s="339"/>
      <c r="F516" s="339"/>
      <c r="G516" s="339"/>
      <c r="H516" s="339"/>
      <c r="I516" s="339"/>
      <c r="J516" s="339"/>
      <c r="K516" s="339"/>
      <c r="L516" s="339"/>
      <c r="M516" s="339"/>
      <c r="N516" s="339"/>
      <c r="O516" s="339"/>
      <c r="P516" s="339"/>
      <c r="Q516" s="339"/>
      <c r="R516" s="339"/>
      <c r="S516" s="339"/>
      <c r="T516" s="339"/>
      <c r="U516" s="339"/>
      <c r="V516" s="339"/>
      <c r="W516" s="339"/>
      <c r="X516" s="339"/>
      <c r="Y516" s="339"/>
      <c r="Z516" s="339"/>
      <c r="AA516" s="339"/>
      <c r="AB516" s="339"/>
      <c r="AC516" s="339"/>
      <c r="AD516" s="339"/>
      <c r="AE516" s="339"/>
      <c r="AF516" s="339"/>
      <c r="AG516" s="339"/>
      <c r="AH516" s="339"/>
      <c r="AI516" s="339"/>
      <c r="AJ516" s="339"/>
      <c r="AK516" s="339"/>
      <c r="AL516" s="339"/>
      <c r="AM516" s="339"/>
      <c r="AN516" s="339"/>
      <c r="AO516" s="339"/>
      <c r="AP516" s="339"/>
      <c r="AQ516" s="339"/>
      <c r="AR516" s="339"/>
      <c r="AS516" s="339"/>
      <c r="AT516" s="339"/>
      <c r="AU516" s="339"/>
      <c r="AV516" s="339"/>
      <c r="AW516" s="339"/>
      <c r="AX516" s="339"/>
      <c r="AY516" s="339"/>
      <c r="AZ516" s="339"/>
      <c r="BA516" s="339"/>
      <c r="BB516" s="339"/>
      <c r="BC516" s="339"/>
      <c r="BD516" s="339"/>
    </row>
    <row r="517" spans="3:56">
      <c r="C517" s="339"/>
      <c r="D517" s="339"/>
      <c r="E517" s="339"/>
      <c r="F517" s="339"/>
      <c r="G517" s="339"/>
      <c r="H517" s="339"/>
      <c r="I517" s="339"/>
      <c r="J517" s="339"/>
      <c r="K517" s="339"/>
      <c r="L517" s="339"/>
      <c r="M517" s="339"/>
      <c r="N517" s="339"/>
      <c r="O517" s="339"/>
      <c r="P517" s="339"/>
      <c r="Q517" s="339"/>
      <c r="R517" s="339"/>
      <c r="S517" s="339"/>
      <c r="T517" s="339"/>
      <c r="U517" s="339"/>
      <c r="V517" s="339"/>
      <c r="W517" s="339"/>
      <c r="X517" s="339"/>
      <c r="Y517" s="339"/>
      <c r="Z517" s="339"/>
      <c r="AA517" s="339"/>
      <c r="AB517" s="339"/>
      <c r="AC517" s="339"/>
      <c r="AD517" s="339"/>
      <c r="AE517" s="339"/>
      <c r="AF517" s="339"/>
      <c r="AG517" s="339"/>
      <c r="AH517" s="339"/>
      <c r="AI517" s="339"/>
      <c r="AJ517" s="339"/>
      <c r="AK517" s="339"/>
      <c r="AL517" s="339"/>
      <c r="AM517" s="339"/>
      <c r="AN517" s="339"/>
      <c r="AO517" s="339"/>
      <c r="AP517" s="339"/>
      <c r="AQ517" s="339"/>
      <c r="AR517" s="339"/>
      <c r="AS517" s="339"/>
      <c r="AT517" s="339"/>
      <c r="AU517" s="339"/>
      <c r="AV517" s="339"/>
      <c r="AW517" s="339"/>
      <c r="AX517" s="339"/>
      <c r="AY517" s="339"/>
      <c r="AZ517" s="339"/>
      <c r="BA517" s="339"/>
      <c r="BB517" s="339"/>
      <c r="BC517" s="339"/>
      <c r="BD517" s="339"/>
    </row>
    <row r="518" spans="3:56">
      <c r="C518" s="339"/>
      <c r="D518" s="339"/>
      <c r="E518" s="339"/>
      <c r="F518" s="339"/>
      <c r="G518" s="339"/>
      <c r="H518" s="339"/>
      <c r="I518" s="339"/>
      <c r="J518" s="339"/>
      <c r="K518" s="339"/>
      <c r="L518" s="339"/>
      <c r="M518" s="339"/>
      <c r="N518" s="339"/>
      <c r="O518" s="339"/>
      <c r="P518" s="339"/>
      <c r="Q518" s="339"/>
      <c r="R518" s="339"/>
      <c r="S518" s="339"/>
      <c r="T518" s="339"/>
      <c r="U518" s="339"/>
      <c r="V518" s="339"/>
      <c r="W518" s="339"/>
      <c r="X518" s="339"/>
      <c r="Y518" s="339"/>
      <c r="Z518" s="339"/>
      <c r="AA518" s="339"/>
      <c r="AB518" s="339"/>
      <c r="AC518" s="339"/>
      <c r="AD518" s="339"/>
      <c r="AE518" s="339"/>
      <c r="AF518" s="339"/>
      <c r="AG518" s="339"/>
      <c r="AH518" s="339"/>
      <c r="AI518" s="339"/>
      <c r="AJ518" s="339"/>
      <c r="AK518" s="339"/>
      <c r="AL518" s="339"/>
      <c r="AM518" s="339"/>
      <c r="AN518" s="339"/>
      <c r="AO518" s="339"/>
      <c r="AP518" s="339"/>
      <c r="AQ518" s="339"/>
      <c r="AR518" s="339"/>
      <c r="AS518" s="339"/>
      <c r="AT518" s="339"/>
      <c r="AU518" s="339"/>
      <c r="AV518" s="339"/>
      <c r="AW518" s="339"/>
      <c r="AX518" s="339"/>
      <c r="AY518" s="339"/>
      <c r="AZ518" s="339"/>
      <c r="BA518" s="339"/>
      <c r="BB518" s="339"/>
      <c r="BC518" s="339"/>
      <c r="BD518" s="339"/>
    </row>
    <row r="519" spans="3:56">
      <c r="C519" s="339"/>
      <c r="D519" s="339"/>
      <c r="E519" s="339"/>
      <c r="F519" s="339"/>
      <c r="G519" s="339"/>
      <c r="H519" s="339"/>
      <c r="I519" s="339"/>
      <c r="J519" s="339"/>
      <c r="K519" s="339"/>
      <c r="L519" s="339"/>
      <c r="M519" s="339"/>
      <c r="N519" s="339"/>
      <c r="O519" s="339"/>
      <c r="P519" s="339"/>
      <c r="Q519" s="339"/>
      <c r="R519" s="339"/>
      <c r="S519" s="339"/>
      <c r="T519" s="339"/>
      <c r="U519" s="339"/>
      <c r="V519" s="339"/>
      <c r="W519" s="339"/>
      <c r="X519" s="339"/>
      <c r="Y519" s="339"/>
      <c r="Z519" s="339"/>
      <c r="AA519" s="339"/>
      <c r="AB519" s="339"/>
      <c r="AC519" s="339"/>
      <c r="AD519" s="339"/>
      <c r="AE519" s="339"/>
      <c r="AF519" s="339"/>
      <c r="AG519" s="339"/>
      <c r="AH519" s="339"/>
      <c r="AI519" s="339"/>
      <c r="AJ519" s="339"/>
      <c r="AK519" s="339"/>
      <c r="AL519" s="339"/>
      <c r="AM519" s="339"/>
      <c r="AN519" s="339"/>
      <c r="AO519" s="339"/>
      <c r="AP519" s="339"/>
      <c r="AQ519" s="339"/>
      <c r="AR519" s="339"/>
      <c r="AS519" s="339"/>
      <c r="AT519" s="339"/>
      <c r="AU519" s="339"/>
      <c r="AV519" s="339"/>
      <c r="AW519" s="339"/>
      <c r="AX519" s="339"/>
      <c r="AY519" s="339"/>
      <c r="AZ519" s="339"/>
      <c r="BA519" s="339"/>
      <c r="BB519" s="339"/>
      <c r="BC519" s="339"/>
      <c r="BD519" s="339"/>
    </row>
    <row r="520" spans="3:56">
      <c r="C520" s="339"/>
      <c r="D520" s="339"/>
      <c r="E520" s="339"/>
      <c r="F520" s="339"/>
      <c r="G520" s="339"/>
      <c r="H520" s="339"/>
      <c r="I520" s="339"/>
      <c r="J520" s="339"/>
      <c r="K520" s="339"/>
      <c r="L520" s="339"/>
      <c r="M520" s="339"/>
      <c r="N520" s="339"/>
      <c r="O520" s="339"/>
      <c r="P520" s="339"/>
      <c r="Q520" s="339"/>
      <c r="R520" s="339"/>
      <c r="S520" s="339"/>
      <c r="T520" s="339"/>
      <c r="U520" s="339"/>
      <c r="V520" s="339"/>
      <c r="W520" s="339"/>
      <c r="X520" s="339"/>
      <c r="Y520" s="339"/>
      <c r="Z520" s="339"/>
      <c r="AA520" s="339"/>
      <c r="AB520" s="339"/>
      <c r="AC520" s="339"/>
      <c r="AD520" s="339"/>
      <c r="AE520" s="339"/>
      <c r="AF520" s="339"/>
      <c r="AG520" s="339"/>
      <c r="AH520" s="339"/>
      <c r="AI520" s="339"/>
      <c r="AJ520" s="339"/>
      <c r="AK520" s="339"/>
      <c r="AL520" s="339"/>
      <c r="AM520" s="339"/>
      <c r="AN520" s="339"/>
      <c r="AO520" s="339"/>
      <c r="AP520" s="339"/>
      <c r="AQ520" s="339"/>
      <c r="AR520" s="339"/>
      <c r="AS520" s="339"/>
      <c r="AT520" s="339"/>
      <c r="AU520" s="339"/>
      <c r="AV520" s="339"/>
      <c r="AW520" s="339"/>
      <c r="AX520" s="339"/>
      <c r="AY520" s="339"/>
      <c r="AZ520" s="339"/>
      <c r="BA520" s="339"/>
      <c r="BB520" s="339"/>
      <c r="BC520" s="339"/>
      <c r="BD520" s="339"/>
    </row>
    <row r="521" spans="3:56">
      <c r="C521" s="339"/>
      <c r="D521" s="339"/>
      <c r="E521" s="339"/>
      <c r="F521" s="339"/>
      <c r="G521" s="339"/>
      <c r="H521" s="339"/>
      <c r="I521" s="339"/>
      <c r="J521" s="339"/>
      <c r="K521" s="339"/>
      <c r="L521" s="339"/>
      <c r="M521" s="339"/>
      <c r="N521" s="339"/>
      <c r="O521" s="339"/>
      <c r="P521" s="339"/>
      <c r="Q521" s="339"/>
      <c r="R521" s="339"/>
      <c r="S521" s="339"/>
      <c r="T521" s="339"/>
      <c r="U521" s="339"/>
      <c r="V521" s="339"/>
      <c r="W521" s="339"/>
      <c r="X521" s="339"/>
      <c r="Y521" s="339"/>
      <c r="Z521" s="339"/>
      <c r="AA521" s="339"/>
      <c r="AB521" s="339"/>
      <c r="AC521" s="339"/>
      <c r="AD521" s="339"/>
      <c r="AE521" s="339"/>
      <c r="AF521" s="339"/>
      <c r="AG521" s="339"/>
      <c r="AH521" s="339"/>
      <c r="AI521" s="339"/>
      <c r="AJ521" s="339"/>
      <c r="AK521" s="339"/>
      <c r="AL521" s="339"/>
      <c r="AM521" s="339"/>
      <c r="AN521" s="339"/>
      <c r="AO521" s="339"/>
      <c r="AP521" s="339"/>
      <c r="AQ521" s="339"/>
      <c r="AR521" s="339"/>
      <c r="AS521" s="339"/>
      <c r="AT521" s="339"/>
      <c r="AU521" s="339"/>
      <c r="AV521" s="339"/>
      <c r="AW521" s="339"/>
      <c r="AX521" s="339"/>
      <c r="AY521" s="339"/>
      <c r="AZ521" s="339"/>
      <c r="BA521" s="339"/>
      <c r="BB521" s="339"/>
      <c r="BC521" s="339"/>
      <c r="BD521" s="339"/>
    </row>
    <row r="522" spans="3:56">
      <c r="C522" s="339"/>
      <c r="D522" s="339"/>
      <c r="E522" s="339"/>
      <c r="F522" s="339"/>
      <c r="G522" s="339"/>
      <c r="H522" s="339"/>
      <c r="I522" s="339"/>
      <c r="J522" s="339"/>
      <c r="K522" s="339"/>
      <c r="L522" s="339"/>
      <c r="M522" s="339"/>
      <c r="N522" s="339"/>
      <c r="O522" s="339"/>
      <c r="P522" s="339"/>
      <c r="Q522" s="339"/>
      <c r="R522" s="339"/>
      <c r="S522" s="339"/>
      <c r="T522" s="339"/>
      <c r="U522" s="339"/>
      <c r="V522" s="339"/>
      <c r="W522" s="339"/>
      <c r="X522" s="339"/>
      <c r="Y522" s="339"/>
      <c r="Z522" s="339"/>
      <c r="AA522" s="339"/>
      <c r="AB522" s="339"/>
      <c r="AC522" s="339"/>
      <c r="AD522" s="339"/>
      <c r="AE522" s="339"/>
      <c r="AF522" s="339"/>
      <c r="AG522" s="339"/>
      <c r="AH522" s="339"/>
      <c r="AI522" s="339"/>
      <c r="AJ522" s="339"/>
      <c r="AK522" s="339"/>
      <c r="AL522" s="339"/>
      <c r="AM522" s="339"/>
      <c r="AN522" s="339"/>
      <c r="AO522" s="339"/>
      <c r="AP522" s="339"/>
      <c r="AQ522" s="339"/>
      <c r="AR522" s="339"/>
      <c r="AS522" s="339"/>
      <c r="AT522" s="339"/>
      <c r="AU522" s="339"/>
      <c r="AV522" s="339"/>
      <c r="AW522" s="339"/>
      <c r="AX522" s="339"/>
      <c r="AY522" s="339"/>
      <c r="AZ522" s="339"/>
      <c r="BA522" s="339"/>
      <c r="BB522" s="339"/>
      <c r="BC522" s="339"/>
      <c r="BD522" s="339"/>
    </row>
    <row r="523" spans="3:56">
      <c r="C523" s="339"/>
      <c r="D523" s="339"/>
      <c r="E523" s="339"/>
      <c r="F523" s="339"/>
      <c r="G523" s="339"/>
      <c r="H523" s="339"/>
      <c r="I523" s="339"/>
      <c r="J523" s="339"/>
      <c r="K523" s="339"/>
      <c r="L523" s="339"/>
      <c r="M523" s="339"/>
      <c r="N523" s="339"/>
      <c r="O523" s="339"/>
      <c r="P523" s="339"/>
      <c r="Q523" s="339"/>
      <c r="R523" s="339"/>
      <c r="S523" s="339"/>
      <c r="T523" s="339"/>
      <c r="U523" s="339"/>
      <c r="V523" s="339"/>
      <c r="W523" s="339"/>
      <c r="X523" s="339"/>
      <c r="Y523" s="339"/>
      <c r="Z523" s="339"/>
      <c r="AA523" s="339"/>
      <c r="AB523" s="339"/>
      <c r="AC523" s="339"/>
      <c r="AD523" s="339"/>
      <c r="AE523" s="339"/>
      <c r="AF523" s="339"/>
      <c r="AG523" s="339"/>
      <c r="AH523" s="339"/>
      <c r="AI523" s="339"/>
      <c r="AJ523" s="339"/>
      <c r="AK523" s="339"/>
      <c r="AL523" s="339"/>
      <c r="AM523" s="339"/>
      <c r="AN523" s="339"/>
      <c r="AO523" s="339"/>
      <c r="AP523" s="339"/>
      <c r="AQ523" s="339"/>
      <c r="AR523" s="339"/>
      <c r="AS523" s="339"/>
      <c r="AT523" s="339"/>
      <c r="AU523" s="339"/>
      <c r="AV523" s="339"/>
      <c r="AW523" s="339"/>
      <c r="AX523" s="339"/>
      <c r="AY523" s="339"/>
      <c r="AZ523" s="339"/>
      <c r="BA523" s="339"/>
      <c r="BB523" s="339"/>
      <c r="BC523" s="339"/>
      <c r="BD523" s="339"/>
    </row>
    <row r="524" spans="3:56">
      <c r="C524" s="339"/>
      <c r="D524" s="339"/>
      <c r="E524" s="339"/>
      <c r="F524" s="339"/>
      <c r="G524" s="339"/>
      <c r="H524" s="339"/>
      <c r="I524" s="339"/>
      <c r="J524" s="339"/>
      <c r="K524" s="339"/>
      <c r="L524" s="339"/>
      <c r="M524" s="339"/>
      <c r="N524" s="339"/>
      <c r="O524" s="339"/>
      <c r="P524" s="339"/>
      <c r="Q524" s="339"/>
      <c r="R524" s="339"/>
      <c r="S524" s="339"/>
      <c r="T524" s="339"/>
      <c r="U524" s="339"/>
      <c r="V524" s="339"/>
      <c r="W524" s="339"/>
      <c r="X524" s="339"/>
      <c r="Y524" s="339"/>
      <c r="Z524" s="339"/>
      <c r="AA524" s="339"/>
      <c r="AB524" s="339"/>
      <c r="AC524" s="339"/>
      <c r="AD524" s="339"/>
      <c r="AE524" s="339"/>
      <c r="AF524" s="339"/>
      <c r="AG524" s="339"/>
      <c r="AH524" s="339"/>
      <c r="AI524" s="339"/>
      <c r="AJ524" s="339"/>
      <c r="AK524" s="339"/>
      <c r="AL524" s="339"/>
      <c r="AM524" s="339"/>
      <c r="AN524" s="339"/>
      <c r="AO524" s="339"/>
      <c r="AP524" s="339"/>
      <c r="AQ524" s="339"/>
      <c r="AR524" s="339"/>
      <c r="AS524" s="339"/>
      <c r="AT524" s="339"/>
      <c r="AU524" s="339"/>
      <c r="AV524" s="339"/>
      <c r="AW524" s="339"/>
      <c r="AX524" s="339"/>
      <c r="AY524" s="339"/>
      <c r="AZ524" s="339"/>
      <c r="BA524" s="339"/>
      <c r="BB524" s="339"/>
      <c r="BC524" s="339"/>
      <c r="BD524" s="339"/>
    </row>
    <row r="525" spans="3:56">
      <c r="C525" s="339"/>
      <c r="D525" s="339"/>
      <c r="E525" s="339"/>
      <c r="F525" s="339"/>
      <c r="G525" s="339"/>
      <c r="H525" s="339"/>
      <c r="I525" s="339"/>
      <c r="J525" s="339"/>
      <c r="K525" s="339"/>
      <c r="L525" s="339"/>
      <c r="M525" s="339"/>
      <c r="N525" s="339"/>
      <c r="O525" s="339"/>
      <c r="P525" s="339"/>
      <c r="Q525" s="339"/>
      <c r="R525" s="339"/>
      <c r="S525" s="339"/>
      <c r="T525" s="339"/>
      <c r="U525" s="339"/>
      <c r="V525" s="339"/>
      <c r="W525" s="339"/>
      <c r="X525" s="339"/>
      <c r="Y525" s="339"/>
      <c r="Z525" s="339"/>
      <c r="AA525" s="339"/>
      <c r="AB525" s="339"/>
      <c r="AC525" s="339"/>
      <c r="AD525" s="339"/>
      <c r="AE525" s="339"/>
      <c r="AF525" s="339"/>
      <c r="AG525" s="339"/>
      <c r="AH525" s="339"/>
      <c r="AI525" s="339"/>
      <c r="AJ525" s="339"/>
      <c r="AK525" s="339"/>
      <c r="AL525" s="339"/>
      <c r="AM525" s="339"/>
      <c r="AN525" s="339"/>
      <c r="AO525" s="339"/>
      <c r="AP525" s="339"/>
      <c r="AQ525" s="339"/>
      <c r="AR525" s="339"/>
      <c r="AS525" s="339"/>
      <c r="AT525" s="339"/>
      <c r="AU525" s="339"/>
      <c r="AV525" s="339"/>
      <c r="AW525" s="339"/>
      <c r="AX525" s="339"/>
      <c r="AY525" s="339"/>
      <c r="AZ525" s="339"/>
      <c r="BA525" s="339"/>
      <c r="BB525" s="339"/>
      <c r="BC525" s="339"/>
      <c r="BD525" s="339"/>
    </row>
    <row r="526" spans="3:56">
      <c r="C526" s="339"/>
      <c r="D526" s="339"/>
      <c r="E526" s="339"/>
      <c r="F526" s="339"/>
      <c r="G526" s="339"/>
      <c r="H526" s="339"/>
      <c r="I526" s="339"/>
      <c r="J526" s="339"/>
      <c r="K526" s="339"/>
      <c r="L526" s="339"/>
      <c r="M526" s="339"/>
      <c r="N526" s="339"/>
      <c r="O526" s="339"/>
      <c r="P526" s="339"/>
      <c r="Q526" s="339"/>
      <c r="R526" s="339"/>
      <c r="S526" s="339"/>
      <c r="T526" s="339"/>
      <c r="U526" s="339"/>
      <c r="V526" s="339"/>
      <c r="W526" s="339"/>
      <c r="X526" s="339"/>
      <c r="Y526" s="339"/>
      <c r="Z526" s="339"/>
      <c r="AA526" s="339"/>
      <c r="AB526" s="339"/>
      <c r="AC526" s="339"/>
      <c r="AD526" s="339"/>
      <c r="AE526" s="339"/>
      <c r="AF526" s="339"/>
      <c r="AG526" s="339"/>
      <c r="AH526" s="339"/>
      <c r="AI526" s="339"/>
      <c r="AJ526" s="339"/>
      <c r="AK526" s="339"/>
      <c r="AL526" s="339"/>
      <c r="AM526" s="339"/>
      <c r="AN526" s="339"/>
      <c r="AO526" s="339"/>
      <c r="AP526" s="339"/>
      <c r="AQ526" s="339"/>
      <c r="AR526" s="339"/>
      <c r="AS526" s="339"/>
      <c r="AT526" s="339"/>
      <c r="AU526" s="339"/>
      <c r="AV526" s="339"/>
      <c r="AW526" s="339"/>
      <c r="AX526" s="339"/>
      <c r="AY526" s="339"/>
      <c r="AZ526" s="339"/>
      <c r="BA526" s="339"/>
      <c r="BB526" s="339"/>
      <c r="BC526" s="339"/>
      <c r="BD526" s="339"/>
    </row>
    <row r="527" spans="3:56">
      <c r="C527" s="339"/>
      <c r="D527" s="339"/>
      <c r="E527" s="339"/>
      <c r="F527" s="339"/>
      <c r="G527" s="339"/>
      <c r="H527" s="339"/>
      <c r="I527" s="339"/>
      <c r="J527" s="339"/>
      <c r="K527" s="339"/>
      <c r="L527" s="339"/>
      <c r="M527" s="339"/>
      <c r="N527" s="339"/>
      <c r="O527" s="339"/>
      <c r="P527" s="339"/>
      <c r="Q527" s="339"/>
      <c r="R527" s="339"/>
      <c r="S527" s="339"/>
      <c r="T527" s="339"/>
      <c r="U527" s="339"/>
      <c r="V527" s="339"/>
      <c r="W527" s="339"/>
      <c r="X527" s="339"/>
      <c r="Y527" s="339"/>
      <c r="Z527" s="339"/>
      <c r="AA527" s="339"/>
      <c r="AB527" s="339"/>
      <c r="AC527" s="339"/>
      <c r="AD527" s="339"/>
      <c r="AE527" s="339"/>
      <c r="AF527" s="339"/>
      <c r="AG527" s="339"/>
      <c r="AH527" s="339"/>
      <c r="AI527" s="339"/>
      <c r="AJ527" s="339"/>
      <c r="AK527" s="339"/>
      <c r="AL527" s="339"/>
      <c r="AM527" s="339"/>
      <c r="AN527" s="339"/>
      <c r="AO527" s="339"/>
      <c r="AP527" s="339"/>
      <c r="AQ527" s="339"/>
      <c r="AR527" s="339"/>
      <c r="AS527" s="339"/>
      <c r="AT527" s="339"/>
      <c r="AU527" s="339"/>
      <c r="AV527" s="339"/>
      <c r="AW527" s="339"/>
      <c r="AX527" s="339"/>
      <c r="AY527" s="339"/>
      <c r="AZ527" s="339"/>
      <c r="BA527" s="339"/>
      <c r="BB527" s="339"/>
      <c r="BC527" s="339"/>
      <c r="BD527" s="339"/>
    </row>
    <row r="528" spans="3:56">
      <c r="C528" s="339"/>
      <c r="D528" s="339"/>
      <c r="E528" s="339"/>
      <c r="F528" s="339"/>
      <c r="G528" s="339"/>
      <c r="H528" s="339"/>
      <c r="I528" s="339"/>
      <c r="J528" s="339"/>
      <c r="K528" s="339"/>
      <c r="L528" s="339"/>
      <c r="M528" s="339"/>
      <c r="N528" s="339"/>
      <c r="O528" s="339"/>
      <c r="P528" s="339"/>
      <c r="Q528" s="339"/>
      <c r="R528" s="339"/>
      <c r="S528" s="339"/>
      <c r="T528" s="339"/>
      <c r="U528" s="339"/>
      <c r="V528" s="339"/>
      <c r="W528" s="339"/>
      <c r="X528" s="339"/>
      <c r="Y528" s="339"/>
      <c r="Z528" s="339"/>
      <c r="AA528" s="339"/>
      <c r="AB528" s="339"/>
      <c r="AC528" s="339"/>
      <c r="AD528" s="339"/>
      <c r="AE528" s="339"/>
      <c r="AF528" s="339"/>
      <c r="AG528" s="339"/>
      <c r="AH528" s="339"/>
      <c r="AI528" s="339"/>
      <c r="AJ528" s="339"/>
      <c r="AK528" s="339"/>
      <c r="AL528" s="339"/>
      <c r="AM528" s="339"/>
      <c r="AN528" s="339"/>
      <c r="AO528" s="339"/>
      <c r="AP528" s="339"/>
      <c r="AQ528" s="339"/>
      <c r="AR528" s="339"/>
      <c r="AS528" s="339"/>
      <c r="AT528" s="339"/>
      <c r="AU528" s="339"/>
      <c r="AV528" s="339"/>
      <c r="AW528" s="339"/>
      <c r="AX528" s="339"/>
      <c r="AY528" s="339"/>
      <c r="AZ528" s="339"/>
      <c r="BA528" s="339"/>
      <c r="BB528" s="339"/>
      <c r="BC528" s="339"/>
      <c r="BD528" s="339"/>
    </row>
    <row r="529" spans="3:56">
      <c r="C529" s="339"/>
      <c r="D529" s="339"/>
      <c r="E529" s="339"/>
      <c r="F529" s="339"/>
      <c r="G529" s="339"/>
      <c r="H529" s="339"/>
      <c r="I529" s="339"/>
      <c r="J529" s="339"/>
      <c r="K529" s="339"/>
      <c r="L529" s="339"/>
      <c r="M529" s="339"/>
      <c r="N529" s="339"/>
      <c r="O529" s="339"/>
      <c r="P529" s="339"/>
      <c r="Q529" s="339"/>
      <c r="R529" s="339"/>
      <c r="S529" s="339"/>
      <c r="T529" s="339"/>
      <c r="U529" s="339"/>
      <c r="V529" s="339"/>
      <c r="W529" s="339"/>
      <c r="X529" s="339"/>
      <c r="Y529" s="339"/>
      <c r="Z529" s="339"/>
      <c r="AA529" s="339"/>
      <c r="AB529" s="339"/>
      <c r="AC529" s="339"/>
      <c r="AD529" s="339"/>
      <c r="AE529" s="339"/>
      <c r="AF529" s="339"/>
      <c r="AG529" s="339"/>
      <c r="AH529" s="339"/>
      <c r="AI529" s="339"/>
      <c r="AJ529" s="339"/>
      <c r="AK529" s="339"/>
      <c r="AL529" s="339"/>
      <c r="AM529" s="339"/>
      <c r="AN529" s="339"/>
      <c r="AO529" s="339"/>
      <c r="AP529" s="339"/>
      <c r="AQ529" s="339"/>
      <c r="AR529" s="339"/>
      <c r="AS529" s="339"/>
      <c r="AT529" s="339"/>
      <c r="AU529" s="339"/>
      <c r="AV529" s="339"/>
      <c r="AW529" s="339"/>
      <c r="AX529" s="339"/>
      <c r="AY529" s="339"/>
      <c r="AZ529" s="339"/>
      <c r="BA529" s="339"/>
      <c r="BB529" s="339"/>
      <c r="BC529" s="339"/>
      <c r="BD529" s="339"/>
    </row>
    <row r="530" spans="3:56">
      <c r="C530" s="339"/>
      <c r="D530" s="339"/>
      <c r="E530" s="339"/>
      <c r="F530" s="339"/>
      <c r="G530" s="339"/>
      <c r="H530" s="339"/>
      <c r="I530" s="339"/>
      <c r="J530" s="339"/>
      <c r="K530" s="339"/>
      <c r="L530" s="339"/>
      <c r="M530" s="339"/>
      <c r="N530" s="339"/>
      <c r="O530" s="339"/>
      <c r="P530" s="339"/>
      <c r="Q530" s="339"/>
      <c r="R530" s="339"/>
      <c r="S530" s="339"/>
      <c r="T530" s="339"/>
      <c r="U530" s="339"/>
      <c r="V530" s="339"/>
      <c r="W530" s="339"/>
      <c r="X530" s="339"/>
      <c r="Y530" s="339"/>
      <c r="Z530" s="339"/>
      <c r="AA530" s="339"/>
      <c r="AB530" s="339"/>
      <c r="AC530" s="339"/>
      <c r="AD530" s="339"/>
      <c r="AE530" s="339"/>
      <c r="AF530" s="339"/>
      <c r="AG530" s="339"/>
      <c r="AH530" s="339"/>
      <c r="AI530" s="339"/>
      <c r="AJ530" s="339"/>
      <c r="AK530" s="339"/>
      <c r="AL530" s="339"/>
      <c r="AM530" s="339"/>
      <c r="AN530" s="339"/>
      <c r="AO530" s="339"/>
      <c r="AP530" s="339"/>
      <c r="AQ530" s="339"/>
      <c r="AR530" s="339"/>
      <c r="AS530" s="339"/>
      <c r="AT530" s="339"/>
      <c r="AU530" s="339"/>
      <c r="AV530" s="339"/>
      <c r="AW530" s="339"/>
      <c r="AX530" s="339"/>
      <c r="AY530" s="339"/>
      <c r="AZ530" s="339"/>
      <c r="BA530" s="339"/>
      <c r="BB530" s="339"/>
      <c r="BC530" s="339"/>
      <c r="BD530" s="339"/>
    </row>
    <row r="531" spans="3:56">
      <c r="C531" s="339"/>
      <c r="D531" s="339"/>
      <c r="E531" s="339"/>
      <c r="F531" s="339"/>
      <c r="G531" s="339"/>
      <c r="H531" s="339"/>
      <c r="I531" s="339"/>
      <c r="J531" s="339"/>
      <c r="K531" s="339"/>
      <c r="L531" s="339"/>
      <c r="M531" s="339"/>
      <c r="N531" s="339"/>
      <c r="O531" s="339"/>
      <c r="P531" s="339"/>
      <c r="Q531" s="339"/>
      <c r="R531" s="339"/>
      <c r="S531" s="339"/>
      <c r="T531" s="339"/>
      <c r="U531" s="339"/>
      <c r="V531" s="339"/>
      <c r="W531" s="339"/>
      <c r="X531" s="339"/>
      <c r="Y531" s="339"/>
      <c r="Z531" s="339"/>
      <c r="AA531" s="339"/>
      <c r="AB531" s="339"/>
      <c r="AC531" s="339"/>
      <c r="AD531" s="339"/>
      <c r="AE531" s="339"/>
      <c r="AF531" s="339"/>
      <c r="AG531" s="339"/>
      <c r="AH531" s="339"/>
      <c r="AI531" s="339"/>
      <c r="AJ531" s="339"/>
      <c r="AK531" s="339"/>
      <c r="AL531" s="339"/>
      <c r="AM531" s="339"/>
      <c r="AN531" s="339"/>
      <c r="AO531" s="339"/>
      <c r="AP531" s="339"/>
      <c r="AQ531" s="339"/>
      <c r="AR531" s="339"/>
      <c r="AS531" s="339"/>
      <c r="AT531" s="339"/>
      <c r="AU531" s="339"/>
      <c r="AV531" s="339"/>
      <c r="AW531" s="339"/>
      <c r="AX531" s="339"/>
      <c r="AY531" s="339"/>
      <c r="AZ531" s="339"/>
      <c r="BA531" s="339"/>
      <c r="BB531" s="339"/>
      <c r="BC531" s="339"/>
      <c r="BD531" s="339"/>
    </row>
    <row r="532" spans="3:56">
      <c r="C532" s="339"/>
      <c r="D532" s="339"/>
      <c r="E532" s="339"/>
      <c r="F532" s="339"/>
      <c r="G532" s="339"/>
      <c r="H532" s="339"/>
      <c r="I532" s="339"/>
      <c r="J532" s="339"/>
      <c r="K532" s="339"/>
      <c r="L532" s="339"/>
      <c r="M532" s="339"/>
      <c r="N532" s="339"/>
      <c r="O532" s="339"/>
      <c r="P532" s="339"/>
      <c r="Q532" s="339"/>
      <c r="R532" s="339"/>
      <c r="S532" s="339"/>
      <c r="T532" s="339"/>
      <c r="U532" s="339"/>
      <c r="V532" s="339"/>
      <c r="W532" s="339"/>
      <c r="X532" s="339"/>
      <c r="Y532" s="339"/>
      <c r="Z532" s="339"/>
      <c r="AA532" s="339"/>
      <c r="AB532" s="339"/>
      <c r="AC532" s="339"/>
      <c r="AD532" s="339"/>
      <c r="AE532" s="339"/>
      <c r="AF532" s="339"/>
      <c r="AG532" s="339"/>
      <c r="AH532" s="339"/>
      <c r="AI532" s="339"/>
      <c r="AJ532" s="339"/>
      <c r="AK532" s="339"/>
      <c r="AL532" s="339"/>
      <c r="AM532" s="339"/>
      <c r="AN532" s="339"/>
      <c r="AO532" s="339"/>
      <c r="AP532" s="339"/>
      <c r="AQ532" s="339"/>
      <c r="AR532" s="339"/>
      <c r="AS532" s="339"/>
      <c r="AT532" s="339"/>
      <c r="AU532" s="339"/>
      <c r="AV532" s="339"/>
      <c r="AW532" s="339"/>
      <c r="AX532" s="339"/>
      <c r="AY532" s="339"/>
      <c r="AZ532" s="339"/>
      <c r="BA532" s="339"/>
      <c r="BB532" s="339"/>
      <c r="BC532" s="339"/>
      <c r="BD532" s="339"/>
    </row>
    <row r="533" spans="3:56">
      <c r="C533" s="339"/>
      <c r="D533" s="339"/>
      <c r="E533" s="339"/>
      <c r="F533" s="339"/>
      <c r="G533" s="339"/>
      <c r="H533" s="339"/>
      <c r="I533" s="339"/>
      <c r="J533" s="339"/>
      <c r="K533" s="339"/>
      <c r="L533" s="339"/>
      <c r="M533" s="339"/>
      <c r="N533" s="339"/>
      <c r="O533" s="339"/>
      <c r="P533" s="339"/>
      <c r="Q533" s="339"/>
      <c r="R533" s="339"/>
      <c r="S533" s="339"/>
      <c r="T533" s="339"/>
      <c r="U533" s="339"/>
      <c r="V533" s="339"/>
      <c r="W533" s="339"/>
      <c r="X533" s="339"/>
      <c r="Y533" s="339"/>
      <c r="Z533" s="339"/>
      <c r="AA533" s="339"/>
      <c r="AB533" s="339"/>
      <c r="AC533" s="339"/>
      <c r="AD533" s="339"/>
      <c r="AE533" s="339"/>
      <c r="AF533" s="339"/>
      <c r="AG533" s="339"/>
      <c r="AH533" s="339"/>
      <c r="AI533" s="339"/>
      <c r="AJ533" s="339"/>
      <c r="AK533" s="339"/>
      <c r="AL533" s="339"/>
      <c r="AM533" s="339"/>
      <c r="AN533" s="339"/>
      <c r="AO533" s="339"/>
      <c r="AP533" s="339"/>
      <c r="AQ533" s="339"/>
      <c r="AR533" s="339"/>
      <c r="AS533" s="339"/>
      <c r="AT533" s="339"/>
      <c r="AU533" s="339"/>
      <c r="AV533" s="339"/>
      <c r="AW533" s="339"/>
      <c r="AX533" s="339"/>
      <c r="AY533" s="339"/>
      <c r="AZ533" s="339"/>
      <c r="BA533" s="339"/>
      <c r="BB533" s="339"/>
      <c r="BC533" s="339"/>
      <c r="BD533" s="339"/>
    </row>
    <row r="534" spans="3:56">
      <c r="C534" s="339"/>
      <c r="D534" s="339"/>
      <c r="E534" s="339"/>
      <c r="F534" s="339"/>
      <c r="G534" s="339"/>
      <c r="H534" s="339"/>
      <c r="I534" s="339"/>
      <c r="J534" s="339"/>
      <c r="K534" s="339"/>
      <c r="L534" s="339"/>
      <c r="M534" s="339"/>
      <c r="N534" s="339"/>
      <c r="O534" s="339"/>
      <c r="P534" s="339"/>
      <c r="Q534" s="339"/>
      <c r="R534" s="339"/>
      <c r="S534" s="339"/>
      <c r="T534" s="339"/>
      <c r="U534" s="339"/>
      <c r="V534" s="339"/>
      <c r="W534" s="339"/>
      <c r="X534" s="339"/>
      <c r="Y534" s="339"/>
      <c r="Z534" s="339"/>
      <c r="AA534" s="339"/>
      <c r="AB534" s="339"/>
      <c r="AC534" s="339"/>
      <c r="AD534" s="339"/>
      <c r="AE534" s="339"/>
      <c r="AF534" s="339"/>
      <c r="AG534" s="339"/>
      <c r="AH534" s="339"/>
      <c r="AI534" s="339"/>
      <c r="AJ534" s="339"/>
      <c r="AK534" s="339"/>
      <c r="AL534" s="339"/>
      <c r="AM534" s="339"/>
      <c r="AN534" s="339"/>
      <c r="AO534" s="339"/>
      <c r="AP534" s="339"/>
      <c r="AQ534" s="339"/>
      <c r="AR534" s="339"/>
      <c r="AS534" s="339"/>
      <c r="AT534" s="339"/>
      <c r="AU534" s="339"/>
      <c r="AV534" s="339"/>
      <c r="AW534" s="339"/>
      <c r="AX534" s="339"/>
      <c r="AY534" s="339"/>
      <c r="AZ534" s="339"/>
      <c r="BA534" s="339"/>
      <c r="BB534" s="339"/>
      <c r="BC534" s="339"/>
      <c r="BD534" s="339"/>
    </row>
    <row r="535" spans="3:56">
      <c r="C535" s="339"/>
      <c r="D535" s="339"/>
      <c r="E535" s="339"/>
      <c r="F535" s="339"/>
      <c r="G535" s="339"/>
      <c r="H535" s="339"/>
      <c r="I535" s="339"/>
      <c r="J535" s="339"/>
      <c r="K535" s="339"/>
      <c r="L535" s="339"/>
      <c r="M535" s="339"/>
      <c r="N535" s="339"/>
      <c r="O535" s="339"/>
      <c r="P535" s="339"/>
      <c r="Q535" s="339"/>
      <c r="R535" s="339"/>
      <c r="S535" s="339"/>
      <c r="T535" s="339"/>
      <c r="U535" s="339"/>
      <c r="V535" s="339"/>
      <c r="W535" s="339"/>
      <c r="X535" s="339"/>
      <c r="Y535" s="339"/>
      <c r="Z535" s="339"/>
      <c r="AA535" s="339"/>
      <c r="AB535" s="339"/>
      <c r="AC535" s="339"/>
      <c r="AD535" s="339"/>
      <c r="AE535" s="339"/>
      <c r="AF535" s="339"/>
      <c r="AG535" s="339"/>
      <c r="AH535" s="339"/>
      <c r="AI535" s="339"/>
      <c r="AJ535" s="339"/>
      <c r="AK535" s="339"/>
      <c r="AL535" s="339"/>
      <c r="AM535" s="339"/>
      <c r="AN535" s="339"/>
      <c r="AO535" s="339"/>
      <c r="AP535" s="339"/>
      <c r="AQ535" s="339"/>
      <c r="AR535" s="339"/>
      <c r="AS535" s="339"/>
      <c r="AT535" s="339"/>
      <c r="AU535" s="339"/>
      <c r="AV535" s="339"/>
      <c r="AW535" s="339"/>
      <c r="AX535" s="339"/>
      <c r="AY535" s="339"/>
      <c r="AZ535" s="339"/>
      <c r="BA535" s="339"/>
      <c r="BB535" s="339"/>
      <c r="BC535" s="339"/>
      <c r="BD535" s="339"/>
    </row>
    <row r="536" spans="3:56">
      <c r="C536" s="339"/>
      <c r="D536" s="339"/>
      <c r="E536" s="339"/>
      <c r="F536" s="339"/>
      <c r="G536" s="339"/>
      <c r="H536" s="339"/>
      <c r="I536" s="339"/>
      <c r="J536" s="339"/>
      <c r="K536" s="339"/>
      <c r="L536" s="339"/>
      <c r="M536" s="339"/>
      <c r="N536" s="339"/>
      <c r="O536" s="339"/>
      <c r="P536" s="339"/>
      <c r="Q536" s="339"/>
      <c r="R536" s="339"/>
      <c r="S536" s="339"/>
      <c r="T536" s="339"/>
      <c r="U536" s="339"/>
      <c r="V536" s="339"/>
      <c r="W536" s="339"/>
      <c r="X536" s="339"/>
      <c r="Y536" s="339"/>
      <c r="Z536" s="339"/>
      <c r="AA536" s="339"/>
      <c r="AB536" s="339"/>
      <c r="AC536" s="339"/>
      <c r="AD536" s="339"/>
      <c r="AE536" s="339"/>
      <c r="AF536" s="339"/>
      <c r="AG536" s="339"/>
      <c r="AH536" s="339"/>
      <c r="AI536" s="339"/>
      <c r="AJ536" s="339"/>
      <c r="AK536" s="339"/>
      <c r="AL536" s="339"/>
      <c r="AM536" s="339"/>
      <c r="AN536" s="339"/>
      <c r="AO536" s="339"/>
      <c r="AP536" s="339"/>
      <c r="AQ536" s="339"/>
      <c r="AR536" s="339"/>
      <c r="AS536" s="339"/>
      <c r="AT536" s="339"/>
      <c r="AU536" s="339"/>
      <c r="AV536" s="339"/>
      <c r="AW536" s="339"/>
      <c r="AX536" s="339"/>
      <c r="AY536" s="339"/>
      <c r="AZ536" s="339"/>
      <c r="BA536" s="339"/>
      <c r="BB536" s="339"/>
      <c r="BC536" s="339"/>
      <c r="BD536" s="339"/>
    </row>
    <row r="537" spans="3:56">
      <c r="C537" s="339"/>
      <c r="D537" s="339"/>
      <c r="E537" s="339"/>
      <c r="F537" s="339"/>
      <c r="G537" s="339"/>
      <c r="H537" s="339"/>
      <c r="I537" s="339"/>
      <c r="J537" s="339"/>
      <c r="K537" s="339"/>
      <c r="L537" s="339"/>
      <c r="M537" s="339"/>
      <c r="N537" s="339"/>
      <c r="O537" s="339"/>
      <c r="P537" s="339"/>
      <c r="Q537" s="339"/>
      <c r="R537" s="339"/>
      <c r="S537" s="339"/>
      <c r="T537" s="339"/>
      <c r="U537" s="339"/>
      <c r="V537" s="339"/>
      <c r="W537" s="339"/>
      <c r="X537" s="339"/>
      <c r="Y537" s="339"/>
      <c r="Z537" s="339"/>
      <c r="AA537" s="339"/>
      <c r="AB537" s="339"/>
      <c r="AC537" s="339"/>
      <c r="AD537" s="339"/>
      <c r="AE537" s="339"/>
      <c r="AF537" s="339"/>
      <c r="AG537" s="339"/>
      <c r="AH537" s="339"/>
      <c r="AI537" s="339"/>
      <c r="AJ537" s="339"/>
      <c r="AK537" s="339"/>
      <c r="AL537" s="339"/>
      <c r="AM537" s="339"/>
      <c r="AN537" s="339"/>
      <c r="AO537" s="339"/>
      <c r="AP537" s="339"/>
      <c r="AQ537" s="339"/>
      <c r="AR537" s="339"/>
      <c r="AS537" s="339"/>
      <c r="AT537" s="339"/>
      <c r="AU537" s="339"/>
      <c r="AV537" s="339"/>
      <c r="AW537" s="339"/>
      <c r="AX537" s="339"/>
      <c r="AY537" s="339"/>
      <c r="AZ537" s="339"/>
      <c r="BA537" s="339"/>
      <c r="BB537" s="339"/>
      <c r="BC537" s="339"/>
      <c r="BD537" s="339"/>
    </row>
    <row r="538" spans="3:56">
      <c r="C538" s="339"/>
      <c r="D538" s="339"/>
      <c r="E538" s="339"/>
      <c r="F538" s="339"/>
      <c r="G538" s="339"/>
      <c r="H538" s="339"/>
      <c r="I538" s="339"/>
      <c r="J538" s="339"/>
      <c r="K538" s="339"/>
      <c r="L538" s="339"/>
      <c r="M538" s="339"/>
      <c r="N538" s="339"/>
      <c r="O538" s="339"/>
      <c r="P538" s="339"/>
      <c r="Q538" s="339"/>
      <c r="R538" s="339"/>
      <c r="S538" s="339"/>
      <c r="T538" s="339"/>
      <c r="U538" s="339"/>
      <c r="V538" s="339"/>
      <c r="W538" s="339"/>
      <c r="X538" s="339"/>
      <c r="Y538" s="339"/>
      <c r="Z538" s="339"/>
      <c r="AA538" s="339"/>
      <c r="AB538" s="339"/>
      <c r="AC538" s="339"/>
      <c r="AD538" s="339"/>
      <c r="AE538" s="339"/>
      <c r="AF538" s="339"/>
      <c r="AG538" s="339"/>
      <c r="AH538" s="339"/>
      <c r="AI538" s="339"/>
      <c r="AJ538" s="339"/>
      <c r="AK538" s="339"/>
      <c r="AL538" s="339"/>
      <c r="AM538" s="339"/>
      <c r="AN538" s="339"/>
      <c r="AO538" s="339"/>
      <c r="AP538" s="339"/>
      <c r="AQ538" s="339"/>
      <c r="AR538" s="339"/>
      <c r="AS538" s="339"/>
      <c r="AT538" s="339"/>
      <c r="AU538" s="339"/>
      <c r="AV538" s="339"/>
      <c r="AW538" s="339"/>
      <c r="AX538" s="339"/>
      <c r="AY538" s="339"/>
      <c r="AZ538" s="339"/>
      <c r="BA538" s="339"/>
      <c r="BB538" s="339"/>
      <c r="BC538" s="339"/>
      <c r="BD538" s="339"/>
    </row>
    <row r="539" spans="3:56">
      <c r="C539" s="339"/>
      <c r="D539" s="339"/>
      <c r="E539" s="339"/>
      <c r="F539" s="339"/>
      <c r="G539" s="339"/>
      <c r="H539" s="339"/>
      <c r="I539" s="339"/>
      <c r="J539" s="339"/>
      <c r="K539" s="339"/>
      <c r="L539" s="339"/>
      <c r="M539" s="339"/>
      <c r="N539" s="339"/>
      <c r="O539" s="339"/>
      <c r="P539" s="339"/>
      <c r="Q539" s="339"/>
      <c r="R539" s="339"/>
      <c r="S539" s="339"/>
      <c r="T539" s="339"/>
      <c r="U539" s="339"/>
      <c r="V539" s="339"/>
      <c r="W539" s="339"/>
      <c r="X539" s="339"/>
      <c r="Y539" s="339"/>
      <c r="Z539" s="339"/>
      <c r="AA539" s="339"/>
      <c r="AB539" s="339"/>
      <c r="AC539" s="339"/>
      <c r="AD539" s="339"/>
      <c r="AE539" s="339"/>
      <c r="AF539" s="339"/>
      <c r="AG539" s="339"/>
      <c r="AH539" s="339"/>
      <c r="AI539" s="339"/>
      <c r="AJ539" s="339"/>
      <c r="AK539" s="339"/>
      <c r="AL539" s="339"/>
      <c r="AM539" s="339"/>
      <c r="AN539" s="339"/>
      <c r="AO539" s="339"/>
      <c r="AP539" s="339"/>
      <c r="AQ539" s="339"/>
      <c r="AR539" s="339"/>
      <c r="AS539" s="339"/>
      <c r="AT539" s="339"/>
      <c r="AU539" s="339"/>
      <c r="AV539" s="339"/>
      <c r="AW539" s="339"/>
      <c r="AX539" s="339"/>
      <c r="AY539" s="339"/>
      <c r="AZ539" s="339"/>
      <c r="BA539" s="339"/>
      <c r="BB539" s="339"/>
      <c r="BC539" s="339"/>
      <c r="BD539" s="339"/>
    </row>
    <row r="540" spans="3:56">
      <c r="C540" s="339"/>
      <c r="D540" s="339"/>
      <c r="E540" s="339"/>
      <c r="F540" s="339"/>
      <c r="G540" s="339"/>
      <c r="H540" s="339"/>
      <c r="I540" s="339"/>
      <c r="J540" s="339"/>
      <c r="K540" s="339"/>
      <c r="L540" s="339"/>
      <c r="M540" s="339"/>
      <c r="N540" s="339"/>
      <c r="O540" s="339"/>
      <c r="P540" s="339"/>
      <c r="Q540" s="339"/>
      <c r="R540" s="339"/>
      <c r="S540" s="339"/>
      <c r="T540" s="339"/>
      <c r="U540" s="339"/>
      <c r="V540" s="339"/>
      <c r="W540" s="339"/>
      <c r="X540" s="339"/>
      <c r="Y540" s="339"/>
      <c r="Z540" s="339"/>
      <c r="AA540" s="339"/>
      <c r="AB540" s="339"/>
      <c r="AC540" s="339"/>
      <c r="AD540" s="339"/>
      <c r="AE540" s="339"/>
      <c r="AF540" s="339"/>
      <c r="AG540" s="339"/>
      <c r="AH540" s="339"/>
      <c r="AI540" s="339"/>
      <c r="AJ540" s="339"/>
      <c r="AK540" s="339"/>
      <c r="AL540" s="339"/>
      <c r="AM540" s="339"/>
      <c r="AN540" s="339"/>
      <c r="AO540" s="339"/>
      <c r="AP540" s="339"/>
      <c r="AQ540" s="339"/>
      <c r="AR540" s="339"/>
      <c r="AS540" s="339"/>
      <c r="AT540" s="339"/>
      <c r="AU540" s="339"/>
      <c r="AV540" s="339"/>
      <c r="AW540" s="339"/>
      <c r="AX540" s="339"/>
      <c r="AY540" s="339"/>
      <c r="AZ540" s="339"/>
      <c r="BA540" s="339"/>
      <c r="BB540" s="339"/>
      <c r="BC540" s="339"/>
      <c r="BD540" s="339"/>
    </row>
    <row r="541" spans="3:56">
      <c r="C541" s="339"/>
      <c r="D541" s="339"/>
      <c r="E541" s="339"/>
      <c r="F541" s="339"/>
      <c r="G541" s="339"/>
      <c r="H541" s="339"/>
      <c r="I541" s="339"/>
      <c r="J541" s="339"/>
      <c r="K541" s="339"/>
      <c r="L541" s="339"/>
      <c r="M541" s="339"/>
      <c r="N541" s="339"/>
      <c r="O541" s="339"/>
      <c r="P541" s="339"/>
      <c r="Q541" s="339"/>
      <c r="R541" s="339"/>
      <c r="S541" s="339"/>
      <c r="T541" s="339"/>
      <c r="U541" s="339"/>
      <c r="V541" s="339"/>
      <c r="W541" s="339"/>
      <c r="X541" s="339"/>
      <c r="Y541" s="339"/>
      <c r="Z541" s="339"/>
      <c r="AA541" s="339"/>
      <c r="AB541" s="339"/>
      <c r="AC541" s="339"/>
      <c r="AD541" s="339"/>
      <c r="AE541" s="339"/>
      <c r="AF541" s="339"/>
      <c r="AG541" s="339"/>
      <c r="AH541" s="339"/>
      <c r="AI541" s="339"/>
      <c r="AJ541" s="339"/>
      <c r="AK541" s="339"/>
      <c r="AL541" s="339"/>
      <c r="AM541" s="339"/>
      <c r="AN541" s="339"/>
      <c r="AO541" s="339"/>
      <c r="AP541" s="339"/>
      <c r="AQ541" s="339"/>
      <c r="AR541" s="339"/>
      <c r="AS541" s="339"/>
      <c r="AT541" s="339"/>
      <c r="AU541" s="339"/>
      <c r="AV541" s="339"/>
      <c r="AW541" s="339"/>
      <c r="AX541" s="339"/>
      <c r="AY541" s="339"/>
      <c r="AZ541" s="339"/>
      <c r="BA541" s="339"/>
      <c r="BB541" s="339"/>
      <c r="BC541" s="339"/>
      <c r="BD541" s="339"/>
    </row>
    <row r="542" spans="3:56">
      <c r="C542" s="339"/>
      <c r="D542" s="339"/>
      <c r="E542" s="339"/>
      <c r="F542" s="339"/>
      <c r="G542" s="339"/>
      <c r="H542" s="339"/>
      <c r="I542" s="339"/>
      <c r="J542" s="339"/>
      <c r="K542" s="339"/>
      <c r="L542" s="339"/>
      <c r="M542" s="339"/>
      <c r="N542" s="339"/>
      <c r="O542" s="339"/>
      <c r="P542" s="339"/>
      <c r="Q542" s="339"/>
      <c r="R542" s="339"/>
      <c r="S542" s="339"/>
      <c r="T542" s="339"/>
      <c r="U542" s="339"/>
      <c r="V542" s="339"/>
      <c r="W542" s="339"/>
      <c r="X542" s="339"/>
      <c r="Y542" s="339"/>
      <c r="Z542" s="339"/>
      <c r="AA542" s="339"/>
      <c r="AB542" s="339"/>
      <c r="AC542" s="339"/>
      <c r="AD542" s="339"/>
      <c r="AE542" s="339"/>
      <c r="AF542" s="339"/>
      <c r="AG542" s="339"/>
      <c r="AH542" s="339"/>
      <c r="AI542" s="339"/>
      <c r="AJ542" s="339"/>
      <c r="AK542" s="339"/>
      <c r="AL542" s="339"/>
      <c r="AM542" s="339"/>
      <c r="AN542" s="339"/>
      <c r="AO542" s="339"/>
      <c r="AP542" s="339"/>
      <c r="AQ542" s="339"/>
      <c r="AR542" s="339"/>
      <c r="AS542" s="339"/>
      <c r="AT542" s="339"/>
      <c r="AU542" s="339"/>
      <c r="AV542" s="339"/>
      <c r="AW542" s="339"/>
      <c r="AX542" s="339"/>
      <c r="AY542" s="339"/>
      <c r="AZ542" s="339"/>
      <c r="BA542" s="339"/>
      <c r="BB542" s="339"/>
      <c r="BC542" s="339"/>
      <c r="BD542" s="339"/>
    </row>
    <row r="543" spans="3:56">
      <c r="C543" s="339"/>
      <c r="D543" s="339"/>
      <c r="E543" s="339"/>
      <c r="F543" s="339"/>
      <c r="G543" s="339"/>
      <c r="H543" s="339"/>
      <c r="I543" s="339"/>
      <c r="J543" s="339"/>
      <c r="K543" s="339"/>
      <c r="L543" s="339"/>
      <c r="M543" s="339"/>
      <c r="N543" s="339"/>
      <c r="O543" s="339"/>
      <c r="P543" s="339"/>
      <c r="Q543" s="339"/>
      <c r="R543" s="339"/>
      <c r="S543" s="339"/>
      <c r="T543" s="339"/>
      <c r="U543" s="339"/>
      <c r="V543" s="339"/>
      <c r="W543" s="339"/>
      <c r="X543" s="339"/>
      <c r="Y543" s="339"/>
      <c r="Z543" s="339"/>
      <c r="AA543" s="339"/>
      <c r="AB543" s="339"/>
      <c r="AC543" s="339"/>
      <c r="AD543" s="339"/>
      <c r="AE543" s="339"/>
      <c r="AF543" s="339"/>
      <c r="AG543" s="339"/>
      <c r="AH543" s="339"/>
      <c r="AI543" s="339"/>
      <c r="AJ543" s="339"/>
      <c r="AK543" s="339"/>
      <c r="AL543" s="339"/>
      <c r="AM543" s="339"/>
      <c r="AN543" s="339"/>
      <c r="AO543" s="339"/>
      <c r="AP543" s="339"/>
      <c r="AQ543" s="339"/>
      <c r="AR543" s="339"/>
      <c r="AS543" s="339"/>
      <c r="AT543" s="339"/>
      <c r="AU543" s="339"/>
      <c r="AV543" s="339"/>
      <c r="AW543" s="339"/>
      <c r="AX543" s="339"/>
      <c r="AY543" s="339"/>
      <c r="AZ543" s="339"/>
      <c r="BA543" s="339"/>
      <c r="BB543" s="339"/>
      <c r="BC543" s="339"/>
      <c r="BD543" s="339"/>
    </row>
    <row r="544" spans="3:56">
      <c r="C544" s="339"/>
      <c r="D544" s="339"/>
      <c r="E544" s="339"/>
      <c r="F544" s="339"/>
      <c r="G544" s="339"/>
      <c r="H544" s="339"/>
      <c r="I544" s="339"/>
      <c r="J544" s="339"/>
      <c r="K544" s="339"/>
      <c r="L544" s="339"/>
      <c r="M544" s="339"/>
      <c r="N544" s="339"/>
      <c r="O544" s="339"/>
      <c r="P544" s="339"/>
      <c r="Q544" s="339"/>
      <c r="R544" s="339"/>
      <c r="S544" s="339"/>
      <c r="T544" s="339"/>
      <c r="U544" s="339"/>
      <c r="V544" s="339"/>
      <c r="W544" s="339"/>
      <c r="X544" s="339"/>
      <c r="Y544" s="339"/>
      <c r="Z544" s="339"/>
      <c r="AA544" s="339"/>
      <c r="AB544" s="339"/>
      <c r="AC544" s="339"/>
      <c r="AD544" s="339"/>
      <c r="AE544" s="339"/>
      <c r="AF544" s="339"/>
      <c r="AG544" s="339"/>
      <c r="AH544" s="339"/>
      <c r="AI544" s="339"/>
      <c r="AJ544" s="339"/>
      <c r="AK544" s="339"/>
      <c r="AL544" s="339"/>
      <c r="AM544" s="339"/>
      <c r="AN544" s="339"/>
      <c r="AO544" s="339"/>
      <c r="AP544" s="339"/>
      <c r="AQ544" s="339"/>
      <c r="AR544" s="339"/>
      <c r="AS544" s="339"/>
      <c r="AT544" s="339"/>
      <c r="AU544" s="339"/>
      <c r="AV544" s="339"/>
      <c r="AW544" s="339"/>
      <c r="AX544" s="339"/>
      <c r="AY544" s="339"/>
      <c r="AZ544" s="339"/>
      <c r="BA544" s="339"/>
      <c r="BB544" s="339"/>
      <c r="BC544" s="339"/>
      <c r="BD544" s="339"/>
    </row>
    <row r="545" spans="3:56">
      <c r="C545" s="339"/>
      <c r="D545" s="339"/>
      <c r="E545" s="339"/>
      <c r="F545" s="339"/>
      <c r="G545" s="339"/>
      <c r="H545" s="339"/>
      <c r="I545" s="339"/>
      <c r="J545" s="339"/>
      <c r="K545" s="339"/>
      <c r="L545" s="339"/>
      <c r="M545" s="339"/>
      <c r="N545" s="339"/>
      <c r="O545" s="339"/>
      <c r="P545" s="339"/>
      <c r="Q545" s="339"/>
      <c r="R545" s="339"/>
      <c r="S545" s="339"/>
      <c r="T545" s="339"/>
      <c r="U545" s="339"/>
      <c r="V545" s="339"/>
      <c r="W545" s="339"/>
      <c r="X545" s="339"/>
      <c r="Y545" s="339"/>
      <c r="Z545" s="339"/>
      <c r="AA545" s="339"/>
      <c r="AB545" s="339"/>
      <c r="AC545" s="339"/>
      <c r="AD545" s="339"/>
      <c r="AE545" s="339"/>
      <c r="AF545" s="339"/>
      <c r="AG545" s="339"/>
      <c r="AH545" s="339"/>
      <c r="AI545" s="339"/>
      <c r="AJ545" s="339"/>
      <c r="AK545" s="339"/>
      <c r="AL545" s="339"/>
      <c r="AM545" s="339"/>
      <c r="AN545" s="339"/>
      <c r="AO545" s="339"/>
      <c r="AP545" s="339"/>
      <c r="AQ545" s="339"/>
      <c r="AR545" s="339"/>
      <c r="AS545" s="339"/>
      <c r="AT545" s="339"/>
      <c r="AU545" s="339"/>
      <c r="AV545" s="339"/>
      <c r="AW545" s="339"/>
      <c r="AX545" s="339"/>
      <c r="AY545" s="339"/>
      <c r="AZ545" s="339"/>
      <c r="BA545" s="339"/>
      <c r="BB545" s="339"/>
      <c r="BC545" s="339"/>
      <c r="BD545" s="339"/>
    </row>
    <row r="546" spans="3:56">
      <c r="C546" s="339"/>
      <c r="D546" s="339"/>
      <c r="E546" s="339"/>
      <c r="F546" s="339"/>
      <c r="G546" s="339"/>
      <c r="H546" s="339"/>
      <c r="I546" s="339"/>
      <c r="J546" s="339"/>
      <c r="K546" s="339"/>
      <c r="L546" s="339"/>
      <c r="M546" s="339"/>
      <c r="N546" s="339"/>
      <c r="O546" s="339"/>
      <c r="P546" s="339"/>
      <c r="Q546" s="339"/>
      <c r="R546" s="339"/>
      <c r="S546" s="339"/>
      <c r="T546" s="339"/>
      <c r="U546" s="339"/>
      <c r="V546" s="339"/>
      <c r="W546" s="339"/>
      <c r="X546" s="339"/>
      <c r="Y546" s="339"/>
      <c r="Z546" s="339"/>
      <c r="AA546" s="339"/>
      <c r="AB546" s="339"/>
      <c r="AC546" s="339"/>
      <c r="AD546" s="339"/>
      <c r="AE546" s="339"/>
      <c r="AF546" s="339"/>
      <c r="AG546" s="339"/>
      <c r="AH546" s="339"/>
      <c r="AI546" s="339"/>
      <c r="AJ546" s="339"/>
      <c r="AK546" s="339"/>
      <c r="AL546" s="339"/>
      <c r="AM546" s="339"/>
      <c r="AN546" s="339"/>
      <c r="AO546" s="339"/>
      <c r="AP546" s="339"/>
      <c r="AQ546" s="339"/>
      <c r="AR546" s="339"/>
      <c r="AS546" s="339"/>
      <c r="AT546" s="339"/>
      <c r="AU546" s="339"/>
      <c r="AV546" s="339"/>
      <c r="AW546" s="339"/>
      <c r="AX546" s="339"/>
      <c r="AY546" s="339"/>
      <c r="AZ546" s="339"/>
      <c r="BA546" s="339"/>
      <c r="BB546" s="339"/>
      <c r="BC546" s="339"/>
      <c r="BD546" s="339"/>
    </row>
    <row r="547" spans="3:56">
      <c r="C547" s="339"/>
      <c r="D547" s="339"/>
      <c r="E547" s="339"/>
      <c r="F547" s="339"/>
      <c r="G547" s="339"/>
      <c r="H547" s="339"/>
      <c r="I547" s="339"/>
      <c r="J547" s="339"/>
      <c r="K547" s="339"/>
      <c r="L547" s="339"/>
      <c r="M547" s="339"/>
      <c r="N547" s="339"/>
      <c r="O547" s="339"/>
      <c r="P547" s="339"/>
      <c r="Q547" s="339"/>
      <c r="R547" s="339"/>
      <c r="S547" s="339"/>
      <c r="T547" s="339"/>
      <c r="U547" s="339"/>
      <c r="V547" s="339"/>
      <c r="W547" s="339"/>
      <c r="X547" s="339"/>
      <c r="Y547" s="339"/>
      <c r="Z547" s="339"/>
      <c r="AA547" s="339"/>
      <c r="AB547" s="339"/>
      <c r="AC547" s="339"/>
      <c r="AD547" s="339"/>
      <c r="AE547" s="339"/>
      <c r="AF547" s="339"/>
      <c r="AG547" s="339"/>
      <c r="AH547" s="339"/>
      <c r="AI547" s="339"/>
      <c r="AJ547" s="339"/>
      <c r="AK547" s="339"/>
      <c r="AL547" s="339"/>
      <c r="AM547" s="339"/>
      <c r="AN547" s="339"/>
      <c r="AO547" s="339"/>
      <c r="AP547" s="339"/>
      <c r="AQ547" s="339"/>
      <c r="AR547" s="339"/>
      <c r="AS547" s="339"/>
      <c r="AT547" s="339"/>
      <c r="AU547" s="339"/>
      <c r="AV547" s="339"/>
      <c r="AW547" s="339"/>
      <c r="AX547" s="339"/>
      <c r="AY547" s="339"/>
      <c r="AZ547" s="339"/>
      <c r="BA547" s="339"/>
      <c r="BB547" s="339"/>
      <c r="BC547" s="339"/>
      <c r="BD547" s="339"/>
    </row>
    <row r="548" spans="3:56">
      <c r="C548" s="339"/>
      <c r="D548" s="339"/>
      <c r="E548" s="339"/>
      <c r="F548" s="339"/>
      <c r="G548" s="339"/>
      <c r="H548" s="339"/>
      <c r="I548" s="339"/>
      <c r="J548" s="339"/>
      <c r="K548" s="339"/>
      <c r="L548" s="339"/>
      <c r="M548" s="339"/>
      <c r="N548" s="339"/>
      <c r="O548" s="339"/>
      <c r="P548" s="339"/>
      <c r="Q548" s="339"/>
      <c r="R548" s="339"/>
      <c r="S548" s="339"/>
      <c r="T548" s="339"/>
      <c r="U548" s="339"/>
      <c r="V548" s="339"/>
      <c r="W548" s="339"/>
      <c r="X548" s="339"/>
      <c r="Y548" s="339"/>
      <c r="Z548" s="339"/>
      <c r="AA548" s="339"/>
      <c r="AB548" s="339"/>
      <c r="AC548" s="339"/>
      <c r="AD548" s="339"/>
      <c r="AE548" s="339"/>
      <c r="AF548" s="339"/>
      <c r="AG548" s="339"/>
      <c r="AH548" s="339"/>
      <c r="AI548" s="339"/>
      <c r="AJ548" s="339"/>
      <c r="AK548" s="339"/>
      <c r="AL548" s="339"/>
      <c r="AM548" s="339"/>
      <c r="AN548" s="339"/>
      <c r="AO548" s="339"/>
      <c r="AP548" s="339"/>
      <c r="AQ548" s="339"/>
      <c r="AR548" s="339"/>
      <c r="AS548" s="339"/>
      <c r="AT548" s="339"/>
      <c r="AU548" s="339"/>
      <c r="AV548" s="339"/>
      <c r="AW548" s="339"/>
      <c r="AX548" s="339"/>
      <c r="AY548" s="339"/>
      <c r="AZ548" s="339"/>
      <c r="BA548" s="339"/>
      <c r="BB548" s="339"/>
      <c r="BC548" s="339"/>
      <c r="BD548" s="339"/>
    </row>
    <row r="549" spans="3:56">
      <c r="C549" s="339"/>
      <c r="D549" s="339"/>
      <c r="E549" s="339"/>
      <c r="F549" s="339"/>
      <c r="G549" s="339"/>
      <c r="H549" s="339"/>
      <c r="I549" s="339"/>
      <c r="J549" s="339"/>
      <c r="K549" s="339"/>
      <c r="L549" s="339"/>
      <c r="M549" s="339"/>
      <c r="N549" s="339"/>
      <c r="O549" s="339"/>
      <c r="P549" s="339"/>
      <c r="Q549" s="339"/>
      <c r="R549" s="339"/>
      <c r="S549" s="339"/>
      <c r="T549" s="339"/>
      <c r="U549" s="339"/>
      <c r="V549" s="339"/>
      <c r="W549" s="339"/>
      <c r="X549" s="339"/>
      <c r="Y549" s="339"/>
      <c r="Z549" s="339"/>
      <c r="AA549" s="339"/>
      <c r="AB549" s="339"/>
      <c r="AC549" s="339"/>
      <c r="AD549" s="339"/>
      <c r="AE549" s="339"/>
      <c r="AF549" s="339"/>
      <c r="AG549" s="339"/>
      <c r="AH549" s="339"/>
      <c r="AI549" s="339"/>
      <c r="AJ549" s="339"/>
      <c r="AK549" s="339"/>
      <c r="AL549" s="339"/>
      <c r="AM549" s="339"/>
      <c r="AN549" s="339"/>
      <c r="AO549" s="339"/>
      <c r="AP549" s="339"/>
      <c r="AQ549" s="339"/>
      <c r="AR549" s="339"/>
      <c r="AS549" s="339"/>
      <c r="AT549" s="339"/>
      <c r="AU549" s="339"/>
      <c r="AV549" s="339"/>
      <c r="AW549" s="339"/>
      <c r="AX549" s="339"/>
      <c r="AY549" s="339"/>
      <c r="AZ549" s="339"/>
      <c r="BA549" s="339"/>
      <c r="BB549" s="339"/>
      <c r="BC549" s="339"/>
      <c r="BD549" s="339"/>
    </row>
    <row r="550" spans="3:56">
      <c r="C550" s="339"/>
      <c r="D550" s="339"/>
      <c r="E550" s="339"/>
      <c r="F550" s="339"/>
      <c r="G550" s="339"/>
      <c r="H550" s="339"/>
      <c r="I550" s="339"/>
      <c r="J550" s="339"/>
      <c r="K550" s="339"/>
      <c r="L550" s="339"/>
      <c r="M550" s="339"/>
      <c r="N550" s="339"/>
      <c r="O550" s="339"/>
      <c r="P550" s="339"/>
      <c r="Q550" s="339"/>
      <c r="R550" s="339"/>
      <c r="S550" s="339"/>
      <c r="T550" s="339"/>
      <c r="U550" s="339"/>
      <c r="V550" s="339"/>
      <c r="W550" s="339"/>
      <c r="X550" s="339"/>
      <c r="Y550" s="339"/>
      <c r="Z550" s="339"/>
      <c r="AA550" s="339"/>
      <c r="AB550" s="339"/>
      <c r="AC550" s="339"/>
      <c r="AD550" s="339"/>
      <c r="AE550" s="339"/>
      <c r="AF550" s="339"/>
      <c r="AG550" s="339"/>
      <c r="AH550" s="339"/>
      <c r="AI550" s="339"/>
      <c r="AJ550" s="339"/>
      <c r="AK550" s="339"/>
      <c r="AL550" s="339"/>
      <c r="AM550" s="339"/>
      <c r="AN550" s="339"/>
      <c r="AO550" s="339"/>
      <c r="AP550" s="339"/>
      <c r="AQ550" s="339"/>
      <c r="AR550" s="339"/>
      <c r="AS550" s="339"/>
      <c r="AT550" s="339"/>
      <c r="AU550" s="339"/>
      <c r="AV550" s="339"/>
      <c r="AW550" s="339"/>
      <c r="AX550" s="339"/>
      <c r="AY550" s="339"/>
      <c r="AZ550" s="339"/>
      <c r="BA550" s="339"/>
      <c r="BB550" s="339"/>
      <c r="BC550" s="339"/>
      <c r="BD550" s="339"/>
    </row>
    <row r="551" spans="3:56">
      <c r="C551" s="339"/>
      <c r="D551" s="339"/>
      <c r="E551" s="339"/>
      <c r="F551" s="339"/>
      <c r="G551" s="339"/>
      <c r="H551" s="339"/>
      <c r="I551" s="339"/>
      <c r="J551" s="339"/>
      <c r="K551" s="339"/>
      <c r="L551" s="339"/>
      <c r="M551" s="339"/>
      <c r="N551" s="339"/>
      <c r="O551" s="339"/>
      <c r="P551" s="339"/>
      <c r="Q551" s="339"/>
      <c r="R551" s="339"/>
      <c r="S551" s="339"/>
      <c r="T551" s="339"/>
      <c r="U551" s="339"/>
      <c r="V551" s="339"/>
      <c r="W551" s="339"/>
      <c r="X551" s="339"/>
      <c r="Y551" s="339"/>
      <c r="Z551" s="339"/>
      <c r="AA551" s="339"/>
      <c r="AB551" s="339"/>
      <c r="AC551" s="339"/>
      <c r="AD551" s="339"/>
      <c r="AE551" s="339"/>
      <c r="AF551" s="339"/>
      <c r="AG551" s="339"/>
      <c r="AH551" s="339"/>
      <c r="AI551" s="339"/>
      <c r="AJ551" s="339"/>
      <c r="AK551" s="339"/>
      <c r="AL551" s="339"/>
      <c r="AM551" s="339"/>
      <c r="AN551" s="339"/>
      <c r="AO551" s="339"/>
      <c r="AP551" s="339"/>
      <c r="AQ551" s="339"/>
      <c r="AR551" s="339"/>
      <c r="AS551" s="339"/>
      <c r="AT551" s="339"/>
      <c r="AU551" s="339"/>
      <c r="AV551" s="339"/>
      <c r="AW551" s="339"/>
      <c r="AX551" s="339"/>
      <c r="AY551" s="339"/>
      <c r="AZ551" s="339"/>
      <c r="BA551" s="339"/>
      <c r="BB551" s="339"/>
      <c r="BC551" s="339"/>
      <c r="BD551" s="339"/>
    </row>
    <row r="552" spans="3:56">
      <c r="C552" s="339"/>
      <c r="D552" s="339"/>
      <c r="E552" s="339"/>
      <c r="F552" s="339"/>
      <c r="G552" s="339"/>
      <c r="H552" s="339"/>
      <c r="I552" s="339"/>
      <c r="J552" s="339"/>
      <c r="K552" s="339"/>
      <c r="L552" s="339"/>
      <c r="M552" s="339"/>
      <c r="N552" s="339"/>
      <c r="O552" s="339"/>
      <c r="P552" s="339"/>
      <c r="Q552" s="339"/>
      <c r="R552" s="339"/>
      <c r="S552" s="339"/>
      <c r="T552" s="339"/>
      <c r="U552" s="339"/>
      <c r="V552" s="339"/>
      <c r="W552" s="339"/>
      <c r="X552" s="339"/>
      <c r="Y552" s="339"/>
      <c r="Z552" s="339"/>
      <c r="AA552" s="339"/>
      <c r="AB552" s="339"/>
      <c r="AC552" s="339"/>
      <c r="AD552" s="339"/>
      <c r="AE552" s="339"/>
      <c r="AF552" s="339"/>
      <c r="AG552" s="339"/>
      <c r="AH552" s="339"/>
      <c r="AI552" s="339"/>
      <c r="AJ552" s="339"/>
      <c r="AK552" s="339"/>
      <c r="AL552" s="339"/>
      <c r="AM552" s="339"/>
      <c r="AN552" s="339"/>
      <c r="AO552" s="339"/>
      <c r="AP552" s="339"/>
      <c r="AQ552" s="339"/>
      <c r="AR552" s="339"/>
      <c r="AS552" s="339"/>
      <c r="AT552" s="339"/>
      <c r="AU552" s="339"/>
      <c r="AV552" s="339"/>
      <c r="AW552" s="339"/>
      <c r="AX552" s="339"/>
      <c r="AY552" s="339"/>
      <c r="AZ552" s="339"/>
      <c r="BA552" s="339"/>
      <c r="BB552" s="339"/>
      <c r="BC552" s="339"/>
      <c r="BD552" s="339"/>
    </row>
    <row r="553" spans="3:56">
      <c r="C553" s="339"/>
      <c r="D553" s="339"/>
      <c r="E553" s="339"/>
      <c r="F553" s="339"/>
      <c r="G553" s="339"/>
      <c r="H553" s="339"/>
      <c r="I553" s="339"/>
      <c r="J553" s="339"/>
      <c r="K553" s="339"/>
      <c r="L553" s="339"/>
      <c r="M553" s="339"/>
      <c r="N553" s="339"/>
      <c r="O553" s="339"/>
      <c r="P553" s="339"/>
      <c r="Q553" s="339"/>
      <c r="R553" s="339"/>
      <c r="S553" s="339"/>
      <c r="T553" s="339"/>
      <c r="U553" s="339"/>
      <c r="V553" s="339"/>
      <c r="W553" s="339"/>
      <c r="X553" s="339"/>
      <c r="Y553" s="339"/>
      <c r="Z553" s="339"/>
      <c r="AA553" s="339"/>
      <c r="AB553" s="339"/>
      <c r="AC553" s="339"/>
      <c r="AD553" s="339"/>
      <c r="AE553" s="339"/>
      <c r="AF553" s="339"/>
      <c r="AG553" s="339"/>
      <c r="AH553" s="339"/>
      <c r="AI553" s="339"/>
      <c r="AJ553" s="339"/>
      <c r="AK553" s="339"/>
      <c r="AL553" s="339"/>
      <c r="AM553" s="339"/>
      <c r="AN553" s="339"/>
      <c r="AO553" s="339"/>
      <c r="AP553" s="339"/>
      <c r="AQ553" s="339"/>
      <c r="AR553" s="339"/>
      <c r="AS553" s="339"/>
      <c r="AT553" s="339"/>
      <c r="AU553" s="339"/>
      <c r="AV553" s="339"/>
      <c r="AW553" s="339"/>
      <c r="AX553" s="339"/>
      <c r="AY553" s="339"/>
      <c r="AZ553" s="339"/>
      <c r="BA553" s="339"/>
      <c r="BB553" s="339"/>
      <c r="BC553" s="339"/>
      <c r="BD553" s="339"/>
    </row>
    <row r="554" spans="3:56">
      <c r="C554" s="339"/>
      <c r="D554" s="339"/>
      <c r="E554" s="339"/>
      <c r="F554" s="339"/>
      <c r="G554" s="339"/>
      <c r="H554" s="339"/>
      <c r="I554" s="339"/>
      <c r="J554" s="339"/>
      <c r="K554" s="339"/>
      <c r="L554" s="339"/>
      <c r="M554" s="339"/>
      <c r="N554" s="339"/>
      <c r="O554" s="339"/>
      <c r="P554" s="339"/>
      <c r="Q554" s="339"/>
      <c r="R554" s="339"/>
      <c r="S554" s="339"/>
      <c r="T554" s="339"/>
      <c r="U554" s="339"/>
      <c r="V554" s="339"/>
      <c r="W554" s="339"/>
      <c r="X554" s="339"/>
      <c r="Y554" s="339"/>
      <c r="Z554" s="339"/>
      <c r="AA554" s="339"/>
      <c r="AB554" s="339"/>
      <c r="AC554" s="339"/>
      <c r="AD554" s="339"/>
      <c r="AE554" s="339"/>
      <c r="AF554" s="339"/>
      <c r="AG554" s="339"/>
      <c r="AH554" s="339"/>
      <c r="AI554" s="339"/>
      <c r="AJ554" s="339"/>
      <c r="AK554" s="339"/>
      <c r="AL554" s="339"/>
      <c r="AM554" s="339"/>
      <c r="AN554" s="339"/>
      <c r="AO554" s="339"/>
      <c r="AP554" s="339"/>
      <c r="AQ554" s="339"/>
      <c r="AR554" s="339"/>
      <c r="AS554" s="339"/>
      <c r="AT554" s="339"/>
      <c r="AU554" s="339"/>
      <c r="AV554" s="339"/>
      <c r="AW554" s="339"/>
      <c r="AX554" s="339"/>
      <c r="AY554" s="339"/>
      <c r="AZ554" s="339"/>
      <c r="BA554" s="339"/>
      <c r="BB554" s="339"/>
      <c r="BC554" s="339"/>
      <c r="BD554" s="339"/>
    </row>
    <row r="555" spans="3:56">
      <c r="C555" s="339"/>
      <c r="D555" s="339"/>
      <c r="E555" s="339"/>
      <c r="F555" s="339"/>
      <c r="G555" s="339"/>
      <c r="H555" s="339"/>
      <c r="I555" s="339"/>
      <c r="J555" s="339"/>
      <c r="K555" s="339"/>
      <c r="L555" s="339"/>
      <c r="M555" s="339"/>
      <c r="N555" s="339"/>
      <c r="O555" s="339"/>
      <c r="P555" s="339"/>
      <c r="Q555" s="339"/>
      <c r="R555" s="339"/>
      <c r="S555" s="339"/>
      <c r="T555" s="339"/>
      <c r="U555" s="339"/>
      <c r="V555" s="339"/>
      <c r="W555" s="339"/>
      <c r="X555" s="339"/>
      <c r="Y555" s="339"/>
      <c r="Z555" s="339"/>
      <c r="AA555" s="339"/>
      <c r="AB555" s="339"/>
      <c r="AC555" s="339"/>
      <c r="AD555" s="339"/>
      <c r="AE555" s="339"/>
      <c r="AF555" s="339"/>
      <c r="AG555" s="339"/>
      <c r="AH555" s="339"/>
      <c r="AI555" s="339"/>
      <c r="AJ555" s="339"/>
      <c r="AK555" s="339"/>
      <c r="AL555" s="339"/>
      <c r="AM555" s="339"/>
      <c r="AN555" s="339"/>
      <c r="AO555" s="339"/>
      <c r="AP555" s="339"/>
      <c r="AQ555" s="339"/>
      <c r="AR555" s="339"/>
      <c r="AS555" s="339"/>
      <c r="AT555" s="339"/>
      <c r="AU555" s="339"/>
      <c r="AV555" s="339"/>
      <c r="AW555" s="339"/>
      <c r="AX555" s="339"/>
      <c r="AY555" s="339"/>
      <c r="AZ555" s="339"/>
      <c r="BA555" s="339"/>
      <c r="BB555" s="339"/>
      <c r="BC555" s="339"/>
      <c r="BD555" s="339"/>
    </row>
    <row r="556" spans="3:56">
      <c r="C556" s="339"/>
      <c r="D556" s="339"/>
      <c r="E556" s="339"/>
      <c r="F556" s="339"/>
      <c r="G556" s="339"/>
      <c r="H556" s="339"/>
      <c r="I556" s="339"/>
      <c r="J556" s="339"/>
      <c r="K556" s="339"/>
      <c r="L556" s="339"/>
      <c r="M556" s="339"/>
      <c r="N556" s="339"/>
      <c r="O556" s="339"/>
      <c r="P556" s="339"/>
      <c r="Q556" s="339"/>
      <c r="R556" s="339"/>
      <c r="S556" s="339"/>
      <c r="T556" s="339"/>
      <c r="U556" s="339"/>
      <c r="V556" s="339"/>
      <c r="W556" s="339"/>
      <c r="X556" s="339"/>
      <c r="Y556" s="339"/>
      <c r="Z556" s="339"/>
      <c r="AA556" s="339"/>
      <c r="AB556" s="339"/>
      <c r="AC556" s="339"/>
      <c r="AD556" s="339"/>
      <c r="AE556" s="339"/>
      <c r="AF556" s="339"/>
      <c r="AG556" s="339"/>
      <c r="AH556" s="339"/>
      <c r="AI556" s="339"/>
      <c r="AJ556" s="339"/>
      <c r="AK556" s="339"/>
      <c r="AL556" s="339"/>
      <c r="AM556" s="339"/>
      <c r="AN556" s="339"/>
      <c r="AO556" s="339"/>
      <c r="AP556" s="339"/>
      <c r="AQ556" s="339"/>
      <c r="AR556" s="339"/>
      <c r="AS556" s="339"/>
      <c r="AT556" s="339"/>
      <c r="AU556" s="339"/>
      <c r="AV556" s="339"/>
      <c r="AW556" s="339"/>
      <c r="AX556" s="339"/>
      <c r="AY556" s="339"/>
      <c r="AZ556" s="339"/>
      <c r="BA556" s="339"/>
      <c r="BB556" s="339"/>
      <c r="BC556" s="339"/>
      <c r="BD556" s="339"/>
    </row>
    <row r="557" spans="3:56">
      <c r="C557" s="339"/>
      <c r="D557" s="339"/>
      <c r="E557" s="339"/>
      <c r="F557" s="339"/>
      <c r="G557" s="339"/>
      <c r="H557" s="339"/>
      <c r="I557" s="339"/>
      <c r="J557" s="339"/>
      <c r="K557" s="339"/>
      <c r="L557" s="339"/>
      <c r="M557" s="339"/>
      <c r="N557" s="339"/>
      <c r="O557" s="339"/>
      <c r="P557" s="339"/>
      <c r="Q557" s="339"/>
      <c r="R557" s="339"/>
      <c r="S557" s="339"/>
      <c r="T557" s="339"/>
      <c r="U557" s="339"/>
      <c r="V557" s="339"/>
      <c r="W557" s="339"/>
      <c r="X557" s="339"/>
      <c r="Y557" s="339"/>
      <c r="Z557" s="339"/>
      <c r="AA557" s="339"/>
      <c r="AB557" s="339"/>
      <c r="AC557" s="339"/>
      <c r="AD557" s="339"/>
      <c r="AE557" s="339"/>
      <c r="AF557" s="339"/>
      <c r="AG557" s="339"/>
      <c r="AH557" s="339"/>
      <c r="AI557" s="339"/>
      <c r="AJ557" s="339"/>
      <c r="AK557" s="339"/>
      <c r="AL557" s="339"/>
      <c r="AM557" s="339"/>
      <c r="AN557" s="339"/>
      <c r="AO557" s="339"/>
      <c r="AP557" s="339"/>
      <c r="AQ557" s="339"/>
      <c r="AR557" s="339"/>
      <c r="AS557" s="339"/>
      <c r="AT557" s="339"/>
      <c r="AU557" s="339"/>
      <c r="AV557" s="339"/>
      <c r="AW557" s="339"/>
      <c r="AX557" s="339"/>
      <c r="AY557" s="339"/>
      <c r="AZ557" s="339"/>
      <c r="BA557" s="339"/>
      <c r="BB557" s="339"/>
      <c r="BC557" s="339"/>
      <c r="BD557" s="339"/>
    </row>
    <row r="558" spans="3:56">
      <c r="C558" s="339"/>
      <c r="D558" s="339"/>
      <c r="E558" s="339"/>
      <c r="F558" s="339"/>
      <c r="G558" s="339"/>
      <c r="H558" s="339"/>
      <c r="I558" s="339"/>
      <c r="J558" s="339"/>
      <c r="K558" s="339"/>
      <c r="L558" s="339"/>
      <c r="M558" s="339"/>
      <c r="N558" s="339"/>
      <c r="O558" s="339"/>
      <c r="P558" s="339"/>
      <c r="Q558" s="339"/>
      <c r="R558" s="339"/>
      <c r="S558" s="339"/>
      <c r="T558" s="339"/>
      <c r="U558" s="339"/>
      <c r="V558" s="339"/>
      <c r="W558" s="339"/>
      <c r="X558" s="339"/>
      <c r="Y558" s="339"/>
      <c r="Z558" s="339"/>
      <c r="AA558" s="339"/>
      <c r="AB558" s="339"/>
      <c r="AC558" s="339"/>
      <c r="AD558" s="339"/>
      <c r="AE558" s="339"/>
      <c r="AF558" s="339"/>
      <c r="AG558" s="339"/>
      <c r="AH558" s="339"/>
      <c r="AI558" s="339"/>
      <c r="AJ558" s="339"/>
      <c r="AK558" s="339"/>
      <c r="AL558" s="339"/>
      <c r="AM558" s="339"/>
      <c r="AN558" s="339"/>
      <c r="AO558" s="339"/>
      <c r="AP558" s="339"/>
      <c r="AQ558" s="339"/>
      <c r="AR558" s="339"/>
      <c r="AS558" s="339"/>
      <c r="AT558" s="339"/>
      <c r="AU558" s="339"/>
      <c r="AV558" s="339"/>
      <c r="AW558" s="339"/>
      <c r="AX558" s="339"/>
      <c r="AY558" s="339"/>
      <c r="AZ558" s="339"/>
      <c r="BA558" s="339"/>
      <c r="BB558" s="339"/>
      <c r="BC558" s="339"/>
      <c r="BD558" s="339"/>
    </row>
    <row r="559" spans="3:56">
      <c r="C559" s="339"/>
      <c r="D559" s="339"/>
      <c r="E559" s="339"/>
      <c r="F559" s="339"/>
      <c r="G559" s="339"/>
      <c r="H559" s="339"/>
      <c r="I559" s="339"/>
      <c r="J559" s="339"/>
      <c r="K559" s="339"/>
      <c r="L559" s="339"/>
      <c r="M559" s="339"/>
      <c r="N559" s="339"/>
      <c r="O559" s="339"/>
      <c r="P559" s="339"/>
      <c r="Q559" s="339"/>
      <c r="R559" s="339"/>
      <c r="S559" s="339"/>
      <c r="T559" s="339"/>
      <c r="U559" s="339"/>
      <c r="V559" s="339"/>
      <c r="W559" s="339"/>
      <c r="X559" s="339"/>
      <c r="Y559" s="339"/>
      <c r="Z559" s="339"/>
      <c r="AA559" s="339"/>
      <c r="AB559" s="339"/>
      <c r="AC559" s="339"/>
      <c r="AD559" s="339"/>
      <c r="AE559" s="339"/>
      <c r="AF559" s="339"/>
      <c r="AG559" s="339"/>
      <c r="AH559" s="339"/>
      <c r="AI559" s="339"/>
      <c r="AJ559" s="339"/>
      <c r="AK559" s="339"/>
      <c r="AL559" s="339"/>
      <c r="AM559" s="339"/>
      <c r="AN559" s="339"/>
      <c r="AO559" s="339"/>
      <c r="AP559" s="339"/>
      <c r="AQ559" s="339"/>
      <c r="AR559" s="339"/>
      <c r="AS559" s="339"/>
      <c r="AT559" s="339"/>
      <c r="AU559" s="339"/>
      <c r="AV559" s="339"/>
      <c r="AW559" s="339"/>
      <c r="AX559" s="339"/>
      <c r="AY559" s="339"/>
      <c r="AZ559" s="339"/>
      <c r="BA559" s="339"/>
      <c r="BB559" s="339"/>
      <c r="BC559" s="339"/>
      <c r="BD559" s="339"/>
    </row>
    <row r="560" spans="3:56">
      <c r="C560" s="339"/>
      <c r="D560" s="339"/>
      <c r="E560" s="339"/>
      <c r="F560" s="339"/>
      <c r="G560" s="339"/>
      <c r="H560" s="339"/>
      <c r="I560" s="339"/>
      <c r="J560" s="339"/>
      <c r="K560" s="339"/>
      <c r="L560" s="339"/>
      <c r="M560" s="339"/>
      <c r="N560" s="339"/>
      <c r="O560" s="339"/>
      <c r="P560" s="339"/>
      <c r="Q560" s="339"/>
      <c r="R560" s="339"/>
      <c r="S560" s="339"/>
      <c r="T560" s="339"/>
      <c r="U560" s="339"/>
      <c r="V560" s="339"/>
      <c r="W560" s="339"/>
      <c r="X560" s="339"/>
      <c r="Y560" s="339"/>
      <c r="Z560" s="339"/>
      <c r="AA560" s="339"/>
      <c r="AB560" s="339"/>
      <c r="AC560" s="339"/>
      <c r="AD560" s="339"/>
      <c r="AE560" s="339"/>
      <c r="AF560" s="339"/>
      <c r="AG560" s="339"/>
      <c r="AH560" s="339"/>
      <c r="AI560" s="339"/>
      <c r="AJ560" s="339"/>
      <c r="AK560" s="339"/>
      <c r="AL560" s="339"/>
      <c r="AM560" s="339"/>
      <c r="AN560" s="339"/>
      <c r="AO560" s="339"/>
      <c r="AP560" s="339"/>
      <c r="AQ560" s="339"/>
      <c r="AR560" s="339"/>
      <c r="AS560" s="339"/>
      <c r="AT560" s="339"/>
      <c r="AU560" s="339"/>
      <c r="AV560" s="339"/>
      <c r="AW560" s="339"/>
      <c r="AX560" s="339"/>
      <c r="AY560" s="339"/>
      <c r="AZ560" s="339"/>
      <c r="BA560" s="339"/>
      <c r="BB560" s="339"/>
      <c r="BC560" s="339"/>
      <c r="BD560" s="339"/>
    </row>
    <row r="561" spans="3:56">
      <c r="C561" s="339"/>
      <c r="D561" s="339"/>
      <c r="E561" s="339"/>
      <c r="F561" s="339"/>
      <c r="G561" s="339"/>
      <c r="H561" s="339"/>
      <c r="I561" s="339"/>
      <c r="J561" s="339"/>
      <c r="K561" s="339"/>
      <c r="L561" s="339"/>
      <c r="M561" s="339"/>
      <c r="N561" s="339"/>
      <c r="O561" s="339"/>
      <c r="P561" s="339"/>
      <c r="Q561" s="339"/>
      <c r="R561" s="339"/>
      <c r="S561" s="339"/>
      <c r="T561" s="339"/>
      <c r="U561" s="339"/>
      <c r="V561" s="339"/>
      <c r="W561" s="339"/>
      <c r="X561" s="339"/>
      <c r="Y561" s="339"/>
      <c r="Z561" s="339"/>
      <c r="AA561" s="339"/>
      <c r="AB561" s="339"/>
      <c r="AC561" s="339"/>
      <c r="AD561" s="339"/>
      <c r="AE561" s="339"/>
      <c r="AF561" s="339"/>
      <c r="AG561" s="339"/>
      <c r="AH561" s="339"/>
      <c r="AI561" s="339"/>
      <c r="AJ561" s="339"/>
      <c r="AK561" s="339"/>
      <c r="AL561" s="339"/>
      <c r="AM561" s="339"/>
      <c r="AN561" s="339"/>
      <c r="AO561" s="339"/>
      <c r="AP561" s="339"/>
      <c r="AQ561" s="339"/>
      <c r="AR561" s="339"/>
      <c r="AS561" s="339"/>
      <c r="AT561" s="339"/>
      <c r="AU561" s="339"/>
      <c r="AV561" s="339"/>
      <c r="AW561" s="339"/>
      <c r="AX561" s="339"/>
      <c r="AY561" s="339"/>
      <c r="AZ561" s="339"/>
      <c r="BA561" s="339"/>
      <c r="BB561" s="339"/>
      <c r="BC561" s="339"/>
      <c r="BD561" s="339"/>
    </row>
    <row r="562" spans="3:56">
      <c r="C562" s="339"/>
      <c r="D562" s="339"/>
      <c r="E562" s="339"/>
      <c r="F562" s="339"/>
      <c r="G562" s="339"/>
      <c r="H562" s="339"/>
      <c r="I562" s="339"/>
      <c r="J562" s="339"/>
      <c r="K562" s="339"/>
      <c r="L562" s="339"/>
      <c r="M562" s="339"/>
      <c r="N562" s="339"/>
      <c r="O562" s="339"/>
      <c r="P562" s="339"/>
      <c r="Q562" s="339"/>
      <c r="R562" s="339"/>
      <c r="S562" s="339"/>
      <c r="T562" s="339"/>
      <c r="U562" s="339"/>
      <c r="V562" s="339"/>
      <c r="W562" s="339"/>
      <c r="X562" s="339"/>
      <c r="Y562" s="339"/>
      <c r="Z562" s="339"/>
      <c r="AA562" s="339"/>
      <c r="AB562" s="339"/>
      <c r="AC562" s="339"/>
      <c r="AD562" s="339"/>
      <c r="AE562" s="339"/>
      <c r="AF562" s="339"/>
      <c r="AG562" s="339"/>
      <c r="AH562" s="339"/>
      <c r="AI562" s="339"/>
      <c r="AJ562" s="339"/>
      <c r="AK562" s="339"/>
      <c r="AL562" s="339"/>
      <c r="AM562" s="339"/>
      <c r="AN562" s="339"/>
      <c r="AO562" s="339"/>
      <c r="AP562" s="339"/>
      <c r="AQ562" s="339"/>
      <c r="AR562" s="339"/>
      <c r="AS562" s="339"/>
      <c r="AT562" s="339"/>
      <c r="AU562" s="339"/>
      <c r="AV562" s="339"/>
      <c r="AW562" s="339"/>
      <c r="AX562" s="339"/>
      <c r="AY562" s="339"/>
      <c r="AZ562" s="339"/>
      <c r="BA562" s="339"/>
      <c r="BB562" s="339"/>
      <c r="BC562" s="339"/>
      <c r="BD562" s="339"/>
    </row>
    <row r="563" spans="3:56">
      <c r="C563" s="339"/>
      <c r="D563" s="339"/>
      <c r="E563" s="339"/>
      <c r="F563" s="339"/>
      <c r="G563" s="339"/>
      <c r="H563" s="339"/>
      <c r="I563" s="339"/>
      <c r="J563" s="339"/>
      <c r="K563" s="339"/>
      <c r="L563" s="339"/>
      <c r="M563" s="339"/>
      <c r="N563" s="339"/>
      <c r="O563" s="339"/>
      <c r="P563" s="339"/>
      <c r="Q563" s="339"/>
      <c r="R563" s="339"/>
      <c r="S563" s="339"/>
      <c r="T563" s="339"/>
      <c r="U563" s="339"/>
      <c r="V563" s="339"/>
      <c r="W563" s="339"/>
      <c r="X563" s="339"/>
      <c r="Y563" s="339"/>
      <c r="Z563" s="339"/>
      <c r="AA563" s="339"/>
      <c r="AB563" s="339"/>
      <c r="AC563" s="339"/>
      <c r="AD563" s="339"/>
      <c r="AE563" s="339"/>
      <c r="AF563" s="339"/>
      <c r="AG563" s="339"/>
      <c r="AH563" s="339"/>
      <c r="AI563" s="339"/>
      <c r="AJ563" s="339"/>
      <c r="AK563" s="339"/>
      <c r="AL563" s="339"/>
      <c r="AM563" s="339"/>
      <c r="AN563" s="339"/>
      <c r="AO563" s="339"/>
      <c r="AP563" s="339"/>
      <c r="AQ563" s="339"/>
      <c r="AR563" s="339"/>
      <c r="AS563" s="339"/>
      <c r="AT563" s="339"/>
      <c r="AU563" s="339"/>
      <c r="AV563" s="339"/>
      <c r="AW563" s="339"/>
      <c r="AX563" s="339"/>
      <c r="AY563" s="339"/>
      <c r="AZ563" s="339"/>
      <c r="BA563" s="339"/>
      <c r="BB563" s="339"/>
      <c r="BC563" s="339"/>
      <c r="BD563" s="339"/>
    </row>
    <row r="564" spans="3:56">
      <c r="C564" s="339"/>
      <c r="D564" s="339"/>
      <c r="E564" s="339"/>
      <c r="F564" s="339"/>
      <c r="G564" s="339"/>
      <c r="H564" s="339"/>
      <c r="I564" s="339"/>
      <c r="J564" s="339"/>
      <c r="K564" s="339"/>
      <c r="L564" s="339"/>
      <c r="M564" s="339"/>
      <c r="N564" s="339"/>
      <c r="O564" s="339"/>
      <c r="P564" s="339"/>
      <c r="Q564" s="339"/>
      <c r="R564" s="339"/>
      <c r="S564" s="339"/>
      <c r="T564" s="339"/>
      <c r="U564" s="339"/>
      <c r="V564" s="339"/>
      <c r="W564" s="339"/>
      <c r="X564" s="339"/>
      <c r="Y564" s="339"/>
      <c r="Z564" s="339"/>
      <c r="AA564" s="339"/>
      <c r="AB564" s="339"/>
      <c r="AC564" s="339"/>
      <c r="AD564" s="339"/>
      <c r="AE564" s="339"/>
      <c r="AF564" s="339"/>
      <c r="AG564" s="339"/>
      <c r="AH564" s="339"/>
      <c r="AI564" s="339"/>
      <c r="AJ564" s="339"/>
      <c r="AK564" s="339"/>
      <c r="AL564" s="339"/>
      <c r="AM564" s="339"/>
      <c r="AN564" s="339"/>
      <c r="AO564" s="339"/>
      <c r="AP564" s="339"/>
      <c r="AQ564" s="339"/>
      <c r="AR564" s="339"/>
      <c r="AS564" s="339"/>
      <c r="AT564" s="339"/>
      <c r="AU564" s="339"/>
      <c r="AV564" s="339"/>
      <c r="AW564" s="339"/>
      <c r="AX564" s="339"/>
      <c r="AY564" s="339"/>
      <c r="AZ564" s="339"/>
      <c r="BA564" s="339"/>
      <c r="BB564" s="339"/>
      <c r="BC564" s="339"/>
      <c r="BD564" s="339"/>
    </row>
    <row r="565" spans="3:56">
      <c r="C565" s="339"/>
      <c r="D565" s="339"/>
      <c r="E565" s="339"/>
      <c r="F565" s="339"/>
      <c r="G565" s="339"/>
      <c r="H565" s="339"/>
      <c r="I565" s="339"/>
      <c r="J565" s="339"/>
      <c r="K565" s="339"/>
      <c r="L565" s="339"/>
      <c r="M565" s="339"/>
      <c r="N565" s="339"/>
      <c r="O565" s="339"/>
      <c r="P565" s="339"/>
      <c r="Q565" s="339"/>
      <c r="R565" s="339"/>
      <c r="S565" s="339"/>
      <c r="T565" s="339"/>
      <c r="U565" s="339"/>
      <c r="V565" s="339"/>
      <c r="W565" s="339"/>
      <c r="X565" s="339"/>
      <c r="Y565" s="339"/>
      <c r="Z565" s="339"/>
      <c r="AA565" s="339"/>
      <c r="AB565" s="339"/>
      <c r="AC565" s="339"/>
      <c r="AD565" s="339"/>
      <c r="AE565" s="339"/>
      <c r="AF565" s="339"/>
      <c r="AG565" s="339"/>
      <c r="AH565" s="339"/>
      <c r="AI565" s="339"/>
      <c r="AJ565" s="339"/>
      <c r="AK565" s="339"/>
      <c r="AL565" s="339"/>
      <c r="AM565" s="339"/>
      <c r="AN565" s="339"/>
      <c r="AO565" s="339"/>
      <c r="AP565" s="339"/>
      <c r="AQ565" s="339"/>
      <c r="AR565" s="339"/>
      <c r="AS565" s="339"/>
      <c r="AT565" s="339"/>
      <c r="AU565" s="339"/>
      <c r="AV565" s="339"/>
      <c r="AW565" s="339"/>
      <c r="AX565" s="339"/>
      <c r="AY565" s="339"/>
      <c r="AZ565" s="339"/>
      <c r="BA565" s="339"/>
      <c r="BB565" s="339"/>
      <c r="BC565" s="339"/>
      <c r="BD565" s="339"/>
    </row>
    <row r="566" spans="3:56">
      <c r="C566" s="339"/>
      <c r="D566" s="339"/>
      <c r="E566" s="339"/>
      <c r="F566" s="339"/>
      <c r="G566" s="339"/>
      <c r="H566" s="339"/>
      <c r="I566" s="339"/>
      <c r="J566" s="339"/>
      <c r="K566" s="339"/>
      <c r="L566" s="339"/>
      <c r="M566" s="339"/>
      <c r="N566" s="339"/>
      <c r="O566" s="339"/>
      <c r="P566" s="339"/>
      <c r="Q566" s="339"/>
      <c r="R566" s="339"/>
      <c r="S566" s="339"/>
      <c r="T566" s="339"/>
      <c r="U566" s="339"/>
      <c r="V566" s="339"/>
      <c r="W566" s="339"/>
      <c r="X566" s="339"/>
      <c r="Y566" s="339"/>
      <c r="Z566" s="339"/>
      <c r="AA566" s="339"/>
      <c r="AB566" s="339"/>
      <c r="AC566" s="339"/>
      <c r="AD566" s="339"/>
      <c r="AE566" s="339"/>
      <c r="AF566" s="339"/>
      <c r="AG566" s="339"/>
      <c r="AH566" s="339"/>
      <c r="AI566" s="339"/>
      <c r="AJ566" s="339"/>
      <c r="AK566" s="339"/>
      <c r="AL566" s="339"/>
      <c r="AM566" s="339"/>
      <c r="AN566" s="339"/>
      <c r="AO566" s="339"/>
      <c r="AP566" s="339"/>
      <c r="AQ566" s="339"/>
      <c r="AR566" s="339"/>
      <c r="AS566" s="339"/>
      <c r="AT566" s="339"/>
      <c r="AU566" s="339"/>
      <c r="AV566" s="339"/>
      <c r="AW566" s="339"/>
      <c r="AX566" s="339"/>
      <c r="AY566" s="339"/>
      <c r="AZ566" s="339"/>
      <c r="BA566" s="339"/>
      <c r="BB566" s="339"/>
      <c r="BC566" s="339"/>
      <c r="BD566" s="339"/>
    </row>
    <row r="567" spans="3:56">
      <c r="C567" s="339"/>
      <c r="D567" s="339"/>
      <c r="E567" s="339"/>
      <c r="F567" s="339"/>
      <c r="G567" s="339"/>
      <c r="H567" s="339"/>
      <c r="I567" s="339"/>
      <c r="J567" s="339"/>
      <c r="K567" s="339"/>
      <c r="L567" s="339"/>
      <c r="M567" s="339"/>
      <c r="N567" s="339"/>
      <c r="O567" s="339"/>
      <c r="P567" s="339"/>
      <c r="Q567" s="339"/>
      <c r="R567" s="339"/>
      <c r="S567" s="339"/>
      <c r="T567" s="339"/>
      <c r="U567" s="339"/>
      <c r="V567" s="339"/>
      <c r="W567" s="339"/>
      <c r="X567" s="339"/>
      <c r="Y567" s="339"/>
      <c r="Z567" s="339"/>
      <c r="AA567" s="339"/>
      <c r="AB567" s="339"/>
      <c r="AC567" s="339"/>
      <c r="AD567" s="339"/>
      <c r="AE567" s="339"/>
      <c r="AF567" s="339"/>
      <c r="AG567" s="339"/>
      <c r="AH567" s="339"/>
      <c r="AI567" s="339"/>
      <c r="AJ567" s="339"/>
      <c r="AK567" s="339"/>
      <c r="AL567" s="339"/>
      <c r="AM567" s="339"/>
      <c r="AN567" s="339"/>
      <c r="AO567" s="339"/>
      <c r="AP567" s="339"/>
      <c r="AQ567" s="339"/>
      <c r="AR567" s="339"/>
      <c r="AS567" s="339"/>
      <c r="AT567" s="339"/>
      <c r="AU567" s="339"/>
      <c r="AV567" s="339"/>
      <c r="AW567" s="339"/>
      <c r="AX567" s="339"/>
      <c r="AY567" s="339"/>
      <c r="AZ567" s="339"/>
      <c r="BA567" s="339"/>
      <c r="BB567" s="339"/>
      <c r="BC567" s="339"/>
      <c r="BD567" s="339"/>
    </row>
    <row r="568" spans="3:56">
      <c r="C568" s="339"/>
      <c r="D568" s="339"/>
      <c r="E568" s="339"/>
      <c r="F568" s="339"/>
      <c r="G568" s="339"/>
      <c r="H568" s="339"/>
      <c r="I568" s="339"/>
      <c r="J568" s="339"/>
      <c r="K568" s="339"/>
      <c r="L568" s="339"/>
      <c r="M568" s="339"/>
      <c r="N568" s="339"/>
      <c r="O568" s="339"/>
      <c r="P568" s="339"/>
      <c r="Q568" s="339"/>
      <c r="R568" s="339"/>
      <c r="S568" s="339"/>
      <c r="T568" s="339"/>
      <c r="U568" s="339"/>
      <c r="V568" s="339"/>
      <c r="W568" s="339"/>
      <c r="X568" s="339"/>
      <c r="Y568" s="339"/>
      <c r="Z568" s="339"/>
      <c r="AA568" s="339"/>
      <c r="AB568" s="339"/>
      <c r="AC568" s="339"/>
      <c r="AD568" s="339"/>
      <c r="AE568" s="339"/>
      <c r="AF568" s="339"/>
      <c r="AG568" s="339"/>
      <c r="AH568" s="339"/>
      <c r="AI568" s="339"/>
      <c r="AJ568" s="339"/>
      <c r="AK568" s="339"/>
      <c r="AL568" s="339"/>
      <c r="AM568" s="339"/>
      <c r="AN568" s="339"/>
      <c r="AO568" s="339"/>
      <c r="AP568" s="339"/>
      <c r="AQ568" s="339"/>
      <c r="AR568" s="339"/>
      <c r="AS568" s="339"/>
      <c r="AT568" s="339"/>
      <c r="AU568" s="339"/>
      <c r="AV568" s="339"/>
      <c r="AW568" s="339"/>
      <c r="AX568" s="339"/>
      <c r="AY568" s="339"/>
      <c r="AZ568" s="339"/>
      <c r="BA568" s="339"/>
      <c r="BB568" s="339"/>
      <c r="BC568" s="339"/>
      <c r="BD568" s="339"/>
    </row>
    <row r="569" spans="3:56">
      <c r="C569" s="339"/>
      <c r="D569" s="339"/>
      <c r="E569" s="339"/>
      <c r="F569" s="339"/>
      <c r="G569" s="339"/>
      <c r="H569" s="339"/>
      <c r="I569" s="339"/>
      <c r="J569" s="339"/>
      <c r="K569" s="339"/>
      <c r="L569" s="339"/>
      <c r="M569" s="339"/>
      <c r="N569" s="339"/>
      <c r="O569" s="339"/>
      <c r="P569" s="339"/>
      <c r="Q569" s="339"/>
      <c r="R569" s="339"/>
      <c r="S569" s="339"/>
      <c r="T569" s="339"/>
      <c r="U569" s="339"/>
      <c r="V569" s="339"/>
      <c r="W569" s="339"/>
      <c r="X569" s="339"/>
      <c r="Y569" s="339"/>
      <c r="Z569" s="339"/>
      <c r="AA569" s="339"/>
      <c r="AB569" s="339"/>
      <c r="AC569" s="339"/>
      <c r="AD569" s="339"/>
      <c r="AE569" s="339"/>
      <c r="AF569" s="339"/>
      <c r="AG569" s="339"/>
      <c r="AH569" s="339"/>
      <c r="AI569" s="339"/>
      <c r="AJ569" s="339"/>
      <c r="AK569" s="339"/>
      <c r="AL569" s="339"/>
      <c r="AM569" s="339"/>
      <c r="AN569" s="339"/>
      <c r="AO569" s="339"/>
      <c r="AP569" s="339"/>
      <c r="AQ569" s="339"/>
      <c r="AR569" s="339"/>
      <c r="AS569" s="339"/>
      <c r="AT569" s="339"/>
      <c r="AU569" s="339"/>
      <c r="AV569" s="339"/>
      <c r="AW569" s="339"/>
      <c r="AX569" s="339"/>
      <c r="AY569" s="339"/>
      <c r="AZ569" s="339"/>
      <c r="BA569" s="339"/>
      <c r="BB569" s="339"/>
      <c r="BC569" s="339"/>
      <c r="BD569" s="339"/>
    </row>
    <row r="570" spans="3:56">
      <c r="C570" s="339"/>
      <c r="D570" s="339"/>
      <c r="E570" s="339"/>
      <c r="F570" s="339"/>
      <c r="G570" s="339"/>
      <c r="H570" s="339"/>
      <c r="I570" s="339"/>
      <c r="J570" s="339"/>
      <c r="K570" s="339"/>
      <c r="L570" s="339"/>
      <c r="M570" s="339"/>
      <c r="N570" s="339"/>
      <c r="O570" s="339"/>
      <c r="P570" s="339"/>
      <c r="Q570" s="339"/>
      <c r="R570" s="339"/>
      <c r="S570" s="339"/>
      <c r="T570" s="339"/>
      <c r="U570" s="339"/>
      <c r="V570" s="339"/>
      <c r="W570" s="339"/>
      <c r="X570" s="339"/>
      <c r="Y570" s="339"/>
      <c r="Z570" s="339"/>
      <c r="AA570" s="339"/>
      <c r="AB570" s="339"/>
      <c r="AC570" s="339"/>
      <c r="AD570" s="339"/>
      <c r="AE570" s="339"/>
      <c r="AF570" s="339"/>
      <c r="AG570" s="339"/>
      <c r="AH570" s="339"/>
      <c r="AI570" s="339"/>
      <c r="AJ570" s="339"/>
      <c r="AK570" s="339"/>
      <c r="AL570" s="339"/>
      <c r="AM570" s="339"/>
      <c r="AN570" s="339"/>
      <c r="AO570" s="339"/>
      <c r="AP570" s="339"/>
      <c r="AQ570" s="339"/>
      <c r="AR570" s="339"/>
      <c r="AS570" s="339"/>
      <c r="AT570" s="339"/>
      <c r="AU570" s="339"/>
      <c r="AV570" s="339"/>
      <c r="AW570" s="339"/>
      <c r="AX570" s="339"/>
      <c r="AY570" s="339"/>
      <c r="AZ570" s="339"/>
      <c r="BA570" s="339"/>
      <c r="BB570" s="339"/>
      <c r="BC570" s="339"/>
      <c r="BD570" s="339"/>
    </row>
    <row r="571" spans="3:56">
      <c r="C571" s="339"/>
      <c r="D571" s="339"/>
      <c r="E571" s="339"/>
      <c r="F571" s="339"/>
      <c r="G571" s="339"/>
      <c r="H571" s="339"/>
      <c r="I571" s="339"/>
      <c r="J571" s="339"/>
      <c r="K571" s="339"/>
      <c r="L571" s="339"/>
      <c r="M571" s="339"/>
      <c r="N571" s="339"/>
      <c r="O571" s="339"/>
      <c r="P571" s="339"/>
      <c r="Q571" s="339"/>
      <c r="R571" s="339"/>
      <c r="S571" s="339"/>
      <c r="T571" s="339"/>
      <c r="U571" s="339"/>
      <c r="V571" s="339"/>
      <c r="W571" s="339"/>
      <c r="X571" s="339"/>
      <c r="Y571" s="339"/>
      <c r="Z571" s="339"/>
      <c r="AA571" s="339"/>
      <c r="AB571" s="339"/>
      <c r="AC571" s="339"/>
      <c r="AD571" s="339"/>
      <c r="AE571" s="339"/>
      <c r="AF571" s="339"/>
      <c r="AG571" s="339"/>
      <c r="AH571" s="339"/>
      <c r="AI571" s="339"/>
      <c r="AJ571" s="339"/>
      <c r="AK571" s="339"/>
      <c r="AL571" s="339"/>
      <c r="AM571" s="339"/>
      <c r="AN571" s="339"/>
      <c r="AO571" s="339"/>
      <c r="AP571" s="339"/>
      <c r="AQ571" s="339"/>
      <c r="AR571" s="339"/>
      <c r="AS571" s="339"/>
      <c r="AT571" s="339"/>
      <c r="AU571" s="339"/>
      <c r="AV571" s="339"/>
      <c r="AW571" s="339"/>
      <c r="AX571" s="339"/>
      <c r="AY571" s="339"/>
      <c r="AZ571" s="339"/>
      <c r="BA571" s="339"/>
      <c r="BB571" s="339"/>
      <c r="BC571" s="339"/>
      <c r="BD571" s="339"/>
    </row>
    <row r="572" spans="3:56">
      <c r="C572" s="339"/>
      <c r="D572" s="339"/>
      <c r="E572" s="339"/>
      <c r="F572" s="339"/>
      <c r="G572" s="339"/>
      <c r="H572" s="339"/>
      <c r="I572" s="339"/>
      <c r="J572" s="339"/>
      <c r="K572" s="339"/>
      <c r="L572" s="339"/>
      <c r="M572" s="339"/>
      <c r="N572" s="339"/>
      <c r="O572" s="339"/>
      <c r="P572" s="339"/>
      <c r="Q572" s="339"/>
      <c r="R572" s="339"/>
      <c r="S572" s="339"/>
      <c r="T572" s="339"/>
      <c r="U572" s="339"/>
      <c r="V572" s="339"/>
      <c r="W572" s="339"/>
      <c r="X572" s="339"/>
      <c r="Y572" s="339"/>
      <c r="Z572" s="339"/>
      <c r="AA572" s="339"/>
      <c r="AB572" s="339"/>
      <c r="AC572" s="339"/>
      <c r="AD572" s="339"/>
      <c r="AE572" s="339"/>
      <c r="AF572" s="339"/>
      <c r="AG572" s="339"/>
      <c r="AH572" s="339"/>
      <c r="AI572" s="339"/>
      <c r="AJ572" s="339"/>
      <c r="AK572" s="339"/>
      <c r="AL572" s="339"/>
      <c r="AM572" s="339"/>
      <c r="AN572" s="339"/>
      <c r="AO572" s="339"/>
      <c r="AP572" s="339"/>
      <c r="AQ572" s="339"/>
      <c r="AR572" s="339"/>
      <c r="AS572" s="339"/>
      <c r="AT572" s="339"/>
      <c r="AU572" s="339"/>
      <c r="AV572" s="339"/>
      <c r="AW572" s="339"/>
      <c r="AX572" s="339"/>
      <c r="AY572" s="339"/>
      <c r="AZ572" s="339"/>
      <c r="BA572" s="339"/>
      <c r="BB572" s="339"/>
      <c r="BC572" s="339"/>
      <c r="BD572" s="339"/>
    </row>
    <row r="573" spans="3:56">
      <c r="C573" s="339"/>
      <c r="D573" s="339"/>
      <c r="E573" s="339"/>
      <c r="F573" s="339"/>
      <c r="G573" s="339"/>
      <c r="H573" s="339"/>
      <c r="I573" s="339"/>
      <c r="J573" s="339"/>
      <c r="K573" s="339"/>
      <c r="L573" s="339"/>
      <c r="M573" s="339"/>
      <c r="N573" s="339"/>
      <c r="O573" s="339"/>
      <c r="P573" s="339"/>
      <c r="Q573" s="339"/>
      <c r="R573" s="339"/>
      <c r="S573" s="339"/>
      <c r="T573" s="339"/>
      <c r="U573" s="339"/>
      <c r="V573" s="339"/>
      <c r="W573" s="339"/>
      <c r="X573" s="339"/>
      <c r="Y573" s="339"/>
      <c r="Z573" s="339"/>
      <c r="AA573" s="339"/>
      <c r="AB573" s="339"/>
      <c r="AC573" s="339"/>
      <c r="AD573" s="339"/>
      <c r="AE573" s="339"/>
      <c r="AF573" s="339"/>
      <c r="AG573" s="339"/>
      <c r="AH573" s="339"/>
      <c r="AI573" s="339"/>
      <c r="AJ573" s="339"/>
      <c r="AK573" s="339"/>
      <c r="AL573" s="339"/>
      <c r="AM573" s="339"/>
      <c r="AN573" s="339"/>
      <c r="AO573" s="339"/>
      <c r="AP573" s="339"/>
      <c r="AQ573" s="339"/>
      <c r="AR573" s="339"/>
      <c r="AS573" s="339"/>
      <c r="AT573" s="339"/>
      <c r="AU573" s="339"/>
      <c r="AV573" s="339"/>
      <c r="AW573" s="339"/>
      <c r="AX573" s="339"/>
      <c r="AY573" s="339"/>
      <c r="AZ573" s="339"/>
      <c r="BA573" s="339"/>
      <c r="BB573" s="339"/>
      <c r="BC573" s="339"/>
      <c r="BD573" s="339"/>
    </row>
    <row r="574" spans="3:56">
      <c r="C574" s="339"/>
      <c r="D574" s="339"/>
      <c r="E574" s="339"/>
      <c r="F574" s="339"/>
      <c r="G574" s="339"/>
      <c r="H574" s="339"/>
      <c r="I574" s="339"/>
      <c r="J574" s="339"/>
      <c r="K574" s="339"/>
      <c r="L574" s="339"/>
      <c r="M574" s="339"/>
      <c r="N574" s="339"/>
      <c r="O574" s="339"/>
      <c r="P574" s="339"/>
      <c r="Q574" s="339"/>
      <c r="R574" s="339"/>
      <c r="S574" s="339"/>
      <c r="T574" s="339"/>
      <c r="U574" s="339"/>
      <c r="V574" s="339"/>
      <c r="W574" s="339"/>
      <c r="X574" s="339"/>
      <c r="Y574" s="339"/>
      <c r="Z574" s="339"/>
      <c r="AA574" s="339"/>
      <c r="AB574" s="339"/>
      <c r="AC574" s="339"/>
      <c r="AD574" s="339"/>
      <c r="AE574" s="339"/>
      <c r="AF574" s="339"/>
      <c r="AG574" s="339"/>
      <c r="AH574" s="339"/>
      <c r="AI574" s="339"/>
      <c r="AJ574" s="339"/>
      <c r="AK574" s="339"/>
      <c r="AL574" s="339"/>
      <c r="AM574" s="339"/>
      <c r="AN574" s="339"/>
      <c r="AO574" s="339"/>
      <c r="AP574" s="339"/>
      <c r="AQ574" s="339"/>
      <c r="AR574" s="339"/>
      <c r="AS574" s="339"/>
      <c r="AT574" s="339"/>
      <c r="AU574" s="339"/>
      <c r="AV574" s="339"/>
      <c r="AW574" s="339"/>
      <c r="AX574" s="339"/>
      <c r="AY574" s="339"/>
      <c r="AZ574" s="339"/>
      <c r="BA574" s="339"/>
      <c r="BB574" s="339"/>
      <c r="BC574" s="339"/>
      <c r="BD574" s="339"/>
    </row>
    <row r="575" spans="3:56">
      <c r="C575" s="339"/>
      <c r="D575" s="339"/>
      <c r="E575" s="339"/>
      <c r="F575" s="339"/>
      <c r="G575" s="339"/>
      <c r="H575" s="339"/>
      <c r="I575" s="339"/>
      <c r="J575" s="339"/>
      <c r="K575" s="339"/>
      <c r="L575" s="339"/>
      <c r="M575" s="339"/>
      <c r="N575" s="339"/>
      <c r="O575" s="339"/>
      <c r="P575" s="339"/>
      <c r="Q575" s="339"/>
      <c r="R575" s="339"/>
      <c r="S575" s="339"/>
      <c r="T575" s="339"/>
      <c r="U575" s="339"/>
      <c r="V575" s="339"/>
      <c r="W575" s="339"/>
      <c r="X575" s="339"/>
      <c r="Y575" s="339"/>
      <c r="Z575" s="339"/>
      <c r="AA575" s="339"/>
      <c r="AB575" s="339"/>
      <c r="AC575" s="339"/>
      <c r="AD575" s="339"/>
      <c r="AE575" s="339"/>
      <c r="AF575" s="339"/>
      <c r="AG575" s="339"/>
      <c r="AH575" s="339"/>
      <c r="AI575" s="339"/>
      <c r="AJ575" s="339"/>
      <c r="AK575" s="339"/>
      <c r="AL575" s="339"/>
      <c r="AM575" s="339"/>
      <c r="AN575" s="339"/>
      <c r="AO575" s="339"/>
      <c r="AP575" s="339"/>
      <c r="AQ575" s="339"/>
      <c r="AR575" s="339"/>
      <c r="AS575" s="339"/>
      <c r="AT575" s="339"/>
      <c r="AU575" s="339"/>
      <c r="AV575" s="339"/>
      <c r="AW575" s="339"/>
      <c r="AX575" s="339"/>
      <c r="AY575" s="339"/>
      <c r="AZ575" s="339"/>
      <c r="BA575" s="339"/>
      <c r="BB575" s="339"/>
      <c r="BC575" s="339"/>
      <c r="BD575" s="339"/>
    </row>
    <row r="576" spans="3:56">
      <c r="C576" s="339"/>
      <c r="D576" s="339"/>
      <c r="E576" s="339"/>
      <c r="F576" s="339"/>
      <c r="G576" s="339"/>
      <c r="H576" s="339"/>
      <c r="I576" s="339"/>
      <c r="J576" s="339"/>
      <c r="K576" s="339"/>
      <c r="L576" s="339"/>
      <c r="M576" s="339"/>
      <c r="N576" s="339"/>
      <c r="O576" s="339"/>
      <c r="P576" s="339"/>
      <c r="Q576" s="339"/>
      <c r="R576" s="339"/>
      <c r="S576" s="339"/>
      <c r="T576" s="339"/>
      <c r="U576" s="339"/>
      <c r="V576" s="339"/>
      <c r="W576" s="339"/>
      <c r="X576" s="339"/>
      <c r="Y576" s="339"/>
      <c r="Z576" s="339"/>
      <c r="AA576" s="339"/>
      <c r="AB576" s="339"/>
      <c r="AC576" s="339"/>
      <c r="AD576" s="339"/>
      <c r="AE576" s="339"/>
      <c r="AF576" s="339"/>
      <c r="AG576" s="339"/>
      <c r="AH576" s="339"/>
      <c r="AI576" s="339"/>
      <c r="AJ576" s="339"/>
      <c r="AK576" s="339"/>
      <c r="AL576" s="339"/>
      <c r="AM576" s="339"/>
      <c r="AN576" s="339"/>
      <c r="AO576" s="339"/>
      <c r="AP576" s="339"/>
      <c r="AQ576" s="339"/>
      <c r="AR576" s="339"/>
      <c r="AS576" s="339"/>
      <c r="AT576" s="339"/>
      <c r="AU576" s="339"/>
      <c r="AV576" s="339"/>
      <c r="AW576" s="339"/>
      <c r="AX576" s="339"/>
      <c r="AY576" s="339"/>
      <c r="AZ576" s="339"/>
      <c r="BA576" s="339"/>
      <c r="BB576" s="339"/>
      <c r="BC576" s="339"/>
      <c r="BD576" s="339"/>
    </row>
    <row r="577" spans="3:56">
      <c r="C577" s="339"/>
      <c r="D577" s="339"/>
      <c r="E577" s="339"/>
      <c r="F577" s="339"/>
      <c r="G577" s="339"/>
      <c r="H577" s="339"/>
      <c r="I577" s="339"/>
      <c r="J577" s="339"/>
      <c r="K577" s="339"/>
      <c r="L577" s="339"/>
      <c r="M577" s="339"/>
      <c r="N577" s="339"/>
      <c r="O577" s="339"/>
      <c r="P577" s="339"/>
      <c r="Q577" s="339"/>
      <c r="R577" s="339"/>
      <c r="S577" s="339"/>
      <c r="T577" s="339"/>
      <c r="U577" s="339"/>
      <c r="V577" s="339"/>
      <c r="W577" s="339"/>
      <c r="X577" s="339"/>
      <c r="Y577" s="339"/>
      <c r="Z577" s="339"/>
      <c r="AA577" s="339"/>
      <c r="AB577" s="339"/>
      <c r="AC577" s="339"/>
      <c r="AD577" s="339"/>
      <c r="AE577" s="339"/>
      <c r="AF577" s="339"/>
      <c r="AG577" s="339"/>
      <c r="AH577" s="339"/>
      <c r="AI577" s="339"/>
      <c r="AJ577" s="339"/>
      <c r="AK577" s="339"/>
      <c r="AL577" s="339"/>
      <c r="AM577" s="339"/>
      <c r="AN577" s="339"/>
      <c r="AO577" s="339"/>
      <c r="AP577" s="339"/>
      <c r="AQ577" s="339"/>
      <c r="AR577" s="339"/>
      <c r="AS577" s="339"/>
      <c r="AT577" s="339"/>
      <c r="AU577" s="339"/>
      <c r="AV577" s="339"/>
      <c r="AW577" s="339"/>
      <c r="AX577" s="339"/>
      <c r="AY577" s="339"/>
      <c r="AZ577" s="339"/>
      <c r="BA577" s="339"/>
      <c r="BB577" s="339"/>
      <c r="BC577" s="339"/>
      <c r="BD577" s="339"/>
    </row>
    <row r="578" spans="3:56">
      <c r="C578" s="339"/>
      <c r="D578" s="339"/>
      <c r="E578" s="339"/>
      <c r="F578" s="339"/>
      <c r="G578" s="339"/>
      <c r="H578" s="339"/>
      <c r="I578" s="339"/>
      <c r="J578" s="339"/>
      <c r="K578" s="339"/>
      <c r="L578" s="339"/>
      <c r="M578" s="339"/>
      <c r="N578" s="339"/>
      <c r="O578" s="339"/>
      <c r="P578" s="339"/>
      <c r="Q578" s="339"/>
      <c r="R578" s="339"/>
      <c r="S578" s="339"/>
      <c r="T578" s="339"/>
      <c r="U578" s="339"/>
      <c r="V578" s="339"/>
      <c r="W578" s="339"/>
      <c r="X578" s="339"/>
      <c r="Y578" s="339"/>
      <c r="Z578" s="339"/>
      <c r="AA578" s="339"/>
      <c r="AB578" s="339"/>
      <c r="AC578" s="339"/>
      <c r="AD578" s="339"/>
      <c r="AE578" s="339"/>
      <c r="AF578" s="339"/>
      <c r="AG578" s="339"/>
      <c r="AH578" s="339"/>
      <c r="AI578" s="339"/>
      <c r="AJ578" s="339"/>
      <c r="AK578" s="339"/>
      <c r="AL578" s="339"/>
      <c r="AM578" s="339"/>
      <c r="AN578" s="339"/>
      <c r="AO578" s="339"/>
      <c r="AP578" s="339"/>
      <c r="AQ578" s="339"/>
      <c r="AR578" s="339"/>
      <c r="AS578" s="339"/>
      <c r="AT578" s="339"/>
      <c r="AU578" s="339"/>
      <c r="AV578" s="339"/>
      <c r="AW578" s="339"/>
      <c r="AX578" s="339"/>
      <c r="AY578" s="339"/>
      <c r="AZ578" s="339"/>
      <c r="BA578" s="339"/>
      <c r="BB578" s="339"/>
      <c r="BC578" s="339"/>
      <c r="BD578" s="339"/>
    </row>
    <row r="579" spans="3:56">
      <c r="C579" s="339"/>
      <c r="D579" s="339"/>
      <c r="E579" s="339"/>
      <c r="F579" s="339"/>
      <c r="G579" s="339"/>
      <c r="H579" s="339"/>
      <c r="I579" s="339"/>
      <c r="J579" s="339"/>
      <c r="K579" s="339"/>
      <c r="L579" s="339"/>
      <c r="M579" s="339"/>
      <c r="N579" s="339"/>
      <c r="O579" s="339"/>
      <c r="P579" s="339"/>
      <c r="Q579" s="339"/>
      <c r="R579" s="339"/>
      <c r="S579" s="339"/>
      <c r="T579" s="339"/>
      <c r="U579" s="339"/>
      <c r="V579" s="339"/>
      <c r="W579" s="339"/>
      <c r="X579" s="339"/>
      <c r="Y579" s="339"/>
      <c r="Z579" s="339"/>
      <c r="AA579" s="339"/>
      <c r="AB579" s="339"/>
      <c r="AC579" s="339"/>
      <c r="AD579" s="339"/>
      <c r="AE579" s="339"/>
      <c r="AF579" s="339"/>
      <c r="AG579" s="339"/>
      <c r="AH579" s="339"/>
      <c r="AI579" s="339"/>
      <c r="AJ579" s="339"/>
      <c r="AK579" s="339"/>
      <c r="AL579" s="339"/>
      <c r="AM579" s="339"/>
      <c r="AN579" s="339"/>
      <c r="AO579" s="339"/>
      <c r="AP579" s="339"/>
      <c r="AQ579" s="339"/>
      <c r="AR579" s="339"/>
      <c r="AS579" s="339"/>
      <c r="AT579" s="339"/>
      <c r="AU579" s="339"/>
      <c r="AV579" s="339"/>
      <c r="AW579" s="339"/>
      <c r="AX579" s="339"/>
      <c r="AY579" s="339"/>
      <c r="AZ579" s="339"/>
      <c r="BA579" s="339"/>
      <c r="BB579" s="339"/>
      <c r="BC579" s="339"/>
      <c r="BD579" s="339"/>
    </row>
    <row r="580" spans="3:56">
      <c r="C580" s="339"/>
      <c r="D580" s="339"/>
      <c r="E580" s="339"/>
      <c r="F580" s="339"/>
      <c r="G580" s="339"/>
      <c r="H580" s="339"/>
      <c r="I580" s="339"/>
      <c r="J580" s="339"/>
      <c r="K580" s="339"/>
      <c r="L580" s="339"/>
      <c r="M580" s="339"/>
      <c r="N580" s="339"/>
      <c r="O580" s="339"/>
      <c r="P580" s="339"/>
      <c r="Q580" s="339"/>
      <c r="R580" s="339"/>
      <c r="S580" s="339"/>
      <c r="T580" s="339"/>
      <c r="U580" s="339"/>
      <c r="V580" s="339"/>
      <c r="W580" s="339"/>
      <c r="X580" s="339"/>
      <c r="Y580" s="339"/>
      <c r="Z580" s="339"/>
      <c r="AA580" s="339"/>
      <c r="AB580" s="339"/>
      <c r="AC580" s="339"/>
      <c r="AD580" s="339"/>
      <c r="AE580" s="339"/>
      <c r="AF580" s="339"/>
      <c r="AG580" s="339"/>
      <c r="AH580" s="339"/>
      <c r="AI580" s="339"/>
      <c r="AJ580" s="339"/>
      <c r="AK580" s="339"/>
      <c r="AL580" s="339"/>
      <c r="AM580" s="339"/>
      <c r="AN580" s="339"/>
      <c r="AO580" s="339"/>
      <c r="AP580" s="339"/>
      <c r="AQ580" s="339"/>
      <c r="AR580" s="339"/>
      <c r="AS580" s="339"/>
      <c r="AT580" s="339"/>
      <c r="AU580" s="339"/>
      <c r="AV580" s="339"/>
      <c r="AW580" s="339"/>
      <c r="AX580" s="339"/>
      <c r="AY580" s="339"/>
      <c r="AZ580" s="339"/>
      <c r="BA580" s="339"/>
      <c r="BB580" s="339"/>
      <c r="BC580" s="339"/>
      <c r="BD580" s="339"/>
    </row>
    <row r="581" spans="3:56">
      <c r="C581" s="339"/>
      <c r="D581" s="339"/>
      <c r="E581" s="339"/>
      <c r="F581" s="339"/>
      <c r="G581" s="339"/>
      <c r="H581" s="339"/>
      <c r="I581" s="339"/>
      <c r="J581" s="339"/>
      <c r="K581" s="339"/>
      <c r="L581" s="339"/>
      <c r="M581" s="339"/>
      <c r="N581" s="339"/>
      <c r="O581" s="339"/>
      <c r="P581" s="339"/>
      <c r="Q581" s="339"/>
      <c r="R581" s="339"/>
      <c r="S581" s="339"/>
      <c r="T581" s="339"/>
      <c r="U581" s="339"/>
      <c r="V581" s="339"/>
      <c r="W581" s="339"/>
      <c r="X581" s="339"/>
      <c r="Y581" s="339"/>
      <c r="Z581" s="339"/>
      <c r="AA581" s="339"/>
      <c r="AB581" s="339"/>
      <c r="AC581" s="339"/>
      <c r="AD581" s="339"/>
      <c r="AE581" s="339"/>
      <c r="AF581" s="339"/>
      <c r="AG581" s="339"/>
      <c r="AH581" s="339"/>
      <c r="AI581" s="339"/>
      <c r="AJ581" s="339"/>
      <c r="AK581" s="339"/>
      <c r="AL581" s="339"/>
      <c r="AM581" s="339"/>
      <c r="AN581" s="339"/>
      <c r="AO581" s="339"/>
      <c r="AP581" s="339"/>
      <c r="AQ581" s="339"/>
      <c r="AR581" s="339"/>
      <c r="AS581" s="339"/>
      <c r="AT581" s="339"/>
      <c r="AU581" s="339"/>
      <c r="AV581" s="339"/>
      <c r="AW581" s="339"/>
      <c r="AX581" s="339"/>
      <c r="AY581" s="339"/>
      <c r="AZ581" s="339"/>
      <c r="BA581" s="339"/>
      <c r="BB581" s="339"/>
      <c r="BC581" s="339"/>
      <c r="BD581" s="339"/>
    </row>
    <row r="582" spans="3:56">
      <c r="C582" s="339"/>
      <c r="D582" s="339"/>
      <c r="E582" s="339"/>
      <c r="F582" s="339"/>
      <c r="G582" s="339"/>
      <c r="H582" s="339"/>
      <c r="I582" s="339"/>
      <c r="J582" s="339"/>
      <c r="K582" s="339"/>
      <c r="L582" s="339"/>
      <c r="M582" s="339"/>
      <c r="N582" s="339"/>
      <c r="O582" s="339"/>
      <c r="P582" s="339"/>
      <c r="Q582" s="339"/>
      <c r="R582" s="339"/>
      <c r="S582" s="339"/>
      <c r="T582" s="339"/>
      <c r="U582" s="339"/>
      <c r="V582" s="339"/>
      <c r="W582" s="339"/>
      <c r="X582" s="339"/>
      <c r="Y582" s="339"/>
      <c r="Z582" s="339"/>
      <c r="AA582" s="339"/>
      <c r="AB582" s="339"/>
      <c r="AC582" s="339"/>
      <c r="AD582" s="339"/>
      <c r="AE582" s="339"/>
      <c r="AF582" s="339"/>
      <c r="AG582" s="339"/>
      <c r="AH582" s="339"/>
      <c r="AI582" s="339"/>
      <c r="AJ582" s="339"/>
      <c r="AK582" s="339"/>
      <c r="AL582" s="339"/>
      <c r="AM582" s="339"/>
      <c r="AN582" s="339"/>
      <c r="AO582" s="339"/>
      <c r="AP582" s="339"/>
      <c r="AQ582" s="339"/>
      <c r="AR582" s="339"/>
      <c r="AS582" s="339"/>
      <c r="AT582" s="339"/>
      <c r="AU582" s="339"/>
      <c r="AV582" s="339"/>
      <c r="AW582" s="339"/>
      <c r="AX582" s="339"/>
      <c r="AY582" s="339"/>
      <c r="AZ582" s="339"/>
      <c r="BA582" s="339"/>
      <c r="BB582" s="339"/>
      <c r="BC582" s="339"/>
      <c r="BD582" s="339"/>
    </row>
    <row r="583" spans="3:56">
      <c r="C583" s="339"/>
      <c r="D583" s="339"/>
      <c r="E583" s="339"/>
      <c r="F583" s="339"/>
      <c r="G583" s="339"/>
      <c r="H583" s="339"/>
      <c r="I583" s="339"/>
      <c r="J583" s="339"/>
      <c r="K583" s="339"/>
      <c r="L583" s="339"/>
      <c r="M583" s="339"/>
      <c r="N583" s="339"/>
      <c r="O583" s="339"/>
      <c r="P583" s="339"/>
      <c r="Q583" s="339"/>
      <c r="R583" s="339"/>
      <c r="S583" s="339"/>
      <c r="T583" s="339"/>
      <c r="U583" s="339"/>
      <c r="V583" s="339"/>
      <c r="W583" s="339"/>
      <c r="X583" s="339"/>
      <c r="Y583" s="339"/>
      <c r="Z583" s="339"/>
      <c r="AA583" s="339"/>
      <c r="AB583" s="339"/>
      <c r="AC583" s="339"/>
      <c r="AD583" s="339"/>
      <c r="AE583" s="339"/>
      <c r="AF583" s="339"/>
      <c r="AG583" s="339"/>
      <c r="AH583" s="339"/>
      <c r="AI583" s="339"/>
      <c r="AJ583" s="339"/>
      <c r="AK583" s="339"/>
      <c r="AL583" s="339"/>
      <c r="AM583" s="339"/>
      <c r="AN583" s="339"/>
      <c r="AO583" s="339"/>
      <c r="AP583" s="339"/>
      <c r="AQ583" s="339"/>
      <c r="AR583" s="339"/>
      <c r="AS583" s="339"/>
      <c r="AT583" s="339"/>
      <c r="AU583" s="339"/>
      <c r="AV583" s="339"/>
      <c r="AW583" s="339"/>
      <c r="AX583" s="339"/>
      <c r="AY583" s="339"/>
      <c r="AZ583" s="339"/>
      <c r="BA583" s="339"/>
      <c r="BB583" s="339"/>
      <c r="BC583" s="339"/>
      <c r="BD583" s="339"/>
    </row>
    <row r="584" spans="3:56">
      <c r="C584" s="339"/>
      <c r="D584" s="339"/>
      <c r="E584" s="339"/>
      <c r="F584" s="339"/>
      <c r="G584" s="339"/>
      <c r="H584" s="339"/>
      <c r="I584" s="339"/>
      <c r="J584" s="339"/>
      <c r="K584" s="339"/>
      <c r="L584" s="339"/>
      <c r="M584" s="339"/>
      <c r="N584" s="339"/>
      <c r="O584" s="339"/>
      <c r="P584" s="339"/>
      <c r="Q584" s="339"/>
      <c r="R584" s="339"/>
      <c r="S584" s="339"/>
      <c r="T584" s="339"/>
      <c r="U584" s="339"/>
      <c r="V584" s="339"/>
      <c r="W584" s="339"/>
      <c r="X584" s="339"/>
      <c r="Y584" s="339"/>
      <c r="Z584" s="339"/>
      <c r="AA584" s="339"/>
      <c r="AB584" s="339"/>
      <c r="AC584" s="339"/>
      <c r="AD584" s="339"/>
      <c r="AE584" s="339"/>
      <c r="AF584" s="339"/>
      <c r="AG584" s="339"/>
      <c r="AH584" s="339"/>
      <c r="AI584" s="339"/>
      <c r="AJ584" s="339"/>
      <c r="AK584" s="339"/>
      <c r="AL584" s="339"/>
      <c r="AM584" s="339"/>
      <c r="AN584" s="339"/>
      <c r="AO584" s="339"/>
      <c r="AP584" s="339"/>
      <c r="AQ584" s="339"/>
      <c r="AR584" s="339"/>
      <c r="AS584" s="339"/>
      <c r="AT584" s="339"/>
      <c r="AU584" s="339"/>
      <c r="AV584" s="339"/>
      <c r="AW584" s="339"/>
      <c r="AX584" s="339"/>
      <c r="AY584" s="339"/>
      <c r="AZ584" s="339"/>
      <c r="BA584" s="339"/>
      <c r="BB584" s="339"/>
      <c r="BC584" s="339"/>
      <c r="BD584" s="339"/>
    </row>
    <row r="585" spans="3:56">
      <c r="C585" s="339"/>
      <c r="D585" s="339"/>
      <c r="E585" s="339"/>
      <c r="F585" s="339"/>
      <c r="G585" s="339"/>
      <c r="H585" s="339"/>
      <c r="I585" s="339"/>
      <c r="J585" s="339"/>
      <c r="K585" s="339"/>
      <c r="L585" s="339"/>
      <c r="M585" s="339"/>
      <c r="N585" s="339"/>
      <c r="O585" s="339"/>
      <c r="P585" s="339"/>
      <c r="Q585" s="339"/>
      <c r="R585" s="339"/>
      <c r="S585" s="339"/>
      <c r="T585" s="339"/>
      <c r="U585" s="339"/>
      <c r="V585" s="339"/>
      <c r="W585" s="339"/>
      <c r="X585" s="339"/>
      <c r="Y585" s="339"/>
      <c r="Z585" s="339"/>
      <c r="AA585" s="339"/>
      <c r="AB585" s="339"/>
      <c r="AC585" s="339"/>
      <c r="AD585" s="339"/>
      <c r="AE585" s="339"/>
      <c r="AF585" s="339"/>
      <c r="AG585" s="339"/>
      <c r="AH585" s="339"/>
      <c r="AI585" s="339"/>
      <c r="AJ585" s="339"/>
      <c r="AK585" s="339"/>
      <c r="AL585" s="339"/>
      <c r="AM585" s="339"/>
      <c r="AN585" s="339"/>
      <c r="AO585" s="339"/>
      <c r="AP585" s="339"/>
      <c r="AQ585" s="339"/>
      <c r="AR585" s="339"/>
      <c r="AS585" s="339"/>
      <c r="AT585" s="339"/>
      <c r="AU585" s="339"/>
      <c r="AV585" s="339"/>
      <c r="AW585" s="339"/>
      <c r="AX585" s="339"/>
      <c r="AY585" s="339"/>
      <c r="AZ585" s="339"/>
      <c r="BA585" s="339"/>
      <c r="BB585" s="339"/>
      <c r="BC585" s="339"/>
      <c r="BD585" s="339"/>
    </row>
    <row r="586" spans="3:56">
      <c r="C586" s="339"/>
      <c r="D586" s="339"/>
      <c r="E586" s="339"/>
      <c r="F586" s="339"/>
      <c r="G586" s="339"/>
      <c r="H586" s="339"/>
      <c r="I586" s="339"/>
      <c r="J586" s="339"/>
      <c r="K586" s="339"/>
      <c r="L586" s="339"/>
      <c r="M586" s="339"/>
      <c r="N586" s="339"/>
      <c r="O586" s="339"/>
      <c r="P586" s="339"/>
      <c r="Q586" s="339"/>
      <c r="R586" s="339"/>
      <c r="S586" s="339"/>
      <c r="T586" s="339"/>
      <c r="U586" s="339"/>
      <c r="V586" s="339"/>
      <c r="W586" s="339"/>
      <c r="X586" s="339"/>
      <c r="Y586" s="339"/>
      <c r="Z586" s="339"/>
      <c r="AA586" s="339"/>
      <c r="AB586" s="339"/>
      <c r="AC586" s="339"/>
      <c r="AD586" s="339"/>
      <c r="AE586" s="339"/>
      <c r="AF586" s="339"/>
      <c r="AG586" s="339"/>
      <c r="AH586" s="339"/>
      <c r="AI586" s="339"/>
      <c r="AJ586" s="339"/>
      <c r="AK586" s="339"/>
      <c r="AL586" s="339"/>
      <c r="AM586" s="339"/>
      <c r="AN586" s="339"/>
      <c r="AO586" s="339"/>
      <c r="AP586" s="339"/>
      <c r="AQ586" s="339"/>
      <c r="AR586" s="339"/>
      <c r="AS586" s="339"/>
      <c r="AT586" s="339"/>
      <c r="AU586" s="339"/>
      <c r="AV586" s="339"/>
      <c r="AW586" s="339"/>
      <c r="AX586" s="339"/>
      <c r="AY586" s="339"/>
      <c r="AZ586" s="339"/>
      <c r="BA586" s="339"/>
      <c r="BB586" s="339"/>
      <c r="BC586" s="339"/>
      <c r="BD586" s="339"/>
    </row>
    <row r="587" spans="3:56">
      <c r="C587" s="339"/>
      <c r="D587" s="339"/>
      <c r="E587" s="339"/>
      <c r="F587" s="339"/>
      <c r="G587" s="339"/>
      <c r="H587" s="339"/>
      <c r="I587" s="339"/>
      <c r="J587" s="339"/>
      <c r="K587" s="339"/>
      <c r="L587" s="339"/>
      <c r="M587" s="339"/>
      <c r="N587" s="339"/>
      <c r="O587" s="339"/>
      <c r="P587" s="339"/>
      <c r="Q587" s="339"/>
      <c r="R587" s="339"/>
      <c r="S587" s="339"/>
      <c r="T587" s="339"/>
      <c r="U587" s="339"/>
      <c r="V587" s="339"/>
      <c r="W587" s="339"/>
      <c r="X587" s="339"/>
      <c r="Y587" s="339"/>
      <c r="Z587" s="339"/>
      <c r="AA587" s="339"/>
      <c r="AB587" s="339"/>
      <c r="AC587" s="339"/>
      <c r="AD587" s="339"/>
      <c r="AE587" s="339"/>
      <c r="AF587" s="339"/>
      <c r="AG587" s="339"/>
      <c r="AH587" s="339"/>
      <c r="AI587" s="339"/>
      <c r="AJ587" s="339"/>
      <c r="AK587" s="339"/>
      <c r="AL587" s="339"/>
      <c r="AM587" s="339"/>
      <c r="AN587" s="339"/>
      <c r="AO587" s="339"/>
      <c r="AP587" s="339"/>
      <c r="AQ587" s="339"/>
      <c r="AR587" s="339"/>
      <c r="AS587" s="339"/>
      <c r="AT587" s="339"/>
      <c r="AU587" s="339"/>
      <c r="AV587" s="339"/>
      <c r="AW587" s="339"/>
      <c r="AX587" s="339"/>
      <c r="AY587" s="339"/>
      <c r="AZ587" s="339"/>
      <c r="BA587" s="339"/>
      <c r="BB587" s="339"/>
      <c r="BC587" s="339"/>
      <c r="BD587" s="339"/>
    </row>
    <row r="588" spans="3:56">
      <c r="C588" s="339"/>
      <c r="D588" s="339"/>
      <c r="E588" s="339"/>
      <c r="F588" s="339"/>
      <c r="G588" s="339"/>
      <c r="H588" s="339"/>
      <c r="I588" s="339"/>
      <c r="J588" s="339"/>
      <c r="K588" s="339"/>
      <c r="L588" s="339"/>
      <c r="M588" s="339"/>
      <c r="N588" s="339"/>
      <c r="O588" s="339"/>
      <c r="P588" s="339"/>
      <c r="Q588" s="339"/>
      <c r="R588" s="339"/>
      <c r="S588" s="339"/>
      <c r="T588" s="339"/>
      <c r="U588" s="339"/>
      <c r="V588" s="339"/>
      <c r="W588" s="339"/>
      <c r="X588" s="339"/>
      <c r="Y588" s="339"/>
      <c r="Z588" s="339"/>
      <c r="AA588" s="339"/>
      <c r="AB588" s="339"/>
      <c r="AC588" s="339"/>
      <c r="AD588" s="339"/>
      <c r="AE588" s="339"/>
      <c r="AF588" s="339"/>
      <c r="AG588" s="339"/>
      <c r="AH588" s="339"/>
      <c r="AI588" s="339"/>
      <c r="AJ588" s="339"/>
      <c r="AK588" s="339"/>
      <c r="AL588" s="339"/>
      <c r="AM588" s="339"/>
      <c r="AN588" s="339"/>
      <c r="AO588" s="339"/>
      <c r="AP588" s="339"/>
      <c r="AQ588" s="339"/>
      <c r="AR588" s="339"/>
      <c r="AS588" s="339"/>
      <c r="AT588" s="339"/>
      <c r="AU588" s="339"/>
      <c r="AV588" s="339"/>
      <c r="AW588" s="339"/>
      <c r="AX588" s="339"/>
      <c r="AY588" s="339"/>
      <c r="AZ588" s="339"/>
      <c r="BA588" s="339"/>
      <c r="BB588" s="339"/>
      <c r="BC588" s="339"/>
      <c r="BD588" s="339"/>
    </row>
    <row r="589" spans="3:56">
      <c r="C589" s="339"/>
      <c r="D589" s="339"/>
      <c r="E589" s="339"/>
      <c r="F589" s="339"/>
      <c r="G589" s="339"/>
      <c r="H589" s="339"/>
      <c r="I589" s="339"/>
      <c r="J589" s="339"/>
      <c r="K589" s="339"/>
      <c r="L589" s="339"/>
      <c r="M589" s="339"/>
      <c r="N589" s="339"/>
      <c r="O589" s="339"/>
      <c r="P589" s="339"/>
      <c r="Q589" s="339"/>
      <c r="R589" s="339"/>
      <c r="S589" s="339"/>
      <c r="T589" s="339"/>
      <c r="U589" s="339"/>
      <c r="V589" s="339"/>
      <c r="W589" s="339"/>
      <c r="X589" s="339"/>
      <c r="Y589" s="339"/>
      <c r="Z589" s="339"/>
      <c r="AA589" s="339"/>
      <c r="AB589" s="339"/>
      <c r="AC589" s="339"/>
      <c r="AD589" s="339"/>
      <c r="AE589" s="339"/>
      <c r="AF589" s="339"/>
      <c r="AG589" s="339"/>
      <c r="AH589" s="339"/>
      <c r="AI589" s="339"/>
      <c r="AJ589" s="339"/>
      <c r="AK589" s="339"/>
      <c r="AL589" s="339"/>
      <c r="AM589" s="339"/>
      <c r="AN589" s="339"/>
      <c r="AO589" s="339"/>
      <c r="AP589" s="339"/>
      <c r="AQ589" s="339"/>
      <c r="AR589" s="339"/>
      <c r="AS589" s="339"/>
      <c r="AT589" s="339"/>
      <c r="AU589" s="339"/>
      <c r="AV589" s="339"/>
      <c r="AW589" s="339"/>
      <c r="AX589" s="339"/>
      <c r="AY589" s="339"/>
      <c r="AZ589" s="339"/>
      <c r="BA589" s="339"/>
      <c r="BB589" s="339"/>
      <c r="BC589" s="339"/>
      <c r="BD589" s="339"/>
    </row>
    <row r="590" spans="3:56">
      <c r="C590" s="339"/>
      <c r="D590" s="339"/>
      <c r="E590" s="339"/>
      <c r="F590" s="339"/>
      <c r="G590" s="339"/>
      <c r="H590" s="339"/>
      <c r="I590" s="339"/>
      <c r="J590" s="339"/>
      <c r="K590" s="339"/>
      <c r="L590" s="339"/>
      <c r="M590" s="339"/>
      <c r="N590" s="339"/>
      <c r="O590" s="339"/>
      <c r="P590" s="339"/>
      <c r="Q590" s="339"/>
      <c r="R590" s="339"/>
      <c r="S590" s="339"/>
      <c r="T590" s="339"/>
      <c r="U590" s="339"/>
      <c r="V590" s="339"/>
      <c r="W590" s="339"/>
      <c r="X590" s="339"/>
      <c r="Y590" s="339"/>
      <c r="Z590" s="339"/>
      <c r="AA590" s="339"/>
      <c r="AB590" s="339"/>
      <c r="AC590" s="339"/>
      <c r="AD590" s="339"/>
      <c r="AE590" s="339"/>
      <c r="AF590" s="339"/>
      <c r="AG590" s="339"/>
      <c r="AH590" s="339"/>
      <c r="AI590" s="339"/>
      <c r="AJ590" s="339"/>
      <c r="AK590" s="339"/>
      <c r="AL590" s="339"/>
      <c r="AM590" s="339"/>
      <c r="AN590" s="339"/>
      <c r="AO590" s="339"/>
      <c r="AP590" s="339"/>
      <c r="AQ590" s="339"/>
      <c r="AR590" s="339"/>
      <c r="AS590" s="339"/>
      <c r="AT590" s="339"/>
      <c r="AU590" s="339"/>
      <c r="AV590" s="339"/>
      <c r="AW590" s="339"/>
      <c r="AX590" s="339"/>
      <c r="AY590" s="339"/>
      <c r="AZ590" s="339"/>
      <c r="BA590" s="339"/>
      <c r="BB590" s="339"/>
      <c r="BC590" s="339"/>
      <c r="BD590" s="339"/>
    </row>
    <row r="591" spans="3:56">
      <c r="C591" s="339"/>
      <c r="D591" s="339"/>
      <c r="E591" s="339"/>
      <c r="F591" s="339"/>
      <c r="G591" s="339"/>
      <c r="H591" s="339"/>
      <c r="I591" s="339"/>
      <c r="J591" s="339"/>
      <c r="K591" s="339"/>
      <c r="L591" s="339"/>
      <c r="M591" s="339"/>
      <c r="N591" s="339"/>
      <c r="O591" s="339"/>
      <c r="P591" s="339"/>
      <c r="Q591" s="339"/>
      <c r="R591" s="339"/>
      <c r="S591" s="339"/>
      <c r="T591" s="339"/>
      <c r="U591" s="339"/>
      <c r="V591" s="339"/>
      <c r="W591" s="339"/>
      <c r="X591" s="339"/>
      <c r="Y591" s="339"/>
      <c r="Z591" s="339"/>
      <c r="AA591" s="339"/>
      <c r="AB591" s="339"/>
      <c r="AC591" s="339"/>
      <c r="AD591" s="339"/>
      <c r="AE591" s="339"/>
      <c r="AF591" s="339"/>
      <c r="AG591" s="339"/>
      <c r="AH591" s="339"/>
      <c r="AI591" s="339"/>
      <c r="AJ591" s="339"/>
      <c r="AK591" s="339"/>
      <c r="AL591" s="339"/>
      <c r="AM591" s="339"/>
      <c r="AN591" s="339"/>
      <c r="AO591" s="339"/>
      <c r="AP591" s="339"/>
      <c r="AQ591" s="339"/>
      <c r="AR591" s="339"/>
      <c r="AS591" s="339"/>
      <c r="AT591" s="339"/>
      <c r="AU591" s="339"/>
      <c r="AV591" s="339"/>
      <c r="AW591" s="339"/>
      <c r="AX591" s="339"/>
      <c r="AY591" s="339"/>
      <c r="AZ591" s="339"/>
      <c r="BA591" s="339"/>
      <c r="BB591" s="339"/>
      <c r="BC591" s="339"/>
      <c r="BD591" s="339"/>
    </row>
    <row r="592" spans="3:56">
      <c r="C592" s="339"/>
      <c r="D592" s="339"/>
      <c r="E592" s="339"/>
      <c r="F592" s="339"/>
      <c r="G592" s="339"/>
      <c r="H592" s="339"/>
      <c r="I592" s="339"/>
      <c r="J592" s="339"/>
      <c r="K592" s="339"/>
      <c r="L592" s="339"/>
      <c r="M592" s="339"/>
      <c r="N592" s="339"/>
      <c r="O592" s="339"/>
      <c r="P592" s="339"/>
      <c r="Q592" s="339"/>
      <c r="R592" s="339"/>
      <c r="S592" s="339"/>
      <c r="T592" s="339"/>
      <c r="U592" s="339"/>
      <c r="V592" s="339"/>
      <c r="W592" s="339"/>
      <c r="X592" s="339"/>
      <c r="Y592" s="339"/>
      <c r="Z592" s="339"/>
      <c r="AA592" s="339"/>
      <c r="AB592" s="339"/>
      <c r="AC592" s="339"/>
      <c r="AD592" s="339"/>
      <c r="AE592" s="339"/>
      <c r="AF592" s="339"/>
      <c r="AG592" s="339"/>
      <c r="AH592" s="339"/>
      <c r="AI592" s="339"/>
      <c r="AJ592" s="339"/>
      <c r="AK592" s="339"/>
      <c r="AL592" s="339"/>
      <c r="AM592" s="339"/>
      <c r="AN592" s="339"/>
      <c r="AO592" s="339"/>
      <c r="AP592" s="339"/>
      <c r="AQ592" s="339"/>
      <c r="AR592" s="339"/>
      <c r="AS592" s="339"/>
      <c r="AT592" s="339"/>
      <c r="AU592" s="339"/>
      <c r="AV592" s="339"/>
      <c r="AW592" s="339"/>
      <c r="AX592" s="339"/>
      <c r="AY592" s="339"/>
      <c r="AZ592" s="339"/>
      <c r="BA592" s="339"/>
      <c r="BB592" s="339"/>
      <c r="BC592" s="339"/>
      <c r="BD592" s="339"/>
    </row>
    <row r="593" spans="3:56">
      <c r="C593" s="339"/>
      <c r="D593" s="339"/>
      <c r="E593" s="339"/>
      <c r="F593" s="339"/>
      <c r="G593" s="339"/>
      <c r="H593" s="339"/>
      <c r="I593" s="339"/>
      <c r="J593" s="339"/>
      <c r="K593" s="339"/>
      <c r="L593" s="339"/>
      <c r="M593" s="339"/>
      <c r="N593" s="339"/>
      <c r="O593" s="339"/>
      <c r="P593" s="339"/>
      <c r="Q593" s="339"/>
      <c r="R593" s="339"/>
      <c r="S593" s="339"/>
      <c r="T593" s="339"/>
      <c r="U593" s="339"/>
      <c r="V593" s="339"/>
      <c r="W593" s="339"/>
      <c r="X593" s="339"/>
      <c r="Y593" s="339"/>
      <c r="Z593" s="339"/>
      <c r="AA593" s="339"/>
      <c r="AB593" s="339"/>
      <c r="AC593" s="339"/>
      <c r="AD593" s="339"/>
      <c r="AE593" s="339"/>
      <c r="AF593" s="339"/>
      <c r="AG593" s="339"/>
      <c r="AH593" s="339"/>
      <c r="AI593" s="339"/>
      <c r="AJ593" s="339"/>
      <c r="AK593" s="339"/>
      <c r="AL593" s="339"/>
      <c r="AM593" s="339"/>
      <c r="AN593" s="339"/>
      <c r="AO593" s="339"/>
      <c r="AP593" s="339"/>
      <c r="AQ593" s="339"/>
      <c r="AR593" s="339"/>
      <c r="AS593" s="339"/>
      <c r="AT593" s="339"/>
      <c r="AU593" s="339"/>
      <c r="AV593" s="339"/>
      <c r="AW593" s="339"/>
      <c r="AX593" s="339"/>
      <c r="AY593" s="339"/>
      <c r="AZ593" s="339"/>
      <c r="BA593" s="339"/>
      <c r="BB593" s="339"/>
      <c r="BC593" s="339"/>
      <c r="BD593" s="339"/>
    </row>
    <row r="594" spans="3:56">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339"/>
      <c r="AE594" s="339"/>
      <c r="AF594" s="339"/>
      <c r="AG594" s="339"/>
      <c r="AH594" s="339"/>
      <c r="AI594" s="339"/>
      <c r="AJ594" s="339"/>
      <c r="AK594" s="339"/>
      <c r="AL594" s="339"/>
      <c r="AM594" s="339"/>
      <c r="AN594" s="339"/>
      <c r="AO594" s="339"/>
      <c r="AP594" s="339"/>
      <c r="AQ594" s="339"/>
      <c r="AR594" s="339"/>
      <c r="AS594" s="339"/>
      <c r="AT594" s="339"/>
      <c r="AU594" s="339"/>
      <c r="AV594" s="339"/>
      <c r="AW594" s="339"/>
      <c r="AX594" s="339"/>
      <c r="AY594" s="339"/>
      <c r="AZ594" s="339"/>
      <c r="BA594" s="339"/>
      <c r="BB594" s="339"/>
      <c r="BC594" s="339"/>
      <c r="BD594" s="339"/>
    </row>
    <row r="595" spans="3:56">
      <c r="C595" s="339"/>
      <c r="D595" s="339"/>
      <c r="E595" s="339"/>
      <c r="F595" s="339"/>
      <c r="G595" s="339"/>
      <c r="H595" s="339"/>
      <c r="I595" s="339"/>
      <c r="J595" s="339"/>
      <c r="K595" s="339"/>
      <c r="L595" s="339"/>
      <c r="M595" s="339"/>
      <c r="N595" s="339"/>
      <c r="O595" s="339"/>
      <c r="P595" s="339"/>
      <c r="Q595" s="339"/>
      <c r="R595" s="339"/>
      <c r="S595" s="339"/>
      <c r="T595" s="339"/>
      <c r="U595" s="339"/>
      <c r="V595" s="339"/>
      <c r="W595" s="339"/>
      <c r="X595" s="339"/>
      <c r="Y595" s="339"/>
      <c r="Z595" s="339"/>
      <c r="AA595" s="339"/>
      <c r="AB595" s="339"/>
      <c r="AC595" s="339"/>
      <c r="AD595" s="339"/>
      <c r="AE595" s="339"/>
      <c r="AF595" s="339"/>
      <c r="AG595" s="339"/>
      <c r="AH595" s="339"/>
      <c r="AI595" s="339"/>
      <c r="AJ595" s="339"/>
      <c r="AK595" s="339"/>
      <c r="AL595" s="339"/>
      <c r="AM595" s="339"/>
      <c r="AN595" s="339"/>
      <c r="AO595" s="339"/>
      <c r="AP595" s="339"/>
      <c r="AQ595" s="339"/>
      <c r="AR595" s="339"/>
      <c r="AS595" s="339"/>
      <c r="AT595" s="339"/>
      <c r="AU595" s="339"/>
      <c r="AV595" s="339"/>
      <c r="AW595" s="339"/>
      <c r="AX595" s="339"/>
      <c r="AY595" s="339"/>
      <c r="AZ595" s="339"/>
      <c r="BA595" s="339"/>
      <c r="BB595" s="339"/>
      <c r="BC595" s="339"/>
      <c r="BD595" s="339"/>
    </row>
    <row r="596" spans="3:56">
      <c r="C596" s="339"/>
      <c r="D596" s="339"/>
      <c r="E596" s="339"/>
      <c r="F596" s="339"/>
      <c r="G596" s="339"/>
      <c r="H596" s="339"/>
      <c r="I596" s="339"/>
      <c r="J596" s="339"/>
      <c r="K596" s="339"/>
      <c r="L596" s="339"/>
      <c r="M596" s="339"/>
      <c r="N596" s="339"/>
      <c r="O596" s="339"/>
      <c r="P596" s="339"/>
      <c r="Q596" s="339"/>
      <c r="R596" s="339"/>
      <c r="S596" s="339"/>
      <c r="T596" s="339"/>
      <c r="U596" s="339"/>
      <c r="V596" s="339"/>
      <c r="W596" s="339"/>
      <c r="X596" s="339"/>
      <c r="Y596" s="339"/>
      <c r="Z596" s="339"/>
      <c r="AA596" s="339"/>
      <c r="AB596" s="339"/>
      <c r="AC596" s="339"/>
      <c r="AD596" s="339"/>
      <c r="AE596" s="339"/>
      <c r="AF596" s="339"/>
      <c r="AG596" s="339"/>
      <c r="AH596" s="339"/>
      <c r="AI596" s="339"/>
      <c r="AJ596" s="339"/>
      <c r="AK596" s="339"/>
      <c r="AL596" s="339"/>
      <c r="AM596" s="339"/>
      <c r="AN596" s="339"/>
      <c r="AO596" s="339"/>
      <c r="AP596" s="339"/>
      <c r="AQ596" s="339"/>
      <c r="AR596" s="339"/>
      <c r="AS596" s="339"/>
      <c r="AT596" s="339"/>
      <c r="AU596" s="339"/>
      <c r="AV596" s="339"/>
      <c r="AW596" s="339"/>
      <c r="AX596" s="339"/>
      <c r="AY596" s="339"/>
      <c r="AZ596" s="339"/>
      <c r="BA596" s="339"/>
      <c r="BB596" s="339"/>
      <c r="BC596" s="339"/>
      <c r="BD596" s="339"/>
    </row>
    <row r="597" spans="3:56">
      <c r="C597" s="339"/>
      <c r="D597" s="339"/>
      <c r="E597" s="339"/>
      <c r="F597" s="339"/>
      <c r="G597" s="339"/>
      <c r="H597" s="339"/>
      <c r="I597" s="339"/>
      <c r="J597" s="339"/>
      <c r="K597" s="339"/>
      <c r="L597" s="339"/>
      <c r="M597" s="339"/>
      <c r="N597" s="339"/>
      <c r="O597" s="339"/>
      <c r="P597" s="339"/>
      <c r="Q597" s="339"/>
      <c r="R597" s="339"/>
      <c r="S597" s="339"/>
      <c r="T597" s="339"/>
      <c r="U597" s="339"/>
      <c r="V597" s="339"/>
      <c r="W597" s="339"/>
      <c r="X597" s="339"/>
      <c r="Y597" s="339"/>
      <c r="Z597" s="339"/>
      <c r="AA597" s="339"/>
      <c r="AB597" s="339"/>
      <c r="AC597" s="339"/>
      <c r="AD597" s="339"/>
      <c r="AE597" s="339"/>
      <c r="AF597" s="339"/>
      <c r="AG597" s="339"/>
      <c r="AH597" s="339"/>
      <c r="AI597" s="339"/>
      <c r="AJ597" s="339"/>
      <c r="AK597" s="339"/>
      <c r="AL597" s="339"/>
      <c r="AM597" s="339"/>
      <c r="AN597" s="339"/>
      <c r="AO597" s="339"/>
      <c r="AP597" s="339"/>
      <c r="AQ597" s="339"/>
      <c r="AR597" s="339"/>
      <c r="AS597" s="339"/>
      <c r="AT597" s="339"/>
      <c r="AU597" s="339"/>
      <c r="AV597" s="339"/>
      <c r="AW597" s="339"/>
      <c r="AX597" s="339"/>
      <c r="AY597" s="339"/>
      <c r="AZ597" s="339"/>
      <c r="BA597" s="339"/>
      <c r="BB597" s="339"/>
      <c r="BC597" s="339"/>
      <c r="BD597" s="339"/>
    </row>
    <row r="598" spans="3:56">
      <c r="C598" s="339"/>
      <c r="D598" s="339"/>
      <c r="E598" s="339"/>
      <c r="F598" s="339"/>
      <c r="G598" s="339"/>
      <c r="H598" s="339"/>
      <c r="I598" s="339"/>
      <c r="J598" s="339"/>
      <c r="K598" s="339"/>
      <c r="L598" s="339"/>
      <c r="M598" s="339"/>
      <c r="N598" s="339"/>
      <c r="O598" s="339"/>
      <c r="P598" s="339"/>
      <c r="Q598" s="339"/>
      <c r="R598" s="339"/>
      <c r="S598" s="339"/>
      <c r="T598" s="339"/>
      <c r="U598" s="339"/>
      <c r="V598" s="339"/>
      <c r="W598" s="339"/>
      <c r="X598" s="339"/>
      <c r="Y598" s="339"/>
      <c r="Z598" s="339"/>
      <c r="AA598" s="339"/>
      <c r="AB598" s="339"/>
      <c r="AC598" s="339"/>
      <c r="AD598" s="339"/>
      <c r="AE598" s="339"/>
      <c r="AF598" s="339"/>
      <c r="AG598" s="339"/>
      <c r="AH598" s="339"/>
      <c r="AI598" s="339"/>
      <c r="AJ598" s="339"/>
      <c r="AK598" s="339"/>
      <c r="AL598" s="339"/>
      <c r="AM598" s="339"/>
      <c r="AN598" s="339"/>
      <c r="AO598" s="339"/>
      <c r="AP598" s="339"/>
      <c r="AQ598" s="339"/>
      <c r="AR598" s="339"/>
      <c r="AS598" s="339"/>
      <c r="AT598" s="339"/>
      <c r="AU598" s="339"/>
      <c r="AV598" s="339"/>
      <c r="AW598" s="339"/>
      <c r="AX598" s="339"/>
      <c r="AY598" s="339"/>
      <c r="AZ598" s="339"/>
      <c r="BA598" s="339"/>
      <c r="BB598" s="339"/>
      <c r="BC598" s="339"/>
      <c r="BD598" s="339"/>
    </row>
    <row r="599" spans="3:56">
      <c r="C599" s="339"/>
      <c r="D599" s="339"/>
      <c r="E599" s="339"/>
      <c r="F599" s="339"/>
      <c r="G599" s="339"/>
      <c r="H599" s="339"/>
      <c r="I599" s="339"/>
      <c r="J599" s="339"/>
      <c r="K599" s="339"/>
      <c r="L599" s="339"/>
      <c r="M599" s="339"/>
      <c r="N599" s="339"/>
      <c r="O599" s="339"/>
      <c r="P599" s="339"/>
      <c r="Q599" s="339"/>
      <c r="R599" s="339"/>
      <c r="S599" s="339"/>
      <c r="T599" s="339"/>
      <c r="U599" s="339"/>
      <c r="V599" s="339"/>
      <c r="W599" s="339"/>
      <c r="X599" s="339"/>
      <c r="Y599" s="339"/>
      <c r="Z599" s="339"/>
      <c r="AA599" s="339"/>
      <c r="AB599" s="339"/>
      <c r="AC599" s="339"/>
      <c r="AD599" s="339"/>
      <c r="AE599" s="339"/>
      <c r="AF599" s="339"/>
      <c r="AG599" s="339"/>
      <c r="AH599" s="339"/>
      <c r="AI599" s="339"/>
      <c r="AJ599" s="339"/>
      <c r="AK599" s="339"/>
      <c r="AL599" s="339"/>
      <c r="AM599" s="339"/>
      <c r="AN599" s="339"/>
      <c r="AO599" s="339"/>
      <c r="AP599" s="339"/>
      <c r="AQ599" s="339"/>
      <c r="AR599" s="339"/>
      <c r="AS599" s="339"/>
      <c r="AT599" s="339"/>
      <c r="AU599" s="339"/>
      <c r="AV599" s="339"/>
      <c r="AW599" s="339"/>
      <c r="AX599" s="339"/>
      <c r="AY599" s="339"/>
      <c r="AZ599" s="339"/>
      <c r="BA599" s="339"/>
      <c r="BB599" s="339"/>
      <c r="BC599" s="339"/>
      <c r="BD599" s="339"/>
    </row>
    <row r="600" spans="3:56">
      <c r="C600" s="339"/>
      <c r="D600" s="339"/>
      <c r="E600" s="339"/>
      <c r="F600" s="339"/>
      <c r="G600" s="339"/>
      <c r="H600" s="339"/>
      <c r="I600" s="339"/>
      <c r="J600" s="339"/>
      <c r="K600" s="339"/>
      <c r="L600" s="339"/>
      <c r="M600" s="339"/>
      <c r="N600" s="339"/>
      <c r="O600" s="339"/>
      <c r="P600" s="339"/>
      <c r="Q600" s="339"/>
      <c r="R600" s="339"/>
      <c r="S600" s="339"/>
      <c r="T600" s="339"/>
      <c r="U600" s="339"/>
      <c r="V600" s="339"/>
      <c r="W600" s="339"/>
      <c r="X600" s="339"/>
      <c r="Y600" s="339"/>
      <c r="Z600" s="339"/>
      <c r="AA600" s="339"/>
      <c r="AB600" s="339"/>
      <c r="AC600" s="339"/>
      <c r="AD600" s="339"/>
      <c r="AE600" s="339"/>
      <c r="AF600" s="339"/>
      <c r="AG600" s="339"/>
      <c r="AH600" s="339"/>
      <c r="AI600" s="339"/>
      <c r="AJ600" s="339"/>
      <c r="AK600" s="339"/>
      <c r="AL600" s="339"/>
      <c r="AM600" s="339"/>
      <c r="AN600" s="339"/>
      <c r="AO600" s="339"/>
      <c r="AP600" s="339"/>
      <c r="AQ600" s="339"/>
      <c r="AR600" s="339"/>
      <c r="AS600" s="339"/>
      <c r="AT600" s="339"/>
      <c r="AU600" s="339"/>
      <c r="AV600" s="339"/>
      <c r="AW600" s="339"/>
      <c r="AX600" s="339"/>
      <c r="AY600" s="339"/>
      <c r="AZ600" s="339"/>
      <c r="BA600" s="339"/>
      <c r="BB600" s="339"/>
      <c r="BC600" s="339"/>
      <c r="BD600" s="339"/>
    </row>
    <row r="601" spans="3:56">
      <c r="C601" s="339"/>
      <c r="D601" s="339"/>
      <c r="E601" s="339"/>
      <c r="F601" s="339"/>
      <c r="G601" s="339"/>
      <c r="H601" s="339"/>
      <c r="I601" s="339"/>
      <c r="J601" s="339"/>
      <c r="K601" s="339"/>
      <c r="L601" s="339"/>
      <c r="M601" s="339"/>
      <c r="N601" s="339"/>
      <c r="O601" s="339"/>
      <c r="P601" s="339"/>
      <c r="Q601" s="339"/>
      <c r="R601" s="339"/>
      <c r="S601" s="339"/>
      <c r="T601" s="339"/>
      <c r="U601" s="339"/>
      <c r="V601" s="339"/>
      <c r="W601" s="339"/>
      <c r="X601" s="339"/>
      <c r="Y601" s="339"/>
      <c r="Z601" s="339"/>
      <c r="AA601" s="339"/>
      <c r="AB601" s="339"/>
      <c r="AC601" s="339"/>
      <c r="AD601" s="339"/>
      <c r="AE601" s="339"/>
      <c r="AF601" s="339"/>
      <c r="AG601" s="339"/>
      <c r="AH601" s="339"/>
      <c r="AI601" s="339"/>
      <c r="AJ601" s="339"/>
      <c r="AK601" s="339"/>
      <c r="AL601" s="339"/>
      <c r="AM601" s="339"/>
      <c r="AN601" s="339"/>
      <c r="AO601" s="339"/>
      <c r="AP601" s="339"/>
      <c r="AQ601" s="339"/>
      <c r="AR601" s="339"/>
      <c r="AS601" s="339"/>
      <c r="AT601" s="339"/>
      <c r="AU601" s="339"/>
      <c r="AV601" s="339"/>
      <c r="AW601" s="339"/>
      <c r="AX601" s="339"/>
      <c r="AY601" s="339"/>
      <c r="AZ601" s="339"/>
      <c r="BA601" s="339"/>
      <c r="BB601" s="339"/>
      <c r="BC601" s="339"/>
      <c r="BD601" s="339"/>
    </row>
    <row r="602" spans="3:56">
      <c r="C602" s="339"/>
      <c r="D602" s="339"/>
      <c r="E602" s="339"/>
      <c r="F602" s="339"/>
      <c r="G602" s="339"/>
      <c r="H602" s="339"/>
      <c r="I602" s="339"/>
      <c r="J602" s="339"/>
      <c r="K602" s="339"/>
      <c r="L602" s="339"/>
      <c r="M602" s="339"/>
      <c r="N602" s="339"/>
      <c r="O602" s="339"/>
      <c r="P602" s="339"/>
      <c r="Q602" s="339"/>
      <c r="R602" s="339"/>
      <c r="S602" s="339"/>
      <c r="T602" s="339"/>
      <c r="U602" s="339"/>
      <c r="V602" s="339"/>
      <c r="W602" s="339"/>
      <c r="X602" s="339"/>
      <c r="Y602" s="339"/>
      <c r="Z602" s="339"/>
      <c r="AA602" s="339"/>
      <c r="AB602" s="339"/>
      <c r="AC602" s="339"/>
      <c r="AD602" s="339"/>
      <c r="AE602" s="339"/>
      <c r="AF602" s="339"/>
      <c r="AG602" s="339"/>
      <c r="AH602" s="339"/>
      <c r="AI602" s="339"/>
      <c r="AJ602" s="339"/>
      <c r="AK602" s="339"/>
      <c r="AL602" s="339"/>
      <c r="AM602" s="339"/>
      <c r="AN602" s="339"/>
      <c r="AO602" s="339"/>
      <c r="AP602" s="339"/>
      <c r="AQ602" s="339"/>
      <c r="AR602" s="339"/>
      <c r="AS602" s="339"/>
      <c r="AT602" s="339"/>
      <c r="AU602" s="339"/>
      <c r="AV602" s="339"/>
      <c r="AW602" s="339"/>
      <c r="AX602" s="339"/>
      <c r="AY602" s="339"/>
      <c r="AZ602" s="339"/>
      <c r="BA602" s="339"/>
      <c r="BB602" s="339"/>
      <c r="BC602" s="339"/>
      <c r="BD602" s="339"/>
    </row>
    <row r="603" spans="3:56">
      <c r="C603" s="339"/>
      <c r="D603" s="339"/>
      <c r="E603" s="339"/>
      <c r="F603" s="339"/>
      <c r="G603" s="339"/>
      <c r="H603" s="339"/>
      <c r="I603" s="339"/>
      <c r="J603" s="339"/>
      <c r="K603" s="339"/>
      <c r="L603" s="339"/>
      <c r="M603" s="339"/>
      <c r="N603" s="339"/>
      <c r="O603" s="339"/>
      <c r="P603" s="339"/>
      <c r="Q603" s="339"/>
      <c r="R603" s="339"/>
      <c r="S603" s="339"/>
      <c r="T603" s="339"/>
      <c r="U603" s="339"/>
      <c r="V603" s="339"/>
      <c r="W603" s="339"/>
      <c r="X603" s="339"/>
      <c r="Y603" s="339"/>
      <c r="Z603" s="339"/>
      <c r="AA603" s="339"/>
      <c r="AB603" s="339"/>
      <c r="AC603" s="339"/>
      <c r="AD603" s="339"/>
      <c r="AE603" s="339"/>
      <c r="AF603" s="339"/>
      <c r="AG603" s="339"/>
      <c r="AH603" s="339"/>
      <c r="AI603" s="339"/>
      <c r="AJ603" s="339"/>
      <c r="AK603" s="339"/>
      <c r="AL603" s="339"/>
      <c r="AM603" s="339"/>
      <c r="AN603" s="339"/>
      <c r="AO603" s="339"/>
      <c r="AP603" s="339"/>
      <c r="AQ603" s="339"/>
      <c r="AR603" s="339"/>
      <c r="AS603" s="339"/>
      <c r="AT603" s="339"/>
      <c r="AU603" s="339"/>
      <c r="AV603" s="339"/>
      <c r="AW603" s="339"/>
      <c r="AX603" s="339"/>
      <c r="AY603" s="339"/>
      <c r="AZ603" s="339"/>
      <c r="BA603" s="339"/>
      <c r="BB603" s="339"/>
      <c r="BC603" s="339"/>
      <c r="BD603" s="339"/>
    </row>
    <row r="604" spans="3:56">
      <c r="C604" s="339"/>
      <c r="D604" s="339"/>
      <c r="E604" s="339"/>
      <c r="F604" s="339"/>
      <c r="G604" s="339"/>
      <c r="H604" s="339"/>
      <c r="I604" s="339"/>
      <c r="J604" s="339"/>
      <c r="K604" s="339"/>
      <c r="L604" s="339"/>
      <c r="M604" s="339"/>
      <c r="N604" s="339"/>
      <c r="O604" s="339"/>
      <c r="P604" s="339"/>
      <c r="Q604" s="339"/>
      <c r="R604" s="339"/>
      <c r="S604" s="339"/>
      <c r="T604" s="339"/>
      <c r="U604" s="339"/>
      <c r="V604" s="339"/>
      <c r="W604" s="339"/>
      <c r="X604" s="339"/>
      <c r="Y604" s="339"/>
      <c r="Z604" s="339"/>
      <c r="AA604" s="339"/>
      <c r="AB604" s="339"/>
      <c r="AC604" s="339"/>
      <c r="AD604" s="339"/>
      <c r="AE604" s="339"/>
      <c r="AF604" s="339"/>
      <c r="AG604" s="339"/>
      <c r="AH604" s="339"/>
      <c r="AI604" s="339"/>
      <c r="AJ604" s="339"/>
      <c r="AK604" s="339"/>
      <c r="AL604" s="339"/>
      <c r="AM604" s="339"/>
      <c r="AN604" s="339"/>
      <c r="AO604" s="339"/>
      <c r="AP604" s="339"/>
      <c r="AQ604" s="339"/>
      <c r="AR604" s="339"/>
      <c r="AS604" s="339"/>
      <c r="AT604" s="339"/>
      <c r="AU604" s="339"/>
      <c r="AV604" s="339"/>
      <c r="AW604" s="339"/>
      <c r="AX604" s="339"/>
      <c r="AY604" s="339"/>
      <c r="AZ604" s="339"/>
      <c r="BA604" s="339"/>
      <c r="BB604" s="339"/>
      <c r="BC604" s="339"/>
      <c r="BD604" s="339"/>
    </row>
    <row r="605" spans="3:56">
      <c r="C605" s="339"/>
      <c r="D605" s="339"/>
      <c r="E605" s="339"/>
      <c r="F605" s="339"/>
      <c r="G605" s="339"/>
      <c r="H605" s="339"/>
      <c r="I605" s="339"/>
      <c r="J605" s="339"/>
      <c r="K605" s="339"/>
      <c r="L605" s="339"/>
      <c r="M605" s="339"/>
      <c r="N605" s="339"/>
      <c r="O605" s="339"/>
      <c r="P605" s="339"/>
      <c r="Q605" s="339"/>
      <c r="R605" s="339"/>
      <c r="S605" s="339"/>
      <c r="T605" s="339"/>
      <c r="U605" s="339"/>
      <c r="V605" s="339"/>
      <c r="W605" s="339"/>
      <c r="X605" s="339"/>
      <c r="Y605" s="339"/>
      <c r="Z605" s="339"/>
      <c r="AA605" s="339"/>
      <c r="AB605" s="339"/>
      <c r="AC605" s="339"/>
      <c r="AD605" s="339"/>
      <c r="AE605" s="339"/>
      <c r="AF605" s="339"/>
      <c r="AG605" s="339"/>
      <c r="AH605" s="339"/>
      <c r="AI605" s="339"/>
      <c r="AJ605" s="339"/>
      <c r="AK605" s="339"/>
      <c r="AL605" s="339"/>
      <c r="AM605" s="339"/>
      <c r="AN605" s="339"/>
      <c r="AO605" s="339"/>
      <c r="AP605" s="339"/>
      <c r="AQ605" s="339"/>
      <c r="AR605" s="339"/>
      <c r="AS605" s="339"/>
      <c r="AT605" s="339"/>
      <c r="AU605" s="339"/>
      <c r="AV605" s="339"/>
      <c r="AW605" s="339"/>
      <c r="AX605" s="339"/>
      <c r="AY605" s="339"/>
      <c r="AZ605" s="339"/>
      <c r="BA605" s="339"/>
      <c r="BB605" s="339"/>
      <c r="BC605" s="339"/>
      <c r="BD605" s="339"/>
    </row>
    <row r="606" spans="3:56">
      <c r="C606" s="339"/>
      <c r="D606" s="339"/>
      <c r="E606" s="339"/>
      <c r="F606" s="339"/>
      <c r="G606" s="339"/>
      <c r="H606" s="339"/>
      <c r="I606" s="339"/>
      <c r="J606" s="339"/>
      <c r="K606" s="339"/>
      <c r="L606" s="339"/>
      <c r="M606" s="339"/>
      <c r="N606" s="339"/>
      <c r="O606" s="339"/>
      <c r="P606" s="339"/>
      <c r="Q606" s="339"/>
      <c r="R606" s="339"/>
      <c r="S606" s="339"/>
      <c r="T606" s="339"/>
      <c r="U606" s="339"/>
      <c r="V606" s="339"/>
      <c r="W606" s="339"/>
      <c r="X606" s="339"/>
      <c r="Y606" s="339"/>
      <c r="Z606" s="339"/>
      <c r="AA606" s="339"/>
      <c r="AB606" s="339"/>
      <c r="AC606" s="339"/>
      <c r="AD606" s="339"/>
      <c r="AE606" s="339"/>
      <c r="AF606" s="339"/>
      <c r="AG606" s="339"/>
      <c r="AH606" s="339"/>
      <c r="AI606" s="339"/>
      <c r="AJ606" s="339"/>
      <c r="AK606" s="339"/>
      <c r="AL606" s="339"/>
      <c r="AM606" s="339"/>
      <c r="AN606" s="339"/>
      <c r="AO606" s="339"/>
      <c r="AP606" s="339"/>
      <c r="AQ606" s="339"/>
      <c r="AR606" s="339"/>
      <c r="AS606" s="339"/>
      <c r="AT606" s="339"/>
      <c r="AU606" s="339"/>
      <c r="AV606" s="339"/>
      <c r="AW606" s="339"/>
      <c r="AX606" s="339"/>
      <c r="AY606" s="339"/>
      <c r="AZ606" s="339"/>
      <c r="BA606" s="339"/>
      <c r="BB606" s="339"/>
      <c r="BC606" s="339"/>
      <c r="BD606" s="339"/>
    </row>
    <row r="607" spans="3:56">
      <c r="C607" s="339"/>
      <c r="D607" s="339"/>
      <c r="E607" s="339"/>
      <c r="F607" s="339"/>
      <c r="G607" s="339"/>
      <c r="H607" s="339"/>
      <c r="I607" s="339"/>
      <c r="J607" s="339"/>
      <c r="K607" s="339"/>
      <c r="L607" s="339"/>
      <c r="M607" s="339"/>
      <c r="N607" s="339"/>
      <c r="O607" s="339"/>
      <c r="P607" s="339"/>
      <c r="Q607" s="339"/>
      <c r="R607" s="339"/>
      <c r="S607" s="339"/>
      <c r="T607" s="339"/>
      <c r="U607" s="339"/>
      <c r="V607" s="339"/>
      <c r="W607" s="339"/>
      <c r="X607" s="339"/>
      <c r="Y607" s="339"/>
      <c r="Z607" s="339"/>
      <c r="AA607" s="339"/>
      <c r="AB607" s="339"/>
      <c r="AC607" s="339"/>
      <c r="AD607" s="339"/>
      <c r="AE607" s="339"/>
      <c r="AF607" s="339"/>
      <c r="AG607" s="339"/>
      <c r="AH607" s="339"/>
      <c r="AI607" s="339"/>
      <c r="AJ607" s="339"/>
      <c r="AK607" s="339"/>
      <c r="AL607" s="339"/>
      <c r="AM607" s="339"/>
      <c r="AN607" s="339"/>
      <c r="AO607" s="339"/>
      <c r="AP607" s="339"/>
      <c r="AQ607" s="339"/>
      <c r="AR607" s="339"/>
      <c r="AS607" s="339"/>
      <c r="AT607" s="339"/>
      <c r="AU607" s="339"/>
      <c r="AV607" s="339"/>
      <c r="AW607" s="339"/>
      <c r="AX607" s="339"/>
      <c r="AY607" s="339"/>
      <c r="AZ607" s="339"/>
      <c r="BA607" s="339"/>
      <c r="BB607" s="339"/>
      <c r="BC607" s="339"/>
      <c r="BD607" s="339"/>
    </row>
    <row r="608" spans="3:56">
      <c r="C608" s="339"/>
      <c r="D608" s="339"/>
      <c r="E608" s="339"/>
      <c r="F608" s="339"/>
      <c r="G608" s="339"/>
      <c r="H608" s="339"/>
      <c r="I608" s="339"/>
      <c r="J608" s="339"/>
      <c r="K608" s="339"/>
      <c r="L608" s="339"/>
      <c r="M608" s="339"/>
      <c r="N608" s="339"/>
      <c r="O608" s="339"/>
      <c r="P608" s="339"/>
      <c r="Q608" s="339"/>
      <c r="R608" s="339"/>
      <c r="S608" s="339"/>
      <c r="T608" s="339"/>
      <c r="U608" s="339"/>
      <c r="V608" s="339"/>
      <c r="W608" s="339"/>
      <c r="X608" s="339"/>
      <c r="Y608" s="339"/>
      <c r="Z608" s="339"/>
      <c r="AA608" s="339"/>
      <c r="AB608" s="339"/>
      <c r="AC608" s="339"/>
      <c r="AD608" s="339"/>
      <c r="AE608" s="339"/>
      <c r="AF608" s="339"/>
      <c r="AG608" s="339"/>
      <c r="AH608" s="339"/>
      <c r="AI608" s="339"/>
      <c r="AJ608" s="339"/>
      <c r="AK608" s="339"/>
      <c r="AL608" s="339"/>
      <c r="AM608" s="339"/>
      <c r="AN608" s="339"/>
      <c r="AO608" s="339"/>
      <c r="AP608" s="339"/>
      <c r="AQ608" s="339"/>
      <c r="AR608" s="339"/>
      <c r="AS608" s="339"/>
      <c r="AT608" s="339"/>
      <c r="AU608" s="339"/>
      <c r="AV608" s="339"/>
      <c r="AW608" s="339"/>
      <c r="AX608" s="339"/>
      <c r="AY608" s="339"/>
      <c r="AZ608" s="339"/>
      <c r="BA608" s="339"/>
      <c r="BB608" s="339"/>
      <c r="BC608" s="339"/>
      <c r="BD608" s="339"/>
    </row>
    <row r="609" spans="3:56">
      <c r="C609" s="339"/>
      <c r="D609" s="339"/>
      <c r="E609" s="339"/>
      <c r="F609" s="339"/>
      <c r="G609" s="339"/>
      <c r="H609" s="339"/>
      <c r="I609" s="339"/>
      <c r="J609" s="339"/>
      <c r="K609" s="339"/>
      <c r="L609" s="339"/>
      <c r="M609" s="339"/>
      <c r="N609" s="339"/>
      <c r="O609" s="339"/>
      <c r="P609" s="339"/>
      <c r="Q609" s="339"/>
      <c r="R609" s="339"/>
      <c r="S609" s="339"/>
      <c r="T609" s="339"/>
      <c r="U609" s="339"/>
      <c r="V609" s="339"/>
      <c r="W609" s="339"/>
      <c r="X609" s="339"/>
      <c r="Y609" s="339"/>
      <c r="Z609" s="339"/>
      <c r="AA609" s="339"/>
      <c r="AB609" s="339"/>
      <c r="AC609" s="339"/>
      <c r="AD609" s="339"/>
      <c r="AE609" s="339"/>
      <c r="AF609" s="339"/>
      <c r="AG609" s="339"/>
      <c r="AH609" s="339"/>
      <c r="AI609" s="339"/>
      <c r="AJ609" s="339"/>
      <c r="AK609" s="339"/>
      <c r="AL609" s="339"/>
      <c r="AM609" s="339"/>
      <c r="AN609" s="339"/>
      <c r="AO609" s="339"/>
      <c r="AP609" s="339"/>
      <c r="AQ609" s="339"/>
      <c r="AR609" s="339"/>
      <c r="AS609" s="339"/>
      <c r="AT609" s="339"/>
      <c r="AU609" s="339"/>
      <c r="AV609" s="339"/>
      <c r="AW609" s="339"/>
      <c r="AX609" s="339"/>
      <c r="AY609" s="339"/>
      <c r="AZ609" s="339"/>
      <c r="BA609" s="339"/>
      <c r="BB609" s="339"/>
      <c r="BC609" s="339"/>
      <c r="BD609" s="339"/>
    </row>
    <row r="610" spans="3:56">
      <c r="C610" s="339"/>
      <c r="D610" s="339"/>
      <c r="E610" s="339"/>
      <c r="F610" s="339"/>
      <c r="G610" s="339"/>
      <c r="H610" s="339"/>
      <c r="I610" s="339"/>
      <c r="J610" s="339"/>
      <c r="K610" s="339"/>
      <c r="L610" s="339"/>
      <c r="M610" s="339"/>
      <c r="N610" s="339"/>
      <c r="O610" s="339"/>
      <c r="P610" s="339"/>
      <c r="Q610" s="339"/>
      <c r="R610" s="339"/>
      <c r="S610" s="339"/>
      <c r="T610" s="339"/>
      <c r="U610" s="339"/>
      <c r="V610" s="339"/>
      <c r="W610" s="339"/>
      <c r="X610" s="339"/>
      <c r="Y610" s="339"/>
      <c r="Z610" s="339"/>
      <c r="AA610" s="339"/>
      <c r="AB610" s="339"/>
      <c r="AC610" s="339"/>
      <c r="AD610" s="339"/>
      <c r="AE610" s="339"/>
      <c r="AF610" s="339"/>
      <c r="AG610" s="339"/>
      <c r="AH610" s="339"/>
      <c r="AI610" s="339"/>
      <c r="AJ610" s="339"/>
      <c r="AK610" s="339"/>
      <c r="AL610" s="339"/>
      <c r="AM610" s="339"/>
      <c r="AN610" s="339"/>
      <c r="AO610" s="339"/>
      <c r="AP610" s="339"/>
      <c r="AQ610" s="339"/>
      <c r="AR610" s="339"/>
      <c r="AS610" s="339"/>
      <c r="AT610" s="339"/>
      <c r="AU610" s="339"/>
      <c r="AV610" s="339"/>
      <c r="AW610" s="339"/>
      <c r="AX610" s="339"/>
      <c r="AY610" s="339"/>
      <c r="AZ610" s="339"/>
      <c r="BA610" s="339"/>
      <c r="BB610" s="339"/>
      <c r="BC610" s="339"/>
      <c r="BD610" s="339"/>
    </row>
    <row r="611" spans="3:56">
      <c r="C611" s="339"/>
      <c r="D611" s="339"/>
      <c r="E611" s="339"/>
      <c r="F611" s="339"/>
      <c r="G611" s="339"/>
      <c r="H611" s="339"/>
      <c r="I611" s="339"/>
      <c r="J611" s="339"/>
      <c r="K611" s="339"/>
      <c r="L611" s="339"/>
      <c r="M611" s="339"/>
      <c r="N611" s="339"/>
      <c r="O611" s="339"/>
      <c r="P611" s="339"/>
      <c r="Q611" s="339"/>
      <c r="R611" s="339"/>
      <c r="S611" s="339"/>
      <c r="T611" s="339"/>
      <c r="U611" s="339"/>
      <c r="V611" s="339"/>
      <c r="W611" s="339"/>
      <c r="X611" s="339"/>
      <c r="Y611" s="339"/>
      <c r="Z611" s="339"/>
      <c r="AA611" s="339"/>
      <c r="AB611" s="339"/>
      <c r="AC611" s="339"/>
      <c r="AD611" s="339"/>
      <c r="AE611" s="339"/>
      <c r="AF611" s="339"/>
      <c r="AG611" s="339"/>
      <c r="AH611" s="339"/>
      <c r="AI611" s="339"/>
      <c r="AJ611" s="339"/>
      <c r="AK611" s="339"/>
      <c r="AL611" s="339"/>
      <c r="AM611" s="339"/>
      <c r="AN611" s="339"/>
      <c r="AO611" s="339"/>
      <c r="AP611" s="339"/>
      <c r="AQ611" s="339"/>
      <c r="AR611" s="339"/>
      <c r="AS611" s="339"/>
      <c r="AT611" s="339"/>
      <c r="AU611" s="339"/>
      <c r="AV611" s="339"/>
      <c r="AW611" s="339"/>
      <c r="AX611" s="339"/>
      <c r="AY611" s="339"/>
      <c r="AZ611" s="339"/>
      <c r="BA611" s="339"/>
      <c r="BB611" s="339"/>
      <c r="BC611" s="339"/>
      <c r="BD611" s="339"/>
    </row>
    <row r="612" spans="3:56">
      <c r="C612" s="339"/>
      <c r="D612" s="339"/>
      <c r="E612" s="339"/>
      <c r="F612" s="339"/>
      <c r="G612" s="339"/>
      <c r="H612" s="339"/>
      <c r="I612" s="339"/>
      <c r="J612" s="339"/>
      <c r="K612" s="339"/>
      <c r="L612" s="339"/>
      <c r="M612" s="339"/>
      <c r="N612" s="339"/>
      <c r="O612" s="339"/>
      <c r="P612" s="339"/>
      <c r="Q612" s="339"/>
      <c r="R612" s="339"/>
      <c r="S612" s="339"/>
      <c r="T612" s="339"/>
      <c r="U612" s="339"/>
      <c r="V612" s="339"/>
      <c r="W612" s="339"/>
      <c r="X612" s="339"/>
      <c r="Y612" s="339"/>
      <c r="Z612" s="339"/>
      <c r="AA612" s="339"/>
      <c r="AB612" s="339"/>
      <c r="AC612" s="339"/>
      <c r="AD612" s="339"/>
      <c r="AE612" s="339"/>
      <c r="AF612" s="339"/>
      <c r="AG612" s="339"/>
      <c r="AH612" s="339"/>
      <c r="AI612" s="339"/>
      <c r="AJ612" s="339"/>
      <c r="AK612" s="339"/>
      <c r="AL612" s="339"/>
      <c r="AM612" s="339"/>
      <c r="AN612" s="339"/>
      <c r="AO612" s="339"/>
      <c r="AP612" s="339"/>
      <c r="AQ612" s="339"/>
      <c r="AR612" s="339"/>
      <c r="AS612" s="339"/>
      <c r="AT612" s="339"/>
      <c r="AU612" s="339"/>
      <c r="AV612" s="339"/>
      <c r="AW612" s="339"/>
      <c r="AX612" s="339"/>
      <c r="AY612" s="339"/>
      <c r="AZ612" s="339"/>
      <c r="BA612" s="339"/>
      <c r="BB612" s="339"/>
      <c r="BC612" s="339"/>
      <c r="BD612" s="339"/>
    </row>
    <row r="613" spans="3:56">
      <c r="C613" s="339"/>
      <c r="D613" s="339"/>
      <c r="E613" s="339"/>
      <c r="F613" s="339"/>
      <c r="G613" s="339"/>
      <c r="H613" s="339"/>
      <c r="I613" s="339"/>
      <c r="J613" s="339"/>
      <c r="K613" s="339"/>
      <c r="L613" s="339"/>
      <c r="M613" s="339"/>
      <c r="N613" s="339"/>
      <c r="O613" s="339"/>
      <c r="P613" s="339"/>
      <c r="Q613" s="339"/>
      <c r="R613" s="339"/>
      <c r="S613" s="339"/>
      <c r="T613" s="339"/>
      <c r="U613" s="339"/>
      <c r="V613" s="339"/>
      <c r="W613" s="339"/>
      <c r="X613" s="339"/>
      <c r="Y613" s="339"/>
      <c r="Z613" s="339"/>
      <c r="AA613" s="339"/>
      <c r="AB613" s="339"/>
      <c r="AC613" s="339"/>
      <c r="AD613" s="339"/>
      <c r="AE613" s="339"/>
      <c r="AF613" s="339"/>
      <c r="AG613" s="339"/>
      <c r="AH613" s="339"/>
      <c r="AI613" s="339"/>
      <c r="AJ613" s="339"/>
      <c r="AK613" s="339"/>
      <c r="AL613" s="339"/>
      <c r="AM613" s="339"/>
      <c r="AN613" s="339"/>
      <c r="AO613" s="339"/>
      <c r="AP613" s="339"/>
      <c r="AQ613" s="339"/>
      <c r="AR613" s="339"/>
      <c r="AS613" s="339"/>
      <c r="AT613" s="339"/>
      <c r="AU613" s="339"/>
      <c r="AV613" s="339"/>
      <c r="AW613" s="339"/>
      <c r="AX613" s="339"/>
      <c r="AY613" s="339"/>
      <c r="AZ613" s="339"/>
      <c r="BA613" s="339"/>
      <c r="BB613" s="339"/>
      <c r="BC613" s="339"/>
      <c r="BD613" s="339"/>
    </row>
    <row r="614" spans="3:56">
      <c r="C614" s="339"/>
      <c r="D614" s="339"/>
      <c r="E614" s="339"/>
      <c r="F614" s="339"/>
      <c r="G614" s="339"/>
      <c r="H614" s="339"/>
      <c r="I614" s="339"/>
      <c r="J614" s="339"/>
      <c r="K614" s="339"/>
      <c r="L614" s="339"/>
      <c r="M614" s="339"/>
      <c r="N614" s="339"/>
      <c r="O614" s="339"/>
      <c r="P614" s="339"/>
      <c r="Q614" s="339"/>
      <c r="R614" s="339"/>
      <c r="S614" s="339"/>
      <c r="T614" s="339"/>
      <c r="U614" s="339"/>
      <c r="V614" s="339"/>
      <c r="W614" s="339"/>
      <c r="X614" s="339"/>
      <c r="Y614" s="339"/>
      <c r="Z614" s="339"/>
      <c r="AA614" s="339"/>
      <c r="AB614" s="339"/>
      <c r="AC614" s="339"/>
      <c r="AD614" s="339"/>
      <c r="AE614" s="339"/>
      <c r="AF614" s="339"/>
      <c r="AG614" s="339"/>
      <c r="AH614" s="339"/>
      <c r="AI614" s="339"/>
      <c r="AJ614" s="339"/>
      <c r="AK614" s="339"/>
      <c r="AL614" s="339"/>
      <c r="AM614" s="339"/>
      <c r="AN614" s="339"/>
      <c r="AO614" s="339"/>
      <c r="AP614" s="339"/>
      <c r="AQ614" s="339"/>
      <c r="AR614" s="339"/>
      <c r="AS614" s="339"/>
      <c r="AT614" s="339"/>
      <c r="AU614" s="339"/>
      <c r="AV614" s="339"/>
      <c r="AW614" s="339"/>
      <c r="AX614" s="339"/>
      <c r="AY614" s="339"/>
      <c r="AZ614" s="339"/>
      <c r="BA614" s="339"/>
      <c r="BB614" s="339"/>
      <c r="BC614" s="339"/>
      <c r="BD614" s="339"/>
    </row>
    <row r="615" spans="3:56">
      <c r="C615" s="339"/>
      <c r="D615" s="339"/>
      <c r="E615" s="339"/>
      <c r="F615" s="339"/>
      <c r="G615" s="339"/>
      <c r="H615" s="339"/>
      <c r="I615" s="339"/>
      <c r="J615" s="339"/>
      <c r="K615" s="339"/>
      <c r="L615" s="339"/>
      <c r="M615" s="339"/>
      <c r="N615" s="339"/>
      <c r="O615" s="339"/>
      <c r="P615" s="339"/>
      <c r="Q615" s="339"/>
      <c r="R615" s="339"/>
      <c r="S615" s="339"/>
      <c r="T615" s="339"/>
      <c r="U615" s="339"/>
      <c r="V615" s="339"/>
      <c r="W615" s="339"/>
      <c r="X615" s="339"/>
      <c r="Y615" s="339"/>
      <c r="Z615" s="339"/>
      <c r="AA615" s="339"/>
      <c r="AB615" s="339"/>
      <c r="AC615" s="339"/>
      <c r="AD615" s="339"/>
      <c r="AE615" s="339"/>
      <c r="AF615" s="339"/>
      <c r="AG615" s="339"/>
      <c r="AH615" s="339"/>
      <c r="AI615" s="339"/>
      <c r="AJ615" s="339"/>
      <c r="AK615" s="339"/>
      <c r="AL615" s="339"/>
      <c r="AM615" s="339"/>
      <c r="AN615" s="339"/>
      <c r="AO615" s="339"/>
      <c r="AP615" s="339"/>
      <c r="AQ615" s="339"/>
      <c r="AR615" s="339"/>
      <c r="AS615" s="339"/>
      <c r="AT615" s="339"/>
      <c r="AU615" s="339"/>
      <c r="AV615" s="339"/>
      <c r="AW615" s="339"/>
      <c r="AX615" s="339"/>
      <c r="AY615" s="339"/>
      <c r="AZ615" s="339"/>
      <c r="BA615" s="339"/>
      <c r="BB615" s="339"/>
      <c r="BC615" s="339"/>
      <c r="BD615" s="339"/>
    </row>
    <row r="616" spans="3:56">
      <c r="C616" s="339"/>
      <c r="D616" s="339"/>
      <c r="E616" s="339"/>
      <c r="F616" s="339"/>
      <c r="G616" s="339"/>
      <c r="H616" s="339"/>
      <c r="I616" s="339"/>
      <c r="J616" s="339"/>
      <c r="K616" s="339"/>
      <c r="L616" s="339"/>
      <c r="M616" s="339"/>
      <c r="N616" s="339"/>
      <c r="O616" s="339"/>
      <c r="P616" s="339"/>
      <c r="Q616" s="339"/>
      <c r="R616" s="339"/>
      <c r="S616" s="339"/>
      <c r="T616" s="339"/>
      <c r="U616" s="339"/>
      <c r="V616" s="339"/>
      <c r="W616" s="339"/>
      <c r="X616" s="339"/>
      <c r="Y616" s="339"/>
      <c r="Z616" s="339"/>
      <c r="AA616" s="339"/>
      <c r="AB616" s="339"/>
      <c r="AC616" s="339"/>
      <c r="AD616" s="339"/>
      <c r="AE616" s="339"/>
      <c r="AF616" s="339"/>
      <c r="AG616" s="339"/>
      <c r="AH616" s="339"/>
      <c r="AI616" s="339"/>
      <c r="AJ616" s="339"/>
      <c r="AK616" s="339"/>
      <c r="AL616" s="339"/>
      <c r="AM616" s="339"/>
      <c r="AN616" s="339"/>
      <c r="AO616" s="339"/>
      <c r="AP616" s="339"/>
      <c r="AQ616" s="339"/>
      <c r="AR616" s="339"/>
      <c r="AS616" s="339"/>
      <c r="AT616" s="339"/>
      <c r="AU616" s="339"/>
      <c r="AV616" s="339"/>
      <c r="AW616" s="339"/>
      <c r="AX616" s="339"/>
      <c r="AY616" s="339"/>
      <c r="AZ616" s="339"/>
      <c r="BA616" s="339"/>
      <c r="BB616" s="339"/>
      <c r="BC616" s="339"/>
      <c r="BD616" s="339"/>
    </row>
    <row r="617" spans="3:56">
      <c r="C617" s="339"/>
      <c r="D617" s="339"/>
      <c r="E617" s="339"/>
      <c r="F617" s="339"/>
      <c r="G617" s="339"/>
      <c r="H617" s="339"/>
      <c r="I617" s="339"/>
      <c r="J617" s="339"/>
      <c r="K617" s="339"/>
      <c r="L617" s="339"/>
      <c r="M617" s="339"/>
      <c r="N617" s="339"/>
      <c r="O617" s="339"/>
      <c r="P617" s="339"/>
      <c r="Q617" s="339"/>
      <c r="R617" s="339"/>
      <c r="S617" s="339"/>
      <c r="T617" s="339"/>
      <c r="U617" s="339"/>
      <c r="V617" s="339"/>
      <c r="W617" s="339"/>
      <c r="X617" s="339"/>
      <c r="Y617" s="339"/>
      <c r="Z617" s="339"/>
      <c r="AA617" s="339"/>
      <c r="AB617" s="339"/>
      <c r="AC617" s="339"/>
      <c r="AD617" s="339"/>
      <c r="AE617" s="339"/>
      <c r="AF617" s="339"/>
      <c r="AG617" s="339"/>
      <c r="AH617" s="339"/>
      <c r="AI617" s="339"/>
      <c r="AJ617" s="339"/>
      <c r="AK617" s="339"/>
      <c r="AL617" s="339"/>
      <c r="AM617" s="339"/>
      <c r="AN617" s="339"/>
      <c r="AO617" s="339"/>
      <c r="AP617" s="339"/>
      <c r="AQ617" s="339"/>
      <c r="AR617" s="339"/>
      <c r="AS617" s="339"/>
      <c r="AT617" s="339"/>
      <c r="AU617" s="339"/>
      <c r="AV617" s="339"/>
      <c r="AW617" s="339"/>
      <c r="AX617" s="339"/>
      <c r="AY617" s="339"/>
      <c r="AZ617" s="339"/>
      <c r="BA617" s="339"/>
      <c r="BB617" s="339"/>
      <c r="BC617" s="339"/>
      <c r="BD617" s="339"/>
    </row>
    <row r="618" spans="3:56">
      <c r="C618" s="339"/>
      <c r="D618" s="339"/>
      <c r="E618" s="339"/>
      <c r="F618" s="339"/>
      <c r="G618" s="339"/>
      <c r="H618" s="339"/>
      <c r="I618" s="339"/>
      <c r="J618" s="339"/>
      <c r="K618" s="339"/>
      <c r="L618" s="339"/>
      <c r="M618" s="339"/>
      <c r="N618" s="339"/>
      <c r="O618" s="339"/>
      <c r="P618" s="339"/>
      <c r="Q618" s="339"/>
      <c r="R618" s="339"/>
      <c r="S618" s="339"/>
      <c r="T618" s="339"/>
      <c r="U618" s="339"/>
      <c r="V618" s="339"/>
      <c r="W618" s="339"/>
      <c r="X618" s="339"/>
      <c r="Y618" s="339"/>
      <c r="Z618" s="339"/>
      <c r="AA618" s="339"/>
      <c r="AB618" s="339"/>
      <c r="AC618" s="339"/>
      <c r="AD618" s="339"/>
      <c r="AE618" s="339"/>
      <c r="AF618" s="339"/>
      <c r="AG618" s="339"/>
      <c r="AH618" s="339"/>
      <c r="AI618" s="339"/>
      <c r="AJ618" s="339"/>
      <c r="AK618" s="339"/>
      <c r="AL618" s="339"/>
      <c r="AM618" s="339"/>
      <c r="AN618" s="339"/>
      <c r="AO618" s="339"/>
      <c r="AP618" s="339"/>
      <c r="AQ618" s="339"/>
      <c r="AR618" s="339"/>
      <c r="AS618" s="339"/>
      <c r="AT618" s="339"/>
      <c r="AU618" s="339"/>
      <c r="AV618" s="339"/>
      <c r="AW618" s="339"/>
      <c r="AX618" s="339"/>
      <c r="AY618" s="339"/>
      <c r="AZ618" s="339"/>
      <c r="BA618" s="339"/>
      <c r="BB618" s="339"/>
      <c r="BC618" s="339"/>
      <c r="BD618" s="339"/>
    </row>
    <row r="619" spans="3:56">
      <c r="C619" s="339"/>
      <c r="D619" s="339"/>
      <c r="E619" s="339"/>
      <c r="F619" s="339"/>
      <c r="G619" s="339"/>
      <c r="H619" s="339"/>
      <c r="I619" s="339"/>
      <c r="J619" s="339"/>
      <c r="K619" s="339"/>
      <c r="L619" s="339"/>
      <c r="M619" s="339"/>
      <c r="N619" s="339"/>
      <c r="O619" s="339"/>
      <c r="P619" s="339"/>
      <c r="Q619" s="339"/>
      <c r="R619" s="339"/>
      <c r="S619" s="339"/>
      <c r="T619" s="339"/>
      <c r="U619" s="339"/>
      <c r="V619" s="339"/>
      <c r="W619" s="339"/>
      <c r="X619" s="339"/>
      <c r="Y619" s="339"/>
      <c r="Z619" s="339"/>
      <c r="AA619" s="339"/>
      <c r="AB619" s="339"/>
      <c r="AC619" s="339"/>
      <c r="AD619" s="339"/>
      <c r="AE619" s="339"/>
      <c r="AF619" s="339"/>
      <c r="AG619" s="339"/>
      <c r="AH619" s="339"/>
      <c r="AI619" s="339"/>
      <c r="AJ619" s="339"/>
      <c r="AK619" s="339"/>
      <c r="AL619" s="339"/>
      <c r="AM619" s="339"/>
      <c r="AN619" s="339"/>
      <c r="AO619" s="339"/>
      <c r="AP619" s="339"/>
      <c r="AQ619" s="339"/>
      <c r="AR619" s="339"/>
      <c r="AS619" s="339"/>
      <c r="AT619" s="339"/>
      <c r="AU619" s="339"/>
      <c r="AV619" s="339"/>
      <c r="AW619" s="339"/>
      <c r="AX619" s="339"/>
      <c r="AY619" s="339"/>
      <c r="AZ619" s="339"/>
      <c r="BA619" s="339"/>
      <c r="BB619" s="339"/>
      <c r="BC619" s="339"/>
      <c r="BD619" s="339"/>
    </row>
    <row r="620" spans="3:56">
      <c r="C620" s="339"/>
      <c r="D620" s="339"/>
      <c r="E620" s="339"/>
      <c r="F620" s="339"/>
      <c r="G620" s="339"/>
      <c r="H620" s="339"/>
      <c r="I620" s="339"/>
      <c r="J620" s="339"/>
      <c r="K620" s="339"/>
      <c r="L620" s="339"/>
      <c r="M620" s="339"/>
      <c r="N620" s="339"/>
      <c r="O620" s="339"/>
      <c r="P620" s="339"/>
      <c r="Q620" s="339"/>
      <c r="R620" s="339"/>
      <c r="S620" s="339"/>
      <c r="T620" s="339"/>
      <c r="U620" s="339"/>
      <c r="V620" s="339"/>
      <c r="W620" s="339"/>
      <c r="X620" s="339"/>
      <c r="Y620" s="339"/>
      <c r="Z620" s="339"/>
      <c r="AA620" s="339"/>
      <c r="AB620" s="339"/>
      <c r="AC620" s="339"/>
      <c r="AD620" s="339"/>
      <c r="AE620" s="339"/>
      <c r="AF620" s="339"/>
      <c r="AG620" s="339"/>
      <c r="AH620" s="339"/>
      <c r="AI620" s="339"/>
      <c r="AJ620" s="339"/>
      <c r="AK620" s="339"/>
      <c r="AL620" s="339"/>
      <c r="AM620" s="339"/>
      <c r="AN620" s="339"/>
      <c r="AO620" s="339"/>
      <c r="AP620" s="339"/>
      <c r="AQ620" s="339"/>
      <c r="AR620" s="339"/>
      <c r="AS620" s="339"/>
      <c r="AT620" s="339"/>
      <c r="AU620" s="339"/>
      <c r="AV620" s="339"/>
      <c r="AW620" s="339"/>
      <c r="AX620" s="339"/>
      <c r="AY620" s="339"/>
      <c r="AZ620" s="339"/>
      <c r="BA620" s="339"/>
      <c r="BB620" s="339"/>
      <c r="BC620" s="339"/>
      <c r="BD620" s="339"/>
    </row>
    <row r="621" spans="3:56">
      <c r="C621" s="339"/>
      <c r="D621" s="339"/>
      <c r="E621" s="339"/>
      <c r="F621" s="339"/>
      <c r="G621" s="339"/>
      <c r="H621" s="339"/>
      <c r="I621" s="339"/>
      <c r="J621" s="339"/>
      <c r="K621" s="339"/>
      <c r="L621" s="339"/>
      <c r="M621" s="339"/>
      <c r="N621" s="339"/>
      <c r="O621" s="339"/>
      <c r="P621" s="339"/>
      <c r="Q621" s="339"/>
      <c r="R621" s="339"/>
      <c r="S621" s="339"/>
      <c r="T621" s="339"/>
      <c r="U621" s="339"/>
      <c r="V621" s="339"/>
      <c r="W621" s="339"/>
      <c r="X621" s="339"/>
      <c r="Y621" s="339"/>
      <c r="Z621" s="339"/>
      <c r="AA621" s="339"/>
      <c r="AB621" s="339"/>
      <c r="AC621" s="339"/>
      <c r="AD621" s="339"/>
      <c r="AE621" s="339"/>
      <c r="AF621" s="339"/>
      <c r="AG621" s="339"/>
      <c r="AH621" s="339"/>
      <c r="AI621" s="339"/>
      <c r="AJ621" s="339"/>
      <c r="AK621" s="339"/>
      <c r="AL621" s="339"/>
      <c r="AM621" s="339"/>
      <c r="AN621" s="339"/>
      <c r="AO621" s="339"/>
      <c r="AP621" s="339"/>
      <c r="AQ621" s="339"/>
      <c r="AR621" s="339"/>
      <c r="AS621" s="339"/>
      <c r="AT621" s="339"/>
      <c r="AU621" s="339"/>
      <c r="AV621" s="339"/>
      <c r="AW621" s="339"/>
      <c r="AX621" s="339"/>
      <c r="AY621" s="339"/>
      <c r="AZ621" s="339"/>
      <c r="BA621" s="339"/>
      <c r="BB621" s="339"/>
      <c r="BC621" s="339"/>
      <c r="BD621" s="339"/>
    </row>
    <row r="622" spans="3:56">
      <c r="C622" s="339"/>
      <c r="D622" s="339"/>
      <c r="E622" s="339"/>
      <c r="F622" s="339"/>
      <c r="G622" s="339"/>
      <c r="H622" s="339"/>
      <c r="I622" s="339"/>
      <c r="J622" s="339"/>
      <c r="K622" s="339"/>
      <c r="L622" s="339"/>
      <c r="M622" s="339"/>
      <c r="N622" s="339"/>
      <c r="O622" s="339"/>
      <c r="P622" s="339"/>
      <c r="Q622" s="339"/>
      <c r="R622" s="339"/>
      <c r="S622" s="339"/>
      <c r="T622" s="339"/>
      <c r="U622" s="339"/>
      <c r="V622" s="339"/>
      <c r="W622" s="339"/>
      <c r="X622" s="339"/>
      <c r="Y622" s="339"/>
      <c r="Z622" s="339"/>
      <c r="AA622" s="339"/>
      <c r="AB622" s="339"/>
      <c r="AC622" s="339"/>
      <c r="AD622" s="339"/>
      <c r="AE622" s="339"/>
      <c r="AF622" s="339"/>
      <c r="AG622" s="339"/>
      <c r="AH622" s="339"/>
      <c r="AI622" s="339"/>
      <c r="AJ622" s="339"/>
      <c r="AK622" s="339"/>
      <c r="AL622" s="339"/>
      <c r="AM622" s="339"/>
      <c r="AN622" s="339"/>
      <c r="AO622" s="339"/>
      <c r="AP622" s="339"/>
      <c r="AQ622" s="339"/>
      <c r="AR622" s="339"/>
      <c r="AS622" s="339"/>
      <c r="AT622" s="339"/>
      <c r="AU622" s="339"/>
      <c r="AV622" s="339"/>
      <c r="AW622" s="339"/>
      <c r="AX622" s="339"/>
      <c r="AY622" s="339"/>
      <c r="AZ622" s="339"/>
      <c r="BA622" s="339"/>
      <c r="BB622" s="339"/>
      <c r="BC622" s="339"/>
      <c r="BD622" s="339"/>
    </row>
    <row r="623" spans="3:56">
      <c r="C623" s="339"/>
      <c r="D623" s="339"/>
      <c r="E623" s="339"/>
      <c r="F623" s="339"/>
      <c r="G623" s="339"/>
      <c r="H623" s="339"/>
      <c r="I623" s="339"/>
      <c r="J623" s="339"/>
      <c r="K623" s="339"/>
      <c r="L623" s="339"/>
      <c r="M623" s="339"/>
      <c r="N623" s="339"/>
      <c r="O623" s="339"/>
      <c r="P623" s="339"/>
      <c r="Q623" s="339"/>
      <c r="R623" s="339"/>
      <c r="S623" s="339"/>
      <c r="T623" s="339"/>
      <c r="U623" s="339"/>
      <c r="V623" s="339"/>
      <c r="W623" s="339"/>
      <c r="X623" s="339"/>
      <c r="Y623" s="339"/>
      <c r="Z623" s="339"/>
      <c r="AA623" s="339"/>
      <c r="AB623" s="339"/>
      <c r="AC623" s="339"/>
      <c r="AD623" s="339"/>
      <c r="AE623" s="339"/>
      <c r="AF623" s="339"/>
      <c r="AG623" s="339"/>
      <c r="AH623" s="339"/>
      <c r="AI623" s="339"/>
      <c r="AJ623" s="339"/>
      <c r="AK623" s="339"/>
      <c r="AL623" s="339"/>
      <c r="AM623" s="339"/>
      <c r="AN623" s="339"/>
      <c r="AO623" s="339"/>
      <c r="AP623" s="339"/>
      <c r="AQ623" s="339"/>
      <c r="AR623" s="339"/>
      <c r="AS623" s="339"/>
      <c r="AT623" s="339"/>
      <c r="AU623" s="339"/>
      <c r="AV623" s="339"/>
      <c r="AW623" s="339"/>
      <c r="AX623" s="339"/>
      <c r="AY623" s="339"/>
      <c r="AZ623" s="339"/>
      <c r="BA623" s="339"/>
      <c r="BB623" s="339"/>
      <c r="BC623" s="339"/>
      <c r="BD623" s="339"/>
    </row>
    <row r="624" spans="3:56">
      <c r="C624" s="339"/>
      <c r="D624" s="339"/>
      <c r="E624" s="339"/>
      <c r="F624" s="339"/>
      <c r="G624" s="339"/>
      <c r="H624" s="339"/>
      <c r="I624" s="339"/>
      <c r="J624" s="339"/>
      <c r="K624" s="339"/>
      <c r="L624" s="339"/>
      <c r="M624" s="339"/>
      <c r="N624" s="339"/>
      <c r="O624" s="339"/>
      <c r="P624" s="339"/>
      <c r="Q624" s="339"/>
      <c r="R624" s="339"/>
      <c r="S624" s="339"/>
      <c r="T624" s="339"/>
      <c r="U624" s="339"/>
      <c r="V624" s="339"/>
      <c r="W624" s="339"/>
      <c r="X624" s="339"/>
      <c r="Y624" s="339"/>
      <c r="Z624" s="339"/>
      <c r="AA624" s="339"/>
      <c r="AB624" s="339"/>
      <c r="AC624" s="339"/>
      <c r="AD624" s="339"/>
      <c r="AE624" s="339"/>
      <c r="AF624" s="339"/>
      <c r="AG624" s="339"/>
      <c r="AH624" s="339"/>
      <c r="AI624" s="339"/>
      <c r="AJ624" s="339"/>
      <c r="AK624" s="339"/>
      <c r="AL624" s="339"/>
      <c r="AM624" s="339"/>
      <c r="AN624" s="339"/>
      <c r="AO624" s="339"/>
      <c r="AP624" s="339"/>
      <c r="AQ624" s="339"/>
      <c r="AR624" s="339"/>
      <c r="AS624" s="339"/>
      <c r="AT624" s="339"/>
      <c r="AU624" s="339"/>
      <c r="AV624" s="339"/>
      <c r="AW624" s="339"/>
      <c r="AX624" s="339"/>
      <c r="AY624" s="339"/>
      <c r="AZ624" s="339"/>
      <c r="BA624" s="339"/>
      <c r="BB624" s="339"/>
      <c r="BC624" s="339"/>
      <c r="BD624" s="339"/>
    </row>
    <row r="625" spans="3:56">
      <c r="C625" s="339"/>
      <c r="D625" s="339"/>
      <c r="E625" s="339"/>
      <c r="F625" s="339"/>
      <c r="G625" s="339"/>
      <c r="H625" s="339"/>
      <c r="I625" s="339"/>
      <c r="J625" s="339"/>
      <c r="K625" s="339"/>
      <c r="L625" s="339"/>
      <c r="M625" s="339"/>
      <c r="N625" s="339"/>
      <c r="O625" s="339"/>
      <c r="P625" s="339"/>
      <c r="Q625" s="339"/>
      <c r="R625" s="339"/>
      <c r="S625" s="339"/>
      <c r="T625" s="339"/>
      <c r="U625" s="339"/>
      <c r="V625" s="339"/>
      <c r="W625" s="339"/>
      <c r="X625" s="339"/>
      <c r="Y625" s="339"/>
      <c r="Z625" s="339"/>
      <c r="AA625" s="339"/>
      <c r="AB625" s="339"/>
      <c r="AC625" s="339"/>
      <c r="AD625" s="339"/>
      <c r="AE625" s="339"/>
      <c r="AF625" s="339"/>
      <c r="AG625" s="339"/>
      <c r="AH625" s="339"/>
      <c r="AI625" s="339"/>
      <c r="AJ625" s="339"/>
      <c r="AK625" s="339"/>
      <c r="AL625" s="339"/>
      <c r="AM625" s="339"/>
      <c r="AN625" s="339"/>
      <c r="AO625" s="339"/>
      <c r="AP625" s="339"/>
      <c r="AQ625" s="339"/>
      <c r="AR625" s="339"/>
      <c r="AS625" s="339"/>
      <c r="AT625" s="339"/>
      <c r="AU625" s="339"/>
      <c r="AV625" s="339"/>
      <c r="AW625" s="339"/>
      <c r="AX625" s="339"/>
      <c r="AY625" s="339"/>
      <c r="AZ625" s="339"/>
      <c r="BA625" s="339"/>
      <c r="BB625" s="339"/>
      <c r="BC625" s="339"/>
      <c r="BD625" s="339"/>
    </row>
    <row r="626" spans="3:56">
      <c r="C626" s="339"/>
      <c r="D626" s="339"/>
      <c r="E626" s="339"/>
      <c r="F626" s="339"/>
      <c r="G626" s="339"/>
      <c r="H626" s="339"/>
      <c r="I626" s="339"/>
      <c r="J626" s="339"/>
      <c r="K626" s="339"/>
      <c r="L626" s="339"/>
      <c r="M626" s="339"/>
      <c r="N626" s="339"/>
      <c r="O626" s="339"/>
      <c r="P626" s="339"/>
      <c r="Q626" s="339"/>
      <c r="R626" s="339"/>
      <c r="S626" s="339"/>
      <c r="T626" s="339"/>
      <c r="U626" s="339"/>
      <c r="V626" s="339"/>
      <c r="W626" s="339"/>
      <c r="X626" s="339"/>
      <c r="Y626" s="339"/>
      <c r="Z626" s="339"/>
      <c r="AA626" s="339"/>
      <c r="AB626" s="339"/>
      <c r="AC626" s="339"/>
      <c r="AD626" s="339"/>
      <c r="AE626" s="339"/>
      <c r="AF626" s="339"/>
      <c r="AG626" s="339"/>
      <c r="AH626" s="339"/>
      <c r="AI626" s="339"/>
      <c r="AJ626" s="339"/>
      <c r="AK626" s="339"/>
      <c r="AL626" s="339"/>
      <c r="AM626" s="339"/>
      <c r="AN626" s="339"/>
      <c r="AO626" s="339"/>
      <c r="AP626" s="339"/>
      <c r="AQ626" s="339"/>
      <c r="AR626" s="339"/>
      <c r="AS626" s="339"/>
      <c r="AT626" s="339"/>
      <c r="AU626" s="339"/>
      <c r="AV626" s="339"/>
      <c r="AW626" s="339"/>
      <c r="AX626" s="339"/>
      <c r="AY626" s="339"/>
      <c r="AZ626" s="339"/>
      <c r="BA626" s="339"/>
      <c r="BB626" s="339"/>
      <c r="BC626" s="339"/>
      <c r="BD626" s="339"/>
    </row>
    <row r="627" spans="3:56">
      <c r="C627" s="339"/>
      <c r="D627" s="339"/>
      <c r="E627" s="339"/>
      <c r="F627" s="339"/>
      <c r="G627" s="339"/>
      <c r="H627" s="339"/>
      <c r="I627" s="339"/>
      <c r="J627" s="339"/>
      <c r="K627" s="339"/>
      <c r="L627" s="339"/>
      <c r="M627" s="339"/>
      <c r="N627" s="339"/>
      <c r="O627" s="339"/>
      <c r="P627" s="339"/>
      <c r="Q627" s="339"/>
      <c r="R627" s="339"/>
      <c r="S627" s="339"/>
      <c r="T627" s="339"/>
      <c r="U627" s="339"/>
      <c r="V627" s="339"/>
      <c r="W627" s="339"/>
      <c r="X627" s="339"/>
      <c r="Y627" s="339"/>
      <c r="Z627" s="339"/>
      <c r="AA627" s="339"/>
      <c r="AB627" s="339"/>
      <c r="AC627" s="339"/>
      <c r="AD627" s="339"/>
      <c r="AE627" s="339"/>
      <c r="AF627" s="339"/>
      <c r="AG627" s="339"/>
      <c r="AH627" s="339"/>
      <c r="AI627" s="339"/>
      <c r="AJ627" s="339"/>
      <c r="AK627" s="339"/>
      <c r="AL627" s="339"/>
      <c r="AM627" s="339"/>
      <c r="AN627" s="339"/>
      <c r="AO627" s="339"/>
      <c r="AP627" s="339"/>
      <c r="AQ627" s="339"/>
      <c r="AR627" s="339"/>
      <c r="AS627" s="339"/>
      <c r="AT627" s="339"/>
      <c r="AU627" s="339"/>
      <c r="AV627" s="339"/>
      <c r="AW627" s="339"/>
      <c r="AX627" s="339"/>
      <c r="AY627" s="339"/>
      <c r="AZ627" s="339"/>
      <c r="BA627" s="339"/>
      <c r="BB627" s="339"/>
      <c r="BC627" s="339"/>
      <c r="BD627" s="339"/>
    </row>
    <row r="628" spans="3:56">
      <c r="C628" s="339"/>
      <c r="D628" s="339"/>
      <c r="E628" s="339"/>
      <c r="F628" s="339"/>
      <c r="G628" s="339"/>
      <c r="H628" s="339"/>
      <c r="I628" s="339"/>
      <c r="J628" s="339"/>
      <c r="K628" s="339"/>
      <c r="L628" s="339"/>
      <c r="M628" s="339"/>
      <c r="N628" s="339"/>
      <c r="O628" s="339"/>
      <c r="P628" s="339"/>
      <c r="Q628" s="339"/>
      <c r="R628" s="339"/>
      <c r="S628" s="339"/>
      <c r="T628" s="339"/>
      <c r="U628" s="339"/>
      <c r="V628" s="339"/>
      <c r="W628" s="339"/>
      <c r="X628" s="339"/>
      <c r="Y628" s="339"/>
      <c r="Z628" s="339"/>
      <c r="AA628" s="339"/>
      <c r="AB628" s="339"/>
      <c r="AC628" s="339"/>
      <c r="AD628" s="339"/>
      <c r="AE628" s="339"/>
      <c r="AF628" s="339"/>
      <c r="AG628" s="339"/>
      <c r="AH628" s="339"/>
      <c r="AI628" s="339"/>
      <c r="AJ628" s="339"/>
      <c r="AK628" s="339"/>
      <c r="AL628" s="339"/>
      <c r="AM628" s="339"/>
      <c r="AN628" s="339"/>
      <c r="AO628" s="339"/>
      <c r="AP628" s="339"/>
      <c r="AQ628" s="339"/>
      <c r="AR628" s="339"/>
      <c r="AS628" s="339"/>
      <c r="AT628" s="339"/>
      <c r="AU628" s="339"/>
      <c r="AV628" s="339"/>
      <c r="AW628" s="339"/>
      <c r="AX628" s="339"/>
      <c r="AY628" s="339"/>
      <c r="AZ628" s="339"/>
      <c r="BA628" s="339"/>
      <c r="BB628" s="339"/>
      <c r="BC628" s="339"/>
      <c r="BD628" s="339"/>
    </row>
    <row r="629" spans="3:56">
      <c r="C629" s="339"/>
      <c r="D629" s="339"/>
      <c r="E629" s="339"/>
      <c r="F629" s="339"/>
      <c r="G629" s="339"/>
      <c r="H629" s="339"/>
      <c r="I629" s="339"/>
      <c r="J629" s="339"/>
      <c r="K629" s="339"/>
      <c r="L629" s="339"/>
      <c r="M629" s="339"/>
      <c r="N629" s="339"/>
      <c r="O629" s="339"/>
      <c r="P629" s="339"/>
      <c r="Q629" s="339"/>
      <c r="R629" s="339"/>
      <c r="S629" s="339"/>
      <c r="T629" s="339"/>
      <c r="U629" s="339"/>
      <c r="V629" s="339"/>
      <c r="W629" s="339"/>
      <c r="X629" s="339"/>
      <c r="Y629" s="339"/>
      <c r="Z629" s="339"/>
      <c r="AA629" s="339"/>
      <c r="AB629" s="339"/>
      <c r="AC629" s="339"/>
      <c r="AD629" s="339"/>
      <c r="AE629" s="339"/>
      <c r="AF629" s="339"/>
      <c r="AG629" s="339"/>
      <c r="AH629" s="339"/>
      <c r="AI629" s="339"/>
      <c r="AJ629" s="339"/>
      <c r="AK629" s="339"/>
      <c r="AL629" s="339"/>
      <c r="AM629" s="339"/>
      <c r="AN629" s="339"/>
      <c r="AO629" s="339"/>
      <c r="AP629" s="339"/>
      <c r="AQ629" s="339"/>
      <c r="AR629" s="339"/>
      <c r="AS629" s="339"/>
      <c r="AT629" s="339"/>
      <c r="AU629" s="339"/>
      <c r="AV629" s="339"/>
      <c r="AW629" s="339"/>
      <c r="AX629" s="339"/>
      <c r="AY629" s="339"/>
      <c r="AZ629" s="339"/>
      <c r="BA629" s="339"/>
      <c r="BB629" s="339"/>
      <c r="BC629" s="339"/>
      <c r="BD629" s="339"/>
    </row>
    <row r="630" spans="3:56">
      <c r="C630" s="339"/>
      <c r="D630" s="339"/>
      <c r="E630" s="339"/>
      <c r="F630" s="339"/>
      <c r="G630" s="339"/>
      <c r="H630" s="339"/>
      <c r="I630" s="339"/>
      <c r="J630" s="339"/>
      <c r="K630" s="339"/>
      <c r="L630" s="339"/>
      <c r="M630" s="339"/>
      <c r="N630" s="339"/>
      <c r="O630" s="339"/>
      <c r="P630" s="339"/>
      <c r="Q630" s="339"/>
      <c r="R630" s="339"/>
      <c r="S630" s="339"/>
      <c r="T630" s="339"/>
      <c r="U630" s="339"/>
      <c r="V630" s="339"/>
      <c r="W630" s="339"/>
      <c r="X630" s="339"/>
      <c r="Y630" s="339"/>
      <c r="Z630" s="339"/>
      <c r="AA630" s="339"/>
      <c r="AB630" s="339"/>
      <c r="AC630" s="339"/>
      <c r="AD630" s="339"/>
      <c r="AE630" s="339"/>
      <c r="AF630" s="339"/>
      <c r="AG630" s="339"/>
      <c r="AH630" s="339"/>
      <c r="AI630" s="339"/>
      <c r="AJ630" s="339"/>
      <c r="AK630" s="339"/>
      <c r="AL630" s="339"/>
      <c r="AM630" s="339"/>
      <c r="AN630" s="339"/>
      <c r="AO630" s="339"/>
      <c r="AP630" s="339"/>
      <c r="AQ630" s="339"/>
      <c r="AR630" s="339"/>
      <c r="AS630" s="339"/>
      <c r="AT630" s="339"/>
      <c r="AU630" s="339"/>
      <c r="AV630" s="339"/>
      <c r="AW630" s="339"/>
      <c r="AX630" s="339"/>
      <c r="AY630" s="339"/>
      <c r="AZ630" s="339"/>
      <c r="BA630" s="339"/>
      <c r="BB630" s="339"/>
      <c r="BC630" s="339"/>
      <c r="BD630" s="339"/>
    </row>
    <row r="631" spans="3:56">
      <c r="C631" s="339"/>
      <c r="D631" s="339"/>
      <c r="E631" s="339"/>
      <c r="F631" s="339"/>
      <c r="G631" s="339"/>
      <c r="H631" s="339"/>
      <c r="I631" s="339"/>
      <c r="J631" s="339"/>
      <c r="K631" s="339"/>
      <c r="L631" s="339"/>
      <c r="M631" s="339"/>
      <c r="N631" s="339"/>
      <c r="O631" s="339"/>
      <c r="P631" s="339"/>
      <c r="Q631" s="339"/>
      <c r="R631" s="339"/>
      <c r="S631" s="339"/>
      <c r="T631" s="339"/>
      <c r="U631" s="339"/>
      <c r="V631" s="339"/>
      <c r="W631" s="339"/>
      <c r="X631" s="339"/>
      <c r="Y631" s="339"/>
      <c r="Z631" s="339"/>
      <c r="AA631" s="339"/>
      <c r="AB631" s="339"/>
      <c r="AC631" s="339"/>
      <c r="AD631" s="339"/>
      <c r="AE631" s="339"/>
      <c r="AF631" s="339"/>
      <c r="AG631" s="339"/>
      <c r="AH631" s="339"/>
      <c r="AI631" s="339"/>
      <c r="AJ631" s="339"/>
      <c r="AK631" s="339"/>
      <c r="AL631" s="339"/>
      <c r="AM631" s="339"/>
      <c r="AN631" s="339"/>
      <c r="AO631" s="339"/>
      <c r="AP631" s="339"/>
      <c r="AQ631" s="339"/>
      <c r="AR631" s="339"/>
      <c r="AS631" s="339"/>
      <c r="AT631" s="339"/>
      <c r="AU631" s="339"/>
      <c r="AV631" s="339"/>
      <c r="AW631" s="339"/>
      <c r="AX631" s="339"/>
      <c r="AY631" s="339"/>
      <c r="AZ631" s="339"/>
      <c r="BA631" s="339"/>
      <c r="BB631" s="339"/>
      <c r="BC631" s="339"/>
      <c r="BD631" s="339"/>
    </row>
    <row r="632" spans="3:56">
      <c r="C632" s="339"/>
      <c r="D632" s="339"/>
      <c r="E632" s="339"/>
      <c r="F632" s="339"/>
      <c r="G632" s="339"/>
      <c r="H632" s="339"/>
      <c r="I632" s="339"/>
      <c r="J632" s="339"/>
      <c r="K632" s="339"/>
      <c r="L632" s="339"/>
      <c r="M632" s="339"/>
      <c r="N632" s="339"/>
      <c r="O632" s="339"/>
      <c r="P632" s="339"/>
      <c r="Q632" s="339"/>
      <c r="R632" s="339"/>
      <c r="S632" s="339"/>
      <c r="T632" s="339"/>
      <c r="U632" s="339"/>
      <c r="V632" s="339"/>
      <c r="W632" s="339"/>
      <c r="X632" s="339"/>
      <c r="Y632" s="339"/>
      <c r="Z632" s="339"/>
      <c r="AA632" s="339"/>
      <c r="AB632" s="339"/>
      <c r="AC632" s="339"/>
      <c r="AD632" s="339"/>
      <c r="AE632" s="339"/>
      <c r="AF632" s="339"/>
      <c r="AG632" s="339"/>
      <c r="AH632" s="339"/>
      <c r="AI632" s="339"/>
      <c r="AJ632" s="339"/>
      <c r="AK632" s="339"/>
      <c r="AL632" s="339"/>
      <c r="AM632" s="339"/>
      <c r="AN632" s="339"/>
      <c r="AO632" s="339"/>
      <c r="AP632" s="339"/>
      <c r="AQ632" s="339"/>
      <c r="AR632" s="339"/>
      <c r="AS632" s="339"/>
      <c r="AT632" s="339"/>
      <c r="AU632" s="339"/>
      <c r="AV632" s="339"/>
      <c r="AW632" s="339"/>
      <c r="AX632" s="339"/>
      <c r="AY632" s="339"/>
      <c r="AZ632" s="339"/>
      <c r="BA632" s="339"/>
      <c r="BB632" s="339"/>
      <c r="BC632" s="339"/>
      <c r="BD632" s="339"/>
    </row>
    <row r="633" spans="3:56">
      <c r="C633" s="339"/>
      <c r="D633" s="339"/>
      <c r="E633" s="339"/>
      <c r="F633" s="339"/>
      <c r="G633" s="339"/>
      <c r="H633" s="339"/>
      <c r="I633" s="339"/>
      <c r="J633" s="339"/>
      <c r="K633" s="339"/>
      <c r="L633" s="339"/>
      <c r="M633" s="339"/>
      <c r="N633" s="339"/>
      <c r="O633" s="339"/>
      <c r="P633" s="339"/>
      <c r="Q633" s="339"/>
      <c r="R633" s="339"/>
      <c r="S633" s="339"/>
      <c r="T633" s="339"/>
      <c r="U633" s="339"/>
      <c r="V633" s="339"/>
      <c r="W633" s="339"/>
      <c r="X633" s="339"/>
      <c r="Y633" s="339"/>
      <c r="Z633" s="339"/>
      <c r="AA633" s="339"/>
      <c r="AB633" s="339"/>
      <c r="AC633" s="339"/>
      <c r="AD633" s="339"/>
      <c r="AE633" s="339"/>
      <c r="AF633" s="339"/>
      <c r="AG633" s="339"/>
      <c r="AH633" s="339"/>
      <c r="AI633" s="339"/>
      <c r="AJ633" s="339"/>
      <c r="AK633" s="339"/>
      <c r="AL633" s="339"/>
      <c r="AM633" s="339"/>
      <c r="AN633" s="339"/>
      <c r="AO633" s="339"/>
      <c r="AP633" s="339"/>
      <c r="AQ633" s="339"/>
      <c r="AR633" s="339"/>
      <c r="AS633" s="339"/>
      <c r="AT633" s="339"/>
      <c r="AU633" s="339"/>
      <c r="AV633" s="339"/>
      <c r="AW633" s="339"/>
      <c r="AX633" s="339"/>
      <c r="AY633" s="339"/>
      <c r="AZ633" s="339"/>
      <c r="BA633" s="339"/>
      <c r="BB633" s="339"/>
      <c r="BC633" s="339"/>
      <c r="BD633" s="339"/>
    </row>
    <row r="634" spans="3:56">
      <c r="C634" s="339"/>
      <c r="D634" s="339"/>
      <c r="E634" s="339"/>
      <c r="F634" s="339"/>
      <c r="G634" s="339"/>
      <c r="H634" s="339"/>
      <c r="I634" s="339"/>
      <c r="J634" s="339"/>
      <c r="K634" s="339"/>
      <c r="L634" s="339"/>
      <c r="M634" s="339"/>
      <c r="N634" s="339"/>
      <c r="O634" s="339"/>
      <c r="P634" s="339"/>
      <c r="Q634" s="339"/>
      <c r="R634" s="339"/>
      <c r="S634" s="339"/>
      <c r="T634" s="339"/>
      <c r="U634" s="339"/>
      <c r="V634" s="339"/>
      <c r="W634" s="339"/>
      <c r="X634" s="339"/>
      <c r="Y634" s="339"/>
      <c r="Z634" s="339"/>
      <c r="AA634" s="339"/>
      <c r="AB634" s="339"/>
      <c r="AC634" s="339"/>
      <c r="AD634" s="339"/>
      <c r="AE634" s="339"/>
      <c r="AF634" s="339"/>
      <c r="AG634" s="339"/>
      <c r="AH634" s="339"/>
      <c r="AI634" s="339"/>
      <c r="AJ634" s="339"/>
      <c r="AK634" s="339"/>
      <c r="AL634" s="339"/>
      <c r="AM634" s="339"/>
      <c r="AN634" s="339"/>
      <c r="AO634" s="339"/>
      <c r="AP634" s="339"/>
      <c r="AQ634" s="339"/>
      <c r="AR634" s="339"/>
      <c r="AS634" s="339"/>
      <c r="AT634" s="339"/>
      <c r="AU634" s="339"/>
      <c r="AV634" s="339"/>
      <c r="AW634" s="339"/>
      <c r="AX634" s="339"/>
      <c r="AY634" s="339"/>
      <c r="AZ634" s="339"/>
      <c r="BA634" s="339"/>
      <c r="BB634" s="339"/>
      <c r="BC634" s="339"/>
      <c r="BD634" s="339"/>
    </row>
    <row r="635" spans="3:56">
      <c r="C635" s="339"/>
      <c r="D635" s="339"/>
      <c r="E635" s="339"/>
      <c r="F635" s="339"/>
      <c r="G635" s="339"/>
      <c r="H635" s="339"/>
      <c r="I635" s="339"/>
      <c r="J635" s="339"/>
      <c r="K635" s="339"/>
      <c r="L635" s="339"/>
      <c r="M635" s="339"/>
      <c r="N635" s="339"/>
      <c r="O635" s="339"/>
      <c r="P635" s="339"/>
      <c r="Q635" s="339"/>
      <c r="R635" s="339"/>
      <c r="S635" s="339"/>
      <c r="T635" s="339"/>
      <c r="U635" s="339"/>
      <c r="V635" s="339"/>
      <c r="W635" s="339"/>
      <c r="X635" s="339"/>
      <c r="Y635" s="339"/>
      <c r="Z635" s="339"/>
      <c r="AA635" s="339"/>
      <c r="AB635" s="339"/>
      <c r="AC635" s="339"/>
      <c r="AD635" s="339"/>
      <c r="AE635" s="339"/>
      <c r="AF635" s="339"/>
      <c r="AG635" s="339"/>
      <c r="AH635" s="339"/>
      <c r="AI635" s="339"/>
      <c r="AJ635" s="339"/>
      <c r="AK635" s="339"/>
      <c r="AL635" s="339"/>
      <c r="AM635" s="339"/>
      <c r="AN635" s="339"/>
      <c r="AO635" s="339"/>
      <c r="AP635" s="339"/>
      <c r="AQ635" s="339"/>
      <c r="AR635" s="339"/>
      <c r="AS635" s="339"/>
      <c r="AT635" s="339"/>
      <c r="AU635" s="339"/>
      <c r="AV635" s="339"/>
      <c r="AW635" s="339"/>
      <c r="AX635" s="339"/>
      <c r="AY635" s="339"/>
      <c r="AZ635" s="339"/>
      <c r="BA635" s="339"/>
      <c r="BB635" s="339"/>
      <c r="BC635" s="339"/>
      <c r="BD635" s="339"/>
    </row>
    <row r="636" spans="3:56">
      <c r="C636" s="339"/>
      <c r="D636" s="339"/>
      <c r="E636" s="339"/>
      <c r="F636" s="339"/>
      <c r="G636" s="339"/>
      <c r="H636" s="339"/>
      <c r="I636" s="339"/>
      <c r="J636" s="339"/>
      <c r="K636" s="339"/>
      <c r="L636" s="339"/>
      <c r="M636" s="339"/>
      <c r="N636" s="339"/>
      <c r="O636" s="339"/>
      <c r="P636" s="339"/>
      <c r="Q636" s="339"/>
      <c r="R636" s="339"/>
      <c r="S636" s="339"/>
      <c r="T636" s="339"/>
      <c r="U636" s="339"/>
      <c r="V636" s="339"/>
      <c r="W636" s="339"/>
      <c r="X636" s="339"/>
      <c r="Y636" s="339"/>
      <c r="Z636" s="339"/>
      <c r="AA636" s="339"/>
      <c r="AB636" s="339"/>
      <c r="AC636" s="339"/>
      <c r="AD636" s="339"/>
      <c r="AE636" s="339"/>
      <c r="AF636" s="339"/>
      <c r="AG636" s="339"/>
      <c r="AH636" s="339"/>
      <c r="AI636" s="339"/>
      <c r="AJ636" s="339"/>
      <c r="AK636" s="339"/>
      <c r="AL636" s="339"/>
      <c r="AM636" s="339"/>
      <c r="AN636" s="339"/>
      <c r="AO636" s="339"/>
      <c r="AP636" s="339"/>
      <c r="AQ636" s="339"/>
      <c r="AR636" s="339"/>
      <c r="AS636" s="339"/>
      <c r="AT636" s="339"/>
      <c r="AU636" s="339"/>
      <c r="AV636" s="339"/>
      <c r="AW636" s="339"/>
      <c r="AX636" s="339"/>
      <c r="AY636" s="339"/>
      <c r="AZ636" s="339"/>
      <c r="BA636" s="339"/>
      <c r="BB636" s="339"/>
      <c r="BC636" s="339"/>
      <c r="BD636" s="339"/>
    </row>
    <row r="637" spans="3:56">
      <c r="C637" s="339"/>
      <c r="D637" s="339"/>
      <c r="E637" s="339"/>
      <c r="F637" s="339"/>
      <c r="G637" s="339"/>
      <c r="H637" s="339"/>
      <c r="I637" s="339"/>
      <c r="J637" s="339"/>
      <c r="K637" s="339"/>
      <c r="L637" s="339"/>
      <c r="M637" s="339"/>
      <c r="N637" s="339"/>
      <c r="O637" s="339"/>
      <c r="P637" s="339"/>
      <c r="Q637" s="339"/>
      <c r="R637" s="339"/>
      <c r="S637" s="339"/>
      <c r="T637" s="339"/>
      <c r="U637" s="339"/>
      <c r="V637" s="339"/>
      <c r="W637" s="339"/>
      <c r="X637" s="339"/>
      <c r="Y637" s="339"/>
      <c r="Z637" s="339"/>
      <c r="AA637" s="339"/>
      <c r="AB637" s="339"/>
      <c r="AC637" s="339"/>
      <c r="AD637" s="339"/>
      <c r="AE637" s="339"/>
      <c r="AF637" s="339"/>
      <c r="AG637" s="339"/>
      <c r="AH637" s="339"/>
      <c r="AI637" s="339"/>
      <c r="AJ637" s="339"/>
      <c r="AK637" s="339"/>
      <c r="AL637" s="339"/>
      <c r="AM637" s="339"/>
      <c r="AN637" s="339"/>
      <c r="AO637" s="339"/>
      <c r="AP637" s="339"/>
      <c r="AQ637" s="339"/>
      <c r="AR637" s="339"/>
      <c r="AS637" s="339"/>
      <c r="AT637" s="339"/>
      <c r="AU637" s="339"/>
      <c r="AV637" s="339"/>
      <c r="AW637" s="339"/>
      <c r="AX637" s="339"/>
      <c r="AY637" s="339"/>
      <c r="AZ637" s="339"/>
      <c r="BA637" s="339"/>
      <c r="BB637" s="339"/>
      <c r="BC637" s="339"/>
      <c r="BD637" s="339"/>
    </row>
    <row r="638" spans="3:56">
      <c r="C638" s="339"/>
      <c r="D638" s="339"/>
      <c r="E638" s="339"/>
      <c r="F638" s="339"/>
      <c r="G638" s="339"/>
      <c r="H638" s="339"/>
      <c r="I638" s="339"/>
      <c r="J638" s="339"/>
      <c r="K638" s="339"/>
      <c r="L638" s="339"/>
      <c r="M638" s="339"/>
      <c r="N638" s="339"/>
      <c r="O638" s="339"/>
      <c r="P638" s="339"/>
      <c r="Q638" s="339"/>
      <c r="R638" s="339"/>
      <c r="S638" s="339"/>
      <c r="T638" s="339"/>
      <c r="U638" s="339"/>
      <c r="V638" s="339"/>
      <c r="W638" s="339"/>
      <c r="X638" s="339"/>
      <c r="Y638" s="339"/>
      <c r="Z638" s="339"/>
      <c r="AA638" s="339"/>
      <c r="AB638" s="339"/>
      <c r="AC638" s="339"/>
      <c r="AD638" s="339"/>
      <c r="AE638" s="339"/>
      <c r="AF638" s="339"/>
      <c r="AG638" s="339"/>
      <c r="AH638" s="339"/>
      <c r="AI638" s="339"/>
      <c r="AJ638" s="339"/>
      <c r="AK638" s="339"/>
      <c r="AL638" s="339"/>
      <c r="AM638" s="339"/>
      <c r="AN638" s="339"/>
      <c r="AO638" s="339"/>
      <c r="AP638" s="339"/>
      <c r="AQ638" s="339"/>
      <c r="AR638" s="339"/>
      <c r="AS638" s="339"/>
      <c r="AT638" s="339"/>
      <c r="AU638" s="339"/>
      <c r="AV638" s="339"/>
      <c r="AW638" s="339"/>
      <c r="AX638" s="339"/>
      <c r="AY638" s="339"/>
      <c r="AZ638" s="339"/>
      <c r="BA638" s="339"/>
      <c r="BB638" s="339"/>
      <c r="BC638" s="339"/>
      <c r="BD638" s="339"/>
    </row>
    <row r="639" spans="3:56">
      <c r="C639" s="339"/>
      <c r="D639" s="339"/>
      <c r="E639" s="339"/>
      <c r="F639" s="339"/>
      <c r="G639" s="339"/>
      <c r="H639" s="339"/>
      <c r="I639" s="339"/>
      <c r="J639" s="339"/>
      <c r="K639" s="339"/>
      <c r="L639" s="339"/>
      <c r="M639" s="339"/>
      <c r="N639" s="339"/>
      <c r="O639" s="339"/>
      <c r="P639" s="339"/>
      <c r="Q639" s="339"/>
      <c r="R639" s="339"/>
      <c r="S639" s="339"/>
      <c r="T639" s="339"/>
      <c r="U639" s="339"/>
      <c r="V639" s="339"/>
      <c r="W639" s="339"/>
      <c r="X639" s="339"/>
      <c r="Y639" s="339"/>
      <c r="Z639" s="339"/>
      <c r="AA639" s="339"/>
      <c r="AB639" s="339"/>
      <c r="AC639" s="339"/>
      <c r="AD639" s="339"/>
      <c r="AE639" s="339"/>
      <c r="AF639" s="339"/>
      <c r="AG639" s="339"/>
      <c r="AH639" s="339"/>
      <c r="AI639" s="339"/>
      <c r="AJ639" s="339"/>
      <c r="AK639" s="339"/>
      <c r="AL639" s="339"/>
      <c r="AM639" s="339"/>
      <c r="AN639" s="339"/>
      <c r="AO639" s="339"/>
      <c r="AP639" s="339"/>
      <c r="AQ639" s="339"/>
      <c r="AR639" s="339"/>
      <c r="AS639" s="339"/>
      <c r="AT639" s="339"/>
      <c r="AU639" s="339"/>
      <c r="AV639" s="339"/>
      <c r="AW639" s="339"/>
      <c r="AX639" s="339"/>
      <c r="AY639" s="339"/>
      <c r="AZ639" s="339"/>
      <c r="BA639" s="339"/>
      <c r="BB639" s="339"/>
      <c r="BC639" s="339"/>
      <c r="BD639" s="339"/>
    </row>
    <row r="640" spans="3:56">
      <c r="C640" s="339"/>
      <c r="D640" s="339"/>
      <c r="E640" s="339"/>
      <c r="F640" s="339"/>
      <c r="G640" s="339"/>
      <c r="H640" s="339"/>
      <c r="I640" s="339"/>
      <c r="J640" s="339"/>
      <c r="K640" s="339"/>
      <c r="L640" s="339"/>
      <c r="M640" s="339"/>
      <c r="N640" s="339"/>
      <c r="O640" s="339"/>
      <c r="P640" s="339"/>
      <c r="Q640" s="339"/>
      <c r="R640" s="339"/>
      <c r="S640" s="339"/>
      <c r="T640" s="339"/>
      <c r="U640" s="339"/>
      <c r="V640" s="339"/>
      <c r="W640" s="339"/>
      <c r="X640" s="339"/>
      <c r="Y640" s="339"/>
      <c r="Z640" s="339"/>
      <c r="AA640" s="339"/>
      <c r="AB640" s="339"/>
      <c r="AC640" s="339"/>
      <c r="AD640" s="339"/>
      <c r="AE640" s="339"/>
      <c r="AF640" s="339"/>
      <c r="AG640" s="339"/>
      <c r="AH640" s="339"/>
      <c r="AI640" s="339"/>
      <c r="AJ640" s="339"/>
      <c r="AK640" s="339"/>
      <c r="AL640" s="339"/>
      <c r="AM640" s="339"/>
      <c r="AN640" s="339"/>
      <c r="AO640" s="339"/>
      <c r="AP640" s="339"/>
      <c r="AQ640" s="339"/>
      <c r="AR640" s="339"/>
      <c r="AS640" s="339"/>
      <c r="AT640" s="339"/>
      <c r="AU640" s="339"/>
      <c r="AV640" s="339"/>
      <c r="AW640" s="339"/>
      <c r="AX640" s="339"/>
      <c r="AY640" s="339"/>
      <c r="AZ640" s="339"/>
      <c r="BA640" s="339"/>
      <c r="BB640" s="339"/>
      <c r="BC640" s="339"/>
      <c r="BD640" s="339"/>
    </row>
    <row r="641" spans="3:56">
      <c r="C641" s="339"/>
      <c r="D641" s="339"/>
      <c r="E641" s="339"/>
      <c r="F641" s="339"/>
      <c r="G641" s="339"/>
      <c r="H641" s="339"/>
      <c r="I641" s="339"/>
      <c r="J641" s="339"/>
      <c r="K641" s="339"/>
      <c r="L641" s="339"/>
      <c r="M641" s="339"/>
      <c r="N641" s="339"/>
      <c r="O641" s="339"/>
      <c r="P641" s="339"/>
      <c r="Q641" s="339"/>
      <c r="R641" s="339"/>
      <c r="S641" s="339"/>
      <c r="T641" s="339"/>
      <c r="U641" s="339"/>
      <c r="V641" s="339"/>
      <c r="W641" s="339"/>
      <c r="X641" s="339"/>
      <c r="Y641" s="339"/>
      <c r="Z641" s="339"/>
      <c r="AA641" s="339"/>
      <c r="AB641" s="339"/>
      <c r="AC641" s="339"/>
      <c r="AD641" s="339"/>
      <c r="AE641" s="339"/>
      <c r="AF641" s="339"/>
      <c r="AG641" s="339"/>
      <c r="AH641" s="339"/>
      <c r="AI641" s="339"/>
      <c r="AJ641" s="339"/>
      <c r="AK641" s="339"/>
      <c r="AL641" s="339"/>
      <c r="AM641" s="339"/>
      <c r="AN641" s="339"/>
      <c r="AO641" s="339"/>
      <c r="AP641" s="339"/>
      <c r="AQ641" s="339"/>
      <c r="AR641" s="339"/>
      <c r="AS641" s="339"/>
      <c r="AT641" s="339"/>
      <c r="AU641" s="339"/>
      <c r="AV641" s="339"/>
      <c r="AW641" s="339"/>
      <c r="AX641" s="339"/>
      <c r="AY641" s="339"/>
      <c r="AZ641" s="339"/>
      <c r="BA641" s="339"/>
      <c r="BB641" s="339"/>
      <c r="BC641" s="339"/>
      <c r="BD641" s="339"/>
    </row>
    <row r="642" spans="3:56">
      <c r="C642" s="339"/>
      <c r="D642" s="339"/>
      <c r="E642" s="339"/>
      <c r="F642" s="339"/>
      <c r="G642" s="339"/>
      <c r="H642" s="339"/>
      <c r="I642" s="339"/>
      <c r="J642" s="339"/>
      <c r="K642" s="339"/>
      <c r="L642" s="339"/>
      <c r="M642" s="339"/>
      <c r="N642" s="339"/>
      <c r="O642" s="339"/>
      <c r="P642" s="339"/>
      <c r="Q642" s="339"/>
      <c r="R642" s="339"/>
      <c r="S642" s="339"/>
      <c r="T642" s="339"/>
      <c r="U642" s="339"/>
      <c r="V642" s="339"/>
      <c r="W642" s="339"/>
      <c r="X642" s="339"/>
      <c r="Y642" s="339"/>
      <c r="Z642" s="339"/>
      <c r="AA642" s="339"/>
      <c r="AB642" s="339"/>
      <c r="AC642" s="339"/>
      <c r="AD642" s="339"/>
      <c r="AE642" s="339"/>
      <c r="AF642" s="339"/>
      <c r="AG642" s="339"/>
      <c r="AH642" s="339"/>
      <c r="AI642" s="339"/>
      <c r="AJ642" s="339"/>
      <c r="AK642" s="339"/>
      <c r="AL642" s="339"/>
      <c r="AM642" s="339"/>
      <c r="AN642" s="339"/>
      <c r="AO642" s="339"/>
      <c r="AP642" s="339"/>
      <c r="AQ642" s="339"/>
      <c r="AR642" s="339"/>
      <c r="AS642" s="339"/>
      <c r="AT642" s="339"/>
      <c r="AU642" s="339"/>
      <c r="AV642" s="339"/>
      <c r="AW642" s="339"/>
      <c r="AX642" s="339"/>
      <c r="AY642" s="339"/>
      <c r="AZ642" s="339"/>
      <c r="BA642" s="339"/>
      <c r="BB642" s="339"/>
      <c r="BC642" s="339"/>
      <c r="BD642" s="339"/>
    </row>
    <row r="643" spans="3:56">
      <c r="C643" s="339"/>
      <c r="D643" s="339"/>
      <c r="E643" s="339"/>
      <c r="F643" s="339"/>
      <c r="G643" s="339"/>
      <c r="H643" s="339"/>
      <c r="I643" s="339"/>
      <c r="J643" s="339"/>
      <c r="K643" s="339"/>
      <c r="L643" s="339"/>
      <c r="M643" s="339"/>
      <c r="N643" s="339"/>
      <c r="O643" s="339"/>
      <c r="P643" s="339"/>
      <c r="Q643" s="339"/>
      <c r="R643" s="339"/>
      <c r="S643" s="339"/>
      <c r="T643" s="339"/>
      <c r="U643" s="339"/>
      <c r="V643" s="339"/>
      <c r="W643" s="339"/>
      <c r="X643" s="339"/>
      <c r="Y643" s="339"/>
      <c r="Z643" s="339"/>
      <c r="AA643" s="339"/>
      <c r="AB643" s="339"/>
      <c r="AC643" s="339"/>
      <c r="AD643" s="339"/>
      <c r="AE643" s="339"/>
      <c r="AF643" s="339"/>
      <c r="AG643" s="339"/>
      <c r="AH643" s="339"/>
      <c r="AI643" s="339"/>
      <c r="AJ643" s="339"/>
      <c r="AK643" s="339"/>
      <c r="AL643" s="339"/>
      <c r="AM643" s="339"/>
      <c r="AN643" s="339"/>
      <c r="AO643" s="339"/>
      <c r="AP643" s="339"/>
      <c r="AQ643" s="339"/>
      <c r="AR643" s="339"/>
      <c r="AS643" s="339"/>
      <c r="AT643" s="339"/>
      <c r="AU643" s="339"/>
      <c r="AV643" s="339"/>
      <c r="AW643" s="339"/>
      <c r="AX643" s="339"/>
      <c r="AY643" s="339"/>
      <c r="AZ643" s="339"/>
      <c r="BA643" s="339"/>
      <c r="BB643" s="339"/>
      <c r="BC643" s="339"/>
      <c r="BD643" s="339"/>
    </row>
    <row r="644" spans="3:56">
      <c r="C644" s="339"/>
      <c r="D644" s="339"/>
      <c r="E644" s="339"/>
      <c r="F644" s="339"/>
      <c r="G644" s="339"/>
      <c r="H644" s="339"/>
      <c r="I644" s="339"/>
      <c r="J644" s="339"/>
      <c r="K644" s="339"/>
      <c r="L644" s="339"/>
      <c r="M644" s="339"/>
      <c r="N644" s="339"/>
      <c r="O644" s="339"/>
      <c r="P644" s="339"/>
      <c r="Q644" s="339"/>
      <c r="R644" s="339"/>
      <c r="S644" s="339"/>
      <c r="T644" s="339"/>
      <c r="U644" s="339"/>
      <c r="V644" s="339"/>
      <c r="W644" s="339"/>
      <c r="X644" s="339"/>
      <c r="Y644" s="339"/>
      <c r="Z644" s="339"/>
      <c r="AA644" s="339"/>
      <c r="AB644" s="339"/>
      <c r="AC644" s="339"/>
      <c r="AD644" s="339"/>
      <c r="AE644" s="339"/>
      <c r="AF644" s="339"/>
      <c r="AG644" s="339"/>
      <c r="AH644" s="339"/>
      <c r="AI644" s="339"/>
      <c r="AJ644" s="339"/>
      <c r="AK644" s="339"/>
      <c r="AL644" s="339"/>
      <c r="AM644" s="339"/>
      <c r="AN644" s="339"/>
      <c r="AO644" s="339"/>
      <c r="AP644" s="339"/>
      <c r="AQ644" s="339"/>
      <c r="AR644" s="339"/>
      <c r="AS644" s="339"/>
      <c r="AT644" s="339"/>
      <c r="AU644" s="339"/>
      <c r="AV644" s="339"/>
      <c r="AW644" s="339"/>
      <c r="AX644" s="339"/>
      <c r="AY644" s="339"/>
      <c r="AZ644" s="339"/>
      <c r="BA644" s="339"/>
      <c r="BB644" s="339"/>
      <c r="BC644" s="339"/>
      <c r="BD644" s="339"/>
    </row>
    <row r="645" spans="3:56">
      <c r="C645" s="339"/>
      <c r="D645" s="339"/>
      <c r="E645" s="339"/>
      <c r="F645" s="339"/>
      <c r="G645" s="339"/>
      <c r="H645" s="339"/>
      <c r="I645" s="339"/>
      <c r="J645" s="339"/>
      <c r="K645" s="339"/>
      <c r="L645" s="339"/>
      <c r="M645" s="339"/>
      <c r="N645" s="339"/>
      <c r="O645" s="339"/>
      <c r="P645" s="339"/>
      <c r="Q645" s="339"/>
      <c r="R645" s="339"/>
      <c r="S645" s="339"/>
      <c r="T645" s="339"/>
      <c r="U645" s="339"/>
      <c r="V645" s="339"/>
      <c r="W645" s="339"/>
      <c r="X645" s="339"/>
      <c r="Y645" s="339"/>
      <c r="Z645" s="339"/>
      <c r="AA645" s="339"/>
      <c r="AB645" s="339"/>
      <c r="AC645" s="339"/>
      <c r="AD645" s="339"/>
      <c r="AE645" s="339"/>
      <c r="AF645" s="339"/>
      <c r="AG645" s="339"/>
      <c r="AH645" s="339"/>
      <c r="AI645" s="339"/>
      <c r="AJ645" s="339"/>
      <c r="AK645" s="339"/>
      <c r="AL645" s="339"/>
      <c r="AM645" s="339"/>
      <c r="AN645" s="339"/>
      <c r="AO645" s="339"/>
      <c r="AP645" s="339"/>
      <c r="AQ645" s="339"/>
      <c r="AR645" s="339"/>
      <c r="AS645" s="339"/>
      <c r="AT645" s="339"/>
      <c r="AU645" s="339"/>
      <c r="AV645" s="339"/>
      <c r="AW645" s="339"/>
      <c r="AX645" s="339"/>
      <c r="AY645" s="339"/>
      <c r="AZ645" s="339"/>
      <c r="BA645" s="339"/>
      <c r="BB645" s="339"/>
      <c r="BC645" s="339"/>
      <c r="BD645" s="339"/>
    </row>
    <row r="646" spans="3:56">
      <c r="C646" s="339"/>
      <c r="D646" s="339"/>
      <c r="E646" s="339"/>
      <c r="F646" s="339"/>
      <c r="G646" s="339"/>
      <c r="H646" s="339"/>
      <c r="I646" s="339"/>
      <c r="J646" s="339"/>
      <c r="K646" s="339"/>
      <c r="L646" s="339"/>
      <c r="M646" s="339"/>
      <c r="N646" s="339"/>
      <c r="O646" s="339"/>
      <c r="P646" s="339"/>
      <c r="Q646" s="339"/>
      <c r="R646" s="339"/>
      <c r="S646" s="339"/>
      <c r="T646" s="339"/>
      <c r="U646" s="339"/>
      <c r="V646" s="339"/>
      <c r="W646" s="339"/>
      <c r="X646" s="339"/>
      <c r="Y646" s="339"/>
      <c r="Z646" s="339"/>
      <c r="AA646" s="339"/>
      <c r="AB646" s="339"/>
      <c r="AC646" s="339"/>
      <c r="AD646" s="339"/>
      <c r="AE646" s="339"/>
      <c r="AF646" s="339"/>
      <c r="AG646" s="339"/>
      <c r="AH646" s="339"/>
      <c r="AI646" s="339"/>
      <c r="AJ646" s="339"/>
      <c r="AK646" s="339"/>
      <c r="AL646" s="339"/>
      <c r="AM646" s="339"/>
      <c r="AN646" s="339"/>
      <c r="AO646" s="339"/>
      <c r="AP646" s="339"/>
      <c r="AQ646" s="339"/>
      <c r="AR646" s="339"/>
      <c r="AS646" s="339"/>
      <c r="AT646" s="339"/>
      <c r="AU646" s="339"/>
      <c r="AV646" s="339"/>
      <c r="AW646" s="339"/>
      <c r="AX646" s="339"/>
      <c r="AY646" s="339"/>
      <c r="AZ646" s="339"/>
      <c r="BA646" s="339"/>
      <c r="BB646" s="339"/>
      <c r="BC646" s="339"/>
      <c r="BD646" s="339"/>
    </row>
    <row r="647" spans="3:56">
      <c r="C647" s="339"/>
      <c r="D647" s="339"/>
      <c r="E647" s="339"/>
      <c r="F647" s="339"/>
      <c r="G647" s="339"/>
      <c r="H647" s="339"/>
      <c r="I647" s="339"/>
      <c r="J647" s="339"/>
      <c r="K647" s="339"/>
      <c r="L647" s="339"/>
      <c r="M647" s="339"/>
      <c r="N647" s="339"/>
      <c r="O647" s="339"/>
      <c r="P647" s="339"/>
      <c r="Q647" s="339"/>
      <c r="R647" s="339"/>
      <c r="S647" s="339"/>
      <c r="T647" s="339"/>
      <c r="U647" s="339"/>
      <c r="V647" s="339"/>
      <c r="W647" s="339"/>
      <c r="X647" s="339"/>
      <c r="Y647" s="339"/>
      <c r="Z647" s="339"/>
      <c r="AA647" s="339"/>
      <c r="AB647" s="339"/>
      <c r="AC647" s="339"/>
      <c r="AD647" s="339"/>
      <c r="AE647" s="339"/>
      <c r="AF647" s="339"/>
      <c r="AG647" s="339"/>
      <c r="AH647" s="339"/>
      <c r="AI647" s="339"/>
      <c r="AJ647" s="339"/>
      <c r="AK647" s="339"/>
      <c r="AL647" s="339"/>
      <c r="AM647" s="339"/>
      <c r="AN647" s="339"/>
      <c r="AO647" s="339"/>
      <c r="AP647" s="339"/>
      <c r="AQ647" s="339"/>
      <c r="AR647" s="339"/>
      <c r="AS647" s="339"/>
      <c r="AT647" s="339"/>
      <c r="AU647" s="339"/>
      <c r="AV647" s="339"/>
      <c r="AW647" s="339"/>
      <c r="AX647" s="339"/>
      <c r="AY647" s="339"/>
      <c r="AZ647" s="339"/>
      <c r="BA647" s="339"/>
      <c r="BB647" s="339"/>
      <c r="BC647" s="339"/>
      <c r="BD647" s="339"/>
    </row>
    <row r="648" spans="3:56">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c r="AA648" s="339"/>
      <c r="AB648" s="339"/>
      <c r="AC648" s="339"/>
      <c r="AD648" s="339"/>
      <c r="AE648" s="339"/>
      <c r="AF648" s="339"/>
      <c r="AG648" s="339"/>
      <c r="AH648" s="339"/>
      <c r="AI648" s="339"/>
      <c r="AJ648" s="339"/>
      <c r="AK648" s="339"/>
      <c r="AL648" s="339"/>
      <c r="AM648" s="339"/>
      <c r="AN648" s="339"/>
      <c r="AO648" s="339"/>
      <c r="AP648" s="339"/>
      <c r="AQ648" s="339"/>
      <c r="AR648" s="339"/>
      <c r="AS648" s="339"/>
      <c r="AT648" s="339"/>
      <c r="AU648" s="339"/>
      <c r="AV648" s="339"/>
      <c r="AW648" s="339"/>
      <c r="AX648" s="339"/>
      <c r="AY648" s="339"/>
      <c r="AZ648" s="339"/>
      <c r="BA648" s="339"/>
      <c r="BB648" s="339"/>
      <c r="BC648" s="339"/>
      <c r="BD648" s="339"/>
    </row>
    <row r="649" spans="3:56">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c r="AA649" s="339"/>
      <c r="AB649" s="339"/>
      <c r="AC649" s="339"/>
      <c r="AD649" s="339"/>
      <c r="AE649" s="339"/>
      <c r="AF649" s="339"/>
      <c r="AG649" s="339"/>
      <c r="AH649" s="339"/>
      <c r="AI649" s="339"/>
      <c r="AJ649" s="339"/>
      <c r="AK649" s="339"/>
      <c r="AL649" s="339"/>
      <c r="AM649" s="339"/>
      <c r="AN649" s="339"/>
      <c r="AO649" s="339"/>
      <c r="AP649" s="339"/>
      <c r="AQ649" s="339"/>
      <c r="AR649" s="339"/>
      <c r="AS649" s="339"/>
      <c r="AT649" s="339"/>
      <c r="AU649" s="339"/>
      <c r="AV649" s="339"/>
      <c r="AW649" s="339"/>
      <c r="AX649" s="339"/>
      <c r="AY649" s="339"/>
      <c r="AZ649" s="339"/>
      <c r="BA649" s="339"/>
      <c r="BB649" s="339"/>
      <c r="BC649" s="339"/>
      <c r="BD649" s="339"/>
    </row>
    <row r="650" spans="3:56">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c r="AA650" s="339"/>
      <c r="AB650" s="339"/>
      <c r="AC650" s="339"/>
      <c r="AD650" s="339"/>
      <c r="AE650" s="339"/>
      <c r="AF650" s="339"/>
      <c r="AG650" s="339"/>
      <c r="AH650" s="339"/>
      <c r="AI650" s="339"/>
      <c r="AJ650" s="339"/>
      <c r="AK650" s="339"/>
      <c r="AL650" s="339"/>
      <c r="AM650" s="339"/>
      <c r="AN650" s="339"/>
      <c r="AO650" s="339"/>
      <c r="AP650" s="339"/>
      <c r="AQ650" s="339"/>
      <c r="AR650" s="339"/>
      <c r="AS650" s="339"/>
      <c r="AT650" s="339"/>
      <c r="AU650" s="339"/>
      <c r="AV650" s="339"/>
      <c r="AW650" s="339"/>
      <c r="AX650" s="339"/>
      <c r="AY650" s="339"/>
      <c r="AZ650" s="339"/>
      <c r="BA650" s="339"/>
      <c r="BB650" s="339"/>
      <c r="BC650" s="339"/>
      <c r="BD650" s="339"/>
    </row>
    <row r="651" spans="3:56">
      <c r="C651" s="339"/>
      <c r="D651" s="339"/>
      <c r="E651" s="339"/>
      <c r="F651" s="339"/>
      <c r="G651" s="339"/>
      <c r="H651" s="339"/>
      <c r="I651" s="339"/>
      <c r="J651" s="339"/>
      <c r="K651" s="339"/>
      <c r="L651" s="339"/>
      <c r="M651" s="339"/>
      <c r="N651" s="339"/>
      <c r="O651" s="339"/>
      <c r="P651" s="339"/>
      <c r="Q651" s="339"/>
      <c r="R651" s="339"/>
      <c r="S651" s="339"/>
      <c r="T651" s="339"/>
      <c r="U651" s="339"/>
      <c r="V651" s="339"/>
      <c r="W651" s="339"/>
      <c r="X651" s="339"/>
      <c r="Y651" s="339"/>
      <c r="Z651" s="339"/>
      <c r="AA651" s="339"/>
      <c r="AB651" s="339"/>
      <c r="AC651" s="339"/>
      <c r="AD651" s="339"/>
      <c r="AE651" s="339"/>
      <c r="AF651" s="339"/>
      <c r="AG651" s="339"/>
      <c r="AH651" s="339"/>
      <c r="AI651" s="339"/>
      <c r="AJ651" s="339"/>
      <c r="AK651" s="339"/>
      <c r="AL651" s="339"/>
      <c r="AM651" s="339"/>
      <c r="AN651" s="339"/>
      <c r="AO651" s="339"/>
      <c r="AP651" s="339"/>
      <c r="AQ651" s="339"/>
      <c r="AR651" s="339"/>
      <c r="AS651" s="339"/>
      <c r="AT651" s="339"/>
      <c r="AU651" s="339"/>
      <c r="AV651" s="339"/>
      <c r="AW651" s="339"/>
      <c r="AX651" s="339"/>
      <c r="AY651" s="339"/>
      <c r="AZ651" s="339"/>
      <c r="BA651" s="339"/>
      <c r="BB651" s="339"/>
      <c r="BC651" s="339"/>
      <c r="BD651" s="339"/>
    </row>
    <row r="652" spans="3:56">
      <c r="C652" s="339"/>
      <c r="D652" s="339"/>
      <c r="E652" s="339"/>
      <c r="F652" s="339"/>
      <c r="G652" s="339"/>
      <c r="H652" s="339"/>
      <c r="I652" s="339"/>
      <c r="J652" s="339"/>
      <c r="K652" s="339"/>
      <c r="L652" s="339"/>
      <c r="M652" s="339"/>
      <c r="N652" s="339"/>
      <c r="O652" s="339"/>
      <c r="P652" s="339"/>
      <c r="Q652" s="339"/>
      <c r="R652" s="339"/>
      <c r="S652" s="339"/>
      <c r="T652" s="339"/>
      <c r="U652" s="339"/>
      <c r="V652" s="339"/>
      <c r="W652" s="339"/>
      <c r="X652" s="339"/>
      <c r="Y652" s="339"/>
      <c r="Z652" s="339"/>
      <c r="AA652" s="339"/>
      <c r="AB652" s="339"/>
      <c r="AC652" s="339"/>
      <c r="AD652" s="339"/>
      <c r="AE652" s="339"/>
      <c r="AF652" s="339"/>
      <c r="AG652" s="339"/>
      <c r="AH652" s="339"/>
      <c r="AI652" s="339"/>
      <c r="AJ652" s="339"/>
      <c r="AK652" s="339"/>
      <c r="AL652" s="339"/>
      <c r="AM652" s="339"/>
      <c r="AN652" s="339"/>
      <c r="AO652" s="339"/>
      <c r="AP652" s="339"/>
      <c r="AQ652" s="339"/>
      <c r="AR652" s="339"/>
      <c r="AS652" s="339"/>
      <c r="AT652" s="339"/>
      <c r="AU652" s="339"/>
      <c r="AV652" s="339"/>
      <c r="AW652" s="339"/>
      <c r="AX652" s="339"/>
      <c r="AY652" s="339"/>
      <c r="AZ652" s="339"/>
      <c r="BA652" s="339"/>
      <c r="BB652" s="339"/>
      <c r="BC652" s="339"/>
      <c r="BD652" s="339"/>
    </row>
    <row r="653" spans="3:56">
      <c r="C653" s="339"/>
      <c r="D653" s="339"/>
      <c r="E653" s="339"/>
      <c r="F653" s="339"/>
      <c r="G653" s="339"/>
      <c r="H653" s="339"/>
      <c r="I653" s="339"/>
      <c r="J653" s="339"/>
      <c r="K653" s="339"/>
      <c r="L653" s="339"/>
      <c r="M653" s="339"/>
      <c r="N653" s="339"/>
      <c r="O653" s="339"/>
      <c r="P653" s="339"/>
      <c r="Q653" s="339"/>
      <c r="R653" s="339"/>
      <c r="S653" s="339"/>
      <c r="T653" s="339"/>
      <c r="U653" s="339"/>
      <c r="V653" s="339"/>
      <c r="W653" s="339"/>
      <c r="X653" s="339"/>
      <c r="Y653" s="339"/>
      <c r="Z653" s="339"/>
      <c r="AA653" s="339"/>
      <c r="AB653" s="339"/>
      <c r="AC653" s="339"/>
      <c r="AD653" s="339"/>
      <c r="AE653" s="339"/>
      <c r="AF653" s="339"/>
      <c r="AG653" s="339"/>
      <c r="AH653" s="339"/>
      <c r="AI653" s="339"/>
      <c r="AJ653" s="339"/>
      <c r="AK653" s="339"/>
      <c r="AL653" s="339"/>
      <c r="AM653" s="339"/>
      <c r="AN653" s="339"/>
      <c r="AO653" s="339"/>
      <c r="AP653" s="339"/>
      <c r="AQ653" s="339"/>
      <c r="AR653" s="339"/>
      <c r="AS653" s="339"/>
      <c r="AT653" s="339"/>
      <c r="AU653" s="339"/>
      <c r="AV653" s="339"/>
      <c r="AW653" s="339"/>
      <c r="AX653" s="339"/>
      <c r="AY653" s="339"/>
      <c r="AZ653" s="339"/>
      <c r="BA653" s="339"/>
      <c r="BB653" s="339"/>
      <c r="BC653" s="339"/>
      <c r="BD653" s="339"/>
    </row>
    <row r="654" spans="3:56">
      <c r="C654" s="339"/>
      <c r="D654" s="339"/>
      <c r="E654" s="339"/>
      <c r="F654" s="339"/>
      <c r="G654" s="339"/>
      <c r="H654" s="339"/>
      <c r="I654" s="339"/>
      <c r="J654" s="339"/>
      <c r="K654" s="339"/>
      <c r="L654" s="339"/>
      <c r="M654" s="339"/>
      <c r="N654" s="339"/>
      <c r="O654" s="339"/>
      <c r="P654" s="339"/>
      <c r="Q654" s="339"/>
      <c r="R654" s="339"/>
      <c r="S654" s="339"/>
      <c r="T654" s="339"/>
      <c r="U654" s="339"/>
      <c r="V654" s="339"/>
      <c r="W654" s="339"/>
      <c r="X654" s="339"/>
      <c r="Y654" s="339"/>
      <c r="Z654" s="339"/>
      <c r="AA654" s="339"/>
      <c r="AB654" s="339"/>
      <c r="AC654" s="339"/>
      <c r="AD654" s="339"/>
      <c r="AE654" s="339"/>
      <c r="AF654" s="339"/>
      <c r="AG654" s="339"/>
      <c r="AH654" s="339"/>
      <c r="AI654" s="339"/>
      <c r="AJ654" s="339"/>
      <c r="AK654" s="339"/>
      <c r="AL654" s="339"/>
      <c r="AM654" s="339"/>
      <c r="AN654" s="339"/>
      <c r="AO654" s="339"/>
      <c r="AP654" s="339"/>
      <c r="AQ654" s="339"/>
      <c r="AR654" s="339"/>
      <c r="AS654" s="339"/>
      <c r="AT654" s="339"/>
      <c r="AU654" s="339"/>
      <c r="AV654" s="339"/>
      <c r="AW654" s="339"/>
      <c r="AX654" s="339"/>
      <c r="AY654" s="339"/>
      <c r="AZ654" s="339"/>
      <c r="BA654" s="339"/>
      <c r="BB654" s="339"/>
      <c r="BC654" s="339"/>
      <c r="BD654" s="339"/>
    </row>
    <row r="655" spans="3:56">
      <c r="C655" s="339"/>
      <c r="D655" s="339"/>
      <c r="E655" s="339"/>
      <c r="F655" s="339"/>
      <c r="G655" s="339"/>
      <c r="H655" s="339"/>
      <c r="I655" s="339"/>
      <c r="J655" s="339"/>
      <c r="K655" s="339"/>
      <c r="L655" s="339"/>
      <c r="M655" s="339"/>
      <c r="N655" s="339"/>
      <c r="O655" s="339"/>
      <c r="P655" s="339"/>
      <c r="Q655" s="339"/>
      <c r="R655" s="339"/>
      <c r="S655" s="339"/>
      <c r="T655" s="339"/>
      <c r="U655" s="339"/>
      <c r="V655" s="339"/>
      <c r="W655" s="339"/>
      <c r="X655" s="339"/>
      <c r="Y655" s="339"/>
      <c r="Z655" s="339"/>
      <c r="AA655" s="339"/>
      <c r="AB655" s="339"/>
      <c r="AC655" s="339"/>
      <c r="AD655" s="339"/>
      <c r="AE655" s="339"/>
      <c r="AF655" s="339"/>
      <c r="AG655" s="339"/>
      <c r="AH655" s="339"/>
      <c r="AI655" s="339"/>
      <c r="AJ655" s="339"/>
      <c r="AK655" s="339"/>
      <c r="AL655" s="339"/>
      <c r="AM655" s="339"/>
      <c r="AN655" s="339"/>
      <c r="AO655" s="339"/>
      <c r="AP655" s="339"/>
      <c r="AQ655" s="339"/>
      <c r="AR655" s="339"/>
      <c r="AS655" s="339"/>
      <c r="AT655" s="339"/>
      <c r="AU655" s="339"/>
      <c r="AV655" s="339"/>
      <c r="AW655" s="339"/>
      <c r="AX655" s="339"/>
      <c r="AY655" s="339"/>
      <c r="AZ655" s="339"/>
      <c r="BA655" s="339"/>
      <c r="BB655" s="339"/>
      <c r="BC655" s="339"/>
      <c r="BD655" s="339"/>
    </row>
    <row r="656" spans="3:56">
      <c r="C656" s="339"/>
      <c r="D656" s="339"/>
      <c r="E656" s="339"/>
      <c r="F656" s="339"/>
      <c r="G656" s="339"/>
      <c r="H656" s="339"/>
      <c r="I656" s="339"/>
      <c r="J656" s="339"/>
      <c r="K656" s="339"/>
      <c r="L656" s="339"/>
      <c r="M656" s="339"/>
      <c r="N656" s="339"/>
      <c r="O656" s="339"/>
      <c r="P656" s="339"/>
      <c r="Q656" s="339"/>
      <c r="R656" s="339"/>
      <c r="S656" s="339"/>
      <c r="T656" s="339"/>
      <c r="U656" s="339"/>
      <c r="V656" s="339"/>
      <c r="W656" s="339"/>
      <c r="X656" s="339"/>
      <c r="Y656" s="339"/>
      <c r="Z656" s="339"/>
      <c r="AA656" s="339"/>
      <c r="AB656" s="339"/>
      <c r="AC656" s="339"/>
      <c r="AD656" s="339"/>
      <c r="AE656" s="339"/>
      <c r="AF656" s="339"/>
      <c r="AG656" s="339"/>
      <c r="AH656" s="339"/>
      <c r="AI656" s="339"/>
      <c r="AJ656" s="339"/>
      <c r="AK656" s="339"/>
      <c r="AL656" s="339"/>
      <c r="AM656" s="339"/>
      <c r="AN656" s="339"/>
      <c r="AO656" s="339"/>
      <c r="AP656" s="339"/>
      <c r="AQ656" s="339"/>
      <c r="AR656" s="339"/>
      <c r="AS656" s="339"/>
      <c r="AT656" s="339"/>
      <c r="AU656" s="339"/>
      <c r="AV656" s="339"/>
      <c r="AW656" s="339"/>
      <c r="AX656" s="339"/>
      <c r="AY656" s="339"/>
      <c r="AZ656" s="339"/>
      <c r="BA656" s="339"/>
      <c r="BB656" s="339"/>
      <c r="BC656" s="339"/>
      <c r="BD656" s="339"/>
    </row>
    <row r="657" spans="3:56">
      <c r="C657" s="339"/>
      <c r="D657" s="339"/>
      <c r="E657" s="339"/>
      <c r="F657" s="339"/>
      <c r="G657" s="339"/>
      <c r="H657" s="339"/>
      <c r="I657" s="339"/>
      <c r="J657" s="339"/>
      <c r="K657" s="339"/>
      <c r="L657" s="339"/>
      <c r="M657" s="339"/>
      <c r="N657" s="339"/>
      <c r="O657" s="339"/>
      <c r="P657" s="339"/>
      <c r="Q657" s="339"/>
      <c r="R657" s="339"/>
      <c r="S657" s="339"/>
      <c r="T657" s="339"/>
      <c r="U657" s="339"/>
      <c r="V657" s="339"/>
      <c r="W657" s="339"/>
      <c r="X657" s="339"/>
      <c r="Y657" s="339"/>
      <c r="Z657" s="339"/>
      <c r="AA657" s="339"/>
      <c r="AB657" s="339"/>
      <c r="AC657" s="339"/>
      <c r="AD657" s="339"/>
      <c r="AE657" s="339"/>
      <c r="AF657" s="339"/>
      <c r="AG657" s="339"/>
      <c r="AH657" s="339"/>
      <c r="AI657" s="339"/>
      <c r="AJ657" s="339"/>
      <c r="AK657" s="339"/>
      <c r="AL657" s="339"/>
      <c r="AM657" s="339"/>
      <c r="AN657" s="339"/>
      <c r="AO657" s="339"/>
      <c r="AP657" s="339"/>
      <c r="AQ657" s="339"/>
      <c r="AR657" s="339"/>
      <c r="AS657" s="339"/>
      <c r="AT657" s="339"/>
      <c r="AU657" s="339"/>
      <c r="AV657" s="339"/>
      <c r="AW657" s="339"/>
      <c r="AX657" s="339"/>
      <c r="AY657" s="339"/>
      <c r="AZ657" s="339"/>
      <c r="BA657" s="339"/>
      <c r="BB657" s="339"/>
      <c r="BC657" s="339"/>
      <c r="BD657" s="339"/>
    </row>
    <row r="658" spans="3:56">
      <c r="C658" s="339"/>
      <c r="D658" s="339"/>
      <c r="E658" s="339"/>
      <c r="F658" s="339"/>
      <c r="G658" s="339"/>
      <c r="H658" s="339"/>
      <c r="I658" s="339"/>
      <c r="J658" s="339"/>
      <c r="K658" s="339"/>
      <c r="L658" s="339"/>
      <c r="M658" s="339"/>
      <c r="N658" s="339"/>
      <c r="O658" s="339"/>
      <c r="P658" s="339"/>
      <c r="Q658" s="339"/>
      <c r="R658" s="339"/>
      <c r="S658" s="339"/>
      <c r="T658" s="339"/>
      <c r="U658" s="339"/>
      <c r="V658" s="339"/>
      <c r="W658" s="339"/>
      <c r="X658" s="339"/>
      <c r="Y658" s="339"/>
      <c r="Z658" s="339"/>
      <c r="AA658" s="339"/>
      <c r="AB658" s="339"/>
      <c r="AC658" s="339"/>
      <c r="AD658" s="339"/>
      <c r="AE658" s="339"/>
      <c r="AF658" s="339"/>
      <c r="AG658" s="339"/>
      <c r="AH658" s="339"/>
      <c r="AI658" s="339"/>
      <c r="AJ658" s="339"/>
      <c r="AK658" s="339"/>
      <c r="AL658" s="339"/>
      <c r="AM658" s="339"/>
      <c r="AN658" s="339"/>
      <c r="AO658" s="339"/>
      <c r="AP658" s="339"/>
      <c r="AQ658" s="339"/>
      <c r="AR658" s="339"/>
      <c r="AS658" s="339"/>
      <c r="AT658" s="339"/>
      <c r="AU658" s="339"/>
      <c r="AV658" s="339"/>
      <c r="AW658" s="339"/>
      <c r="AX658" s="339"/>
      <c r="AY658" s="339"/>
      <c r="AZ658" s="339"/>
      <c r="BA658" s="339"/>
      <c r="BB658" s="339"/>
      <c r="BC658" s="339"/>
      <c r="BD658" s="339"/>
    </row>
    <row r="659" spans="3:56">
      <c r="C659" s="339"/>
      <c r="D659" s="339"/>
      <c r="E659" s="339"/>
      <c r="F659" s="339"/>
      <c r="G659" s="339"/>
      <c r="H659" s="339"/>
      <c r="I659" s="339"/>
      <c r="J659" s="339"/>
      <c r="K659" s="339"/>
      <c r="L659" s="339"/>
      <c r="M659" s="339"/>
      <c r="N659" s="339"/>
      <c r="O659" s="339"/>
      <c r="P659" s="339"/>
      <c r="Q659" s="339"/>
      <c r="R659" s="339"/>
      <c r="S659" s="339"/>
      <c r="T659" s="339"/>
      <c r="U659" s="339"/>
      <c r="V659" s="339"/>
      <c r="W659" s="339"/>
      <c r="X659" s="339"/>
      <c r="Y659" s="339"/>
      <c r="Z659" s="339"/>
      <c r="AA659" s="339"/>
      <c r="AB659" s="339"/>
      <c r="AC659" s="339"/>
      <c r="AD659" s="339"/>
      <c r="AE659" s="339"/>
      <c r="AF659" s="339"/>
      <c r="AG659" s="339"/>
      <c r="AH659" s="339"/>
      <c r="AI659" s="339"/>
      <c r="AJ659" s="339"/>
      <c r="AK659" s="339"/>
      <c r="AL659" s="339"/>
      <c r="AM659" s="339"/>
      <c r="AN659" s="339"/>
      <c r="AO659" s="339"/>
      <c r="AP659" s="339"/>
      <c r="AQ659" s="339"/>
      <c r="AR659" s="339"/>
      <c r="AS659" s="339"/>
      <c r="AT659" s="339"/>
      <c r="AU659" s="339"/>
      <c r="AV659" s="339"/>
      <c r="AW659" s="339"/>
      <c r="AX659" s="339"/>
      <c r="AY659" s="339"/>
      <c r="AZ659" s="339"/>
      <c r="BA659" s="339"/>
      <c r="BB659" s="339"/>
      <c r="BC659" s="339"/>
      <c r="BD659" s="339"/>
    </row>
    <row r="660" spans="3:56">
      <c r="C660" s="339"/>
      <c r="D660" s="339"/>
      <c r="E660" s="339"/>
      <c r="F660" s="339"/>
      <c r="G660" s="339"/>
      <c r="H660" s="339"/>
      <c r="I660" s="339"/>
      <c r="J660" s="339"/>
      <c r="K660" s="339"/>
      <c r="L660" s="339"/>
      <c r="M660" s="339"/>
      <c r="N660" s="339"/>
      <c r="O660" s="339"/>
      <c r="P660" s="339"/>
      <c r="Q660" s="339"/>
      <c r="R660" s="339"/>
      <c r="S660" s="339"/>
      <c r="T660" s="339"/>
      <c r="U660" s="339"/>
      <c r="V660" s="339"/>
      <c r="W660" s="339"/>
      <c r="X660" s="339"/>
      <c r="Y660" s="339"/>
      <c r="Z660" s="339"/>
      <c r="AA660" s="339"/>
      <c r="AB660" s="339"/>
      <c r="AC660" s="339"/>
      <c r="AD660" s="339"/>
      <c r="AE660" s="339"/>
      <c r="AF660" s="339"/>
      <c r="AG660" s="339"/>
      <c r="AH660" s="339"/>
      <c r="AI660" s="339"/>
      <c r="AJ660" s="339"/>
      <c r="AK660" s="339"/>
      <c r="AL660" s="339"/>
      <c r="AM660" s="339"/>
      <c r="AN660" s="339"/>
      <c r="AO660" s="339"/>
      <c r="AP660" s="339"/>
      <c r="AQ660" s="339"/>
      <c r="AR660" s="339"/>
      <c r="AS660" s="339"/>
      <c r="AT660" s="339"/>
      <c r="AU660" s="339"/>
      <c r="AV660" s="339"/>
      <c r="AW660" s="339"/>
      <c r="AX660" s="339"/>
      <c r="AY660" s="339"/>
      <c r="AZ660" s="339"/>
      <c r="BA660" s="339"/>
      <c r="BB660" s="339"/>
      <c r="BC660" s="339"/>
      <c r="BD660" s="339"/>
    </row>
    <row r="661" spans="3:56">
      <c r="C661" s="339"/>
      <c r="D661" s="339"/>
      <c r="E661" s="339"/>
      <c r="F661" s="339"/>
      <c r="G661" s="339"/>
      <c r="H661" s="339"/>
      <c r="I661" s="339"/>
      <c r="J661" s="339"/>
      <c r="K661" s="339"/>
      <c r="L661" s="339"/>
      <c r="M661" s="339"/>
      <c r="N661" s="339"/>
      <c r="O661" s="339"/>
      <c r="P661" s="339"/>
      <c r="Q661" s="339"/>
      <c r="R661" s="339"/>
      <c r="S661" s="339"/>
      <c r="T661" s="339"/>
      <c r="U661" s="339"/>
      <c r="V661" s="339"/>
      <c r="W661" s="339"/>
      <c r="X661" s="339"/>
      <c r="Y661" s="339"/>
      <c r="Z661" s="339"/>
      <c r="AA661" s="339"/>
      <c r="AB661" s="339"/>
      <c r="AC661" s="339"/>
      <c r="AD661" s="339"/>
      <c r="AE661" s="339"/>
      <c r="AF661" s="339"/>
      <c r="AG661" s="339"/>
      <c r="AH661" s="339"/>
      <c r="AI661" s="339"/>
      <c r="AJ661" s="339"/>
      <c r="AK661" s="339"/>
      <c r="AL661" s="339"/>
      <c r="AM661" s="339"/>
      <c r="AN661" s="339"/>
      <c r="AO661" s="339"/>
      <c r="AP661" s="339"/>
      <c r="AQ661" s="339"/>
      <c r="AR661" s="339"/>
      <c r="AS661" s="339"/>
      <c r="AT661" s="339"/>
      <c r="AU661" s="339"/>
      <c r="AV661" s="339"/>
      <c r="AW661" s="339"/>
      <c r="AX661" s="339"/>
      <c r="AY661" s="339"/>
      <c r="AZ661" s="339"/>
      <c r="BA661" s="339"/>
      <c r="BB661" s="339"/>
      <c r="BC661" s="339"/>
      <c r="BD661" s="339"/>
    </row>
    <row r="662" spans="3:56">
      <c r="C662" s="339"/>
      <c r="D662" s="339"/>
      <c r="E662" s="339"/>
      <c r="F662" s="339"/>
      <c r="G662" s="339"/>
      <c r="H662" s="339"/>
      <c r="I662" s="339"/>
      <c r="J662" s="339"/>
      <c r="K662" s="339"/>
      <c r="L662" s="339"/>
      <c r="M662" s="339"/>
      <c r="N662" s="339"/>
      <c r="O662" s="339"/>
      <c r="P662" s="339"/>
      <c r="Q662" s="339"/>
      <c r="R662" s="339"/>
      <c r="S662" s="339"/>
      <c r="T662" s="339"/>
      <c r="U662" s="339"/>
      <c r="V662" s="339"/>
      <c r="W662" s="339"/>
      <c r="X662" s="339"/>
      <c r="Y662" s="339"/>
      <c r="Z662" s="339"/>
      <c r="AA662" s="339"/>
      <c r="AB662" s="339"/>
      <c r="AC662" s="339"/>
      <c r="AD662" s="339"/>
      <c r="AE662" s="339"/>
      <c r="AF662" s="339"/>
      <c r="AG662" s="339"/>
      <c r="AH662" s="339"/>
      <c r="AI662" s="339"/>
      <c r="AJ662" s="339"/>
      <c r="AK662" s="339"/>
      <c r="AL662" s="339"/>
      <c r="AM662" s="339"/>
      <c r="AN662" s="339"/>
      <c r="AO662" s="339"/>
      <c r="AP662" s="339"/>
      <c r="AQ662" s="339"/>
      <c r="AR662" s="339"/>
      <c r="AS662" s="339"/>
      <c r="AT662" s="339"/>
      <c r="AU662" s="339"/>
      <c r="AV662" s="339"/>
      <c r="AW662" s="339"/>
      <c r="AX662" s="339"/>
      <c r="AY662" s="339"/>
      <c r="AZ662" s="339"/>
      <c r="BA662" s="339"/>
      <c r="BB662" s="339"/>
      <c r="BC662" s="339"/>
      <c r="BD662" s="339"/>
    </row>
    <row r="663" spans="3:56">
      <c r="C663" s="339"/>
      <c r="D663" s="339"/>
      <c r="E663" s="339"/>
      <c r="F663" s="339"/>
      <c r="G663" s="339"/>
      <c r="H663" s="339"/>
      <c r="I663" s="339"/>
      <c r="J663" s="339"/>
      <c r="K663" s="339"/>
      <c r="L663" s="339"/>
      <c r="M663" s="339"/>
      <c r="N663" s="339"/>
      <c r="O663" s="339"/>
      <c r="P663" s="339"/>
      <c r="Q663" s="339"/>
      <c r="R663" s="339"/>
      <c r="S663" s="339"/>
      <c r="T663" s="339"/>
      <c r="U663" s="339"/>
      <c r="V663" s="339"/>
      <c r="W663" s="339"/>
      <c r="X663" s="339"/>
      <c r="Y663" s="339"/>
      <c r="Z663" s="339"/>
      <c r="AA663" s="339"/>
      <c r="AB663" s="339"/>
      <c r="AC663" s="339"/>
      <c r="AD663" s="339"/>
      <c r="AE663" s="339"/>
      <c r="AF663" s="339"/>
      <c r="AG663" s="339"/>
      <c r="AH663" s="339"/>
      <c r="AI663" s="339"/>
      <c r="AJ663" s="339"/>
      <c r="AK663" s="339"/>
      <c r="AL663" s="339"/>
      <c r="AM663" s="339"/>
      <c r="AN663" s="339"/>
      <c r="AO663" s="339"/>
      <c r="AP663" s="339"/>
      <c r="AQ663" s="339"/>
      <c r="AR663" s="339"/>
      <c r="AS663" s="339"/>
      <c r="AT663" s="339"/>
      <c r="AU663" s="339"/>
      <c r="AV663" s="339"/>
      <c r="AW663" s="339"/>
      <c r="AX663" s="339"/>
      <c r="AY663" s="339"/>
      <c r="AZ663" s="339"/>
      <c r="BA663" s="339"/>
      <c r="BB663" s="339"/>
      <c r="BC663" s="339"/>
      <c r="BD663" s="339"/>
    </row>
    <row r="664" spans="3:56">
      <c r="C664" s="339"/>
      <c r="D664" s="339"/>
      <c r="E664" s="339"/>
      <c r="F664" s="339"/>
      <c r="G664" s="339"/>
      <c r="H664" s="339"/>
      <c r="I664" s="339"/>
      <c r="J664" s="339"/>
      <c r="K664" s="339"/>
      <c r="L664" s="339"/>
      <c r="M664" s="339"/>
      <c r="N664" s="339"/>
      <c r="O664" s="339"/>
      <c r="P664" s="339"/>
      <c r="Q664" s="339"/>
      <c r="R664" s="339"/>
      <c r="S664" s="339"/>
      <c r="T664" s="339"/>
      <c r="U664" s="339"/>
      <c r="V664" s="339"/>
      <c r="W664" s="339"/>
      <c r="X664" s="339"/>
      <c r="Y664" s="339"/>
      <c r="Z664" s="339"/>
      <c r="AA664" s="339"/>
      <c r="AB664" s="339"/>
      <c r="AC664" s="339"/>
      <c r="AD664" s="339"/>
      <c r="AE664" s="339"/>
      <c r="AF664" s="339"/>
      <c r="AG664" s="339"/>
      <c r="AH664" s="339"/>
      <c r="AI664" s="339"/>
      <c r="AJ664" s="339"/>
      <c r="AK664" s="339"/>
      <c r="AL664" s="339"/>
      <c r="AM664" s="339"/>
      <c r="AN664" s="339"/>
      <c r="AO664" s="339"/>
      <c r="AP664" s="339"/>
      <c r="AQ664" s="339"/>
      <c r="AR664" s="339"/>
      <c r="AS664" s="339"/>
      <c r="AT664" s="339"/>
      <c r="AU664" s="339"/>
      <c r="AV664" s="339"/>
      <c r="AW664" s="339"/>
      <c r="AX664" s="339"/>
      <c r="AY664" s="339"/>
      <c r="AZ664" s="339"/>
      <c r="BA664" s="339"/>
      <c r="BB664" s="339"/>
      <c r="BC664" s="339"/>
      <c r="BD664" s="339"/>
    </row>
    <row r="665" spans="3:56">
      <c r="C665" s="339"/>
      <c r="D665" s="339"/>
      <c r="E665" s="339"/>
      <c r="F665" s="339"/>
      <c r="G665" s="339"/>
      <c r="H665" s="339"/>
      <c r="I665" s="339"/>
      <c r="J665" s="339"/>
      <c r="K665" s="339"/>
      <c r="L665" s="339"/>
      <c r="M665" s="339"/>
      <c r="N665" s="339"/>
      <c r="O665" s="339"/>
      <c r="P665" s="339"/>
      <c r="Q665" s="339"/>
      <c r="R665" s="339"/>
      <c r="S665" s="339"/>
      <c r="T665" s="339"/>
      <c r="U665" s="339"/>
      <c r="V665" s="339"/>
      <c r="W665" s="339"/>
      <c r="X665" s="339"/>
      <c r="Y665" s="339"/>
      <c r="Z665" s="339"/>
      <c r="AA665" s="339"/>
      <c r="AB665" s="339"/>
      <c r="AC665" s="339"/>
      <c r="AD665" s="339"/>
      <c r="AE665" s="339"/>
      <c r="AF665" s="339"/>
      <c r="AG665" s="339"/>
      <c r="AH665" s="339"/>
      <c r="AI665" s="339"/>
      <c r="AJ665" s="339"/>
      <c r="AK665" s="339"/>
      <c r="AL665" s="339"/>
      <c r="AM665" s="339"/>
      <c r="AN665" s="339"/>
      <c r="AO665" s="339"/>
      <c r="AP665" s="339"/>
      <c r="AQ665" s="339"/>
      <c r="AR665" s="339"/>
      <c r="AS665" s="339"/>
      <c r="AT665" s="339"/>
      <c r="AU665" s="339"/>
      <c r="AV665" s="339"/>
      <c r="AW665" s="339"/>
      <c r="AX665" s="339"/>
      <c r="AY665" s="339"/>
      <c r="AZ665" s="339"/>
      <c r="BA665" s="339"/>
      <c r="BB665" s="339"/>
      <c r="BC665" s="339"/>
      <c r="BD665" s="339"/>
    </row>
    <row r="666" spans="3:56">
      <c r="C666" s="339"/>
      <c r="D666" s="339"/>
      <c r="E666" s="339"/>
      <c r="F666" s="339"/>
      <c r="G666" s="339"/>
      <c r="H666" s="339"/>
      <c r="I666" s="339"/>
      <c r="J666" s="339"/>
      <c r="K666" s="339"/>
      <c r="L666" s="339"/>
      <c r="M666" s="339"/>
      <c r="N666" s="339"/>
      <c r="O666" s="339"/>
      <c r="P666" s="339"/>
      <c r="Q666" s="339"/>
      <c r="R666" s="339"/>
      <c r="S666" s="339"/>
      <c r="T666" s="339"/>
      <c r="U666" s="339"/>
      <c r="V666" s="339"/>
      <c r="W666" s="339"/>
      <c r="X666" s="339"/>
      <c r="Y666" s="339"/>
      <c r="Z666" s="339"/>
      <c r="AA666" s="339"/>
      <c r="AB666" s="339"/>
      <c r="AC666" s="339"/>
      <c r="AD666" s="339"/>
      <c r="AE666" s="339"/>
      <c r="AF666" s="339"/>
      <c r="AG666" s="339"/>
      <c r="AH666" s="339"/>
      <c r="AI666" s="339"/>
      <c r="AJ666" s="339"/>
      <c r="AK666" s="339"/>
      <c r="AL666" s="339"/>
      <c r="AM666" s="339"/>
      <c r="AN666" s="339"/>
      <c r="AO666" s="339"/>
      <c r="AP666" s="339"/>
      <c r="AQ666" s="339"/>
      <c r="AR666" s="339"/>
      <c r="AS666" s="339"/>
      <c r="AT666" s="339"/>
      <c r="AU666" s="339"/>
      <c r="AV666" s="339"/>
      <c r="AW666" s="339"/>
      <c r="AX666" s="339"/>
      <c r="AY666" s="339"/>
      <c r="AZ666" s="339"/>
      <c r="BA666" s="339"/>
      <c r="BB666" s="339"/>
      <c r="BC666" s="339"/>
      <c r="BD666" s="339"/>
    </row>
    <row r="667" spans="3:56">
      <c r="C667" s="339"/>
      <c r="D667" s="339"/>
      <c r="E667" s="339"/>
      <c r="F667" s="339"/>
      <c r="G667" s="339"/>
      <c r="H667" s="339"/>
      <c r="I667" s="339"/>
      <c r="J667" s="339"/>
      <c r="K667" s="339"/>
      <c r="L667" s="339"/>
      <c r="M667" s="339"/>
      <c r="N667" s="339"/>
      <c r="O667" s="339"/>
      <c r="P667" s="339"/>
      <c r="Q667" s="339"/>
      <c r="R667" s="339"/>
      <c r="S667" s="339"/>
      <c r="T667" s="339"/>
      <c r="U667" s="339"/>
      <c r="V667" s="339"/>
      <c r="W667" s="339"/>
      <c r="X667" s="339"/>
      <c r="Y667" s="339"/>
      <c r="Z667" s="339"/>
      <c r="AA667" s="339"/>
      <c r="AB667" s="339"/>
      <c r="AC667" s="339"/>
      <c r="AD667" s="339"/>
      <c r="AE667" s="339"/>
      <c r="AF667" s="339"/>
      <c r="AG667" s="339"/>
      <c r="AH667" s="339"/>
      <c r="AI667" s="339"/>
      <c r="AJ667" s="339"/>
      <c r="AK667" s="339"/>
      <c r="AL667" s="339"/>
      <c r="AM667" s="339"/>
      <c r="AN667" s="339"/>
      <c r="AO667" s="339"/>
      <c r="AP667" s="339"/>
      <c r="AQ667" s="339"/>
      <c r="AR667" s="339"/>
      <c r="AS667" s="339"/>
      <c r="AT667" s="339"/>
      <c r="AU667" s="339"/>
      <c r="AV667" s="339"/>
      <c r="AW667" s="339"/>
      <c r="AX667" s="339"/>
      <c r="AY667" s="339"/>
      <c r="AZ667" s="339"/>
      <c r="BA667" s="339"/>
      <c r="BB667" s="339"/>
      <c r="BC667" s="339"/>
      <c r="BD667" s="339"/>
    </row>
    <row r="668" spans="3:56">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c r="AA668" s="339"/>
      <c r="AB668" s="339"/>
      <c r="AC668" s="339"/>
      <c r="AD668" s="339"/>
      <c r="AE668" s="339"/>
      <c r="AF668" s="339"/>
      <c r="AG668" s="339"/>
      <c r="AH668" s="339"/>
      <c r="AI668" s="339"/>
      <c r="AJ668" s="339"/>
      <c r="AK668" s="339"/>
      <c r="AL668" s="339"/>
      <c r="AM668" s="339"/>
      <c r="AN668" s="339"/>
      <c r="AO668" s="339"/>
      <c r="AP668" s="339"/>
      <c r="AQ668" s="339"/>
      <c r="AR668" s="339"/>
      <c r="AS668" s="339"/>
      <c r="AT668" s="339"/>
      <c r="AU668" s="339"/>
      <c r="AV668" s="339"/>
      <c r="AW668" s="339"/>
      <c r="AX668" s="339"/>
      <c r="AY668" s="339"/>
      <c r="AZ668" s="339"/>
      <c r="BA668" s="339"/>
      <c r="BB668" s="339"/>
      <c r="BC668" s="339"/>
      <c r="BD668" s="339"/>
    </row>
    <row r="669" spans="3:56">
      <c r="C669" s="339"/>
      <c r="D669" s="339"/>
      <c r="E669" s="339"/>
      <c r="F669" s="339"/>
      <c r="G669" s="339"/>
      <c r="H669" s="339"/>
      <c r="I669" s="339"/>
      <c r="J669" s="339"/>
      <c r="K669" s="339"/>
      <c r="L669" s="339"/>
      <c r="M669" s="339"/>
      <c r="N669" s="339"/>
      <c r="O669" s="339"/>
      <c r="P669" s="339"/>
      <c r="Q669" s="339"/>
      <c r="R669" s="339"/>
      <c r="S669" s="339"/>
      <c r="T669" s="339"/>
      <c r="U669" s="339"/>
      <c r="V669" s="339"/>
      <c r="W669" s="339"/>
      <c r="X669" s="339"/>
      <c r="Y669" s="339"/>
      <c r="Z669" s="339"/>
      <c r="AA669" s="339"/>
      <c r="AB669" s="339"/>
      <c r="AC669" s="339"/>
      <c r="AD669" s="339"/>
      <c r="AE669" s="339"/>
      <c r="AF669" s="339"/>
      <c r="AG669" s="339"/>
      <c r="AH669" s="339"/>
      <c r="AI669" s="339"/>
      <c r="AJ669" s="339"/>
      <c r="AK669" s="339"/>
      <c r="AL669" s="339"/>
      <c r="AM669" s="339"/>
      <c r="AN669" s="339"/>
      <c r="AO669" s="339"/>
      <c r="AP669" s="339"/>
      <c r="AQ669" s="339"/>
      <c r="AR669" s="339"/>
      <c r="AS669" s="339"/>
      <c r="AT669" s="339"/>
      <c r="AU669" s="339"/>
      <c r="AV669" s="339"/>
      <c r="AW669" s="339"/>
      <c r="AX669" s="339"/>
      <c r="AY669" s="339"/>
      <c r="AZ669" s="339"/>
      <c r="BA669" s="339"/>
      <c r="BB669" s="339"/>
      <c r="BC669" s="339"/>
      <c r="BD669" s="339"/>
    </row>
    <row r="670" spans="3:56">
      <c r="C670" s="339"/>
      <c r="D670" s="339"/>
      <c r="E670" s="339"/>
      <c r="F670" s="339"/>
      <c r="G670" s="339"/>
      <c r="H670" s="339"/>
      <c r="I670" s="339"/>
      <c r="J670" s="339"/>
      <c r="K670" s="339"/>
      <c r="L670" s="339"/>
      <c r="M670" s="339"/>
      <c r="N670" s="339"/>
      <c r="O670" s="339"/>
      <c r="P670" s="339"/>
      <c r="Q670" s="339"/>
      <c r="R670" s="339"/>
      <c r="S670" s="339"/>
      <c r="T670" s="339"/>
      <c r="U670" s="339"/>
      <c r="V670" s="339"/>
      <c r="W670" s="339"/>
      <c r="X670" s="339"/>
      <c r="Y670" s="339"/>
      <c r="Z670" s="339"/>
      <c r="AA670" s="339"/>
      <c r="AB670" s="339"/>
      <c r="AC670" s="339"/>
      <c r="AD670" s="339"/>
      <c r="AE670" s="339"/>
      <c r="AF670" s="339"/>
      <c r="AG670" s="339"/>
      <c r="AH670" s="339"/>
      <c r="AI670" s="339"/>
      <c r="AJ670" s="339"/>
      <c r="AK670" s="339"/>
      <c r="AL670" s="339"/>
      <c r="AM670" s="339"/>
      <c r="AN670" s="339"/>
      <c r="AO670" s="339"/>
      <c r="AP670" s="339"/>
      <c r="AQ670" s="339"/>
      <c r="AR670" s="339"/>
      <c r="AS670" s="339"/>
      <c r="AT670" s="339"/>
      <c r="AU670" s="339"/>
      <c r="AV670" s="339"/>
      <c r="AW670" s="339"/>
      <c r="AX670" s="339"/>
      <c r="AY670" s="339"/>
      <c r="AZ670" s="339"/>
      <c r="BA670" s="339"/>
      <c r="BB670" s="339"/>
      <c r="BC670" s="339"/>
      <c r="BD670" s="339"/>
    </row>
    <row r="671" spans="3:56">
      <c r="C671" s="339"/>
      <c r="D671" s="339"/>
      <c r="E671" s="339"/>
      <c r="F671" s="339"/>
      <c r="G671" s="339"/>
      <c r="H671" s="339"/>
      <c r="I671" s="339"/>
      <c r="J671" s="339"/>
      <c r="K671" s="339"/>
      <c r="L671" s="339"/>
      <c r="M671" s="339"/>
      <c r="N671" s="339"/>
      <c r="O671" s="339"/>
      <c r="P671" s="339"/>
      <c r="Q671" s="339"/>
      <c r="R671" s="339"/>
      <c r="S671" s="339"/>
      <c r="T671" s="339"/>
      <c r="U671" s="339"/>
      <c r="V671" s="339"/>
      <c r="W671" s="339"/>
      <c r="X671" s="339"/>
      <c r="Y671" s="339"/>
      <c r="Z671" s="339"/>
      <c r="AA671" s="339"/>
      <c r="AB671" s="339"/>
      <c r="AC671" s="339"/>
      <c r="AD671" s="339"/>
      <c r="AE671" s="339"/>
      <c r="AF671" s="339"/>
      <c r="AG671" s="339"/>
      <c r="AH671" s="339"/>
      <c r="AI671" s="339"/>
      <c r="AJ671" s="339"/>
      <c r="AK671" s="339"/>
      <c r="AL671" s="339"/>
      <c r="AM671" s="339"/>
      <c r="AN671" s="339"/>
      <c r="AO671" s="339"/>
      <c r="AP671" s="339"/>
      <c r="AQ671" s="339"/>
      <c r="AR671" s="339"/>
      <c r="AS671" s="339"/>
      <c r="AT671" s="339"/>
      <c r="AU671" s="339"/>
      <c r="AV671" s="339"/>
      <c r="AW671" s="339"/>
      <c r="AX671" s="339"/>
      <c r="AY671" s="339"/>
      <c r="AZ671" s="339"/>
      <c r="BA671" s="339"/>
      <c r="BB671" s="339"/>
      <c r="BC671" s="339"/>
      <c r="BD671" s="339"/>
    </row>
    <row r="672" spans="3:56">
      <c r="C672" s="339"/>
      <c r="D672" s="339"/>
      <c r="E672" s="339"/>
      <c r="F672" s="339"/>
      <c r="G672" s="339"/>
      <c r="H672" s="339"/>
      <c r="I672" s="339"/>
      <c r="J672" s="339"/>
      <c r="K672" s="339"/>
      <c r="L672" s="339"/>
      <c r="M672" s="339"/>
      <c r="N672" s="339"/>
      <c r="O672" s="339"/>
      <c r="P672" s="339"/>
      <c r="Q672" s="339"/>
      <c r="R672" s="339"/>
      <c r="S672" s="339"/>
      <c r="T672" s="339"/>
      <c r="U672" s="339"/>
      <c r="V672" s="339"/>
      <c r="W672" s="339"/>
      <c r="X672" s="339"/>
      <c r="Y672" s="339"/>
      <c r="Z672" s="339"/>
      <c r="AA672" s="339"/>
      <c r="AB672" s="339"/>
      <c r="AC672" s="339"/>
      <c r="AD672" s="339"/>
      <c r="AE672" s="339"/>
      <c r="AF672" s="339"/>
      <c r="AG672" s="339"/>
      <c r="AH672" s="339"/>
      <c r="AI672" s="339"/>
      <c r="AJ672" s="339"/>
      <c r="AK672" s="339"/>
      <c r="AL672" s="339"/>
      <c r="AM672" s="339"/>
      <c r="AN672" s="339"/>
      <c r="AO672" s="339"/>
      <c r="AP672" s="339"/>
      <c r="AQ672" s="339"/>
      <c r="AR672" s="339"/>
      <c r="AS672" s="339"/>
      <c r="AT672" s="339"/>
      <c r="AU672" s="339"/>
      <c r="AV672" s="339"/>
      <c r="AW672" s="339"/>
      <c r="AX672" s="339"/>
      <c r="AY672" s="339"/>
      <c r="AZ672" s="339"/>
      <c r="BA672" s="339"/>
      <c r="BB672" s="339"/>
      <c r="BC672" s="339"/>
      <c r="BD672" s="339"/>
    </row>
    <row r="673" spans="3:56">
      <c r="C673" s="339"/>
      <c r="D673" s="339"/>
      <c r="E673" s="339"/>
      <c r="F673" s="339"/>
      <c r="G673" s="339"/>
      <c r="H673" s="339"/>
      <c r="I673" s="339"/>
      <c r="J673" s="339"/>
      <c r="K673" s="339"/>
      <c r="L673" s="339"/>
      <c r="M673" s="339"/>
      <c r="N673" s="339"/>
      <c r="O673" s="339"/>
      <c r="P673" s="339"/>
      <c r="Q673" s="339"/>
      <c r="R673" s="339"/>
      <c r="S673" s="339"/>
      <c r="T673" s="339"/>
      <c r="U673" s="339"/>
      <c r="V673" s="339"/>
      <c r="W673" s="339"/>
      <c r="X673" s="339"/>
      <c r="Y673" s="339"/>
      <c r="Z673" s="339"/>
      <c r="AA673" s="339"/>
      <c r="AB673" s="339"/>
      <c r="AC673" s="339"/>
      <c r="AD673" s="339"/>
      <c r="AE673" s="339"/>
      <c r="AF673" s="339"/>
      <c r="AG673" s="339"/>
      <c r="AH673" s="339"/>
      <c r="AI673" s="339"/>
      <c r="AJ673" s="339"/>
      <c r="AK673" s="339"/>
      <c r="AL673" s="339"/>
      <c r="AM673" s="339"/>
      <c r="AN673" s="339"/>
      <c r="AO673" s="339"/>
      <c r="AP673" s="339"/>
      <c r="AQ673" s="339"/>
      <c r="AR673" s="339"/>
      <c r="AS673" s="339"/>
      <c r="AT673" s="339"/>
      <c r="AU673" s="339"/>
      <c r="AV673" s="339"/>
      <c r="AW673" s="339"/>
      <c r="AX673" s="339"/>
      <c r="AY673" s="339"/>
      <c r="AZ673" s="339"/>
      <c r="BA673" s="339"/>
      <c r="BB673" s="339"/>
      <c r="BC673" s="339"/>
      <c r="BD673" s="339"/>
    </row>
    <row r="674" spans="3:56">
      <c r="C674" s="339"/>
      <c r="D674" s="339"/>
      <c r="E674" s="339"/>
      <c r="F674" s="339"/>
      <c r="G674" s="339"/>
      <c r="H674" s="339"/>
      <c r="I674" s="339"/>
      <c r="J674" s="339"/>
      <c r="K674" s="339"/>
      <c r="L674" s="339"/>
      <c r="M674" s="339"/>
      <c r="N674" s="339"/>
      <c r="O674" s="339"/>
      <c r="P674" s="339"/>
      <c r="Q674" s="339"/>
      <c r="R674" s="339"/>
      <c r="S674" s="339"/>
      <c r="T674" s="339"/>
      <c r="U674" s="339"/>
      <c r="V674" s="339"/>
      <c r="W674" s="339"/>
      <c r="X674" s="339"/>
      <c r="Y674" s="339"/>
      <c r="Z674" s="339"/>
      <c r="AA674" s="339"/>
      <c r="AB674" s="339"/>
      <c r="AC674" s="339"/>
      <c r="AD674" s="339"/>
      <c r="AE674" s="339"/>
      <c r="AF674" s="339"/>
      <c r="AG674" s="339"/>
      <c r="AH674" s="339"/>
      <c r="AI674" s="339"/>
      <c r="AJ674" s="339"/>
      <c r="AK674" s="339"/>
      <c r="AL674" s="339"/>
      <c r="AM674" s="339"/>
      <c r="AN674" s="339"/>
      <c r="AO674" s="339"/>
      <c r="AP674" s="339"/>
      <c r="AQ674" s="339"/>
      <c r="AR674" s="339"/>
      <c r="AS674" s="339"/>
      <c r="AT674" s="339"/>
      <c r="AU674" s="339"/>
      <c r="AV674" s="339"/>
      <c r="AW674" s="339"/>
      <c r="AX674" s="339"/>
      <c r="AY674" s="339"/>
      <c r="AZ674" s="339"/>
      <c r="BA674" s="339"/>
      <c r="BB674" s="339"/>
      <c r="BC674" s="339"/>
      <c r="BD674" s="339"/>
    </row>
    <row r="675" spans="3:56">
      <c r="C675" s="339"/>
      <c r="D675" s="339"/>
      <c r="E675" s="339"/>
      <c r="F675" s="339"/>
      <c r="G675" s="339"/>
      <c r="H675" s="339"/>
      <c r="I675" s="339"/>
      <c r="J675" s="339"/>
      <c r="K675" s="339"/>
      <c r="L675" s="339"/>
      <c r="M675" s="339"/>
      <c r="N675" s="339"/>
      <c r="O675" s="339"/>
      <c r="P675" s="339"/>
      <c r="Q675" s="339"/>
      <c r="R675" s="339"/>
      <c r="S675" s="339"/>
      <c r="T675" s="339"/>
      <c r="U675" s="339"/>
      <c r="V675" s="339"/>
      <c r="W675" s="339"/>
      <c r="X675" s="339"/>
      <c r="Y675" s="339"/>
      <c r="Z675" s="339"/>
      <c r="AA675" s="339"/>
      <c r="AB675" s="339"/>
      <c r="AC675" s="339"/>
      <c r="AD675" s="339"/>
      <c r="AE675" s="339"/>
      <c r="AF675" s="339"/>
      <c r="AG675" s="339"/>
      <c r="AH675" s="339"/>
      <c r="AI675" s="339"/>
      <c r="AJ675" s="339"/>
      <c r="AK675" s="339"/>
      <c r="AL675" s="339"/>
      <c r="AM675" s="339"/>
      <c r="AN675" s="339"/>
      <c r="AO675" s="339"/>
      <c r="AP675" s="339"/>
      <c r="AQ675" s="339"/>
      <c r="AR675" s="339"/>
      <c r="AS675" s="339"/>
      <c r="AT675" s="339"/>
      <c r="AU675" s="339"/>
      <c r="AV675" s="339"/>
      <c r="AW675" s="339"/>
      <c r="AX675" s="339"/>
      <c r="AY675" s="339"/>
      <c r="AZ675" s="339"/>
      <c r="BA675" s="339"/>
      <c r="BB675" s="339"/>
      <c r="BC675" s="339"/>
      <c r="BD675" s="339"/>
    </row>
    <row r="676" spans="3:56">
      <c r="C676" s="339"/>
      <c r="D676" s="339"/>
      <c r="E676" s="339"/>
      <c r="F676" s="339"/>
      <c r="G676" s="339"/>
      <c r="H676" s="339"/>
      <c r="I676" s="339"/>
      <c r="J676" s="339"/>
      <c r="K676" s="339"/>
      <c r="L676" s="339"/>
      <c r="M676" s="339"/>
      <c r="N676" s="339"/>
      <c r="O676" s="339"/>
      <c r="P676" s="339"/>
      <c r="Q676" s="339"/>
      <c r="R676" s="339"/>
      <c r="S676" s="339"/>
      <c r="T676" s="339"/>
      <c r="U676" s="339"/>
      <c r="V676" s="339"/>
      <c r="W676" s="339"/>
      <c r="X676" s="339"/>
      <c r="Y676" s="339"/>
      <c r="Z676" s="339"/>
      <c r="AA676" s="339"/>
      <c r="AB676" s="339"/>
      <c r="AC676" s="339"/>
      <c r="AD676" s="339"/>
      <c r="AE676" s="339"/>
      <c r="AF676" s="339"/>
      <c r="AG676" s="339"/>
      <c r="AH676" s="339"/>
      <c r="AI676" s="339"/>
      <c r="AJ676" s="339"/>
      <c r="AK676" s="339"/>
      <c r="AL676" s="339"/>
      <c r="AM676" s="339"/>
      <c r="AN676" s="339"/>
      <c r="AO676" s="339"/>
      <c r="AP676" s="339"/>
      <c r="AQ676" s="339"/>
      <c r="AR676" s="339"/>
      <c r="AS676" s="339"/>
      <c r="AT676" s="339"/>
      <c r="AU676" s="339"/>
      <c r="AV676" s="339"/>
      <c r="AW676" s="339"/>
      <c r="AX676" s="339"/>
      <c r="AY676" s="339"/>
      <c r="AZ676" s="339"/>
      <c r="BA676" s="339"/>
      <c r="BB676" s="339"/>
      <c r="BC676" s="339"/>
      <c r="BD676" s="339"/>
    </row>
    <row r="677" spans="3:56">
      <c r="C677" s="339"/>
      <c r="D677" s="339"/>
      <c r="E677" s="339"/>
      <c r="F677" s="339"/>
      <c r="G677" s="339"/>
      <c r="H677" s="339"/>
      <c r="I677" s="339"/>
      <c r="J677" s="339"/>
      <c r="K677" s="339"/>
      <c r="L677" s="339"/>
      <c r="M677" s="339"/>
      <c r="N677" s="339"/>
      <c r="O677" s="339"/>
      <c r="P677" s="339"/>
      <c r="Q677" s="339"/>
      <c r="R677" s="339"/>
      <c r="S677" s="339"/>
      <c r="T677" s="339"/>
      <c r="U677" s="339"/>
      <c r="V677" s="339"/>
      <c r="W677" s="339"/>
      <c r="X677" s="339"/>
      <c r="Y677" s="339"/>
      <c r="Z677" s="339"/>
      <c r="AA677" s="339"/>
      <c r="AB677" s="339"/>
      <c r="AC677" s="339"/>
      <c r="AD677" s="339"/>
      <c r="AE677" s="339"/>
      <c r="AF677" s="339"/>
      <c r="AG677" s="339"/>
      <c r="AH677" s="339"/>
      <c r="AI677" s="339"/>
      <c r="AJ677" s="339"/>
      <c r="AK677" s="339"/>
      <c r="AL677" s="339"/>
      <c r="AM677" s="339"/>
      <c r="AN677" s="339"/>
      <c r="AO677" s="339"/>
      <c r="AP677" s="339"/>
      <c r="AQ677" s="339"/>
      <c r="AR677" s="339"/>
      <c r="AS677" s="339"/>
      <c r="AT677" s="339"/>
      <c r="AU677" s="339"/>
      <c r="AV677" s="339"/>
      <c r="AW677" s="339"/>
      <c r="AX677" s="339"/>
      <c r="AY677" s="339"/>
      <c r="AZ677" s="339"/>
      <c r="BA677" s="339"/>
      <c r="BB677" s="339"/>
      <c r="BC677" s="339"/>
      <c r="BD677" s="339"/>
    </row>
    <row r="678" spans="3:56">
      <c r="C678" s="339"/>
      <c r="D678" s="339"/>
      <c r="E678" s="339"/>
      <c r="F678" s="339"/>
      <c r="G678" s="339"/>
      <c r="H678" s="339"/>
      <c r="I678" s="339"/>
      <c r="J678" s="339"/>
      <c r="K678" s="339"/>
      <c r="L678" s="339"/>
      <c r="M678" s="339"/>
      <c r="N678" s="339"/>
      <c r="O678" s="339"/>
      <c r="P678" s="339"/>
      <c r="Q678" s="339"/>
      <c r="R678" s="339"/>
      <c r="S678" s="339"/>
      <c r="T678" s="339"/>
      <c r="U678" s="339"/>
      <c r="V678" s="339"/>
      <c r="W678" s="339"/>
      <c r="X678" s="339"/>
      <c r="Y678" s="339"/>
      <c r="Z678" s="339"/>
      <c r="AA678" s="339"/>
      <c r="AB678" s="339"/>
      <c r="AC678" s="339"/>
      <c r="AD678" s="339"/>
      <c r="AE678" s="339"/>
      <c r="AF678" s="339"/>
      <c r="AG678" s="339"/>
      <c r="AH678" s="339"/>
      <c r="AI678" s="339"/>
      <c r="AJ678" s="339"/>
      <c r="AK678" s="339"/>
      <c r="AL678" s="339"/>
      <c r="AM678" s="339"/>
      <c r="AN678" s="339"/>
      <c r="AO678" s="339"/>
      <c r="AP678" s="339"/>
      <c r="AQ678" s="339"/>
      <c r="AR678" s="339"/>
      <c r="AS678" s="339"/>
      <c r="AT678" s="339"/>
      <c r="AU678" s="339"/>
      <c r="AV678" s="339"/>
      <c r="AW678" s="339"/>
      <c r="AX678" s="339"/>
      <c r="AY678" s="339"/>
      <c r="AZ678" s="339"/>
      <c r="BA678" s="339"/>
      <c r="BB678" s="339"/>
      <c r="BC678" s="339"/>
      <c r="BD678" s="339"/>
    </row>
    <row r="679" spans="3:56">
      <c r="C679" s="339"/>
      <c r="D679" s="339"/>
      <c r="E679" s="339"/>
      <c r="F679" s="339"/>
      <c r="G679" s="339"/>
      <c r="H679" s="339"/>
      <c r="I679" s="339"/>
      <c r="J679" s="339"/>
      <c r="K679" s="339"/>
      <c r="L679" s="339"/>
      <c r="M679" s="339"/>
      <c r="N679" s="339"/>
      <c r="O679" s="339"/>
      <c r="P679" s="339"/>
      <c r="Q679" s="339"/>
      <c r="R679" s="339"/>
      <c r="S679" s="339"/>
      <c r="T679" s="339"/>
      <c r="U679" s="339"/>
      <c r="V679" s="339"/>
      <c r="W679" s="339"/>
      <c r="X679" s="339"/>
      <c r="Y679" s="339"/>
      <c r="Z679" s="339"/>
      <c r="AA679" s="339"/>
      <c r="AB679" s="339"/>
      <c r="AC679" s="339"/>
      <c r="AD679" s="339"/>
      <c r="AE679" s="339"/>
      <c r="AF679" s="339"/>
      <c r="AG679" s="339"/>
      <c r="AH679" s="339"/>
      <c r="AI679" s="339"/>
      <c r="AJ679" s="339"/>
      <c r="AK679" s="339"/>
      <c r="AL679" s="339"/>
      <c r="AM679" s="339"/>
      <c r="AN679" s="339"/>
      <c r="AO679" s="339"/>
      <c r="AP679" s="339"/>
      <c r="AQ679" s="339"/>
      <c r="AR679" s="339"/>
      <c r="AS679" s="339"/>
      <c r="AT679" s="339"/>
      <c r="AU679" s="339"/>
      <c r="AV679" s="339"/>
      <c r="AW679" s="339"/>
      <c r="AX679" s="339"/>
      <c r="AY679" s="339"/>
      <c r="AZ679" s="339"/>
      <c r="BA679" s="339"/>
      <c r="BB679" s="339"/>
      <c r="BC679" s="339"/>
      <c r="BD679" s="339"/>
    </row>
    <row r="680" spans="3:56">
      <c r="C680" s="339"/>
      <c r="D680" s="339"/>
      <c r="E680" s="339"/>
      <c r="F680" s="339"/>
      <c r="G680" s="339"/>
      <c r="H680" s="339"/>
      <c r="I680" s="339"/>
      <c r="J680" s="339"/>
      <c r="K680" s="339"/>
      <c r="L680" s="339"/>
      <c r="M680" s="339"/>
      <c r="N680" s="339"/>
      <c r="O680" s="339"/>
      <c r="P680" s="339"/>
      <c r="Q680" s="339"/>
      <c r="R680" s="339"/>
      <c r="S680" s="339"/>
      <c r="T680" s="339"/>
      <c r="U680" s="339"/>
      <c r="V680" s="339"/>
      <c r="W680" s="339"/>
      <c r="X680" s="339"/>
      <c r="Y680" s="339"/>
      <c r="Z680" s="339"/>
      <c r="AA680" s="339"/>
      <c r="AB680" s="339"/>
      <c r="AC680" s="339"/>
      <c r="AD680" s="339"/>
      <c r="AE680" s="339"/>
      <c r="AF680" s="339"/>
      <c r="AG680" s="339"/>
      <c r="AH680" s="339"/>
      <c r="AI680" s="339"/>
      <c r="AJ680" s="339"/>
      <c r="AK680" s="339"/>
      <c r="AL680" s="339"/>
      <c r="AM680" s="339"/>
      <c r="AN680" s="339"/>
      <c r="AO680" s="339"/>
      <c r="AP680" s="339"/>
      <c r="AQ680" s="339"/>
      <c r="AR680" s="339"/>
      <c r="AS680" s="339"/>
      <c r="AT680" s="339"/>
      <c r="AU680" s="339"/>
      <c r="AV680" s="339"/>
      <c r="AW680" s="339"/>
      <c r="AX680" s="339"/>
      <c r="AY680" s="339"/>
      <c r="AZ680" s="339"/>
      <c r="BA680" s="339"/>
      <c r="BB680" s="339"/>
      <c r="BC680" s="339"/>
      <c r="BD680" s="339"/>
    </row>
    <row r="681" spans="3:56">
      <c r="C681" s="339"/>
      <c r="D681" s="339"/>
      <c r="E681" s="339"/>
      <c r="F681" s="339"/>
      <c r="G681" s="339"/>
      <c r="H681" s="339"/>
      <c r="I681" s="339"/>
      <c r="J681" s="339"/>
      <c r="K681" s="339"/>
      <c r="L681" s="339"/>
      <c r="M681" s="339"/>
      <c r="N681" s="339"/>
      <c r="O681" s="339"/>
      <c r="P681" s="339"/>
      <c r="Q681" s="339"/>
      <c r="R681" s="339"/>
      <c r="S681" s="339"/>
      <c r="T681" s="339"/>
      <c r="U681" s="339"/>
      <c r="V681" s="339"/>
      <c r="W681" s="339"/>
      <c r="X681" s="339"/>
      <c r="Y681" s="339"/>
      <c r="Z681" s="339"/>
      <c r="AA681" s="339"/>
      <c r="AB681" s="339"/>
      <c r="AC681" s="339"/>
      <c r="AD681" s="339"/>
      <c r="AE681" s="339"/>
      <c r="AF681" s="339"/>
      <c r="AG681" s="339"/>
      <c r="AH681" s="339"/>
      <c r="AI681" s="339"/>
      <c r="AJ681" s="339"/>
      <c r="AK681" s="339"/>
      <c r="AL681" s="339"/>
      <c r="AM681" s="339"/>
      <c r="AN681" s="339"/>
      <c r="AO681" s="339"/>
      <c r="AP681" s="339"/>
      <c r="AQ681" s="339"/>
      <c r="AR681" s="339"/>
      <c r="AS681" s="339"/>
      <c r="AT681" s="339"/>
      <c r="AU681" s="339"/>
      <c r="AV681" s="339"/>
      <c r="AW681" s="339"/>
      <c r="AX681" s="339"/>
      <c r="AY681" s="339"/>
      <c r="AZ681" s="339"/>
      <c r="BA681" s="339"/>
      <c r="BB681" s="339"/>
      <c r="BC681" s="339"/>
      <c r="BD681" s="339"/>
    </row>
    <row r="682" spans="3:56">
      <c r="C682" s="339"/>
      <c r="D682" s="339"/>
      <c r="E682" s="339"/>
      <c r="F682" s="339"/>
      <c r="G682" s="339"/>
      <c r="H682" s="339"/>
      <c r="I682" s="339"/>
      <c r="J682" s="339"/>
      <c r="K682" s="339"/>
      <c r="L682" s="339"/>
      <c r="M682" s="339"/>
      <c r="N682" s="339"/>
      <c r="O682" s="339"/>
      <c r="P682" s="339"/>
      <c r="Q682" s="339"/>
      <c r="R682" s="339"/>
      <c r="S682" s="339"/>
      <c r="T682" s="339"/>
      <c r="U682" s="339"/>
      <c r="V682" s="339"/>
      <c r="W682" s="339"/>
      <c r="X682" s="339"/>
      <c r="Y682" s="339"/>
      <c r="Z682" s="339"/>
      <c r="AA682" s="339"/>
      <c r="AB682" s="339"/>
      <c r="AC682" s="339"/>
      <c r="AD682" s="339"/>
      <c r="AE682" s="339"/>
      <c r="AF682" s="339"/>
      <c r="AG682" s="339"/>
      <c r="AH682" s="339"/>
      <c r="AI682" s="339"/>
      <c r="AJ682" s="339"/>
      <c r="AK682" s="339"/>
      <c r="AL682" s="339"/>
      <c r="AM682" s="339"/>
      <c r="AN682" s="339"/>
      <c r="AO682" s="339"/>
      <c r="AP682" s="339"/>
      <c r="AQ682" s="339"/>
      <c r="AR682" s="339"/>
      <c r="AS682" s="339"/>
      <c r="AT682" s="339"/>
      <c r="AU682" s="339"/>
      <c r="AV682" s="339"/>
      <c r="AW682" s="339"/>
      <c r="AX682" s="339"/>
      <c r="AY682" s="339"/>
      <c r="AZ682" s="339"/>
      <c r="BA682" s="339"/>
      <c r="BB682" s="339"/>
      <c r="BC682" s="339"/>
      <c r="BD682" s="339"/>
    </row>
    <row r="683" spans="3:56">
      <c r="C683" s="339"/>
      <c r="D683" s="339"/>
      <c r="E683" s="339"/>
      <c r="F683" s="339"/>
      <c r="G683" s="339"/>
      <c r="H683" s="339"/>
      <c r="I683" s="339"/>
      <c r="J683" s="339"/>
      <c r="K683" s="339"/>
      <c r="L683" s="339"/>
      <c r="M683" s="339"/>
      <c r="N683" s="339"/>
      <c r="O683" s="339"/>
      <c r="P683" s="339"/>
      <c r="Q683" s="339"/>
      <c r="R683" s="339"/>
      <c r="S683" s="339"/>
      <c r="T683" s="339"/>
      <c r="U683" s="339"/>
      <c r="V683" s="339"/>
      <c r="W683" s="339"/>
      <c r="X683" s="339"/>
      <c r="Y683" s="339"/>
      <c r="Z683" s="339"/>
      <c r="AA683" s="339"/>
      <c r="AB683" s="339"/>
      <c r="AC683" s="339"/>
      <c r="AD683" s="339"/>
      <c r="AE683" s="339"/>
      <c r="AF683" s="339"/>
      <c r="AG683" s="339"/>
      <c r="AH683" s="339"/>
      <c r="AI683" s="339"/>
      <c r="AJ683" s="339"/>
      <c r="AK683" s="339"/>
      <c r="AL683" s="339"/>
      <c r="AM683" s="339"/>
      <c r="AN683" s="339"/>
      <c r="AO683" s="339"/>
      <c r="AP683" s="339"/>
      <c r="AQ683" s="339"/>
      <c r="AR683" s="339"/>
      <c r="AS683" s="339"/>
      <c r="AT683" s="339"/>
      <c r="AU683" s="339"/>
      <c r="AV683" s="339"/>
      <c r="AW683" s="339"/>
      <c r="AX683" s="339"/>
      <c r="AY683" s="339"/>
      <c r="AZ683" s="339"/>
      <c r="BA683" s="339"/>
      <c r="BB683" s="339"/>
      <c r="BC683" s="339"/>
      <c r="BD683" s="339"/>
    </row>
    <row r="684" spans="3:56">
      <c r="C684" s="339"/>
      <c r="D684" s="339"/>
      <c r="E684" s="339"/>
      <c r="F684" s="339"/>
      <c r="G684" s="339"/>
      <c r="H684" s="339"/>
      <c r="I684" s="339"/>
      <c r="J684" s="339"/>
      <c r="K684" s="339"/>
      <c r="L684" s="339"/>
      <c r="M684" s="339"/>
      <c r="N684" s="339"/>
      <c r="O684" s="339"/>
      <c r="P684" s="339"/>
      <c r="Q684" s="339"/>
      <c r="R684" s="339"/>
      <c r="S684" s="339"/>
      <c r="T684" s="339"/>
      <c r="U684" s="339"/>
      <c r="V684" s="339"/>
      <c r="W684" s="339"/>
      <c r="X684" s="339"/>
      <c r="Y684" s="339"/>
      <c r="Z684" s="339"/>
      <c r="AA684" s="339"/>
      <c r="AB684" s="339"/>
      <c r="AC684" s="339"/>
      <c r="AD684" s="339"/>
      <c r="AE684" s="339"/>
      <c r="AF684" s="339"/>
      <c r="AG684" s="339"/>
      <c r="AH684" s="339"/>
      <c r="AI684" s="339"/>
      <c r="AJ684" s="339"/>
      <c r="AK684" s="339"/>
      <c r="AL684" s="339"/>
      <c r="AM684" s="339"/>
      <c r="AN684" s="339"/>
      <c r="AO684" s="339"/>
      <c r="AP684" s="339"/>
      <c r="AQ684" s="339"/>
      <c r="AR684" s="339"/>
      <c r="AS684" s="339"/>
      <c r="AT684" s="339"/>
      <c r="AU684" s="339"/>
      <c r="AV684" s="339"/>
      <c r="AW684" s="339"/>
      <c r="AX684" s="339"/>
      <c r="AY684" s="339"/>
      <c r="AZ684" s="339"/>
      <c r="BA684" s="339"/>
      <c r="BB684" s="339"/>
      <c r="BC684" s="339"/>
      <c r="BD684" s="339"/>
    </row>
    <row r="685" spans="3:56">
      <c r="C685" s="339"/>
      <c r="D685" s="339"/>
      <c r="E685" s="339"/>
      <c r="F685" s="339"/>
      <c r="G685" s="339"/>
      <c r="H685" s="339"/>
      <c r="I685" s="339"/>
      <c r="J685" s="339"/>
      <c r="K685" s="339"/>
      <c r="L685" s="339"/>
      <c r="M685" s="339"/>
      <c r="N685" s="339"/>
      <c r="O685" s="339"/>
      <c r="P685" s="339"/>
      <c r="Q685" s="339"/>
      <c r="R685" s="339"/>
      <c r="S685" s="339"/>
      <c r="T685" s="339"/>
      <c r="U685" s="339"/>
      <c r="V685" s="339"/>
      <c r="W685" s="339"/>
      <c r="X685" s="339"/>
      <c r="Y685" s="339"/>
      <c r="Z685" s="339"/>
      <c r="AA685" s="339"/>
      <c r="AB685" s="339"/>
      <c r="AC685" s="339"/>
      <c r="AD685" s="339"/>
      <c r="AE685" s="339"/>
      <c r="AF685" s="339"/>
      <c r="AG685" s="339"/>
      <c r="AH685" s="339"/>
      <c r="AI685" s="339"/>
      <c r="AJ685" s="339"/>
      <c r="AK685" s="339"/>
      <c r="AL685" s="339"/>
      <c r="AM685" s="339"/>
      <c r="AN685" s="339"/>
      <c r="AO685" s="339"/>
      <c r="AP685" s="339"/>
      <c r="AQ685" s="339"/>
      <c r="AR685" s="339"/>
      <c r="AS685" s="339"/>
      <c r="AT685" s="339"/>
      <c r="AU685" s="339"/>
      <c r="AV685" s="339"/>
      <c r="AW685" s="339"/>
      <c r="AX685" s="339"/>
      <c r="AY685" s="339"/>
      <c r="AZ685" s="339"/>
      <c r="BA685" s="339"/>
      <c r="BB685" s="339"/>
      <c r="BC685" s="339"/>
      <c r="BD685" s="339"/>
    </row>
    <row r="686" spans="3:56">
      <c r="C686" s="339"/>
      <c r="D686" s="339"/>
      <c r="E686" s="339"/>
      <c r="F686" s="339"/>
      <c r="G686" s="339"/>
      <c r="H686" s="339"/>
      <c r="I686" s="339"/>
      <c r="J686" s="339"/>
      <c r="K686" s="339"/>
      <c r="L686" s="339"/>
      <c r="M686" s="339"/>
      <c r="N686" s="339"/>
      <c r="O686" s="339"/>
      <c r="P686" s="339"/>
      <c r="Q686" s="339"/>
      <c r="R686" s="339"/>
      <c r="S686" s="339"/>
      <c r="T686" s="339"/>
      <c r="U686" s="339"/>
      <c r="V686" s="339"/>
      <c r="W686" s="339"/>
      <c r="X686" s="339"/>
      <c r="Y686" s="339"/>
      <c r="Z686" s="339"/>
      <c r="AA686" s="339"/>
      <c r="AB686" s="339"/>
      <c r="AC686" s="339"/>
      <c r="AD686" s="339"/>
      <c r="AE686" s="339"/>
      <c r="AF686" s="339"/>
      <c r="AG686" s="339"/>
      <c r="AH686" s="339"/>
      <c r="AI686" s="339"/>
      <c r="AJ686" s="339"/>
      <c r="AK686" s="339"/>
      <c r="AL686" s="339"/>
      <c r="AM686" s="339"/>
      <c r="AN686" s="339"/>
      <c r="AO686" s="339"/>
      <c r="AP686" s="339"/>
      <c r="AQ686" s="339"/>
      <c r="AR686" s="339"/>
      <c r="AS686" s="339"/>
      <c r="AT686" s="339"/>
      <c r="AU686" s="339"/>
      <c r="AV686" s="339"/>
      <c r="AW686" s="339"/>
      <c r="AX686" s="339"/>
      <c r="AY686" s="339"/>
      <c r="AZ686" s="339"/>
      <c r="BA686" s="339"/>
      <c r="BB686" s="339"/>
      <c r="BC686" s="339"/>
      <c r="BD686" s="339"/>
    </row>
    <row r="687" spans="3:56">
      <c r="C687" s="339"/>
      <c r="D687" s="339"/>
      <c r="E687" s="339"/>
      <c r="F687" s="339"/>
      <c r="G687" s="339"/>
      <c r="H687" s="339"/>
      <c r="I687" s="339"/>
      <c r="J687" s="339"/>
      <c r="K687" s="339"/>
      <c r="L687" s="339"/>
      <c r="M687" s="339"/>
      <c r="N687" s="339"/>
      <c r="O687" s="339"/>
      <c r="P687" s="339"/>
      <c r="Q687" s="339"/>
      <c r="R687" s="339"/>
      <c r="S687" s="339"/>
      <c r="T687" s="339"/>
      <c r="U687" s="339"/>
      <c r="V687" s="339"/>
      <c r="W687" s="339"/>
      <c r="X687" s="339"/>
      <c r="Y687" s="339"/>
      <c r="Z687" s="339"/>
      <c r="AA687" s="339"/>
      <c r="AB687" s="339"/>
      <c r="AC687" s="339"/>
      <c r="AD687" s="339"/>
      <c r="AE687" s="339"/>
      <c r="AF687" s="339"/>
      <c r="AG687" s="339"/>
      <c r="AH687" s="339"/>
      <c r="AI687" s="339"/>
      <c r="AJ687" s="339"/>
      <c r="AK687" s="339"/>
      <c r="AL687" s="339"/>
      <c r="AM687" s="339"/>
      <c r="AN687" s="339"/>
      <c r="AO687" s="339"/>
      <c r="AP687" s="339"/>
      <c r="AQ687" s="339"/>
      <c r="AR687" s="339"/>
      <c r="AS687" s="339"/>
      <c r="AT687" s="339"/>
      <c r="AU687" s="339"/>
      <c r="AV687" s="339"/>
      <c r="AW687" s="339"/>
      <c r="AX687" s="339"/>
      <c r="AY687" s="339"/>
      <c r="AZ687" s="339"/>
      <c r="BA687" s="339"/>
      <c r="BB687" s="339"/>
      <c r="BC687" s="339"/>
      <c r="BD687" s="339"/>
    </row>
    <row r="688" spans="3:56">
      <c r="C688" s="339"/>
      <c r="D688" s="339"/>
      <c r="E688" s="339"/>
      <c r="F688" s="339"/>
      <c r="G688" s="339"/>
      <c r="H688" s="339"/>
      <c r="I688" s="339"/>
      <c r="J688" s="339"/>
      <c r="K688" s="339"/>
      <c r="L688" s="339"/>
      <c r="M688" s="339"/>
      <c r="N688" s="339"/>
      <c r="O688" s="339"/>
      <c r="P688" s="339"/>
      <c r="Q688" s="339"/>
      <c r="R688" s="339"/>
      <c r="S688" s="339"/>
      <c r="T688" s="339"/>
      <c r="U688" s="339"/>
      <c r="V688" s="339"/>
      <c r="W688" s="339"/>
      <c r="X688" s="339"/>
      <c r="Y688" s="339"/>
      <c r="Z688" s="339"/>
      <c r="AA688" s="339"/>
      <c r="AB688" s="339"/>
      <c r="AC688" s="339"/>
      <c r="AD688" s="339"/>
      <c r="AE688" s="339"/>
      <c r="AF688" s="339"/>
      <c r="AG688" s="339"/>
      <c r="AH688" s="339"/>
      <c r="AI688" s="339"/>
      <c r="AJ688" s="339"/>
      <c r="AK688" s="339"/>
      <c r="AL688" s="339"/>
      <c r="AM688" s="339"/>
      <c r="AN688" s="339"/>
      <c r="AO688" s="339"/>
      <c r="AP688" s="339"/>
      <c r="AQ688" s="339"/>
      <c r="AR688" s="339"/>
      <c r="AS688" s="339"/>
      <c r="AT688" s="339"/>
      <c r="AU688" s="339"/>
      <c r="AV688" s="339"/>
      <c r="AW688" s="339"/>
      <c r="AX688" s="339"/>
      <c r="AY688" s="339"/>
      <c r="AZ688" s="339"/>
      <c r="BA688" s="339"/>
      <c r="BB688" s="339"/>
      <c r="BC688" s="339"/>
      <c r="BD688" s="339"/>
    </row>
    <row r="689" spans="3:56">
      <c r="C689" s="339"/>
      <c r="D689" s="339"/>
      <c r="E689" s="339"/>
      <c r="F689" s="339"/>
      <c r="G689" s="339"/>
      <c r="H689" s="339"/>
      <c r="I689" s="339"/>
      <c r="J689" s="339"/>
      <c r="K689" s="339"/>
      <c r="L689" s="339"/>
      <c r="M689" s="339"/>
      <c r="N689" s="339"/>
      <c r="O689" s="339"/>
      <c r="P689" s="339"/>
      <c r="Q689" s="339"/>
      <c r="R689" s="339"/>
      <c r="S689" s="339"/>
      <c r="T689" s="339"/>
      <c r="U689" s="339"/>
      <c r="V689" s="339"/>
      <c r="W689" s="339"/>
      <c r="X689" s="339"/>
      <c r="Y689" s="339"/>
      <c r="Z689" s="339"/>
      <c r="AA689" s="339"/>
      <c r="AB689" s="339"/>
      <c r="AC689" s="339"/>
      <c r="AD689" s="339"/>
      <c r="AE689" s="339"/>
      <c r="AF689" s="339"/>
      <c r="AG689" s="339"/>
      <c r="AH689" s="339"/>
      <c r="AI689" s="339"/>
      <c r="AJ689" s="339"/>
      <c r="AK689" s="339"/>
      <c r="AL689" s="339"/>
      <c r="AM689" s="339"/>
      <c r="AN689" s="339"/>
      <c r="AO689" s="339"/>
      <c r="AP689" s="339"/>
      <c r="AQ689" s="339"/>
      <c r="AR689" s="339"/>
      <c r="AS689" s="339"/>
      <c r="AT689" s="339"/>
      <c r="AU689" s="339"/>
      <c r="AV689" s="339"/>
      <c r="AW689" s="339"/>
      <c r="AX689" s="339"/>
      <c r="AY689" s="339"/>
      <c r="AZ689" s="339"/>
      <c r="BA689" s="339"/>
      <c r="BB689" s="339"/>
      <c r="BC689" s="339"/>
      <c r="BD689" s="339"/>
    </row>
    <row r="690" spans="3:56">
      <c r="C690" s="339"/>
      <c r="D690" s="339"/>
      <c r="E690" s="339"/>
      <c r="F690" s="339"/>
      <c r="G690" s="339"/>
      <c r="H690" s="339"/>
      <c r="I690" s="339"/>
      <c r="J690" s="339"/>
      <c r="K690" s="339"/>
      <c r="L690" s="339"/>
      <c r="M690" s="339"/>
      <c r="N690" s="339"/>
      <c r="O690" s="339"/>
      <c r="P690" s="339"/>
      <c r="Q690" s="339"/>
      <c r="R690" s="339"/>
      <c r="S690" s="339"/>
      <c r="T690" s="339"/>
      <c r="U690" s="339"/>
      <c r="V690" s="339"/>
      <c r="W690" s="339"/>
      <c r="X690" s="339"/>
      <c r="Y690" s="339"/>
      <c r="Z690" s="339"/>
      <c r="AA690" s="339"/>
      <c r="AB690" s="339"/>
      <c r="AC690" s="339"/>
      <c r="AD690" s="339"/>
      <c r="AE690" s="339"/>
      <c r="AF690" s="339"/>
      <c r="AG690" s="339"/>
      <c r="AH690" s="339"/>
      <c r="AI690" s="339"/>
      <c r="AJ690" s="339"/>
      <c r="AK690" s="339"/>
      <c r="AL690" s="339"/>
      <c r="AM690" s="339"/>
      <c r="AN690" s="339"/>
      <c r="AO690" s="339"/>
      <c r="AP690" s="339"/>
      <c r="AQ690" s="339"/>
      <c r="AR690" s="339"/>
      <c r="AS690" s="339"/>
      <c r="AT690" s="339"/>
      <c r="AU690" s="339"/>
      <c r="AV690" s="339"/>
      <c r="AW690" s="339"/>
      <c r="AX690" s="339"/>
      <c r="AY690" s="339"/>
      <c r="AZ690" s="339"/>
      <c r="BA690" s="339"/>
      <c r="BB690" s="339"/>
      <c r="BC690" s="339"/>
      <c r="BD690" s="339"/>
    </row>
    <row r="691" spans="3:56">
      <c r="C691" s="339"/>
      <c r="D691" s="339"/>
      <c r="E691" s="339"/>
      <c r="F691" s="339"/>
      <c r="G691" s="339"/>
      <c r="H691" s="339"/>
      <c r="I691" s="339"/>
      <c r="J691" s="339"/>
      <c r="K691" s="339"/>
      <c r="L691" s="339"/>
      <c r="M691" s="339"/>
      <c r="N691" s="339"/>
      <c r="O691" s="339"/>
      <c r="P691" s="339"/>
      <c r="Q691" s="339"/>
      <c r="R691" s="339"/>
      <c r="S691" s="339"/>
      <c r="T691" s="339"/>
      <c r="U691" s="339"/>
      <c r="V691" s="339"/>
      <c r="W691" s="339"/>
      <c r="X691" s="339"/>
      <c r="Y691" s="339"/>
      <c r="Z691" s="339"/>
      <c r="AA691" s="339"/>
      <c r="AB691" s="339"/>
      <c r="AC691" s="339"/>
      <c r="AD691" s="339"/>
      <c r="AE691" s="339"/>
      <c r="AF691" s="339"/>
      <c r="AG691" s="339"/>
      <c r="AH691" s="339"/>
      <c r="AI691" s="339"/>
      <c r="AJ691" s="339"/>
      <c r="AK691" s="339"/>
      <c r="AL691" s="339"/>
      <c r="AM691" s="339"/>
      <c r="AN691" s="339"/>
      <c r="AO691" s="339"/>
      <c r="AP691" s="339"/>
      <c r="AQ691" s="339"/>
      <c r="AR691" s="339"/>
      <c r="AS691" s="339"/>
      <c r="AT691" s="339"/>
      <c r="AU691" s="339"/>
      <c r="AV691" s="339"/>
      <c r="AW691" s="339"/>
      <c r="AX691" s="339"/>
      <c r="AY691" s="339"/>
      <c r="AZ691" s="339"/>
      <c r="BA691" s="339"/>
      <c r="BB691" s="339"/>
      <c r="BC691" s="339"/>
      <c r="BD691" s="339"/>
    </row>
    <row r="692" spans="3:56">
      <c r="C692" s="339"/>
      <c r="D692" s="339"/>
      <c r="E692" s="339"/>
      <c r="F692" s="339"/>
      <c r="G692" s="339"/>
      <c r="H692" s="339"/>
      <c r="I692" s="339"/>
      <c r="J692" s="339"/>
      <c r="K692" s="339"/>
      <c r="L692" s="339"/>
      <c r="M692" s="339"/>
      <c r="N692" s="339"/>
      <c r="O692" s="339"/>
      <c r="P692" s="339"/>
      <c r="Q692" s="339"/>
      <c r="R692" s="339"/>
      <c r="S692" s="339"/>
      <c r="T692" s="339"/>
      <c r="U692" s="339"/>
      <c r="V692" s="339"/>
      <c r="W692" s="339"/>
      <c r="X692" s="339"/>
      <c r="Y692" s="339"/>
      <c r="Z692" s="339"/>
      <c r="AA692" s="339"/>
      <c r="AB692" s="339"/>
      <c r="AC692" s="339"/>
      <c r="AD692" s="339"/>
      <c r="AE692" s="339"/>
      <c r="AF692" s="339"/>
      <c r="AG692" s="339"/>
      <c r="AH692" s="339"/>
      <c r="AI692" s="339"/>
      <c r="AJ692" s="339"/>
      <c r="AK692" s="339"/>
      <c r="AL692" s="339"/>
      <c r="AM692" s="339"/>
      <c r="AN692" s="339"/>
      <c r="AO692" s="339"/>
      <c r="AP692" s="339"/>
      <c r="AQ692" s="339"/>
      <c r="AR692" s="339"/>
      <c r="AS692" s="339"/>
      <c r="AT692" s="339"/>
      <c r="AU692" s="339"/>
      <c r="AV692" s="339"/>
      <c r="AW692" s="339"/>
      <c r="AX692" s="339"/>
      <c r="AY692" s="339"/>
      <c r="AZ692" s="339"/>
      <c r="BA692" s="339"/>
      <c r="BB692" s="339"/>
      <c r="BC692" s="339"/>
      <c r="BD692" s="339"/>
    </row>
    <row r="693" spans="3:56">
      <c r="C693" s="339"/>
      <c r="D693" s="339"/>
      <c r="E693" s="339"/>
      <c r="F693" s="339"/>
      <c r="G693" s="339"/>
      <c r="H693" s="339"/>
      <c r="I693" s="339"/>
      <c r="J693" s="339"/>
      <c r="K693" s="339"/>
      <c r="L693" s="339"/>
      <c r="M693" s="339"/>
      <c r="N693" s="339"/>
      <c r="O693" s="339"/>
      <c r="P693" s="339"/>
      <c r="Q693" s="339"/>
      <c r="R693" s="339"/>
      <c r="S693" s="339"/>
      <c r="T693" s="339"/>
      <c r="U693" s="339"/>
      <c r="V693" s="339"/>
      <c r="W693" s="339"/>
      <c r="X693" s="339"/>
      <c r="Y693" s="339"/>
      <c r="Z693" s="339"/>
      <c r="AA693" s="339"/>
      <c r="AB693" s="339"/>
      <c r="AC693" s="339"/>
      <c r="AD693" s="339"/>
      <c r="AE693" s="339"/>
      <c r="AF693" s="339"/>
      <c r="AG693" s="339"/>
      <c r="AH693" s="339"/>
      <c r="AI693" s="339"/>
      <c r="AJ693" s="339"/>
      <c r="AK693" s="339"/>
      <c r="AL693" s="339"/>
      <c r="AM693" s="339"/>
      <c r="AN693" s="339"/>
      <c r="AO693" s="339"/>
      <c r="AP693" s="339"/>
      <c r="AQ693" s="339"/>
      <c r="AR693" s="339"/>
      <c r="AS693" s="339"/>
      <c r="AT693" s="339"/>
      <c r="AU693" s="339"/>
      <c r="AV693" s="339"/>
      <c r="AW693" s="339"/>
      <c r="AX693" s="339"/>
      <c r="AY693" s="339"/>
      <c r="AZ693" s="339"/>
      <c r="BA693" s="339"/>
      <c r="BB693" s="339"/>
      <c r="BC693" s="339"/>
      <c r="BD693" s="339"/>
    </row>
    <row r="694" spans="3:56">
      <c r="C694" s="339"/>
      <c r="D694" s="339"/>
      <c r="E694" s="339"/>
      <c r="F694" s="339"/>
      <c r="G694" s="339"/>
      <c r="H694" s="339"/>
      <c r="I694" s="339"/>
      <c r="J694" s="339"/>
      <c r="K694" s="339"/>
      <c r="L694" s="339"/>
      <c r="M694" s="339"/>
      <c r="N694" s="339"/>
      <c r="O694" s="339"/>
      <c r="P694" s="339"/>
      <c r="Q694" s="339"/>
      <c r="R694" s="339"/>
      <c r="S694" s="339"/>
      <c r="T694" s="339"/>
      <c r="U694" s="339"/>
      <c r="V694" s="339"/>
      <c r="W694" s="339"/>
      <c r="X694" s="339"/>
      <c r="Y694" s="339"/>
      <c r="Z694" s="339"/>
      <c r="AA694" s="339"/>
      <c r="AB694" s="339"/>
      <c r="AC694" s="339"/>
      <c r="AD694" s="339"/>
      <c r="AE694" s="339"/>
      <c r="AF694" s="339"/>
      <c r="AG694" s="339"/>
      <c r="AH694" s="339"/>
      <c r="AI694" s="339"/>
      <c r="AJ694" s="339"/>
      <c r="AK694" s="339"/>
      <c r="AL694" s="339"/>
      <c r="AM694" s="339"/>
      <c r="AN694" s="339"/>
      <c r="AO694" s="339"/>
      <c r="AP694" s="339"/>
      <c r="AQ694" s="339"/>
      <c r="AR694" s="339"/>
      <c r="AS694" s="339"/>
      <c r="AT694" s="339"/>
      <c r="AU694" s="339"/>
      <c r="AV694" s="339"/>
      <c r="AW694" s="339"/>
      <c r="AX694" s="339"/>
      <c r="AY694" s="339"/>
      <c r="AZ694" s="339"/>
      <c r="BA694" s="339"/>
      <c r="BB694" s="339"/>
      <c r="BC694" s="339"/>
      <c r="BD694" s="339"/>
    </row>
    <row r="695" spans="3:56">
      <c r="C695" s="339"/>
      <c r="D695" s="339"/>
      <c r="E695" s="339"/>
      <c r="F695" s="339"/>
      <c r="G695" s="339"/>
      <c r="H695" s="339"/>
      <c r="I695" s="339"/>
      <c r="J695" s="339"/>
      <c r="K695" s="339"/>
      <c r="L695" s="339"/>
      <c r="M695" s="339"/>
      <c r="N695" s="339"/>
      <c r="O695" s="339"/>
      <c r="P695" s="339"/>
      <c r="Q695" s="339"/>
      <c r="R695" s="339"/>
      <c r="S695" s="339"/>
      <c r="T695" s="339"/>
      <c r="U695" s="339"/>
      <c r="V695" s="339"/>
      <c r="W695" s="339"/>
      <c r="X695" s="339"/>
      <c r="Y695" s="339"/>
      <c r="Z695" s="339"/>
      <c r="AA695" s="339"/>
      <c r="AB695" s="339"/>
      <c r="AC695" s="339"/>
      <c r="AD695" s="339"/>
      <c r="AE695" s="339"/>
      <c r="AF695" s="339"/>
      <c r="AG695" s="339"/>
      <c r="AH695" s="339"/>
      <c r="AI695" s="339"/>
      <c r="AJ695" s="339"/>
      <c r="AK695" s="339"/>
      <c r="AL695" s="339"/>
      <c r="AM695" s="339"/>
      <c r="AN695" s="339"/>
      <c r="AO695" s="339"/>
      <c r="AP695" s="339"/>
      <c r="AQ695" s="339"/>
      <c r="AR695" s="339"/>
      <c r="AS695" s="339"/>
      <c r="AT695" s="339"/>
      <c r="AU695" s="339"/>
      <c r="AV695" s="339"/>
      <c r="AW695" s="339"/>
      <c r="AX695" s="339"/>
      <c r="AY695" s="339"/>
      <c r="AZ695" s="339"/>
      <c r="BA695" s="339"/>
      <c r="BB695" s="339"/>
      <c r="BC695" s="339"/>
      <c r="BD695" s="339"/>
    </row>
    <row r="696" spans="3:56">
      <c r="C696" s="339"/>
      <c r="D696" s="339"/>
      <c r="E696" s="339"/>
      <c r="F696" s="339"/>
      <c r="G696" s="339"/>
      <c r="H696" s="339"/>
      <c r="I696" s="339"/>
      <c r="J696" s="339"/>
      <c r="K696" s="339"/>
      <c r="L696" s="339"/>
      <c r="M696" s="339"/>
      <c r="N696" s="339"/>
      <c r="O696" s="339"/>
      <c r="P696" s="339"/>
      <c r="Q696" s="339"/>
      <c r="R696" s="339"/>
      <c r="S696" s="339"/>
      <c r="T696" s="339"/>
      <c r="U696" s="339"/>
      <c r="V696" s="339"/>
      <c r="W696" s="339"/>
      <c r="X696" s="339"/>
      <c r="Y696" s="339"/>
      <c r="Z696" s="339"/>
      <c r="AA696" s="339"/>
      <c r="AB696" s="339"/>
      <c r="AC696" s="339"/>
      <c r="AD696" s="339"/>
      <c r="AE696" s="339"/>
      <c r="AF696" s="339"/>
      <c r="AG696" s="339"/>
      <c r="AH696" s="339"/>
      <c r="AI696" s="339"/>
      <c r="AJ696" s="339"/>
      <c r="AK696" s="339"/>
      <c r="AL696" s="339"/>
      <c r="AM696" s="339"/>
      <c r="AN696" s="339"/>
      <c r="AO696" s="339"/>
      <c r="AP696" s="339"/>
      <c r="AQ696" s="339"/>
      <c r="AR696" s="339"/>
      <c r="AS696" s="339"/>
      <c r="AT696" s="339"/>
      <c r="AU696" s="339"/>
      <c r="AV696" s="339"/>
      <c r="AW696" s="339"/>
      <c r="AX696" s="339"/>
      <c r="AY696" s="339"/>
      <c r="AZ696" s="339"/>
      <c r="BA696" s="339"/>
      <c r="BB696" s="339"/>
      <c r="BC696" s="339"/>
      <c r="BD696" s="339"/>
    </row>
    <row r="697" spans="3:56">
      <c r="C697" s="339"/>
      <c r="D697" s="339"/>
      <c r="E697" s="339"/>
      <c r="F697" s="339"/>
      <c r="G697" s="339"/>
      <c r="H697" s="339"/>
      <c r="I697" s="339"/>
      <c r="J697" s="339"/>
      <c r="K697" s="339"/>
      <c r="L697" s="339"/>
      <c r="M697" s="339"/>
      <c r="N697" s="339"/>
      <c r="O697" s="339"/>
      <c r="P697" s="339"/>
      <c r="Q697" s="339"/>
      <c r="R697" s="339"/>
      <c r="S697" s="339"/>
      <c r="T697" s="339"/>
      <c r="U697" s="339"/>
      <c r="V697" s="339"/>
      <c r="W697" s="339"/>
      <c r="X697" s="339"/>
      <c r="Y697" s="339"/>
      <c r="Z697" s="339"/>
      <c r="AA697" s="339"/>
      <c r="AB697" s="339"/>
      <c r="AC697" s="339"/>
      <c r="AD697" s="339"/>
      <c r="AE697" s="339"/>
      <c r="AF697" s="339"/>
      <c r="AG697" s="339"/>
      <c r="AH697" s="339"/>
      <c r="AI697" s="339"/>
      <c r="AJ697" s="339"/>
      <c r="AK697" s="339"/>
      <c r="AL697" s="339"/>
      <c r="AM697" s="339"/>
      <c r="AN697" s="339"/>
      <c r="AO697" s="339"/>
      <c r="AP697" s="339"/>
      <c r="AQ697" s="339"/>
      <c r="AR697" s="339"/>
      <c r="AS697" s="339"/>
      <c r="AT697" s="339"/>
      <c r="AU697" s="339"/>
      <c r="AV697" s="339"/>
      <c r="AW697" s="339"/>
      <c r="AX697" s="339"/>
      <c r="AY697" s="339"/>
      <c r="AZ697" s="339"/>
      <c r="BA697" s="339"/>
      <c r="BB697" s="339"/>
      <c r="BC697" s="339"/>
      <c r="BD697" s="339"/>
    </row>
    <row r="698" spans="3:56">
      <c r="C698" s="339"/>
      <c r="D698" s="339"/>
      <c r="E698" s="339"/>
      <c r="F698" s="339"/>
      <c r="G698" s="339"/>
      <c r="H698" s="339"/>
      <c r="I698" s="339"/>
      <c r="J698" s="339"/>
      <c r="K698" s="339"/>
      <c r="L698" s="339"/>
      <c r="M698" s="339"/>
      <c r="N698" s="339"/>
      <c r="O698" s="339"/>
      <c r="P698" s="339"/>
      <c r="Q698" s="339"/>
      <c r="R698" s="339"/>
      <c r="S698" s="339"/>
      <c r="T698" s="339"/>
      <c r="U698" s="339"/>
      <c r="V698" s="339"/>
      <c r="W698" s="339"/>
      <c r="X698" s="339"/>
      <c r="Y698" s="339"/>
      <c r="Z698" s="339"/>
      <c r="AA698" s="339"/>
      <c r="AB698" s="339"/>
      <c r="AC698" s="339"/>
      <c r="AD698" s="339"/>
      <c r="AE698" s="339"/>
      <c r="AF698" s="339"/>
      <c r="AG698" s="339"/>
      <c r="AH698" s="339"/>
      <c r="AI698" s="339"/>
      <c r="AJ698" s="339"/>
      <c r="AK698" s="339"/>
      <c r="AL698" s="339"/>
      <c r="AM698" s="339"/>
      <c r="AN698" s="339"/>
      <c r="AO698" s="339"/>
      <c r="AP698" s="339"/>
      <c r="AQ698" s="339"/>
      <c r="AR698" s="339"/>
      <c r="AS698" s="339"/>
      <c r="AT698" s="339"/>
      <c r="AU698" s="339"/>
      <c r="AV698" s="339"/>
      <c r="AW698" s="339"/>
      <c r="AX698" s="339"/>
      <c r="AY698" s="339"/>
      <c r="AZ698" s="339"/>
      <c r="BA698" s="339"/>
      <c r="BB698" s="339"/>
      <c r="BC698" s="339"/>
      <c r="BD698" s="339"/>
    </row>
    <row r="699" spans="3:56">
      <c r="C699" s="339"/>
      <c r="D699" s="339"/>
      <c r="E699" s="339"/>
      <c r="F699" s="339"/>
      <c r="G699" s="339"/>
      <c r="H699" s="339"/>
      <c r="I699" s="339"/>
      <c r="J699" s="339"/>
      <c r="K699" s="339"/>
      <c r="L699" s="339"/>
      <c r="M699" s="339"/>
      <c r="N699" s="339"/>
      <c r="O699" s="339"/>
      <c r="P699" s="339"/>
      <c r="Q699" s="339"/>
      <c r="R699" s="339"/>
      <c r="S699" s="339"/>
      <c r="T699" s="339"/>
      <c r="U699" s="339"/>
      <c r="V699" s="339"/>
      <c r="W699" s="339"/>
      <c r="X699" s="339"/>
      <c r="Y699" s="339"/>
      <c r="Z699" s="339"/>
      <c r="AA699" s="339"/>
      <c r="AB699" s="339"/>
      <c r="AC699" s="339"/>
      <c r="AD699" s="339"/>
      <c r="AE699" s="339"/>
      <c r="AF699" s="339"/>
      <c r="AG699" s="339"/>
      <c r="AH699" s="339"/>
      <c r="AI699" s="339"/>
      <c r="AJ699" s="339"/>
      <c r="AK699" s="339"/>
      <c r="AL699" s="339"/>
      <c r="AM699" s="339"/>
      <c r="AN699" s="339"/>
      <c r="AO699" s="339"/>
      <c r="AP699" s="339"/>
      <c r="AQ699" s="339"/>
      <c r="AR699" s="339"/>
      <c r="AS699" s="339"/>
      <c r="AT699" s="339"/>
      <c r="AU699" s="339"/>
      <c r="AV699" s="339"/>
      <c r="AW699" s="339"/>
      <c r="AX699" s="339"/>
      <c r="AY699" s="339"/>
      <c r="AZ699" s="339"/>
      <c r="BA699" s="339"/>
      <c r="BB699" s="339"/>
      <c r="BC699" s="339"/>
      <c r="BD699" s="339"/>
    </row>
    <row r="700" spans="3:56">
      <c r="C700" s="339"/>
      <c r="D700" s="339"/>
      <c r="E700" s="339"/>
      <c r="F700" s="339"/>
      <c r="G700" s="339"/>
      <c r="H700" s="339"/>
      <c r="I700" s="339"/>
      <c r="J700" s="339"/>
      <c r="K700" s="339"/>
      <c r="L700" s="339"/>
      <c r="M700" s="339"/>
      <c r="N700" s="339"/>
      <c r="O700" s="339"/>
      <c r="P700" s="339"/>
      <c r="Q700" s="339"/>
      <c r="R700" s="339"/>
      <c r="S700" s="339"/>
      <c r="T700" s="339"/>
      <c r="U700" s="339"/>
      <c r="V700" s="339"/>
      <c r="W700" s="339"/>
      <c r="X700" s="339"/>
      <c r="Y700" s="339"/>
      <c r="Z700" s="339"/>
      <c r="AA700" s="339"/>
      <c r="AB700" s="339"/>
      <c r="AC700" s="339"/>
      <c r="AD700" s="339"/>
      <c r="AE700" s="339"/>
      <c r="AF700" s="339"/>
      <c r="AG700" s="339"/>
      <c r="AH700" s="339"/>
      <c r="AI700" s="339"/>
      <c r="AJ700" s="339"/>
      <c r="AK700" s="339"/>
      <c r="AL700" s="339"/>
      <c r="AM700" s="339"/>
      <c r="AN700" s="339"/>
      <c r="AO700" s="339"/>
      <c r="AP700" s="339"/>
      <c r="AQ700" s="339"/>
      <c r="AR700" s="339"/>
      <c r="AS700" s="339"/>
      <c r="AT700" s="339"/>
      <c r="AU700" s="339"/>
      <c r="AV700" s="339"/>
      <c r="AW700" s="339"/>
      <c r="AX700" s="339"/>
      <c r="AY700" s="339"/>
      <c r="AZ700" s="339"/>
      <c r="BA700" s="339"/>
      <c r="BB700" s="339"/>
      <c r="BC700" s="339"/>
      <c r="BD700" s="339"/>
    </row>
    <row r="701" spans="3:56">
      <c r="C701" s="339"/>
      <c r="D701" s="339"/>
      <c r="E701" s="339"/>
      <c r="F701" s="339"/>
      <c r="G701" s="339"/>
      <c r="H701" s="339"/>
      <c r="I701" s="339"/>
      <c r="J701" s="339"/>
      <c r="K701" s="339"/>
      <c r="L701" s="339"/>
      <c r="M701" s="339"/>
      <c r="N701" s="339"/>
      <c r="O701" s="339"/>
      <c r="P701" s="339"/>
      <c r="Q701" s="339"/>
      <c r="R701" s="339"/>
      <c r="S701" s="339"/>
      <c r="T701" s="339"/>
      <c r="U701" s="339"/>
      <c r="V701" s="339"/>
      <c r="W701" s="339"/>
      <c r="X701" s="339"/>
      <c r="Y701" s="339"/>
      <c r="Z701" s="339"/>
      <c r="AA701" s="339"/>
      <c r="AB701" s="339"/>
      <c r="AC701" s="339"/>
      <c r="AD701" s="339"/>
      <c r="AE701" s="339"/>
      <c r="AF701" s="339"/>
      <c r="AG701" s="339"/>
      <c r="AH701" s="339"/>
      <c r="AI701" s="339"/>
      <c r="AJ701" s="339"/>
      <c r="AK701" s="339"/>
      <c r="AL701" s="339"/>
      <c r="AM701" s="339"/>
      <c r="AN701" s="339"/>
      <c r="AO701" s="339"/>
      <c r="AP701" s="339"/>
      <c r="AQ701" s="339"/>
      <c r="AR701" s="339"/>
      <c r="AS701" s="339"/>
      <c r="AT701" s="339"/>
      <c r="AU701" s="339"/>
      <c r="AV701" s="339"/>
      <c r="AW701" s="339"/>
      <c r="AX701" s="339"/>
      <c r="AY701" s="339"/>
      <c r="AZ701" s="339"/>
      <c r="BA701" s="339"/>
      <c r="BB701" s="339"/>
      <c r="BC701" s="339"/>
      <c r="BD701" s="339"/>
    </row>
    <row r="702" spans="3:56">
      <c r="C702" s="339"/>
      <c r="D702" s="339"/>
      <c r="E702" s="339"/>
      <c r="F702" s="339"/>
      <c r="G702" s="339"/>
      <c r="H702" s="339"/>
      <c r="I702" s="339"/>
      <c r="J702" s="339"/>
      <c r="K702" s="339"/>
      <c r="L702" s="339"/>
      <c r="M702" s="339"/>
      <c r="N702" s="339"/>
      <c r="O702" s="339"/>
      <c r="P702" s="339"/>
      <c r="Q702" s="339"/>
      <c r="R702" s="339"/>
      <c r="S702" s="339"/>
      <c r="T702" s="339"/>
      <c r="U702" s="339"/>
      <c r="V702" s="339"/>
      <c r="W702" s="339"/>
      <c r="X702" s="339"/>
      <c r="Y702" s="339"/>
      <c r="Z702" s="339"/>
      <c r="AA702" s="339"/>
      <c r="AB702" s="339"/>
      <c r="AC702" s="339"/>
      <c r="AD702" s="339"/>
      <c r="AE702" s="339"/>
      <c r="AF702" s="339"/>
      <c r="AG702" s="339"/>
      <c r="AH702" s="339"/>
      <c r="AI702" s="339"/>
      <c r="AJ702" s="339"/>
      <c r="AK702" s="339"/>
      <c r="AL702" s="339"/>
      <c r="AM702" s="339"/>
      <c r="AN702" s="339"/>
      <c r="AO702" s="339"/>
      <c r="AP702" s="339"/>
      <c r="AQ702" s="339"/>
      <c r="AR702" s="339"/>
      <c r="AS702" s="339"/>
      <c r="AT702" s="339"/>
      <c r="AU702" s="339"/>
      <c r="AV702" s="339"/>
      <c r="AW702" s="339"/>
      <c r="AX702" s="339"/>
      <c r="AY702" s="339"/>
      <c r="AZ702" s="339"/>
      <c r="BA702" s="339"/>
      <c r="BB702" s="339"/>
      <c r="BC702" s="339"/>
      <c r="BD702" s="339"/>
    </row>
    <row r="703" spans="3:56">
      <c r="C703" s="339"/>
      <c r="D703" s="339"/>
      <c r="E703" s="339"/>
      <c r="F703" s="339"/>
      <c r="G703" s="339"/>
      <c r="H703" s="339"/>
      <c r="I703" s="339"/>
      <c r="J703" s="339"/>
      <c r="K703" s="339"/>
      <c r="L703" s="339"/>
      <c r="M703" s="339"/>
      <c r="N703" s="339"/>
      <c r="O703" s="339"/>
      <c r="P703" s="339"/>
      <c r="Q703" s="339"/>
      <c r="R703" s="339"/>
      <c r="S703" s="339"/>
      <c r="T703" s="339"/>
      <c r="U703" s="339"/>
      <c r="V703" s="339"/>
      <c r="W703" s="339"/>
      <c r="X703" s="339"/>
      <c r="Y703" s="339"/>
      <c r="Z703" s="339"/>
      <c r="AA703" s="339"/>
      <c r="AB703" s="339"/>
      <c r="AC703" s="339"/>
      <c r="AD703" s="339"/>
      <c r="AE703" s="339"/>
      <c r="AF703" s="339"/>
      <c r="AG703" s="339"/>
      <c r="AH703" s="339"/>
      <c r="AI703" s="339"/>
      <c r="AJ703" s="339"/>
      <c r="AK703" s="339"/>
      <c r="AL703" s="339"/>
      <c r="AM703" s="339"/>
      <c r="AN703" s="339"/>
      <c r="AO703" s="339"/>
      <c r="AP703" s="339"/>
      <c r="AQ703" s="339"/>
      <c r="AR703" s="339"/>
      <c r="AS703" s="339"/>
      <c r="AT703" s="339"/>
      <c r="AU703" s="339"/>
      <c r="AV703" s="339"/>
      <c r="AW703" s="339"/>
      <c r="AX703" s="339"/>
      <c r="AY703" s="339"/>
      <c r="AZ703" s="339"/>
      <c r="BA703" s="339"/>
      <c r="BB703" s="339"/>
      <c r="BC703" s="339"/>
      <c r="BD703" s="339"/>
    </row>
    <row r="704" spans="3:56">
      <c r="C704" s="339"/>
      <c r="D704" s="339"/>
      <c r="E704" s="339"/>
      <c r="F704" s="339"/>
      <c r="G704" s="339"/>
      <c r="H704" s="339"/>
      <c r="I704" s="339"/>
      <c r="J704" s="339"/>
      <c r="K704" s="339"/>
      <c r="L704" s="339"/>
      <c r="M704" s="339"/>
      <c r="N704" s="339"/>
      <c r="O704" s="339"/>
      <c r="P704" s="339"/>
      <c r="Q704" s="339"/>
      <c r="R704" s="339"/>
      <c r="S704" s="339"/>
      <c r="T704" s="339"/>
      <c r="U704" s="339"/>
      <c r="V704" s="339"/>
      <c r="W704" s="339"/>
      <c r="X704" s="339"/>
      <c r="Y704" s="339"/>
      <c r="Z704" s="339"/>
      <c r="AA704" s="339"/>
      <c r="AB704" s="339"/>
      <c r="AC704" s="339"/>
      <c r="AD704" s="339"/>
      <c r="AE704" s="339"/>
      <c r="AF704" s="339"/>
      <c r="AG704" s="339"/>
      <c r="AH704" s="339"/>
      <c r="AI704" s="339"/>
      <c r="AJ704" s="339"/>
      <c r="AK704" s="339"/>
      <c r="AL704" s="339"/>
      <c r="AM704" s="339"/>
      <c r="AN704" s="339"/>
      <c r="AO704" s="339"/>
      <c r="AP704" s="339"/>
      <c r="AQ704" s="339"/>
      <c r="AR704" s="339"/>
      <c r="AS704" s="339"/>
      <c r="AT704" s="339"/>
      <c r="AU704" s="339"/>
      <c r="AV704" s="339"/>
      <c r="AW704" s="339"/>
      <c r="AX704" s="339"/>
      <c r="AY704" s="339"/>
      <c r="AZ704" s="339"/>
      <c r="BA704" s="339"/>
      <c r="BB704" s="339"/>
      <c r="BC704" s="339"/>
      <c r="BD704" s="339"/>
    </row>
    <row r="705" spans="3:56">
      <c r="C705" s="339"/>
      <c r="D705" s="339"/>
      <c r="E705" s="339"/>
      <c r="F705" s="339"/>
      <c r="G705" s="339"/>
      <c r="H705" s="339"/>
      <c r="I705" s="339"/>
      <c r="J705" s="339"/>
      <c r="K705" s="339"/>
      <c r="L705" s="339"/>
      <c r="M705" s="339"/>
      <c r="N705" s="339"/>
      <c r="O705" s="339"/>
      <c r="P705" s="339"/>
      <c r="Q705" s="339"/>
      <c r="R705" s="339"/>
      <c r="S705" s="339"/>
      <c r="T705" s="339"/>
      <c r="U705" s="339"/>
      <c r="V705" s="339"/>
      <c r="W705" s="339"/>
      <c r="X705" s="339"/>
      <c r="Y705" s="339"/>
      <c r="Z705" s="339"/>
      <c r="AA705" s="339"/>
      <c r="AB705" s="339"/>
      <c r="AC705" s="339"/>
      <c r="AD705" s="339"/>
      <c r="AE705" s="339"/>
      <c r="AF705" s="339"/>
      <c r="AG705" s="339"/>
      <c r="AH705" s="339"/>
      <c r="AI705" s="339"/>
      <c r="AJ705" s="339"/>
      <c r="AK705" s="339"/>
      <c r="AL705" s="339"/>
      <c r="AM705" s="339"/>
      <c r="AN705" s="339"/>
      <c r="AO705" s="339"/>
      <c r="AP705" s="339"/>
      <c r="AQ705" s="339"/>
      <c r="AR705" s="339"/>
      <c r="AS705" s="339"/>
      <c r="AT705" s="339"/>
      <c r="AU705" s="339"/>
      <c r="AV705" s="339"/>
      <c r="AW705" s="339"/>
      <c r="AX705" s="339"/>
      <c r="AY705" s="339"/>
      <c r="AZ705" s="339"/>
      <c r="BA705" s="339"/>
      <c r="BB705" s="339"/>
      <c r="BC705" s="339"/>
      <c r="BD705" s="339"/>
    </row>
    <row r="706" spans="3:56">
      <c r="C706" s="339"/>
      <c r="D706" s="339"/>
      <c r="E706" s="339"/>
      <c r="F706" s="339"/>
      <c r="G706" s="339"/>
      <c r="H706" s="339"/>
      <c r="I706" s="339"/>
      <c r="J706" s="339"/>
      <c r="K706" s="339"/>
      <c r="L706" s="339"/>
      <c r="M706" s="339"/>
      <c r="N706" s="339"/>
      <c r="O706" s="339"/>
      <c r="P706" s="339"/>
      <c r="Q706" s="339"/>
      <c r="R706" s="339"/>
      <c r="S706" s="339"/>
      <c r="T706" s="339"/>
      <c r="U706" s="339"/>
      <c r="V706" s="339"/>
      <c r="W706" s="339"/>
      <c r="X706" s="339"/>
      <c r="Y706" s="339"/>
      <c r="Z706" s="339"/>
      <c r="AA706" s="339"/>
      <c r="AB706" s="339"/>
      <c r="AC706" s="339"/>
      <c r="AD706" s="339"/>
      <c r="AE706" s="339"/>
      <c r="AF706" s="339"/>
      <c r="AG706" s="339"/>
      <c r="AH706" s="339"/>
      <c r="AI706" s="339"/>
      <c r="AJ706" s="339"/>
      <c r="AK706" s="339"/>
      <c r="AL706" s="339"/>
      <c r="AM706" s="339"/>
      <c r="AN706" s="339"/>
      <c r="AO706" s="339"/>
      <c r="AP706" s="339"/>
      <c r="AQ706" s="339"/>
      <c r="AR706" s="339"/>
      <c r="AS706" s="339"/>
      <c r="AT706" s="339"/>
      <c r="AU706" s="339"/>
      <c r="AV706" s="339"/>
      <c r="AW706" s="339"/>
      <c r="AX706" s="339"/>
      <c r="AY706" s="339"/>
      <c r="AZ706" s="339"/>
      <c r="BA706" s="339"/>
      <c r="BB706" s="339"/>
      <c r="BC706" s="339"/>
      <c r="BD706" s="339"/>
    </row>
    <row r="707" spans="3:56">
      <c r="C707" s="339"/>
      <c r="D707" s="339"/>
      <c r="E707" s="339"/>
      <c r="F707" s="339"/>
      <c r="G707" s="339"/>
      <c r="H707" s="339"/>
      <c r="I707" s="339"/>
      <c r="J707" s="339"/>
      <c r="K707" s="339"/>
      <c r="L707" s="339"/>
      <c r="M707" s="339"/>
      <c r="N707" s="339"/>
      <c r="O707" s="339"/>
      <c r="P707" s="339"/>
      <c r="Q707" s="339"/>
      <c r="R707" s="339"/>
      <c r="S707" s="339"/>
      <c r="T707" s="339"/>
      <c r="U707" s="339"/>
      <c r="V707" s="339"/>
      <c r="W707" s="339"/>
      <c r="X707" s="339"/>
      <c r="Y707" s="339"/>
      <c r="Z707" s="339"/>
      <c r="AA707" s="339"/>
      <c r="AB707" s="339"/>
      <c r="AC707" s="339"/>
      <c r="AD707" s="339"/>
      <c r="AE707" s="339"/>
      <c r="AF707" s="339"/>
      <c r="AG707" s="339"/>
      <c r="AH707" s="339"/>
      <c r="AI707" s="339"/>
      <c r="AJ707" s="339"/>
      <c r="AK707" s="339"/>
      <c r="AL707" s="339"/>
      <c r="AM707" s="339"/>
      <c r="AN707" s="339"/>
      <c r="AO707" s="339"/>
      <c r="AP707" s="339"/>
      <c r="AQ707" s="339"/>
      <c r="AR707" s="339"/>
      <c r="AS707" s="339"/>
      <c r="AT707" s="339"/>
      <c r="AU707" s="339"/>
      <c r="AV707" s="339"/>
      <c r="AW707" s="339"/>
      <c r="AX707" s="339"/>
      <c r="AY707" s="339"/>
      <c r="AZ707" s="339"/>
      <c r="BA707" s="339"/>
      <c r="BB707" s="339"/>
      <c r="BC707" s="339"/>
      <c r="BD707" s="339"/>
    </row>
    <row r="708" spans="3:56">
      <c r="C708" s="339"/>
      <c r="D708" s="339"/>
      <c r="E708" s="339"/>
      <c r="F708" s="339"/>
      <c r="G708" s="339"/>
      <c r="H708" s="339"/>
      <c r="I708" s="339"/>
      <c r="J708" s="339"/>
      <c r="K708" s="339"/>
      <c r="L708" s="339"/>
      <c r="M708" s="339"/>
      <c r="N708" s="339"/>
      <c r="O708" s="339"/>
      <c r="P708" s="339"/>
      <c r="Q708" s="339"/>
      <c r="R708" s="339"/>
      <c r="S708" s="339"/>
      <c r="T708" s="339"/>
      <c r="U708" s="339"/>
      <c r="V708" s="339"/>
      <c r="W708" s="339"/>
      <c r="X708" s="339"/>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c r="AT708" s="339"/>
      <c r="AU708" s="339"/>
      <c r="AV708" s="339"/>
      <c r="AW708" s="339"/>
      <c r="AX708" s="339"/>
      <c r="AY708" s="339"/>
      <c r="AZ708" s="339"/>
      <c r="BA708" s="339"/>
      <c r="BB708" s="339"/>
      <c r="BC708" s="339"/>
      <c r="BD708" s="339"/>
    </row>
    <row r="709" spans="3:56">
      <c r="C709" s="339"/>
      <c r="D709" s="339"/>
      <c r="E709" s="339"/>
      <c r="F709" s="339"/>
      <c r="G709" s="339"/>
      <c r="H709" s="339"/>
      <c r="I709" s="339"/>
      <c r="J709" s="339"/>
      <c r="K709" s="339"/>
      <c r="L709" s="339"/>
      <c r="M709" s="339"/>
      <c r="N709" s="339"/>
      <c r="O709" s="339"/>
      <c r="P709" s="339"/>
      <c r="Q709" s="339"/>
      <c r="R709" s="339"/>
      <c r="S709" s="339"/>
      <c r="T709" s="339"/>
      <c r="U709" s="339"/>
      <c r="V709" s="339"/>
      <c r="W709" s="339"/>
      <c r="X709" s="339"/>
      <c r="Y709" s="339"/>
      <c r="Z709" s="339"/>
      <c r="AA709" s="339"/>
      <c r="AB709" s="339"/>
      <c r="AC709" s="339"/>
      <c r="AD709" s="339"/>
      <c r="AE709" s="339"/>
      <c r="AF709" s="339"/>
      <c r="AG709" s="339"/>
      <c r="AH709" s="339"/>
      <c r="AI709" s="339"/>
      <c r="AJ709" s="339"/>
      <c r="AK709" s="339"/>
      <c r="AL709" s="339"/>
      <c r="AM709" s="339"/>
      <c r="AN709" s="339"/>
      <c r="AO709" s="339"/>
      <c r="AP709" s="339"/>
      <c r="AQ709" s="339"/>
      <c r="AR709" s="339"/>
      <c r="AS709" s="339"/>
      <c r="AT709" s="339"/>
      <c r="AU709" s="339"/>
      <c r="AV709" s="339"/>
      <c r="AW709" s="339"/>
      <c r="AX709" s="339"/>
      <c r="AY709" s="339"/>
      <c r="AZ709" s="339"/>
      <c r="BA709" s="339"/>
      <c r="BB709" s="339"/>
      <c r="BC709" s="339"/>
      <c r="BD709" s="339"/>
    </row>
    <row r="710" spans="3:56">
      <c r="C710" s="339"/>
      <c r="D710" s="339"/>
      <c r="E710" s="339"/>
      <c r="F710" s="339"/>
      <c r="G710" s="339"/>
      <c r="H710" s="339"/>
      <c r="I710" s="339"/>
      <c r="J710" s="339"/>
      <c r="K710" s="339"/>
      <c r="L710" s="339"/>
      <c r="M710" s="339"/>
      <c r="N710" s="339"/>
      <c r="O710" s="339"/>
      <c r="P710" s="339"/>
      <c r="Q710" s="339"/>
      <c r="R710" s="339"/>
      <c r="S710" s="339"/>
      <c r="T710" s="339"/>
      <c r="U710" s="339"/>
      <c r="V710" s="339"/>
      <c r="W710" s="339"/>
      <c r="X710" s="339"/>
      <c r="Y710" s="339"/>
      <c r="Z710" s="339"/>
      <c r="AA710" s="339"/>
      <c r="AB710" s="339"/>
      <c r="AC710" s="339"/>
      <c r="AD710" s="339"/>
      <c r="AE710" s="339"/>
      <c r="AF710" s="339"/>
      <c r="AG710" s="339"/>
      <c r="AH710" s="339"/>
      <c r="AI710" s="339"/>
      <c r="AJ710" s="339"/>
      <c r="AK710" s="339"/>
      <c r="AL710" s="339"/>
      <c r="AM710" s="339"/>
      <c r="AN710" s="339"/>
      <c r="AO710" s="339"/>
      <c r="AP710" s="339"/>
      <c r="AQ710" s="339"/>
      <c r="AR710" s="339"/>
      <c r="AS710" s="339"/>
      <c r="AT710" s="339"/>
      <c r="AU710" s="339"/>
      <c r="AV710" s="339"/>
      <c r="AW710" s="339"/>
      <c r="AX710" s="339"/>
      <c r="AY710" s="339"/>
      <c r="AZ710" s="339"/>
      <c r="BA710" s="339"/>
      <c r="BB710" s="339"/>
      <c r="BC710" s="339"/>
      <c r="BD710" s="339"/>
    </row>
    <row r="711" spans="3:56">
      <c r="C711" s="339"/>
      <c r="D711" s="339"/>
      <c r="E711" s="339"/>
      <c r="F711" s="339"/>
      <c r="G711" s="339"/>
      <c r="H711" s="339"/>
      <c r="I711" s="339"/>
      <c r="J711" s="339"/>
      <c r="K711" s="339"/>
      <c r="L711" s="339"/>
      <c r="M711" s="339"/>
      <c r="N711" s="339"/>
      <c r="O711" s="339"/>
      <c r="P711" s="339"/>
      <c r="Q711" s="339"/>
      <c r="R711" s="339"/>
      <c r="S711" s="339"/>
      <c r="T711" s="339"/>
      <c r="U711" s="339"/>
      <c r="V711" s="339"/>
      <c r="W711" s="339"/>
      <c r="X711" s="339"/>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c r="AT711" s="339"/>
      <c r="AU711" s="339"/>
      <c r="AV711" s="339"/>
      <c r="AW711" s="339"/>
      <c r="AX711" s="339"/>
      <c r="AY711" s="339"/>
      <c r="AZ711" s="339"/>
      <c r="BA711" s="339"/>
      <c r="BB711" s="339"/>
      <c r="BC711" s="339"/>
      <c r="BD711" s="339"/>
    </row>
    <row r="712" spans="3:56">
      <c r="C712" s="339"/>
      <c r="D712" s="339"/>
      <c r="E712" s="339"/>
      <c r="F712" s="339"/>
      <c r="G712" s="339"/>
      <c r="H712" s="339"/>
      <c r="I712" s="339"/>
      <c r="J712" s="339"/>
      <c r="K712" s="339"/>
      <c r="L712" s="339"/>
      <c r="M712" s="339"/>
      <c r="N712" s="339"/>
      <c r="O712" s="339"/>
      <c r="P712" s="339"/>
      <c r="Q712" s="339"/>
      <c r="R712" s="339"/>
      <c r="S712" s="339"/>
      <c r="T712" s="339"/>
      <c r="U712" s="339"/>
      <c r="V712" s="339"/>
      <c r="W712" s="339"/>
      <c r="X712" s="339"/>
      <c r="Y712" s="339"/>
      <c r="Z712" s="339"/>
      <c r="AA712" s="339"/>
      <c r="AB712" s="339"/>
      <c r="AC712" s="339"/>
      <c r="AD712" s="339"/>
      <c r="AE712" s="339"/>
      <c r="AF712" s="339"/>
      <c r="AG712" s="339"/>
      <c r="AH712" s="339"/>
      <c r="AI712" s="339"/>
      <c r="AJ712" s="339"/>
      <c r="AK712" s="339"/>
      <c r="AL712" s="339"/>
      <c r="AM712" s="339"/>
      <c r="AN712" s="339"/>
      <c r="AO712" s="339"/>
      <c r="AP712" s="339"/>
      <c r="AQ712" s="339"/>
      <c r="AR712" s="339"/>
      <c r="AS712" s="339"/>
      <c r="AT712" s="339"/>
      <c r="AU712" s="339"/>
      <c r="AV712" s="339"/>
      <c r="AW712" s="339"/>
      <c r="AX712" s="339"/>
      <c r="AY712" s="339"/>
      <c r="AZ712" s="339"/>
      <c r="BA712" s="339"/>
      <c r="BB712" s="339"/>
      <c r="BC712" s="339"/>
      <c r="BD712" s="339"/>
    </row>
    <row r="713" spans="3:56">
      <c r="C713" s="339"/>
      <c r="D713" s="339"/>
      <c r="E713" s="339"/>
      <c r="F713" s="339"/>
      <c r="G713" s="339"/>
      <c r="H713" s="339"/>
      <c r="I713" s="339"/>
      <c r="J713" s="339"/>
      <c r="K713" s="339"/>
      <c r="L713" s="339"/>
      <c r="M713" s="339"/>
      <c r="N713" s="339"/>
      <c r="O713" s="339"/>
      <c r="P713" s="339"/>
      <c r="Q713" s="339"/>
      <c r="R713" s="339"/>
      <c r="S713" s="339"/>
      <c r="T713" s="339"/>
      <c r="U713" s="339"/>
      <c r="V713" s="339"/>
      <c r="W713" s="339"/>
      <c r="X713" s="339"/>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c r="AT713" s="339"/>
      <c r="AU713" s="339"/>
      <c r="AV713" s="339"/>
      <c r="AW713" s="339"/>
      <c r="AX713" s="339"/>
      <c r="AY713" s="339"/>
      <c r="AZ713" s="339"/>
      <c r="BA713" s="339"/>
      <c r="BB713" s="339"/>
      <c r="BC713" s="339"/>
      <c r="BD713" s="339"/>
    </row>
    <row r="714" spans="3:56">
      <c r="C714" s="339"/>
      <c r="D714" s="339"/>
      <c r="E714" s="339"/>
      <c r="F714" s="339"/>
      <c r="G714" s="339"/>
      <c r="H714" s="339"/>
      <c r="I714" s="339"/>
      <c r="J714" s="339"/>
      <c r="K714" s="339"/>
      <c r="L714" s="339"/>
      <c r="M714" s="339"/>
      <c r="N714" s="339"/>
      <c r="O714" s="339"/>
      <c r="P714" s="339"/>
      <c r="Q714" s="339"/>
      <c r="R714" s="339"/>
      <c r="S714" s="339"/>
      <c r="T714" s="339"/>
      <c r="U714" s="339"/>
      <c r="V714" s="339"/>
      <c r="W714" s="339"/>
      <c r="X714" s="339"/>
      <c r="Y714" s="339"/>
      <c r="Z714" s="339"/>
      <c r="AA714" s="339"/>
      <c r="AB714" s="339"/>
      <c r="AC714" s="339"/>
      <c r="AD714" s="339"/>
      <c r="AE714" s="339"/>
      <c r="AF714" s="339"/>
      <c r="AG714" s="339"/>
      <c r="AH714" s="339"/>
      <c r="AI714" s="339"/>
      <c r="AJ714" s="339"/>
      <c r="AK714" s="339"/>
      <c r="AL714" s="339"/>
      <c r="AM714" s="339"/>
      <c r="AN714" s="339"/>
      <c r="AO714" s="339"/>
      <c r="AP714" s="339"/>
      <c r="AQ714" s="339"/>
      <c r="AR714" s="339"/>
      <c r="AS714" s="339"/>
      <c r="AT714" s="339"/>
      <c r="AU714" s="339"/>
      <c r="AV714" s="339"/>
      <c r="AW714" s="339"/>
      <c r="AX714" s="339"/>
      <c r="AY714" s="339"/>
      <c r="AZ714" s="339"/>
      <c r="BA714" s="339"/>
      <c r="BB714" s="339"/>
      <c r="BC714" s="339"/>
      <c r="BD714" s="339"/>
    </row>
    <row r="715" spans="3:56">
      <c r="C715" s="339"/>
      <c r="D715" s="339"/>
      <c r="E715" s="339"/>
      <c r="F715" s="339"/>
      <c r="G715" s="339"/>
      <c r="H715" s="339"/>
      <c r="I715" s="339"/>
      <c r="J715" s="339"/>
      <c r="K715" s="339"/>
      <c r="L715" s="339"/>
      <c r="M715" s="339"/>
      <c r="N715" s="339"/>
      <c r="O715" s="339"/>
      <c r="P715" s="339"/>
      <c r="Q715" s="339"/>
      <c r="R715" s="339"/>
      <c r="S715" s="339"/>
      <c r="T715" s="339"/>
      <c r="U715" s="339"/>
      <c r="V715" s="339"/>
      <c r="W715" s="339"/>
      <c r="X715" s="339"/>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c r="AT715" s="339"/>
      <c r="AU715" s="339"/>
      <c r="AV715" s="339"/>
      <c r="AW715" s="339"/>
      <c r="AX715" s="339"/>
      <c r="AY715" s="339"/>
      <c r="AZ715" s="339"/>
      <c r="BA715" s="339"/>
      <c r="BB715" s="339"/>
      <c r="BC715" s="339"/>
      <c r="BD715" s="339"/>
    </row>
    <row r="716" spans="3:56">
      <c r="C716" s="339"/>
      <c r="D716" s="339"/>
      <c r="E716" s="339"/>
      <c r="F716" s="339"/>
      <c r="G716" s="339"/>
      <c r="H716" s="339"/>
      <c r="I716" s="339"/>
      <c r="J716" s="339"/>
      <c r="K716" s="339"/>
      <c r="L716" s="339"/>
      <c r="M716" s="339"/>
      <c r="N716" s="339"/>
      <c r="O716" s="339"/>
      <c r="P716" s="339"/>
      <c r="Q716" s="339"/>
      <c r="R716" s="339"/>
      <c r="S716" s="339"/>
      <c r="T716" s="339"/>
      <c r="U716" s="339"/>
      <c r="V716" s="339"/>
      <c r="W716" s="339"/>
      <c r="X716" s="339"/>
      <c r="Y716" s="339"/>
      <c r="Z716" s="339"/>
      <c r="AA716" s="339"/>
      <c r="AB716" s="339"/>
      <c r="AC716" s="339"/>
      <c r="AD716" s="339"/>
      <c r="AE716" s="339"/>
      <c r="AF716" s="339"/>
      <c r="AG716" s="339"/>
      <c r="AH716" s="339"/>
      <c r="AI716" s="339"/>
      <c r="AJ716" s="339"/>
      <c r="AK716" s="339"/>
      <c r="AL716" s="339"/>
      <c r="AM716" s="339"/>
      <c r="AN716" s="339"/>
      <c r="AO716" s="339"/>
      <c r="AP716" s="339"/>
      <c r="AQ716" s="339"/>
      <c r="AR716" s="339"/>
      <c r="AS716" s="339"/>
      <c r="AT716" s="339"/>
      <c r="AU716" s="339"/>
      <c r="AV716" s="339"/>
      <c r="AW716" s="339"/>
      <c r="AX716" s="339"/>
      <c r="AY716" s="339"/>
      <c r="AZ716" s="339"/>
      <c r="BA716" s="339"/>
      <c r="BB716" s="339"/>
      <c r="BC716" s="339"/>
      <c r="BD716" s="339"/>
    </row>
    <row r="717" spans="3:56">
      <c r="C717" s="339"/>
      <c r="D717" s="339"/>
      <c r="E717" s="339"/>
      <c r="F717" s="339"/>
      <c r="G717" s="339"/>
      <c r="H717" s="339"/>
      <c r="I717" s="339"/>
      <c r="J717" s="339"/>
      <c r="K717" s="339"/>
      <c r="L717" s="339"/>
      <c r="M717" s="339"/>
      <c r="N717" s="339"/>
      <c r="O717" s="339"/>
      <c r="P717" s="339"/>
      <c r="Q717" s="339"/>
      <c r="R717" s="339"/>
      <c r="S717" s="339"/>
      <c r="T717" s="339"/>
      <c r="U717" s="339"/>
      <c r="V717" s="339"/>
      <c r="W717" s="339"/>
      <c r="X717" s="339"/>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c r="AT717" s="339"/>
      <c r="AU717" s="339"/>
      <c r="AV717" s="339"/>
      <c r="AW717" s="339"/>
      <c r="AX717" s="339"/>
      <c r="AY717" s="339"/>
      <c r="AZ717" s="339"/>
      <c r="BA717" s="339"/>
      <c r="BB717" s="339"/>
      <c r="BC717" s="339"/>
      <c r="BD717" s="339"/>
    </row>
    <row r="718" spans="3:56">
      <c r="C718" s="339"/>
      <c r="D718" s="339"/>
      <c r="E718" s="339"/>
      <c r="F718" s="339"/>
      <c r="G718" s="339"/>
      <c r="H718" s="339"/>
      <c r="I718" s="339"/>
      <c r="J718" s="339"/>
      <c r="K718" s="339"/>
      <c r="L718" s="339"/>
      <c r="M718" s="339"/>
      <c r="N718" s="339"/>
      <c r="O718" s="339"/>
      <c r="P718" s="339"/>
      <c r="Q718" s="339"/>
      <c r="R718" s="339"/>
      <c r="S718" s="339"/>
      <c r="T718" s="339"/>
      <c r="U718" s="339"/>
      <c r="V718" s="339"/>
      <c r="W718" s="339"/>
      <c r="X718" s="339"/>
      <c r="Y718" s="339"/>
      <c r="Z718" s="339"/>
      <c r="AA718" s="339"/>
      <c r="AB718" s="339"/>
      <c r="AC718" s="339"/>
      <c r="AD718" s="339"/>
      <c r="AE718" s="339"/>
      <c r="AF718" s="339"/>
      <c r="AG718" s="339"/>
      <c r="AH718" s="339"/>
      <c r="AI718" s="339"/>
      <c r="AJ718" s="339"/>
      <c r="AK718" s="339"/>
      <c r="AL718" s="339"/>
      <c r="AM718" s="339"/>
      <c r="AN718" s="339"/>
      <c r="AO718" s="339"/>
      <c r="AP718" s="339"/>
      <c r="AQ718" s="339"/>
      <c r="AR718" s="339"/>
      <c r="AS718" s="339"/>
      <c r="AT718" s="339"/>
      <c r="AU718" s="339"/>
      <c r="AV718" s="339"/>
      <c r="AW718" s="339"/>
      <c r="AX718" s="339"/>
      <c r="AY718" s="339"/>
      <c r="AZ718" s="339"/>
      <c r="BA718" s="339"/>
      <c r="BB718" s="339"/>
      <c r="BC718" s="339"/>
      <c r="BD718" s="339"/>
    </row>
    <row r="719" spans="3:56">
      <c r="C719" s="339"/>
      <c r="D719" s="339"/>
      <c r="E719" s="339"/>
      <c r="F719" s="339"/>
      <c r="G719" s="339"/>
      <c r="H719" s="339"/>
      <c r="I719" s="339"/>
      <c r="J719" s="339"/>
      <c r="K719" s="339"/>
      <c r="L719" s="339"/>
      <c r="M719" s="339"/>
      <c r="N719" s="339"/>
      <c r="O719" s="339"/>
      <c r="P719" s="339"/>
      <c r="Q719" s="339"/>
      <c r="R719" s="339"/>
      <c r="S719" s="339"/>
      <c r="T719" s="339"/>
      <c r="U719" s="339"/>
      <c r="V719" s="339"/>
      <c r="W719" s="339"/>
      <c r="X719" s="339"/>
      <c r="Y719" s="339"/>
      <c r="Z719" s="339"/>
      <c r="AA719" s="339"/>
      <c r="AB719" s="339"/>
      <c r="AC719" s="339"/>
      <c r="AD719" s="339"/>
      <c r="AE719" s="339"/>
      <c r="AF719" s="339"/>
      <c r="AG719" s="339"/>
      <c r="AH719" s="339"/>
      <c r="AI719" s="339"/>
      <c r="AJ719" s="339"/>
      <c r="AK719" s="339"/>
      <c r="AL719" s="339"/>
      <c r="AM719" s="339"/>
      <c r="AN719" s="339"/>
      <c r="AO719" s="339"/>
      <c r="AP719" s="339"/>
      <c r="AQ719" s="339"/>
      <c r="AR719" s="339"/>
      <c r="AS719" s="339"/>
      <c r="AT719" s="339"/>
      <c r="AU719" s="339"/>
      <c r="AV719" s="339"/>
      <c r="AW719" s="339"/>
      <c r="AX719" s="339"/>
      <c r="AY719" s="339"/>
      <c r="AZ719" s="339"/>
      <c r="BA719" s="339"/>
      <c r="BB719" s="339"/>
      <c r="BC719" s="339"/>
      <c r="BD719" s="339"/>
    </row>
    <row r="720" spans="3:56">
      <c r="C720" s="339"/>
      <c r="D720" s="339"/>
      <c r="E720" s="339"/>
      <c r="F720" s="339"/>
      <c r="G720" s="339"/>
      <c r="H720" s="339"/>
      <c r="I720" s="339"/>
      <c r="J720" s="339"/>
      <c r="K720" s="339"/>
      <c r="L720" s="339"/>
      <c r="M720" s="339"/>
      <c r="N720" s="339"/>
      <c r="O720" s="339"/>
      <c r="P720" s="339"/>
      <c r="Q720" s="339"/>
      <c r="R720" s="339"/>
      <c r="S720" s="339"/>
      <c r="T720" s="339"/>
      <c r="U720" s="339"/>
      <c r="V720" s="339"/>
      <c r="W720" s="339"/>
      <c r="X720" s="339"/>
      <c r="Y720" s="339"/>
      <c r="Z720" s="339"/>
      <c r="AA720" s="339"/>
      <c r="AB720" s="339"/>
      <c r="AC720" s="339"/>
      <c r="AD720" s="339"/>
      <c r="AE720" s="339"/>
      <c r="AF720" s="339"/>
      <c r="AG720" s="339"/>
      <c r="AH720" s="339"/>
      <c r="AI720" s="339"/>
      <c r="AJ720" s="339"/>
      <c r="AK720" s="339"/>
      <c r="AL720" s="339"/>
      <c r="AM720" s="339"/>
      <c r="AN720" s="339"/>
      <c r="AO720" s="339"/>
      <c r="AP720" s="339"/>
      <c r="AQ720" s="339"/>
      <c r="AR720" s="339"/>
      <c r="AS720" s="339"/>
      <c r="AT720" s="339"/>
      <c r="AU720" s="339"/>
      <c r="AV720" s="339"/>
      <c r="AW720" s="339"/>
      <c r="AX720" s="339"/>
      <c r="AY720" s="339"/>
      <c r="AZ720" s="339"/>
      <c r="BA720" s="339"/>
      <c r="BB720" s="339"/>
      <c r="BC720" s="339"/>
      <c r="BD720" s="339"/>
    </row>
    <row r="721" spans="3:56">
      <c r="C721" s="339"/>
      <c r="D721" s="339"/>
      <c r="E721" s="339"/>
      <c r="F721" s="339"/>
      <c r="G721" s="339"/>
      <c r="H721" s="339"/>
      <c r="I721" s="339"/>
      <c r="J721" s="339"/>
      <c r="K721" s="339"/>
      <c r="L721" s="339"/>
      <c r="M721" s="339"/>
      <c r="N721" s="339"/>
      <c r="O721" s="339"/>
      <c r="P721" s="339"/>
      <c r="Q721" s="339"/>
      <c r="R721" s="339"/>
      <c r="S721" s="339"/>
      <c r="T721" s="339"/>
      <c r="U721" s="339"/>
      <c r="V721" s="339"/>
      <c r="W721" s="339"/>
      <c r="X721" s="339"/>
      <c r="Y721" s="339"/>
      <c r="Z721" s="339"/>
      <c r="AA721" s="339"/>
      <c r="AB721" s="339"/>
      <c r="AC721" s="339"/>
      <c r="AD721" s="339"/>
      <c r="AE721" s="339"/>
      <c r="AF721" s="339"/>
      <c r="AG721" s="339"/>
      <c r="AH721" s="339"/>
      <c r="AI721" s="339"/>
      <c r="AJ721" s="339"/>
      <c r="AK721" s="339"/>
      <c r="AL721" s="339"/>
      <c r="AM721" s="339"/>
      <c r="AN721" s="339"/>
      <c r="AO721" s="339"/>
      <c r="AP721" s="339"/>
      <c r="AQ721" s="339"/>
      <c r="AR721" s="339"/>
      <c r="AS721" s="339"/>
      <c r="AT721" s="339"/>
      <c r="AU721" s="339"/>
      <c r="AV721" s="339"/>
      <c r="AW721" s="339"/>
      <c r="AX721" s="339"/>
      <c r="AY721" s="339"/>
      <c r="AZ721" s="339"/>
      <c r="BA721" s="339"/>
      <c r="BB721" s="339"/>
      <c r="BC721" s="339"/>
      <c r="BD721" s="339"/>
    </row>
    <row r="722" spans="3:56">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39"/>
      <c r="AD722" s="339"/>
      <c r="AE722" s="339"/>
      <c r="AF722" s="339"/>
      <c r="AG722" s="339"/>
      <c r="AH722" s="339"/>
      <c r="AI722" s="339"/>
      <c r="AJ722" s="339"/>
      <c r="AK722" s="339"/>
      <c r="AL722" s="339"/>
      <c r="AM722" s="339"/>
      <c r="AN722" s="339"/>
      <c r="AO722" s="339"/>
      <c r="AP722" s="339"/>
      <c r="AQ722" s="339"/>
      <c r="AR722" s="339"/>
      <c r="AS722" s="339"/>
      <c r="AT722" s="339"/>
      <c r="AU722" s="339"/>
      <c r="AV722" s="339"/>
      <c r="AW722" s="339"/>
      <c r="AX722" s="339"/>
      <c r="AY722" s="339"/>
      <c r="AZ722" s="339"/>
      <c r="BA722" s="339"/>
      <c r="BB722" s="339"/>
      <c r="BC722" s="339"/>
      <c r="BD722" s="339"/>
    </row>
    <row r="723" spans="3:56">
      <c r="C723" s="339"/>
      <c r="D723" s="339"/>
      <c r="E723" s="339"/>
      <c r="F723" s="339"/>
      <c r="G723" s="339"/>
      <c r="H723" s="339"/>
      <c r="I723" s="339"/>
      <c r="J723" s="339"/>
      <c r="K723" s="339"/>
      <c r="L723" s="339"/>
      <c r="M723" s="339"/>
      <c r="N723" s="339"/>
      <c r="O723" s="339"/>
      <c r="P723" s="339"/>
      <c r="Q723" s="339"/>
      <c r="R723" s="339"/>
      <c r="S723" s="339"/>
      <c r="T723" s="339"/>
      <c r="U723" s="339"/>
      <c r="V723" s="339"/>
      <c r="W723" s="339"/>
      <c r="X723" s="339"/>
      <c r="Y723" s="339"/>
      <c r="Z723" s="339"/>
      <c r="AA723" s="339"/>
      <c r="AB723" s="339"/>
      <c r="AC723" s="339"/>
      <c r="AD723" s="339"/>
      <c r="AE723" s="339"/>
      <c r="AF723" s="339"/>
      <c r="AG723" s="339"/>
      <c r="AH723" s="339"/>
      <c r="AI723" s="339"/>
      <c r="AJ723" s="339"/>
      <c r="AK723" s="339"/>
      <c r="AL723" s="339"/>
      <c r="AM723" s="339"/>
      <c r="AN723" s="339"/>
      <c r="AO723" s="339"/>
      <c r="AP723" s="339"/>
      <c r="AQ723" s="339"/>
      <c r="AR723" s="339"/>
      <c r="AS723" s="339"/>
      <c r="AT723" s="339"/>
      <c r="AU723" s="339"/>
      <c r="AV723" s="339"/>
      <c r="AW723" s="339"/>
      <c r="AX723" s="339"/>
      <c r="AY723" s="339"/>
      <c r="AZ723" s="339"/>
      <c r="BA723" s="339"/>
      <c r="BB723" s="339"/>
      <c r="BC723" s="339"/>
      <c r="BD723" s="339"/>
    </row>
    <row r="724" spans="3:56">
      <c r="C724" s="339"/>
      <c r="D724" s="339"/>
      <c r="E724" s="339"/>
      <c r="F724" s="339"/>
      <c r="G724" s="339"/>
      <c r="H724" s="339"/>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c r="AT724" s="339"/>
      <c r="AU724" s="339"/>
      <c r="AV724" s="339"/>
      <c r="AW724" s="339"/>
      <c r="AX724" s="339"/>
      <c r="AY724" s="339"/>
      <c r="AZ724" s="339"/>
      <c r="BA724" s="339"/>
      <c r="BB724" s="339"/>
      <c r="BC724" s="339"/>
      <c r="BD724" s="339"/>
    </row>
    <row r="725" spans="3:56">
      <c r="C725" s="339"/>
      <c r="D725" s="339"/>
      <c r="E725" s="339"/>
      <c r="F725" s="339"/>
      <c r="G725" s="339"/>
      <c r="H725" s="339"/>
      <c r="I725" s="339"/>
      <c r="J725" s="339"/>
      <c r="K725" s="339"/>
      <c r="L725" s="339"/>
      <c r="M725" s="339"/>
      <c r="N725" s="339"/>
      <c r="O725" s="339"/>
      <c r="P725" s="339"/>
      <c r="Q725" s="339"/>
      <c r="R725" s="339"/>
      <c r="S725" s="339"/>
      <c r="T725" s="339"/>
      <c r="U725" s="339"/>
      <c r="V725" s="339"/>
      <c r="W725" s="339"/>
      <c r="X725" s="339"/>
      <c r="Y725" s="339"/>
      <c r="Z725" s="339"/>
      <c r="AA725" s="339"/>
      <c r="AB725" s="339"/>
      <c r="AC725" s="339"/>
      <c r="AD725" s="339"/>
      <c r="AE725" s="339"/>
      <c r="AF725" s="339"/>
      <c r="AG725" s="339"/>
      <c r="AH725" s="339"/>
      <c r="AI725" s="339"/>
      <c r="AJ725" s="339"/>
      <c r="AK725" s="339"/>
      <c r="AL725" s="339"/>
      <c r="AM725" s="339"/>
      <c r="AN725" s="339"/>
      <c r="AO725" s="339"/>
      <c r="AP725" s="339"/>
      <c r="AQ725" s="339"/>
      <c r="AR725" s="339"/>
      <c r="AS725" s="339"/>
      <c r="AT725" s="339"/>
      <c r="AU725" s="339"/>
      <c r="AV725" s="339"/>
      <c r="AW725" s="339"/>
      <c r="AX725" s="339"/>
      <c r="AY725" s="339"/>
      <c r="AZ725" s="339"/>
      <c r="BA725" s="339"/>
      <c r="BB725" s="339"/>
      <c r="BC725" s="339"/>
      <c r="BD725" s="339"/>
    </row>
    <row r="726" spans="3:56">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c r="AT726" s="339"/>
      <c r="AU726" s="339"/>
      <c r="AV726" s="339"/>
      <c r="AW726" s="339"/>
      <c r="AX726" s="339"/>
      <c r="AY726" s="339"/>
      <c r="AZ726" s="339"/>
      <c r="BA726" s="339"/>
      <c r="BB726" s="339"/>
      <c r="BC726" s="339"/>
      <c r="BD726" s="339"/>
    </row>
    <row r="727" spans="3:56">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c r="AA727" s="339"/>
      <c r="AB727" s="339"/>
      <c r="AC727" s="339"/>
      <c r="AD727" s="339"/>
      <c r="AE727" s="339"/>
      <c r="AF727" s="339"/>
      <c r="AG727" s="339"/>
      <c r="AH727" s="339"/>
      <c r="AI727" s="339"/>
      <c r="AJ727" s="339"/>
      <c r="AK727" s="339"/>
      <c r="AL727" s="339"/>
      <c r="AM727" s="339"/>
      <c r="AN727" s="339"/>
      <c r="AO727" s="339"/>
      <c r="AP727" s="339"/>
      <c r="AQ727" s="339"/>
      <c r="AR727" s="339"/>
      <c r="AS727" s="339"/>
      <c r="AT727" s="339"/>
      <c r="AU727" s="339"/>
      <c r="AV727" s="339"/>
      <c r="AW727" s="339"/>
      <c r="AX727" s="339"/>
      <c r="AY727" s="339"/>
      <c r="AZ727" s="339"/>
      <c r="BA727" s="339"/>
      <c r="BB727" s="339"/>
      <c r="BC727" s="339"/>
      <c r="BD727" s="339"/>
    </row>
    <row r="728" spans="3:56">
      <c r="C728" s="339"/>
      <c r="D728" s="339"/>
      <c r="E728" s="339"/>
      <c r="F728" s="339"/>
      <c r="G728" s="339"/>
      <c r="H728" s="339"/>
      <c r="I728" s="339"/>
      <c r="J728" s="339"/>
      <c r="K728" s="339"/>
      <c r="L728" s="339"/>
      <c r="M728" s="339"/>
      <c r="N728" s="339"/>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c r="AT728" s="339"/>
      <c r="AU728" s="339"/>
      <c r="AV728" s="339"/>
      <c r="AW728" s="339"/>
      <c r="AX728" s="339"/>
      <c r="AY728" s="339"/>
      <c r="AZ728" s="339"/>
      <c r="BA728" s="339"/>
      <c r="BB728" s="339"/>
      <c r="BC728" s="339"/>
      <c r="BD728" s="339"/>
    </row>
    <row r="729" spans="3:56">
      <c r="C729" s="339"/>
      <c r="D729" s="339"/>
      <c r="E729" s="339"/>
      <c r="F729" s="339"/>
      <c r="G729" s="339"/>
      <c r="H729" s="339"/>
      <c r="I729" s="339"/>
      <c r="J729" s="339"/>
      <c r="K729" s="339"/>
      <c r="L729" s="339"/>
      <c r="M729" s="339"/>
      <c r="N729" s="339"/>
      <c r="O729" s="339"/>
      <c r="P729" s="339"/>
      <c r="Q729" s="339"/>
      <c r="R729" s="339"/>
      <c r="S729" s="339"/>
      <c r="T729" s="339"/>
      <c r="U729" s="339"/>
      <c r="V729" s="339"/>
      <c r="W729" s="339"/>
      <c r="X729" s="339"/>
      <c r="Y729" s="339"/>
      <c r="Z729" s="339"/>
      <c r="AA729" s="339"/>
      <c r="AB729" s="339"/>
      <c r="AC729" s="339"/>
      <c r="AD729" s="339"/>
      <c r="AE729" s="339"/>
      <c r="AF729" s="339"/>
      <c r="AG729" s="339"/>
      <c r="AH729" s="339"/>
      <c r="AI729" s="339"/>
      <c r="AJ729" s="339"/>
      <c r="AK729" s="339"/>
      <c r="AL729" s="339"/>
      <c r="AM729" s="339"/>
      <c r="AN729" s="339"/>
      <c r="AO729" s="339"/>
      <c r="AP729" s="339"/>
      <c r="AQ729" s="339"/>
      <c r="AR729" s="339"/>
      <c r="AS729" s="339"/>
      <c r="AT729" s="339"/>
      <c r="AU729" s="339"/>
      <c r="AV729" s="339"/>
      <c r="AW729" s="339"/>
      <c r="AX729" s="339"/>
      <c r="AY729" s="339"/>
      <c r="AZ729" s="339"/>
      <c r="BA729" s="339"/>
      <c r="BB729" s="339"/>
      <c r="BC729" s="339"/>
      <c r="BD729" s="339"/>
    </row>
    <row r="730" spans="3:56">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c r="AT730" s="339"/>
      <c r="AU730" s="339"/>
      <c r="AV730" s="339"/>
      <c r="AW730" s="339"/>
      <c r="AX730" s="339"/>
      <c r="AY730" s="339"/>
      <c r="AZ730" s="339"/>
      <c r="BA730" s="339"/>
      <c r="BB730" s="339"/>
      <c r="BC730" s="339"/>
      <c r="BD730" s="339"/>
    </row>
    <row r="731" spans="3:56">
      <c r="C731" s="339"/>
      <c r="D731" s="339"/>
      <c r="E731" s="339"/>
      <c r="F731" s="339"/>
      <c r="G731" s="339"/>
      <c r="H731" s="339"/>
      <c r="I731" s="339"/>
      <c r="J731" s="339"/>
      <c r="K731" s="339"/>
      <c r="L731" s="339"/>
      <c r="M731" s="339"/>
      <c r="N731" s="339"/>
      <c r="O731" s="339"/>
      <c r="P731" s="339"/>
      <c r="Q731" s="339"/>
      <c r="R731" s="339"/>
      <c r="S731" s="339"/>
      <c r="T731" s="339"/>
      <c r="U731" s="339"/>
      <c r="V731" s="339"/>
      <c r="W731" s="339"/>
      <c r="X731" s="339"/>
      <c r="Y731" s="339"/>
      <c r="Z731" s="339"/>
      <c r="AA731" s="339"/>
      <c r="AB731" s="339"/>
      <c r="AC731" s="339"/>
      <c r="AD731" s="339"/>
      <c r="AE731" s="339"/>
      <c r="AF731" s="339"/>
      <c r="AG731" s="339"/>
      <c r="AH731" s="339"/>
      <c r="AI731" s="339"/>
      <c r="AJ731" s="339"/>
      <c r="AK731" s="339"/>
      <c r="AL731" s="339"/>
      <c r="AM731" s="339"/>
      <c r="AN731" s="339"/>
      <c r="AO731" s="339"/>
      <c r="AP731" s="339"/>
      <c r="AQ731" s="339"/>
      <c r="AR731" s="339"/>
      <c r="AS731" s="339"/>
      <c r="AT731" s="339"/>
      <c r="AU731" s="339"/>
      <c r="AV731" s="339"/>
      <c r="AW731" s="339"/>
      <c r="AX731" s="339"/>
      <c r="AY731" s="339"/>
      <c r="AZ731" s="339"/>
      <c r="BA731" s="339"/>
      <c r="BB731" s="339"/>
      <c r="BC731" s="339"/>
      <c r="BD731" s="339"/>
    </row>
    <row r="732" spans="3:56">
      <c r="C732" s="339"/>
      <c r="D732" s="339"/>
      <c r="E732" s="339"/>
      <c r="F732" s="339"/>
      <c r="G732" s="339"/>
      <c r="H732" s="339"/>
      <c r="I732" s="339"/>
      <c r="J732" s="339"/>
      <c r="K732" s="339"/>
      <c r="L732" s="339"/>
      <c r="M732" s="339"/>
      <c r="N732" s="339"/>
      <c r="O732" s="339"/>
      <c r="P732" s="339"/>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9"/>
      <c r="AQ732" s="339"/>
      <c r="AR732" s="339"/>
      <c r="AS732" s="339"/>
      <c r="AT732" s="339"/>
      <c r="AU732" s="339"/>
      <c r="AV732" s="339"/>
      <c r="AW732" s="339"/>
      <c r="AX732" s="339"/>
      <c r="AY732" s="339"/>
      <c r="AZ732" s="339"/>
      <c r="BA732" s="339"/>
      <c r="BB732" s="339"/>
      <c r="BC732" s="339"/>
      <c r="BD732" s="339"/>
    </row>
    <row r="733" spans="3:56">
      <c r="C733" s="339"/>
      <c r="D733" s="339"/>
      <c r="E733" s="339"/>
      <c r="F733" s="339"/>
      <c r="G733" s="339"/>
      <c r="H733" s="339"/>
      <c r="I733" s="339"/>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9"/>
      <c r="AQ733" s="339"/>
      <c r="AR733" s="339"/>
      <c r="AS733" s="339"/>
      <c r="AT733" s="339"/>
      <c r="AU733" s="339"/>
      <c r="AV733" s="339"/>
      <c r="AW733" s="339"/>
      <c r="AX733" s="339"/>
      <c r="AY733" s="339"/>
      <c r="AZ733" s="339"/>
      <c r="BA733" s="339"/>
      <c r="BB733" s="339"/>
      <c r="BC733" s="339"/>
      <c r="BD733" s="339"/>
    </row>
    <row r="734" spans="3:56">
      <c r="C734" s="339"/>
      <c r="D734" s="339"/>
      <c r="E734" s="339"/>
      <c r="F734" s="339"/>
      <c r="G734" s="339"/>
      <c r="H734" s="339"/>
      <c r="I734" s="339"/>
      <c r="J734" s="339"/>
      <c r="K734" s="339"/>
      <c r="L734" s="339"/>
      <c r="M734" s="339"/>
      <c r="N734" s="339"/>
      <c r="O734" s="339"/>
      <c r="P734" s="339"/>
      <c r="Q734" s="339"/>
      <c r="R734" s="339"/>
      <c r="S734" s="339"/>
      <c r="T734" s="339"/>
      <c r="U734" s="339"/>
      <c r="V734" s="339"/>
      <c r="W734" s="339"/>
      <c r="X734" s="339"/>
      <c r="Y734" s="339"/>
      <c r="Z734" s="339"/>
      <c r="AA734" s="339"/>
      <c r="AB734" s="339"/>
      <c r="AC734" s="339"/>
      <c r="AD734" s="339"/>
      <c r="AE734" s="339"/>
      <c r="AF734" s="339"/>
      <c r="AG734" s="339"/>
      <c r="AH734" s="339"/>
      <c r="AI734" s="339"/>
      <c r="AJ734" s="339"/>
      <c r="AK734" s="339"/>
      <c r="AL734" s="339"/>
      <c r="AM734" s="339"/>
      <c r="AN734" s="339"/>
      <c r="AO734" s="339"/>
      <c r="AP734" s="339"/>
      <c r="AQ734" s="339"/>
      <c r="AR734" s="339"/>
      <c r="AS734" s="339"/>
      <c r="AT734" s="339"/>
      <c r="AU734" s="339"/>
      <c r="AV734" s="339"/>
      <c r="AW734" s="339"/>
      <c r="AX734" s="339"/>
      <c r="AY734" s="339"/>
      <c r="AZ734" s="339"/>
      <c r="BA734" s="339"/>
      <c r="BB734" s="339"/>
      <c r="BC734" s="339"/>
      <c r="BD734" s="339"/>
    </row>
    <row r="735" spans="3:56">
      <c r="C735" s="339"/>
      <c r="D735" s="339"/>
      <c r="E735" s="339"/>
      <c r="F735" s="339"/>
      <c r="G735" s="339"/>
      <c r="H735" s="339"/>
      <c r="I735" s="339"/>
      <c r="J735" s="339"/>
      <c r="K735" s="339"/>
      <c r="L735" s="339"/>
      <c r="M735" s="339"/>
      <c r="N735" s="339"/>
      <c r="O735" s="339"/>
      <c r="P735" s="339"/>
      <c r="Q735" s="339"/>
      <c r="R735" s="339"/>
      <c r="S735" s="339"/>
      <c r="T735" s="339"/>
      <c r="U735" s="339"/>
      <c r="V735" s="339"/>
      <c r="W735" s="339"/>
      <c r="X735" s="339"/>
      <c r="Y735" s="339"/>
      <c r="Z735" s="339"/>
      <c r="AA735" s="339"/>
      <c r="AB735" s="339"/>
      <c r="AC735" s="339"/>
      <c r="AD735" s="339"/>
      <c r="AE735" s="339"/>
      <c r="AF735" s="339"/>
      <c r="AG735" s="339"/>
      <c r="AH735" s="339"/>
      <c r="AI735" s="339"/>
      <c r="AJ735" s="339"/>
      <c r="AK735" s="339"/>
      <c r="AL735" s="339"/>
      <c r="AM735" s="339"/>
      <c r="AN735" s="339"/>
      <c r="AO735" s="339"/>
      <c r="AP735" s="339"/>
      <c r="AQ735" s="339"/>
      <c r="AR735" s="339"/>
      <c r="AS735" s="339"/>
      <c r="AT735" s="339"/>
      <c r="AU735" s="339"/>
      <c r="AV735" s="339"/>
      <c r="AW735" s="339"/>
      <c r="AX735" s="339"/>
      <c r="AY735" s="339"/>
      <c r="AZ735" s="339"/>
      <c r="BA735" s="339"/>
      <c r="BB735" s="339"/>
      <c r="BC735" s="339"/>
      <c r="BD735" s="339"/>
    </row>
    <row r="736" spans="3:56">
      <c r="C736" s="339"/>
      <c r="D736" s="339"/>
      <c r="E736" s="339"/>
      <c r="F736" s="339"/>
      <c r="G736" s="339"/>
      <c r="H736" s="339"/>
      <c r="I736" s="339"/>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9"/>
      <c r="AQ736" s="339"/>
      <c r="AR736" s="339"/>
      <c r="AS736" s="339"/>
      <c r="AT736" s="339"/>
      <c r="AU736" s="339"/>
      <c r="AV736" s="339"/>
      <c r="AW736" s="339"/>
      <c r="AX736" s="339"/>
      <c r="AY736" s="339"/>
      <c r="AZ736" s="339"/>
      <c r="BA736" s="339"/>
      <c r="BB736" s="339"/>
      <c r="BC736" s="339"/>
      <c r="BD736" s="339"/>
    </row>
    <row r="737" spans="3:56">
      <c r="C737" s="339"/>
      <c r="D737" s="339"/>
      <c r="E737" s="339"/>
      <c r="F737" s="339"/>
      <c r="G737" s="339"/>
      <c r="H737" s="339"/>
      <c r="I737" s="339"/>
      <c r="J737" s="339"/>
      <c r="K737" s="339"/>
      <c r="L737" s="339"/>
      <c r="M737" s="339"/>
      <c r="N737" s="339"/>
      <c r="O737" s="339"/>
      <c r="P737" s="339"/>
      <c r="Q737" s="339"/>
      <c r="R737" s="339"/>
      <c r="S737" s="339"/>
      <c r="T737" s="339"/>
      <c r="U737" s="339"/>
      <c r="V737" s="339"/>
      <c r="W737" s="339"/>
      <c r="X737" s="339"/>
      <c r="Y737" s="339"/>
      <c r="Z737" s="339"/>
      <c r="AA737" s="339"/>
      <c r="AB737" s="339"/>
      <c r="AC737" s="339"/>
      <c r="AD737" s="339"/>
      <c r="AE737" s="339"/>
      <c r="AF737" s="339"/>
      <c r="AG737" s="339"/>
      <c r="AH737" s="339"/>
      <c r="AI737" s="339"/>
      <c r="AJ737" s="339"/>
      <c r="AK737" s="339"/>
      <c r="AL737" s="339"/>
      <c r="AM737" s="339"/>
      <c r="AN737" s="339"/>
      <c r="AO737" s="339"/>
      <c r="AP737" s="339"/>
      <c r="AQ737" s="339"/>
      <c r="AR737" s="339"/>
      <c r="AS737" s="339"/>
      <c r="AT737" s="339"/>
      <c r="AU737" s="339"/>
      <c r="AV737" s="339"/>
      <c r="AW737" s="339"/>
      <c r="AX737" s="339"/>
      <c r="AY737" s="339"/>
      <c r="AZ737" s="339"/>
      <c r="BA737" s="339"/>
      <c r="BB737" s="339"/>
      <c r="BC737" s="339"/>
      <c r="BD737" s="339"/>
    </row>
    <row r="738" spans="3:56">
      <c r="C738" s="339"/>
      <c r="D738" s="339"/>
      <c r="E738" s="339"/>
      <c r="F738" s="339"/>
      <c r="G738" s="339"/>
      <c r="H738" s="339"/>
      <c r="I738" s="339"/>
      <c r="J738" s="339"/>
      <c r="K738" s="339"/>
      <c r="L738" s="339"/>
      <c r="M738" s="339"/>
      <c r="N738" s="339"/>
      <c r="O738" s="339"/>
      <c r="P738" s="339"/>
      <c r="Q738" s="339"/>
      <c r="R738" s="339"/>
      <c r="S738" s="339"/>
      <c r="T738" s="339"/>
      <c r="U738" s="339"/>
      <c r="V738" s="339"/>
      <c r="W738" s="339"/>
      <c r="X738" s="339"/>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c r="AT738" s="339"/>
      <c r="AU738" s="339"/>
      <c r="AV738" s="339"/>
      <c r="AW738" s="339"/>
      <c r="AX738" s="339"/>
      <c r="AY738" s="339"/>
      <c r="AZ738" s="339"/>
      <c r="BA738" s="339"/>
      <c r="BB738" s="339"/>
      <c r="BC738" s="339"/>
      <c r="BD738" s="339"/>
    </row>
    <row r="739" spans="3:56">
      <c r="C739" s="339"/>
      <c r="D739" s="339"/>
      <c r="E739" s="339"/>
      <c r="F739" s="339"/>
      <c r="G739" s="339"/>
      <c r="H739" s="339"/>
      <c r="I739" s="339"/>
      <c r="J739" s="339"/>
      <c r="K739" s="339"/>
      <c r="L739" s="339"/>
      <c r="M739" s="339"/>
      <c r="N739" s="339"/>
      <c r="O739" s="339"/>
      <c r="P739" s="339"/>
      <c r="Q739" s="339"/>
      <c r="R739" s="339"/>
      <c r="S739" s="339"/>
      <c r="T739" s="339"/>
      <c r="U739" s="339"/>
      <c r="V739" s="339"/>
      <c r="W739" s="339"/>
      <c r="X739" s="339"/>
      <c r="Y739" s="339"/>
      <c r="Z739" s="339"/>
      <c r="AA739" s="339"/>
      <c r="AB739" s="339"/>
      <c r="AC739" s="339"/>
      <c r="AD739" s="339"/>
      <c r="AE739" s="339"/>
      <c r="AF739" s="339"/>
      <c r="AG739" s="339"/>
      <c r="AH739" s="339"/>
      <c r="AI739" s="339"/>
      <c r="AJ739" s="339"/>
      <c r="AK739" s="339"/>
      <c r="AL739" s="339"/>
      <c r="AM739" s="339"/>
      <c r="AN739" s="339"/>
      <c r="AO739" s="339"/>
      <c r="AP739" s="339"/>
      <c r="AQ739" s="339"/>
      <c r="AR739" s="339"/>
      <c r="AS739" s="339"/>
      <c r="AT739" s="339"/>
      <c r="AU739" s="339"/>
      <c r="AV739" s="339"/>
      <c r="AW739" s="339"/>
      <c r="AX739" s="339"/>
      <c r="AY739" s="339"/>
      <c r="AZ739" s="339"/>
      <c r="BA739" s="339"/>
      <c r="BB739" s="339"/>
      <c r="BC739" s="339"/>
      <c r="BD739" s="339"/>
    </row>
    <row r="740" spans="3:56">
      <c r="C740" s="339"/>
      <c r="D740" s="339"/>
      <c r="E740" s="339"/>
      <c r="F740" s="339"/>
      <c r="G740" s="339"/>
      <c r="H740" s="339"/>
      <c r="I740" s="339"/>
      <c r="J740" s="339"/>
      <c r="K740" s="339"/>
      <c r="L740" s="339"/>
      <c r="M740" s="339"/>
      <c r="N740" s="339"/>
      <c r="O740" s="339"/>
      <c r="P740" s="339"/>
      <c r="Q740" s="339"/>
      <c r="R740" s="339"/>
      <c r="S740" s="339"/>
      <c r="T740" s="339"/>
      <c r="U740" s="339"/>
      <c r="V740" s="339"/>
      <c r="W740" s="339"/>
      <c r="X740" s="339"/>
      <c r="Y740" s="339"/>
      <c r="Z740" s="339"/>
      <c r="AA740" s="339"/>
      <c r="AB740" s="339"/>
      <c r="AC740" s="339"/>
      <c r="AD740" s="339"/>
      <c r="AE740" s="339"/>
      <c r="AF740" s="339"/>
      <c r="AG740" s="339"/>
      <c r="AH740" s="339"/>
      <c r="AI740" s="339"/>
      <c r="AJ740" s="339"/>
      <c r="AK740" s="339"/>
      <c r="AL740" s="339"/>
      <c r="AM740" s="339"/>
      <c r="AN740" s="339"/>
      <c r="AO740" s="339"/>
      <c r="AP740" s="339"/>
      <c r="AQ740" s="339"/>
      <c r="AR740" s="339"/>
      <c r="AS740" s="339"/>
      <c r="AT740" s="339"/>
      <c r="AU740" s="339"/>
      <c r="AV740" s="339"/>
      <c r="AW740" s="339"/>
      <c r="AX740" s="339"/>
      <c r="AY740" s="339"/>
      <c r="AZ740" s="339"/>
      <c r="BA740" s="339"/>
      <c r="BB740" s="339"/>
      <c r="BC740" s="339"/>
      <c r="BD740" s="339"/>
    </row>
    <row r="741" spans="3:56">
      <c r="C741" s="339"/>
      <c r="D741" s="339"/>
      <c r="E741" s="339"/>
      <c r="F741" s="339"/>
      <c r="G741" s="339"/>
      <c r="H741" s="339"/>
      <c r="I741" s="339"/>
      <c r="J741" s="339"/>
      <c r="K741" s="339"/>
      <c r="L741" s="339"/>
      <c r="M741" s="339"/>
      <c r="N741" s="339"/>
      <c r="O741" s="339"/>
      <c r="P741" s="339"/>
      <c r="Q741" s="339"/>
      <c r="R741" s="339"/>
      <c r="S741" s="339"/>
      <c r="T741" s="339"/>
      <c r="U741" s="339"/>
      <c r="V741" s="339"/>
      <c r="W741" s="339"/>
      <c r="X741" s="339"/>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c r="AT741" s="339"/>
      <c r="AU741" s="339"/>
      <c r="AV741" s="339"/>
      <c r="AW741" s="339"/>
      <c r="AX741" s="339"/>
      <c r="AY741" s="339"/>
      <c r="AZ741" s="339"/>
      <c r="BA741" s="339"/>
      <c r="BB741" s="339"/>
      <c r="BC741" s="339"/>
      <c r="BD741" s="339"/>
    </row>
    <row r="742" spans="3:56">
      <c r="C742" s="339"/>
      <c r="D742" s="339"/>
      <c r="E742" s="339"/>
      <c r="F742" s="339"/>
      <c r="G742" s="339"/>
      <c r="H742" s="339"/>
      <c r="I742" s="339"/>
      <c r="J742" s="339"/>
      <c r="K742" s="339"/>
      <c r="L742" s="339"/>
      <c r="M742" s="339"/>
      <c r="N742" s="339"/>
      <c r="O742" s="339"/>
      <c r="P742" s="339"/>
      <c r="Q742" s="339"/>
      <c r="R742" s="339"/>
      <c r="S742" s="339"/>
      <c r="T742" s="339"/>
      <c r="U742" s="339"/>
      <c r="V742" s="339"/>
      <c r="W742" s="339"/>
      <c r="X742" s="339"/>
      <c r="Y742" s="339"/>
      <c r="Z742" s="339"/>
      <c r="AA742" s="339"/>
      <c r="AB742" s="339"/>
      <c r="AC742" s="339"/>
      <c r="AD742" s="339"/>
      <c r="AE742" s="339"/>
      <c r="AF742" s="339"/>
      <c r="AG742" s="339"/>
      <c r="AH742" s="339"/>
      <c r="AI742" s="339"/>
      <c r="AJ742" s="339"/>
      <c r="AK742" s="339"/>
      <c r="AL742" s="339"/>
      <c r="AM742" s="339"/>
      <c r="AN742" s="339"/>
      <c r="AO742" s="339"/>
      <c r="AP742" s="339"/>
      <c r="AQ742" s="339"/>
      <c r="AR742" s="339"/>
      <c r="AS742" s="339"/>
      <c r="AT742" s="339"/>
      <c r="AU742" s="339"/>
      <c r="AV742" s="339"/>
      <c r="AW742" s="339"/>
      <c r="AX742" s="339"/>
      <c r="AY742" s="339"/>
      <c r="AZ742" s="339"/>
      <c r="BA742" s="339"/>
      <c r="BB742" s="339"/>
      <c r="BC742" s="339"/>
      <c r="BD742" s="339"/>
    </row>
    <row r="743" spans="3:56">
      <c r="C743" s="339"/>
      <c r="D743" s="339"/>
      <c r="E743" s="339"/>
      <c r="F743" s="339"/>
      <c r="G743" s="339"/>
      <c r="H743" s="339"/>
      <c r="I743" s="339"/>
      <c r="J743" s="339"/>
      <c r="K743" s="339"/>
      <c r="L743" s="339"/>
      <c r="M743" s="339"/>
      <c r="N743" s="339"/>
      <c r="O743" s="339"/>
      <c r="P743" s="339"/>
      <c r="Q743" s="339"/>
      <c r="R743" s="339"/>
      <c r="S743" s="339"/>
      <c r="T743" s="339"/>
      <c r="U743" s="339"/>
      <c r="V743" s="339"/>
      <c r="W743" s="339"/>
      <c r="X743" s="339"/>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c r="AT743" s="339"/>
      <c r="AU743" s="339"/>
      <c r="AV743" s="339"/>
      <c r="AW743" s="339"/>
      <c r="AX743" s="339"/>
      <c r="AY743" s="339"/>
      <c r="AZ743" s="339"/>
      <c r="BA743" s="339"/>
      <c r="BB743" s="339"/>
      <c r="BC743" s="339"/>
      <c r="BD743" s="339"/>
    </row>
    <row r="744" spans="3:56">
      <c r="C744" s="339"/>
      <c r="D744" s="339"/>
      <c r="E744" s="339"/>
      <c r="F744" s="339"/>
      <c r="G744" s="339"/>
      <c r="H744" s="339"/>
      <c r="I744" s="339"/>
      <c r="J744" s="339"/>
      <c r="K744" s="339"/>
      <c r="L744" s="339"/>
      <c r="M744" s="339"/>
      <c r="N744" s="339"/>
      <c r="O744" s="339"/>
      <c r="P744" s="339"/>
      <c r="Q744" s="339"/>
      <c r="R744" s="339"/>
      <c r="S744" s="339"/>
      <c r="T744" s="339"/>
      <c r="U744" s="339"/>
      <c r="V744" s="339"/>
      <c r="W744" s="339"/>
      <c r="X744" s="339"/>
      <c r="Y744" s="339"/>
      <c r="Z744" s="339"/>
      <c r="AA744" s="339"/>
      <c r="AB744" s="339"/>
      <c r="AC744" s="339"/>
      <c r="AD744" s="339"/>
      <c r="AE744" s="339"/>
      <c r="AF744" s="339"/>
      <c r="AG744" s="339"/>
      <c r="AH744" s="339"/>
      <c r="AI744" s="339"/>
      <c r="AJ744" s="339"/>
      <c r="AK744" s="339"/>
      <c r="AL744" s="339"/>
      <c r="AM744" s="339"/>
      <c r="AN744" s="339"/>
      <c r="AO744" s="339"/>
      <c r="AP744" s="339"/>
      <c r="AQ744" s="339"/>
      <c r="AR744" s="339"/>
      <c r="AS744" s="339"/>
      <c r="AT744" s="339"/>
      <c r="AU744" s="339"/>
      <c r="AV744" s="339"/>
      <c r="AW744" s="339"/>
      <c r="AX744" s="339"/>
      <c r="AY744" s="339"/>
      <c r="AZ744" s="339"/>
      <c r="BA744" s="339"/>
      <c r="BB744" s="339"/>
      <c r="BC744" s="339"/>
      <c r="BD744" s="339"/>
    </row>
    <row r="745" spans="3:56">
      <c r="C745" s="339"/>
      <c r="D745" s="339"/>
      <c r="E745" s="339"/>
      <c r="F745" s="339"/>
      <c r="G745" s="339"/>
      <c r="H745" s="339"/>
      <c r="I745" s="339"/>
      <c r="J745" s="339"/>
      <c r="K745" s="339"/>
      <c r="L745" s="339"/>
      <c r="M745" s="339"/>
      <c r="N745" s="339"/>
      <c r="O745" s="339"/>
      <c r="P745" s="339"/>
      <c r="Q745" s="339"/>
      <c r="R745" s="339"/>
      <c r="S745" s="339"/>
      <c r="T745" s="339"/>
      <c r="U745" s="339"/>
      <c r="V745" s="339"/>
      <c r="W745" s="339"/>
      <c r="X745" s="339"/>
      <c r="Y745" s="339"/>
      <c r="Z745" s="339"/>
      <c r="AA745" s="339"/>
      <c r="AB745" s="339"/>
      <c r="AC745" s="339"/>
      <c r="AD745" s="339"/>
      <c r="AE745" s="339"/>
      <c r="AF745" s="339"/>
      <c r="AG745" s="339"/>
      <c r="AH745" s="339"/>
      <c r="AI745" s="339"/>
      <c r="AJ745" s="339"/>
      <c r="AK745" s="339"/>
      <c r="AL745" s="339"/>
      <c r="AM745" s="339"/>
      <c r="AN745" s="339"/>
      <c r="AO745" s="339"/>
      <c r="AP745" s="339"/>
      <c r="AQ745" s="339"/>
      <c r="AR745" s="339"/>
      <c r="AS745" s="339"/>
      <c r="AT745" s="339"/>
      <c r="AU745" s="339"/>
      <c r="AV745" s="339"/>
      <c r="AW745" s="339"/>
      <c r="AX745" s="339"/>
      <c r="AY745" s="339"/>
      <c r="AZ745" s="339"/>
      <c r="BA745" s="339"/>
      <c r="BB745" s="339"/>
      <c r="BC745" s="339"/>
      <c r="BD745" s="339"/>
    </row>
    <row r="746" spans="3:56">
      <c r="C746" s="339"/>
      <c r="D746" s="339"/>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c r="AA746" s="339"/>
      <c r="AB746" s="339"/>
      <c r="AC746" s="339"/>
      <c r="AD746" s="339"/>
      <c r="AE746" s="339"/>
      <c r="AF746" s="339"/>
      <c r="AG746" s="339"/>
      <c r="AH746" s="339"/>
      <c r="AI746" s="339"/>
      <c r="AJ746" s="339"/>
      <c r="AK746" s="339"/>
      <c r="AL746" s="339"/>
      <c r="AM746" s="339"/>
      <c r="AN746" s="339"/>
      <c r="AO746" s="339"/>
      <c r="AP746" s="339"/>
      <c r="AQ746" s="339"/>
      <c r="AR746" s="339"/>
      <c r="AS746" s="339"/>
      <c r="AT746" s="339"/>
      <c r="AU746" s="339"/>
      <c r="AV746" s="339"/>
      <c r="AW746" s="339"/>
      <c r="AX746" s="339"/>
      <c r="AY746" s="339"/>
      <c r="AZ746" s="339"/>
      <c r="BA746" s="339"/>
      <c r="BB746" s="339"/>
      <c r="BC746" s="339"/>
      <c r="BD746" s="339"/>
    </row>
    <row r="747" spans="3:56">
      <c r="C747" s="339"/>
      <c r="D747" s="339"/>
      <c r="E747" s="339"/>
      <c r="F747" s="339"/>
      <c r="G747" s="339"/>
      <c r="H747" s="339"/>
      <c r="I747" s="339"/>
      <c r="J747" s="339"/>
      <c r="K747" s="339"/>
      <c r="L747" s="339"/>
      <c r="M747" s="339"/>
      <c r="N747" s="339"/>
      <c r="O747" s="339"/>
      <c r="P747" s="339"/>
      <c r="Q747" s="339"/>
      <c r="R747" s="339"/>
      <c r="S747" s="339"/>
      <c r="T747" s="339"/>
      <c r="U747" s="339"/>
      <c r="V747" s="339"/>
      <c r="W747" s="339"/>
      <c r="X747" s="339"/>
      <c r="Y747" s="339"/>
      <c r="Z747" s="339"/>
      <c r="AA747" s="339"/>
      <c r="AB747" s="339"/>
      <c r="AC747" s="339"/>
      <c r="AD747" s="339"/>
      <c r="AE747" s="339"/>
      <c r="AF747" s="339"/>
      <c r="AG747" s="339"/>
      <c r="AH747" s="339"/>
      <c r="AI747" s="339"/>
      <c r="AJ747" s="339"/>
      <c r="AK747" s="339"/>
      <c r="AL747" s="339"/>
      <c r="AM747" s="339"/>
      <c r="AN747" s="339"/>
      <c r="AO747" s="339"/>
      <c r="AP747" s="339"/>
      <c r="AQ747" s="339"/>
      <c r="AR747" s="339"/>
      <c r="AS747" s="339"/>
      <c r="AT747" s="339"/>
      <c r="AU747" s="339"/>
      <c r="AV747" s="339"/>
      <c r="AW747" s="339"/>
      <c r="AX747" s="339"/>
      <c r="AY747" s="339"/>
      <c r="AZ747" s="339"/>
      <c r="BA747" s="339"/>
      <c r="BB747" s="339"/>
      <c r="BC747" s="339"/>
      <c r="BD747" s="339"/>
    </row>
    <row r="748" spans="3:56">
      <c r="C748" s="339"/>
      <c r="D748" s="339"/>
      <c r="E748" s="339"/>
      <c r="F748" s="339"/>
      <c r="G748" s="339"/>
      <c r="H748" s="339"/>
      <c r="I748" s="339"/>
      <c r="J748" s="339"/>
      <c r="K748" s="339"/>
      <c r="L748" s="339"/>
      <c r="M748" s="339"/>
      <c r="N748" s="339"/>
      <c r="O748" s="339"/>
      <c r="P748" s="339"/>
      <c r="Q748" s="339"/>
      <c r="R748" s="339"/>
      <c r="S748" s="339"/>
      <c r="T748" s="339"/>
      <c r="U748" s="339"/>
      <c r="V748" s="339"/>
      <c r="W748" s="339"/>
      <c r="X748" s="339"/>
      <c r="Y748" s="339"/>
      <c r="Z748" s="339"/>
      <c r="AA748" s="339"/>
      <c r="AB748" s="339"/>
      <c r="AC748" s="339"/>
      <c r="AD748" s="339"/>
      <c r="AE748" s="339"/>
      <c r="AF748" s="339"/>
      <c r="AG748" s="339"/>
      <c r="AH748" s="339"/>
      <c r="AI748" s="339"/>
      <c r="AJ748" s="339"/>
      <c r="AK748" s="339"/>
      <c r="AL748" s="339"/>
      <c r="AM748" s="339"/>
      <c r="AN748" s="339"/>
      <c r="AO748" s="339"/>
      <c r="AP748" s="339"/>
      <c r="AQ748" s="339"/>
      <c r="AR748" s="339"/>
      <c r="AS748" s="339"/>
      <c r="AT748" s="339"/>
      <c r="AU748" s="339"/>
      <c r="AV748" s="339"/>
      <c r="AW748" s="339"/>
      <c r="AX748" s="339"/>
      <c r="AY748" s="339"/>
      <c r="AZ748" s="339"/>
      <c r="BA748" s="339"/>
      <c r="BB748" s="339"/>
      <c r="BC748" s="339"/>
      <c r="BD748" s="339"/>
    </row>
    <row r="749" spans="3:56">
      <c r="C749" s="339"/>
      <c r="D749" s="339"/>
      <c r="E749" s="339"/>
      <c r="F749" s="339"/>
      <c r="G749" s="339"/>
      <c r="H749" s="339"/>
      <c r="I749" s="339"/>
      <c r="J749" s="339"/>
      <c r="K749" s="339"/>
      <c r="L749" s="339"/>
      <c r="M749" s="339"/>
      <c r="N749" s="339"/>
      <c r="O749" s="339"/>
      <c r="P749" s="339"/>
      <c r="Q749" s="339"/>
      <c r="R749" s="339"/>
      <c r="S749" s="339"/>
      <c r="T749" s="339"/>
      <c r="U749" s="339"/>
      <c r="V749" s="339"/>
      <c r="W749" s="339"/>
      <c r="X749" s="339"/>
      <c r="Y749" s="339"/>
      <c r="Z749" s="339"/>
      <c r="AA749" s="339"/>
      <c r="AB749" s="339"/>
      <c r="AC749" s="339"/>
      <c r="AD749" s="339"/>
      <c r="AE749" s="339"/>
      <c r="AF749" s="339"/>
      <c r="AG749" s="339"/>
      <c r="AH749" s="339"/>
      <c r="AI749" s="339"/>
      <c r="AJ749" s="339"/>
      <c r="AK749" s="339"/>
      <c r="AL749" s="339"/>
      <c r="AM749" s="339"/>
      <c r="AN749" s="339"/>
      <c r="AO749" s="339"/>
      <c r="AP749" s="339"/>
      <c r="AQ749" s="339"/>
      <c r="AR749" s="339"/>
      <c r="AS749" s="339"/>
      <c r="AT749" s="339"/>
      <c r="AU749" s="339"/>
      <c r="AV749" s="339"/>
      <c r="AW749" s="339"/>
      <c r="AX749" s="339"/>
      <c r="AY749" s="339"/>
      <c r="AZ749" s="339"/>
      <c r="BA749" s="339"/>
      <c r="BB749" s="339"/>
      <c r="BC749" s="339"/>
      <c r="BD749" s="339"/>
    </row>
    <row r="750" spans="3:56">
      <c r="C750" s="339"/>
      <c r="D750" s="339"/>
      <c r="E750" s="339"/>
      <c r="F750" s="339"/>
      <c r="G750" s="339"/>
      <c r="H750" s="339"/>
      <c r="I750" s="339"/>
      <c r="J750" s="339"/>
      <c r="K750" s="339"/>
      <c r="L750" s="339"/>
      <c r="M750" s="339"/>
      <c r="N750" s="339"/>
      <c r="O750" s="339"/>
      <c r="P750" s="339"/>
      <c r="Q750" s="339"/>
      <c r="R750" s="339"/>
      <c r="S750" s="339"/>
      <c r="T750" s="339"/>
      <c r="U750" s="339"/>
      <c r="V750" s="339"/>
      <c r="W750" s="339"/>
      <c r="X750" s="339"/>
      <c r="Y750" s="339"/>
      <c r="Z750" s="339"/>
      <c r="AA750" s="339"/>
      <c r="AB750" s="339"/>
      <c r="AC750" s="339"/>
      <c r="AD750" s="339"/>
      <c r="AE750" s="339"/>
      <c r="AF750" s="339"/>
      <c r="AG750" s="339"/>
      <c r="AH750" s="339"/>
      <c r="AI750" s="339"/>
      <c r="AJ750" s="339"/>
      <c r="AK750" s="339"/>
      <c r="AL750" s="339"/>
      <c r="AM750" s="339"/>
      <c r="AN750" s="339"/>
      <c r="AO750" s="339"/>
      <c r="AP750" s="339"/>
      <c r="AQ750" s="339"/>
      <c r="AR750" s="339"/>
      <c r="AS750" s="339"/>
      <c r="AT750" s="339"/>
      <c r="AU750" s="339"/>
      <c r="AV750" s="339"/>
      <c r="AW750" s="339"/>
      <c r="AX750" s="339"/>
      <c r="AY750" s="339"/>
      <c r="AZ750" s="339"/>
      <c r="BA750" s="339"/>
      <c r="BB750" s="339"/>
      <c r="BC750" s="339"/>
      <c r="BD750" s="339"/>
    </row>
    <row r="751" spans="3:56">
      <c r="C751" s="339"/>
      <c r="D751" s="339"/>
      <c r="E751" s="339"/>
      <c r="F751" s="339"/>
      <c r="G751" s="339"/>
      <c r="H751" s="339"/>
      <c r="I751" s="339"/>
      <c r="J751" s="339"/>
      <c r="K751" s="339"/>
      <c r="L751" s="339"/>
      <c r="M751" s="339"/>
      <c r="N751" s="339"/>
      <c r="O751" s="339"/>
      <c r="P751" s="339"/>
      <c r="Q751" s="339"/>
      <c r="R751" s="339"/>
      <c r="S751" s="339"/>
      <c r="T751" s="339"/>
      <c r="U751" s="339"/>
      <c r="V751" s="339"/>
      <c r="W751" s="339"/>
      <c r="X751" s="339"/>
      <c r="Y751" s="339"/>
      <c r="Z751" s="339"/>
      <c r="AA751" s="339"/>
      <c r="AB751" s="339"/>
      <c r="AC751" s="339"/>
      <c r="AD751" s="339"/>
      <c r="AE751" s="339"/>
      <c r="AF751" s="339"/>
      <c r="AG751" s="339"/>
      <c r="AH751" s="339"/>
      <c r="AI751" s="339"/>
      <c r="AJ751" s="339"/>
      <c r="AK751" s="339"/>
      <c r="AL751" s="339"/>
      <c r="AM751" s="339"/>
      <c r="AN751" s="339"/>
      <c r="AO751" s="339"/>
      <c r="AP751" s="339"/>
      <c r="AQ751" s="339"/>
      <c r="AR751" s="339"/>
      <c r="AS751" s="339"/>
      <c r="AT751" s="339"/>
      <c r="AU751" s="339"/>
      <c r="AV751" s="339"/>
      <c r="AW751" s="339"/>
      <c r="AX751" s="339"/>
      <c r="AY751" s="339"/>
      <c r="AZ751" s="339"/>
      <c r="BA751" s="339"/>
      <c r="BB751" s="339"/>
      <c r="BC751" s="339"/>
      <c r="BD751" s="339"/>
    </row>
    <row r="752" spans="3:56">
      <c r="C752" s="339"/>
      <c r="D752" s="339"/>
      <c r="E752" s="339"/>
      <c r="F752" s="339"/>
      <c r="G752" s="339"/>
      <c r="H752" s="339"/>
      <c r="I752" s="339"/>
      <c r="J752" s="339"/>
      <c r="K752" s="339"/>
      <c r="L752" s="339"/>
      <c r="M752" s="339"/>
      <c r="N752" s="339"/>
      <c r="O752" s="339"/>
      <c r="P752" s="339"/>
      <c r="Q752" s="339"/>
      <c r="R752" s="339"/>
      <c r="S752" s="339"/>
      <c r="T752" s="339"/>
      <c r="U752" s="339"/>
      <c r="V752" s="339"/>
      <c r="W752" s="339"/>
      <c r="X752" s="339"/>
      <c r="Y752" s="339"/>
      <c r="Z752" s="339"/>
      <c r="AA752" s="339"/>
      <c r="AB752" s="339"/>
      <c r="AC752" s="339"/>
      <c r="AD752" s="339"/>
      <c r="AE752" s="339"/>
      <c r="AF752" s="339"/>
      <c r="AG752" s="339"/>
      <c r="AH752" s="339"/>
      <c r="AI752" s="339"/>
      <c r="AJ752" s="339"/>
      <c r="AK752" s="339"/>
      <c r="AL752" s="339"/>
      <c r="AM752" s="339"/>
      <c r="AN752" s="339"/>
      <c r="AO752" s="339"/>
      <c r="AP752" s="339"/>
      <c r="AQ752" s="339"/>
      <c r="AR752" s="339"/>
      <c r="AS752" s="339"/>
      <c r="AT752" s="339"/>
      <c r="AU752" s="339"/>
      <c r="AV752" s="339"/>
      <c r="AW752" s="339"/>
      <c r="AX752" s="339"/>
      <c r="AY752" s="339"/>
      <c r="AZ752" s="339"/>
      <c r="BA752" s="339"/>
      <c r="BB752" s="339"/>
      <c r="BC752" s="339"/>
      <c r="BD752" s="339"/>
    </row>
    <row r="753" spans="3:56">
      <c r="C753" s="339"/>
      <c r="D753" s="339"/>
      <c r="E753" s="339"/>
      <c r="F753" s="339"/>
      <c r="G753" s="339"/>
      <c r="H753" s="339"/>
      <c r="I753" s="339"/>
      <c r="J753" s="339"/>
      <c r="K753" s="339"/>
      <c r="L753" s="339"/>
      <c r="M753" s="339"/>
      <c r="N753" s="339"/>
      <c r="O753" s="339"/>
      <c r="P753" s="339"/>
      <c r="Q753" s="339"/>
      <c r="R753" s="339"/>
      <c r="S753" s="339"/>
      <c r="T753" s="339"/>
      <c r="U753" s="339"/>
      <c r="V753" s="339"/>
      <c r="W753" s="339"/>
      <c r="X753" s="339"/>
      <c r="Y753" s="339"/>
      <c r="Z753" s="339"/>
      <c r="AA753" s="339"/>
      <c r="AB753" s="339"/>
      <c r="AC753" s="339"/>
      <c r="AD753" s="339"/>
      <c r="AE753" s="339"/>
      <c r="AF753" s="339"/>
      <c r="AG753" s="339"/>
      <c r="AH753" s="339"/>
      <c r="AI753" s="339"/>
      <c r="AJ753" s="339"/>
      <c r="AK753" s="339"/>
      <c r="AL753" s="339"/>
      <c r="AM753" s="339"/>
      <c r="AN753" s="339"/>
      <c r="AO753" s="339"/>
      <c r="AP753" s="339"/>
      <c r="AQ753" s="339"/>
      <c r="AR753" s="339"/>
      <c r="AS753" s="339"/>
      <c r="AT753" s="339"/>
      <c r="AU753" s="339"/>
      <c r="AV753" s="339"/>
      <c r="AW753" s="339"/>
      <c r="AX753" s="339"/>
      <c r="AY753" s="339"/>
      <c r="AZ753" s="339"/>
      <c r="BA753" s="339"/>
      <c r="BB753" s="339"/>
      <c r="BC753" s="339"/>
      <c r="BD753" s="339"/>
    </row>
    <row r="754" spans="3:56">
      <c r="C754" s="339"/>
      <c r="D754" s="339"/>
      <c r="E754" s="339"/>
      <c r="F754" s="339"/>
      <c r="G754" s="339"/>
      <c r="H754" s="339"/>
      <c r="I754" s="339"/>
      <c r="J754" s="339"/>
      <c r="K754" s="339"/>
      <c r="L754" s="339"/>
      <c r="M754" s="339"/>
      <c r="N754" s="339"/>
      <c r="O754" s="339"/>
      <c r="P754" s="339"/>
      <c r="Q754" s="339"/>
      <c r="R754" s="339"/>
      <c r="S754" s="339"/>
      <c r="T754" s="339"/>
      <c r="U754" s="339"/>
      <c r="V754" s="339"/>
      <c r="W754" s="339"/>
      <c r="X754" s="339"/>
      <c r="Y754" s="339"/>
      <c r="Z754" s="339"/>
      <c r="AA754" s="339"/>
      <c r="AB754" s="339"/>
      <c r="AC754" s="339"/>
      <c r="AD754" s="339"/>
      <c r="AE754" s="339"/>
      <c r="AF754" s="339"/>
      <c r="AG754" s="339"/>
      <c r="AH754" s="339"/>
      <c r="AI754" s="339"/>
      <c r="AJ754" s="339"/>
      <c r="AK754" s="339"/>
      <c r="AL754" s="339"/>
      <c r="AM754" s="339"/>
      <c r="AN754" s="339"/>
      <c r="AO754" s="339"/>
      <c r="AP754" s="339"/>
      <c r="AQ754" s="339"/>
      <c r="AR754" s="339"/>
      <c r="AS754" s="339"/>
      <c r="AT754" s="339"/>
      <c r="AU754" s="339"/>
      <c r="AV754" s="339"/>
      <c r="AW754" s="339"/>
      <c r="AX754" s="339"/>
      <c r="AY754" s="339"/>
      <c r="AZ754" s="339"/>
      <c r="BA754" s="339"/>
      <c r="BB754" s="339"/>
      <c r="BC754" s="339"/>
      <c r="BD754" s="339"/>
    </row>
    <row r="755" spans="3:56">
      <c r="C755" s="339"/>
      <c r="D755" s="339"/>
      <c r="E755" s="339"/>
      <c r="F755" s="339"/>
      <c r="G755" s="339"/>
      <c r="H755" s="339"/>
      <c r="I755" s="339"/>
      <c r="J755" s="339"/>
      <c r="K755" s="339"/>
      <c r="L755" s="339"/>
      <c r="M755" s="339"/>
      <c r="N755" s="339"/>
      <c r="O755" s="339"/>
      <c r="P755" s="339"/>
      <c r="Q755" s="339"/>
      <c r="R755" s="339"/>
      <c r="S755" s="339"/>
      <c r="T755" s="339"/>
      <c r="U755" s="339"/>
      <c r="V755" s="339"/>
      <c r="W755" s="339"/>
      <c r="X755" s="339"/>
      <c r="Y755" s="339"/>
      <c r="Z755" s="339"/>
      <c r="AA755" s="339"/>
      <c r="AB755" s="339"/>
      <c r="AC755" s="339"/>
      <c r="AD755" s="339"/>
      <c r="AE755" s="339"/>
      <c r="AF755" s="339"/>
      <c r="AG755" s="339"/>
      <c r="AH755" s="339"/>
      <c r="AI755" s="339"/>
      <c r="AJ755" s="339"/>
      <c r="AK755" s="339"/>
      <c r="AL755" s="339"/>
      <c r="AM755" s="339"/>
      <c r="AN755" s="339"/>
      <c r="AO755" s="339"/>
      <c r="AP755" s="339"/>
      <c r="AQ755" s="339"/>
      <c r="AR755" s="339"/>
      <c r="AS755" s="339"/>
      <c r="AT755" s="339"/>
      <c r="AU755" s="339"/>
      <c r="AV755" s="339"/>
      <c r="AW755" s="339"/>
      <c r="AX755" s="339"/>
      <c r="AY755" s="339"/>
      <c r="AZ755" s="339"/>
      <c r="BA755" s="339"/>
      <c r="BB755" s="339"/>
      <c r="BC755" s="339"/>
      <c r="BD755" s="339"/>
    </row>
    <row r="756" spans="3:56">
      <c r="C756" s="339"/>
      <c r="D756" s="339"/>
      <c r="E756" s="339"/>
      <c r="F756" s="339"/>
      <c r="G756" s="339"/>
      <c r="H756" s="339"/>
      <c r="I756" s="339"/>
      <c r="J756" s="339"/>
      <c r="K756" s="339"/>
      <c r="L756" s="339"/>
      <c r="M756" s="339"/>
      <c r="N756" s="339"/>
      <c r="O756" s="339"/>
      <c r="P756" s="339"/>
      <c r="Q756" s="339"/>
      <c r="R756" s="339"/>
      <c r="S756" s="339"/>
      <c r="T756" s="339"/>
      <c r="U756" s="339"/>
      <c r="V756" s="339"/>
      <c r="W756" s="339"/>
      <c r="X756" s="339"/>
      <c r="Y756" s="339"/>
      <c r="Z756" s="339"/>
      <c r="AA756" s="339"/>
      <c r="AB756" s="339"/>
      <c r="AC756" s="339"/>
      <c r="AD756" s="339"/>
      <c r="AE756" s="339"/>
      <c r="AF756" s="339"/>
      <c r="AG756" s="339"/>
      <c r="AH756" s="339"/>
      <c r="AI756" s="339"/>
      <c r="AJ756" s="339"/>
      <c r="AK756" s="339"/>
      <c r="AL756" s="339"/>
      <c r="AM756" s="339"/>
      <c r="AN756" s="339"/>
      <c r="AO756" s="339"/>
      <c r="AP756" s="339"/>
      <c r="AQ756" s="339"/>
      <c r="AR756" s="339"/>
      <c r="AS756" s="339"/>
      <c r="AT756" s="339"/>
      <c r="AU756" s="339"/>
      <c r="AV756" s="339"/>
      <c r="AW756" s="339"/>
      <c r="AX756" s="339"/>
      <c r="AY756" s="339"/>
      <c r="AZ756" s="339"/>
      <c r="BA756" s="339"/>
      <c r="BB756" s="339"/>
      <c r="BC756" s="339"/>
      <c r="BD756" s="339"/>
    </row>
    <row r="757" spans="3:56">
      <c r="C757" s="339"/>
      <c r="D757" s="339"/>
      <c r="E757" s="339"/>
      <c r="F757" s="339"/>
      <c r="G757" s="339"/>
      <c r="H757" s="339"/>
      <c r="I757" s="339"/>
      <c r="J757" s="339"/>
      <c r="K757" s="339"/>
      <c r="L757" s="339"/>
      <c r="M757" s="339"/>
      <c r="N757" s="339"/>
      <c r="O757" s="339"/>
      <c r="P757" s="339"/>
      <c r="Q757" s="339"/>
      <c r="R757" s="339"/>
      <c r="S757" s="339"/>
      <c r="T757" s="339"/>
      <c r="U757" s="339"/>
      <c r="V757" s="339"/>
      <c r="W757" s="339"/>
      <c r="X757" s="339"/>
      <c r="Y757" s="339"/>
      <c r="Z757" s="339"/>
      <c r="AA757" s="339"/>
      <c r="AB757" s="339"/>
      <c r="AC757" s="339"/>
      <c r="AD757" s="339"/>
      <c r="AE757" s="339"/>
      <c r="AF757" s="339"/>
      <c r="AG757" s="339"/>
      <c r="AH757" s="339"/>
      <c r="AI757" s="339"/>
      <c r="AJ757" s="339"/>
      <c r="AK757" s="339"/>
      <c r="AL757" s="339"/>
      <c r="AM757" s="339"/>
      <c r="AN757" s="339"/>
      <c r="AO757" s="339"/>
      <c r="AP757" s="339"/>
      <c r="AQ757" s="339"/>
      <c r="AR757" s="339"/>
      <c r="AS757" s="339"/>
      <c r="AT757" s="339"/>
      <c r="AU757" s="339"/>
      <c r="AV757" s="339"/>
      <c r="AW757" s="339"/>
      <c r="AX757" s="339"/>
      <c r="AY757" s="339"/>
      <c r="AZ757" s="339"/>
      <c r="BA757" s="339"/>
      <c r="BB757" s="339"/>
      <c r="BC757" s="339"/>
      <c r="BD757" s="339"/>
    </row>
    <row r="758" spans="3:56">
      <c r="C758" s="339"/>
      <c r="D758" s="339"/>
      <c r="E758" s="339"/>
      <c r="F758" s="339"/>
      <c r="G758" s="339"/>
      <c r="H758" s="339"/>
      <c r="I758" s="339"/>
      <c r="J758" s="339"/>
      <c r="K758" s="339"/>
      <c r="L758" s="339"/>
      <c r="M758" s="339"/>
      <c r="N758" s="339"/>
      <c r="O758" s="339"/>
      <c r="P758" s="339"/>
      <c r="Q758" s="339"/>
      <c r="R758" s="339"/>
      <c r="S758" s="339"/>
      <c r="T758" s="339"/>
      <c r="U758" s="339"/>
      <c r="V758" s="339"/>
      <c r="W758" s="339"/>
      <c r="X758" s="339"/>
      <c r="Y758" s="339"/>
      <c r="Z758" s="339"/>
      <c r="AA758" s="339"/>
      <c r="AB758" s="339"/>
      <c r="AC758" s="339"/>
      <c r="AD758" s="339"/>
      <c r="AE758" s="339"/>
      <c r="AF758" s="339"/>
      <c r="AG758" s="339"/>
      <c r="AH758" s="339"/>
      <c r="AI758" s="339"/>
      <c r="AJ758" s="339"/>
      <c r="AK758" s="339"/>
      <c r="AL758" s="339"/>
      <c r="AM758" s="339"/>
      <c r="AN758" s="339"/>
      <c r="AO758" s="339"/>
      <c r="AP758" s="339"/>
      <c r="AQ758" s="339"/>
      <c r="AR758" s="339"/>
      <c r="AS758" s="339"/>
      <c r="AT758" s="339"/>
      <c r="AU758" s="339"/>
      <c r="AV758" s="339"/>
      <c r="AW758" s="339"/>
      <c r="AX758" s="339"/>
      <c r="AY758" s="339"/>
      <c r="AZ758" s="339"/>
      <c r="BA758" s="339"/>
      <c r="BB758" s="339"/>
      <c r="BC758" s="339"/>
      <c r="BD758" s="339"/>
    </row>
    <row r="759" spans="3:56">
      <c r="C759" s="339"/>
      <c r="D759" s="339"/>
      <c r="E759" s="339"/>
      <c r="F759" s="339"/>
      <c r="G759" s="339"/>
      <c r="H759" s="339"/>
      <c r="I759" s="339"/>
      <c r="J759" s="339"/>
      <c r="K759" s="339"/>
      <c r="L759" s="339"/>
      <c r="M759" s="339"/>
      <c r="N759" s="339"/>
      <c r="O759" s="339"/>
      <c r="P759" s="339"/>
      <c r="Q759" s="339"/>
      <c r="R759" s="339"/>
      <c r="S759" s="339"/>
      <c r="T759" s="339"/>
      <c r="U759" s="339"/>
      <c r="V759" s="339"/>
      <c r="W759" s="339"/>
      <c r="X759" s="339"/>
      <c r="Y759" s="339"/>
      <c r="Z759" s="339"/>
      <c r="AA759" s="339"/>
      <c r="AB759" s="339"/>
      <c r="AC759" s="339"/>
      <c r="AD759" s="339"/>
      <c r="AE759" s="339"/>
      <c r="AF759" s="339"/>
      <c r="AG759" s="339"/>
      <c r="AH759" s="339"/>
      <c r="AI759" s="339"/>
      <c r="AJ759" s="339"/>
      <c r="AK759" s="339"/>
      <c r="AL759" s="339"/>
      <c r="AM759" s="339"/>
      <c r="AN759" s="339"/>
      <c r="AO759" s="339"/>
      <c r="AP759" s="339"/>
      <c r="AQ759" s="339"/>
      <c r="AR759" s="339"/>
      <c r="AS759" s="339"/>
      <c r="AT759" s="339"/>
      <c r="AU759" s="339"/>
      <c r="AV759" s="339"/>
      <c r="AW759" s="339"/>
      <c r="AX759" s="339"/>
      <c r="AY759" s="339"/>
      <c r="AZ759" s="339"/>
      <c r="BA759" s="339"/>
      <c r="BB759" s="339"/>
      <c r="BC759" s="339"/>
      <c r="BD759" s="339"/>
    </row>
    <row r="760" spans="3:56">
      <c r="C760" s="339"/>
      <c r="D760" s="339"/>
      <c r="E760" s="339"/>
      <c r="F760" s="339"/>
      <c r="G760" s="339"/>
      <c r="H760" s="339"/>
      <c r="I760" s="339"/>
      <c r="J760" s="339"/>
      <c r="K760" s="339"/>
      <c r="L760" s="339"/>
      <c r="M760" s="339"/>
      <c r="N760" s="339"/>
      <c r="O760" s="339"/>
      <c r="P760" s="339"/>
      <c r="Q760" s="339"/>
      <c r="R760" s="339"/>
      <c r="S760" s="339"/>
      <c r="T760" s="339"/>
      <c r="U760" s="339"/>
      <c r="V760" s="339"/>
      <c r="W760" s="339"/>
      <c r="X760" s="339"/>
      <c r="Y760" s="339"/>
      <c r="Z760" s="339"/>
      <c r="AA760" s="339"/>
      <c r="AB760" s="339"/>
      <c r="AC760" s="339"/>
      <c r="AD760" s="339"/>
      <c r="AE760" s="339"/>
      <c r="AF760" s="339"/>
      <c r="AG760" s="339"/>
      <c r="AH760" s="339"/>
      <c r="AI760" s="339"/>
      <c r="AJ760" s="339"/>
      <c r="AK760" s="339"/>
      <c r="AL760" s="339"/>
      <c r="AM760" s="339"/>
      <c r="AN760" s="339"/>
      <c r="AO760" s="339"/>
      <c r="AP760" s="339"/>
      <c r="AQ760" s="339"/>
      <c r="AR760" s="339"/>
      <c r="AS760" s="339"/>
      <c r="AT760" s="339"/>
      <c r="AU760" s="339"/>
      <c r="AV760" s="339"/>
      <c r="AW760" s="339"/>
      <c r="AX760" s="339"/>
      <c r="AY760" s="339"/>
      <c r="AZ760" s="339"/>
      <c r="BA760" s="339"/>
      <c r="BB760" s="339"/>
      <c r="BC760" s="339"/>
      <c r="BD760" s="339"/>
    </row>
    <row r="761" spans="3:56">
      <c r="C761" s="339"/>
      <c r="D761" s="339"/>
      <c r="E761" s="339"/>
      <c r="F761" s="339"/>
      <c r="G761" s="339"/>
      <c r="H761" s="339"/>
      <c r="I761" s="339"/>
      <c r="J761" s="339"/>
      <c r="K761" s="339"/>
      <c r="L761" s="339"/>
      <c r="M761" s="339"/>
      <c r="N761" s="339"/>
      <c r="O761" s="339"/>
      <c r="P761" s="339"/>
      <c r="Q761" s="339"/>
      <c r="R761" s="339"/>
      <c r="S761" s="339"/>
      <c r="T761" s="339"/>
      <c r="U761" s="339"/>
      <c r="V761" s="339"/>
      <c r="W761" s="339"/>
      <c r="X761" s="339"/>
      <c r="Y761" s="339"/>
      <c r="Z761" s="339"/>
      <c r="AA761" s="339"/>
      <c r="AB761" s="339"/>
      <c r="AC761" s="339"/>
      <c r="AD761" s="339"/>
      <c r="AE761" s="339"/>
      <c r="AF761" s="339"/>
      <c r="AG761" s="339"/>
      <c r="AH761" s="339"/>
      <c r="AI761" s="339"/>
      <c r="AJ761" s="339"/>
      <c r="AK761" s="339"/>
      <c r="AL761" s="339"/>
      <c r="AM761" s="339"/>
      <c r="AN761" s="339"/>
      <c r="AO761" s="339"/>
      <c r="AP761" s="339"/>
      <c r="AQ761" s="339"/>
      <c r="AR761" s="339"/>
      <c r="AS761" s="339"/>
      <c r="AT761" s="339"/>
      <c r="AU761" s="339"/>
      <c r="AV761" s="339"/>
      <c r="AW761" s="339"/>
      <c r="AX761" s="339"/>
      <c r="AY761" s="339"/>
      <c r="AZ761" s="339"/>
      <c r="BA761" s="339"/>
      <c r="BB761" s="339"/>
      <c r="BC761" s="339"/>
      <c r="BD761" s="339"/>
    </row>
    <row r="762" spans="3:56">
      <c r="C762" s="339"/>
      <c r="D762" s="339"/>
      <c r="E762" s="339"/>
      <c r="F762" s="339"/>
      <c r="G762" s="339"/>
      <c r="H762" s="339"/>
      <c r="I762" s="339"/>
      <c r="J762" s="339"/>
      <c r="K762" s="339"/>
      <c r="L762" s="339"/>
      <c r="M762" s="339"/>
      <c r="N762" s="339"/>
      <c r="O762" s="339"/>
      <c r="P762" s="339"/>
      <c r="Q762" s="339"/>
      <c r="R762" s="339"/>
      <c r="S762" s="339"/>
      <c r="T762" s="339"/>
      <c r="U762" s="339"/>
      <c r="V762" s="339"/>
      <c r="W762" s="339"/>
      <c r="X762" s="339"/>
      <c r="Y762" s="339"/>
      <c r="Z762" s="339"/>
      <c r="AA762" s="339"/>
      <c r="AB762" s="339"/>
      <c r="AC762" s="339"/>
      <c r="AD762" s="339"/>
      <c r="AE762" s="339"/>
      <c r="AF762" s="339"/>
      <c r="AG762" s="339"/>
      <c r="AH762" s="339"/>
      <c r="AI762" s="339"/>
      <c r="AJ762" s="339"/>
      <c r="AK762" s="339"/>
      <c r="AL762" s="339"/>
      <c r="AM762" s="339"/>
      <c r="AN762" s="339"/>
      <c r="AO762" s="339"/>
      <c r="AP762" s="339"/>
      <c r="AQ762" s="339"/>
      <c r="AR762" s="339"/>
      <c r="AS762" s="339"/>
      <c r="AT762" s="339"/>
      <c r="AU762" s="339"/>
      <c r="AV762" s="339"/>
      <c r="AW762" s="339"/>
      <c r="AX762" s="339"/>
      <c r="AY762" s="339"/>
      <c r="AZ762" s="339"/>
      <c r="BA762" s="339"/>
      <c r="BB762" s="339"/>
      <c r="BC762" s="339"/>
      <c r="BD762" s="339"/>
    </row>
    <row r="763" spans="3:56">
      <c r="C763" s="339"/>
      <c r="D763" s="339"/>
      <c r="E763" s="339"/>
      <c r="F763" s="339"/>
      <c r="G763" s="339"/>
      <c r="H763" s="339"/>
      <c r="I763" s="339"/>
      <c r="J763" s="339"/>
      <c r="K763" s="339"/>
      <c r="L763" s="339"/>
      <c r="M763" s="339"/>
      <c r="N763" s="339"/>
      <c r="O763" s="339"/>
      <c r="P763" s="339"/>
      <c r="Q763" s="339"/>
      <c r="R763" s="339"/>
      <c r="S763" s="339"/>
      <c r="T763" s="339"/>
      <c r="U763" s="339"/>
      <c r="V763" s="339"/>
      <c r="W763" s="339"/>
      <c r="X763" s="339"/>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c r="AT763" s="339"/>
      <c r="AU763" s="339"/>
      <c r="AV763" s="339"/>
      <c r="AW763" s="339"/>
      <c r="AX763" s="339"/>
      <c r="AY763" s="339"/>
      <c r="AZ763" s="339"/>
      <c r="BA763" s="339"/>
      <c r="BB763" s="339"/>
      <c r="BC763" s="339"/>
      <c r="BD763" s="339"/>
    </row>
    <row r="764" spans="3:56">
      <c r="C764" s="339"/>
      <c r="D764" s="339"/>
      <c r="E764" s="339"/>
      <c r="F764" s="339"/>
      <c r="G764" s="339"/>
      <c r="H764" s="339"/>
      <c r="I764" s="339"/>
      <c r="J764" s="339"/>
      <c r="K764" s="339"/>
      <c r="L764" s="339"/>
      <c r="M764" s="339"/>
      <c r="N764" s="339"/>
      <c r="O764" s="339"/>
      <c r="P764" s="339"/>
      <c r="Q764" s="339"/>
      <c r="R764" s="339"/>
      <c r="S764" s="339"/>
      <c r="T764" s="339"/>
      <c r="U764" s="339"/>
      <c r="V764" s="339"/>
      <c r="W764" s="339"/>
      <c r="X764" s="339"/>
      <c r="Y764" s="339"/>
      <c r="Z764" s="339"/>
      <c r="AA764" s="339"/>
      <c r="AB764" s="339"/>
      <c r="AC764" s="339"/>
      <c r="AD764" s="339"/>
      <c r="AE764" s="339"/>
      <c r="AF764" s="339"/>
      <c r="AG764" s="339"/>
      <c r="AH764" s="339"/>
      <c r="AI764" s="339"/>
      <c r="AJ764" s="339"/>
      <c r="AK764" s="339"/>
      <c r="AL764" s="339"/>
      <c r="AM764" s="339"/>
      <c r="AN764" s="339"/>
      <c r="AO764" s="339"/>
      <c r="AP764" s="339"/>
      <c r="AQ764" s="339"/>
      <c r="AR764" s="339"/>
      <c r="AS764" s="339"/>
      <c r="AT764" s="339"/>
      <c r="AU764" s="339"/>
      <c r="AV764" s="339"/>
      <c r="AW764" s="339"/>
      <c r="AX764" s="339"/>
      <c r="AY764" s="339"/>
      <c r="AZ764" s="339"/>
      <c r="BA764" s="339"/>
      <c r="BB764" s="339"/>
      <c r="BC764" s="339"/>
      <c r="BD764" s="339"/>
    </row>
    <row r="765" spans="3:56">
      <c r="C765" s="339"/>
      <c r="D765" s="339"/>
      <c r="E765" s="339"/>
      <c r="F765" s="339"/>
      <c r="G765" s="339"/>
      <c r="H765" s="339"/>
      <c r="I765" s="339"/>
      <c r="J765" s="339"/>
      <c r="K765" s="339"/>
      <c r="L765" s="339"/>
      <c r="M765" s="339"/>
      <c r="N765" s="339"/>
      <c r="O765" s="339"/>
      <c r="P765" s="339"/>
      <c r="Q765" s="339"/>
      <c r="R765" s="339"/>
      <c r="S765" s="339"/>
      <c r="T765" s="339"/>
      <c r="U765" s="339"/>
      <c r="V765" s="339"/>
      <c r="W765" s="339"/>
      <c r="X765" s="339"/>
      <c r="Y765" s="339"/>
      <c r="Z765" s="339"/>
      <c r="AA765" s="339"/>
      <c r="AB765" s="339"/>
      <c r="AC765" s="339"/>
      <c r="AD765" s="339"/>
      <c r="AE765" s="339"/>
      <c r="AF765" s="339"/>
      <c r="AG765" s="339"/>
      <c r="AH765" s="339"/>
      <c r="AI765" s="339"/>
      <c r="AJ765" s="339"/>
      <c r="AK765" s="339"/>
      <c r="AL765" s="339"/>
      <c r="AM765" s="339"/>
      <c r="AN765" s="339"/>
      <c r="AO765" s="339"/>
      <c r="AP765" s="339"/>
      <c r="AQ765" s="339"/>
      <c r="AR765" s="339"/>
      <c r="AS765" s="339"/>
      <c r="AT765" s="339"/>
      <c r="AU765" s="339"/>
      <c r="AV765" s="339"/>
      <c r="AW765" s="339"/>
      <c r="AX765" s="339"/>
      <c r="AY765" s="339"/>
      <c r="AZ765" s="339"/>
      <c r="BA765" s="339"/>
      <c r="BB765" s="339"/>
      <c r="BC765" s="339"/>
      <c r="BD765" s="339"/>
    </row>
    <row r="766" spans="3:56">
      <c r="C766" s="339"/>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39"/>
      <c r="AS766" s="339"/>
      <c r="AT766" s="339"/>
      <c r="AU766" s="339"/>
      <c r="AV766" s="339"/>
      <c r="AW766" s="339"/>
      <c r="AX766" s="339"/>
      <c r="AY766" s="339"/>
      <c r="AZ766" s="339"/>
      <c r="BA766" s="339"/>
      <c r="BB766" s="339"/>
      <c r="BC766" s="339"/>
      <c r="BD766" s="339"/>
    </row>
    <row r="767" spans="3:56">
      <c r="C767" s="339"/>
      <c r="D767" s="339"/>
      <c r="E767" s="339"/>
      <c r="F767" s="339"/>
      <c r="G767" s="339"/>
      <c r="H767" s="339"/>
      <c r="I767" s="339"/>
      <c r="J767" s="339"/>
      <c r="K767" s="339"/>
      <c r="L767" s="339"/>
      <c r="M767" s="339"/>
      <c r="N767" s="339"/>
      <c r="O767" s="339"/>
      <c r="P767" s="339"/>
      <c r="Q767" s="339"/>
      <c r="R767" s="339"/>
      <c r="S767" s="339"/>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c r="AT767" s="339"/>
      <c r="AU767" s="339"/>
      <c r="AV767" s="339"/>
      <c r="AW767" s="339"/>
      <c r="AX767" s="339"/>
      <c r="AY767" s="339"/>
      <c r="AZ767" s="339"/>
      <c r="BA767" s="339"/>
      <c r="BB767" s="339"/>
      <c r="BC767" s="339"/>
      <c r="BD767" s="339"/>
    </row>
    <row r="768" spans="3:56">
      <c r="C768" s="339"/>
      <c r="D768" s="339"/>
      <c r="E768" s="339"/>
      <c r="F768" s="339"/>
      <c r="G768" s="339"/>
      <c r="H768" s="339"/>
      <c r="I768" s="339"/>
      <c r="J768" s="339"/>
      <c r="K768" s="339"/>
      <c r="L768" s="339"/>
      <c r="M768" s="339"/>
      <c r="N768" s="339"/>
      <c r="O768" s="339"/>
      <c r="P768" s="339"/>
      <c r="Q768" s="339"/>
      <c r="R768" s="339"/>
      <c r="S768" s="339"/>
      <c r="T768" s="339"/>
      <c r="U768" s="339"/>
      <c r="V768" s="339"/>
      <c r="W768" s="339"/>
      <c r="X768" s="339"/>
      <c r="Y768" s="339"/>
      <c r="Z768" s="339"/>
      <c r="AA768" s="339"/>
      <c r="AB768" s="339"/>
      <c r="AC768" s="339"/>
      <c r="AD768" s="339"/>
      <c r="AE768" s="339"/>
      <c r="AF768" s="339"/>
      <c r="AG768" s="339"/>
      <c r="AH768" s="339"/>
      <c r="AI768" s="339"/>
      <c r="AJ768" s="339"/>
      <c r="AK768" s="339"/>
      <c r="AL768" s="339"/>
      <c r="AM768" s="339"/>
      <c r="AN768" s="339"/>
      <c r="AO768" s="339"/>
      <c r="AP768" s="339"/>
      <c r="AQ768" s="339"/>
      <c r="AR768" s="339"/>
      <c r="AS768" s="339"/>
      <c r="AT768" s="339"/>
      <c r="AU768" s="339"/>
      <c r="AV768" s="339"/>
      <c r="AW768" s="339"/>
      <c r="AX768" s="339"/>
      <c r="AY768" s="339"/>
      <c r="AZ768" s="339"/>
      <c r="BA768" s="339"/>
      <c r="BB768" s="339"/>
      <c r="BC768" s="339"/>
      <c r="BD768" s="339"/>
    </row>
    <row r="769" spans="3:56">
      <c r="C769" s="339"/>
      <c r="D769" s="339"/>
      <c r="E769" s="339"/>
      <c r="F769" s="339"/>
      <c r="G769" s="339"/>
      <c r="H769" s="339"/>
      <c r="I769" s="339"/>
      <c r="J769" s="339"/>
      <c r="K769" s="339"/>
      <c r="L769" s="339"/>
      <c r="M769" s="339"/>
      <c r="N769" s="339"/>
      <c r="O769" s="339"/>
      <c r="P769" s="339"/>
      <c r="Q769" s="339"/>
      <c r="R769" s="339"/>
      <c r="S769" s="339"/>
      <c r="T769" s="339"/>
      <c r="U769" s="339"/>
      <c r="V769" s="339"/>
      <c r="W769" s="339"/>
      <c r="X769" s="339"/>
      <c r="Y769" s="339"/>
      <c r="Z769" s="339"/>
      <c r="AA769" s="339"/>
      <c r="AB769" s="339"/>
      <c r="AC769" s="339"/>
      <c r="AD769" s="339"/>
      <c r="AE769" s="339"/>
      <c r="AF769" s="339"/>
      <c r="AG769" s="339"/>
      <c r="AH769" s="339"/>
      <c r="AI769" s="339"/>
      <c r="AJ769" s="339"/>
      <c r="AK769" s="339"/>
      <c r="AL769" s="339"/>
      <c r="AM769" s="339"/>
      <c r="AN769" s="339"/>
      <c r="AO769" s="339"/>
      <c r="AP769" s="339"/>
      <c r="AQ769" s="339"/>
      <c r="AR769" s="339"/>
      <c r="AS769" s="339"/>
      <c r="AT769" s="339"/>
      <c r="AU769" s="339"/>
      <c r="AV769" s="339"/>
      <c r="AW769" s="339"/>
      <c r="AX769" s="339"/>
      <c r="AY769" s="339"/>
      <c r="AZ769" s="339"/>
      <c r="BA769" s="339"/>
      <c r="BB769" s="339"/>
      <c r="BC769" s="339"/>
      <c r="BD769" s="339"/>
    </row>
    <row r="770" spans="3:56">
      <c r="C770" s="339"/>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9"/>
      <c r="AS770" s="339"/>
      <c r="AT770" s="339"/>
      <c r="AU770" s="339"/>
      <c r="AV770" s="339"/>
      <c r="AW770" s="339"/>
      <c r="AX770" s="339"/>
      <c r="AY770" s="339"/>
      <c r="AZ770" s="339"/>
      <c r="BA770" s="339"/>
      <c r="BB770" s="339"/>
      <c r="BC770" s="339"/>
      <c r="BD770" s="339"/>
    </row>
    <row r="771" spans="3:56">
      <c r="C771" s="339"/>
      <c r="D771" s="339"/>
      <c r="E771" s="339"/>
      <c r="F771" s="339"/>
      <c r="G771" s="339"/>
      <c r="H771" s="339"/>
      <c r="I771" s="339"/>
      <c r="J771" s="339"/>
      <c r="K771" s="339"/>
      <c r="L771" s="339"/>
      <c r="M771" s="339"/>
      <c r="N771" s="339"/>
      <c r="O771" s="339"/>
      <c r="P771" s="339"/>
      <c r="Q771" s="339"/>
      <c r="R771" s="339"/>
      <c r="S771" s="339"/>
      <c r="T771" s="339"/>
      <c r="U771" s="339"/>
      <c r="V771" s="339"/>
      <c r="W771" s="339"/>
      <c r="X771" s="339"/>
      <c r="Y771" s="339"/>
      <c r="Z771" s="339"/>
      <c r="AA771" s="339"/>
      <c r="AB771" s="339"/>
      <c r="AC771" s="339"/>
      <c r="AD771" s="339"/>
      <c r="AE771" s="339"/>
      <c r="AF771" s="339"/>
      <c r="AG771" s="339"/>
      <c r="AH771" s="339"/>
      <c r="AI771" s="339"/>
      <c r="AJ771" s="339"/>
      <c r="AK771" s="339"/>
      <c r="AL771" s="339"/>
      <c r="AM771" s="339"/>
      <c r="AN771" s="339"/>
      <c r="AO771" s="339"/>
      <c r="AP771" s="339"/>
      <c r="AQ771" s="339"/>
      <c r="AR771" s="339"/>
      <c r="AS771" s="339"/>
      <c r="AT771" s="339"/>
      <c r="AU771" s="339"/>
      <c r="AV771" s="339"/>
      <c r="AW771" s="339"/>
      <c r="AX771" s="339"/>
      <c r="AY771" s="339"/>
      <c r="AZ771" s="339"/>
      <c r="BA771" s="339"/>
      <c r="BB771" s="339"/>
      <c r="BC771" s="339"/>
      <c r="BD771" s="339"/>
    </row>
    <row r="772" spans="3:56">
      <c r="C772" s="339"/>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9"/>
      <c r="AS772" s="339"/>
      <c r="AT772" s="339"/>
      <c r="AU772" s="339"/>
      <c r="AV772" s="339"/>
      <c r="AW772" s="339"/>
      <c r="AX772" s="339"/>
      <c r="AY772" s="339"/>
      <c r="AZ772" s="339"/>
      <c r="BA772" s="339"/>
      <c r="BB772" s="339"/>
      <c r="BC772" s="339"/>
      <c r="BD772" s="339"/>
    </row>
    <row r="773" spans="3:56">
      <c r="C773" s="339"/>
      <c r="D773" s="339"/>
      <c r="E773" s="339"/>
      <c r="F773" s="339"/>
      <c r="G773" s="339"/>
      <c r="H773" s="339"/>
      <c r="I773" s="339"/>
      <c r="J773" s="339"/>
      <c r="K773" s="339"/>
      <c r="L773" s="339"/>
      <c r="M773" s="339"/>
      <c r="N773" s="339"/>
      <c r="O773" s="339"/>
      <c r="P773" s="339"/>
      <c r="Q773" s="339"/>
      <c r="R773" s="339"/>
      <c r="S773" s="339"/>
      <c r="T773" s="339"/>
      <c r="U773" s="339"/>
      <c r="V773" s="339"/>
      <c r="W773" s="339"/>
      <c r="X773" s="339"/>
      <c r="Y773" s="339"/>
      <c r="Z773" s="339"/>
      <c r="AA773" s="339"/>
      <c r="AB773" s="339"/>
      <c r="AC773" s="339"/>
      <c r="AD773" s="339"/>
      <c r="AE773" s="339"/>
      <c r="AF773" s="339"/>
      <c r="AG773" s="339"/>
      <c r="AH773" s="339"/>
      <c r="AI773" s="339"/>
      <c r="AJ773" s="339"/>
      <c r="AK773" s="339"/>
      <c r="AL773" s="339"/>
      <c r="AM773" s="339"/>
      <c r="AN773" s="339"/>
      <c r="AO773" s="339"/>
      <c r="AP773" s="339"/>
      <c r="AQ773" s="339"/>
      <c r="AR773" s="339"/>
      <c r="AS773" s="339"/>
      <c r="AT773" s="339"/>
      <c r="AU773" s="339"/>
      <c r="AV773" s="339"/>
      <c r="AW773" s="339"/>
      <c r="AX773" s="339"/>
      <c r="AY773" s="339"/>
      <c r="AZ773" s="339"/>
      <c r="BA773" s="339"/>
      <c r="BB773" s="339"/>
      <c r="BC773" s="339"/>
      <c r="BD773" s="339"/>
    </row>
    <row r="774" spans="3:56">
      <c r="C774" s="339"/>
      <c r="D774" s="339"/>
      <c r="E774" s="339"/>
      <c r="F774" s="339"/>
      <c r="G774" s="339"/>
      <c r="H774" s="339"/>
      <c r="I774" s="339"/>
      <c r="J774" s="339"/>
      <c r="K774" s="339"/>
      <c r="L774" s="339"/>
      <c r="M774" s="339"/>
      <c r="N774" s="339"/>
      <c r="O774" s="339"/>
      <c r="P774" s="339"/>
      <c r="Q774" s="339"/>
      <c r="R774" s="339"/>
      <c r="S774" s="339"/>
      <c r="T774" s="339"/>
      <c r="U774" s="339"/>
      <c r="V774" s="339"/>
      <c r="W774" s="339"/>
      <c r="X774" s="339"/>
      <c r="Y774" s="339"/>
      <c r="Z774" s="339"/>
      <c r="AA774" s="339"/>
      <c r="AB774" s="339"/>
      <c r="AC774" s="339"/>
      <c r="AD774" s="339"/>
      <c r="AE774" s="339"/>
      <c r="AF774" s="339"/>
      <c r="AG774" s="339"/>
      <c r="AH774" s="339"/>
      <c r="AI774" s="339"/>
      <c r="AJ774" s="339"/>
      <c r="AK774" s="339"/>
      <c r="AL774" s="339"/>
      <c r="AM774" s="339"/>
      <c r="AN774" s="339"/>
      <c r="AO774" s="339"/>
      <c r="AP774" s="339"/>
      <c r="AQ774" s="339"/>
      <c r="AR774" s="339"/>
      <c r="AS774" s="339"/>
      <c r="AT774" s="339"/>
      <c r="AU774" s="339"/>
      <c r="AV774" s="339"/>
      <c r="AW774" s="339"/>
      <c r="AX774" s="339"/>
      <c r="AY774" s="339"/>
      <c r="AZ774" s="339"/>
      <c r="BA774" s="339"/>
      <c r="BB774" s="339"/>
      <c r="BC774" s="339"/>
      <c r="BD774" s="339"/>
    </row>
    <row r="775" spans="3:56">
      <c r="C775" s="339"/>
      <c r="D775" s="339"/>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c r="AA775" s="339"/>
      <c r="AB775" s="339"/>
      <c r="AC775" s="339"/>
      <c r="AD775" s="339"/>
      <c r="AE775" s="339"/>
      <c r="AF775" s="339"/>
      <c r="AG775" s="339"/>
      <c r="AH775" s="339"/>
      <c r="AI775" s="339"/>
      <c r="AJ775" s="339"/>
      <c r="AK775" s="339"/>
      <c r="AL775" s="339"/>
      <c r="AM775" s="339"/>
      <c r="AN775" s="339"/>
      <c r="AO775" s="339"/>
      <c r="AP775" s="339"/>
      <c r="AQ775" s="339"/>
      <c r="AR775" s="339"/>
      <c r="AS775" s="339"/>
      <c r="AT775" s="339"/>
      <c r="AU775" s="339"/>
      <c r="AV775" s="339"/>
      <c r="AW775" s="339"/>
      <c r="AX775" s="339"/>
      <c r="AY775" s="339"/>
      <c r="AZ775" s="339"/>
      <c r="BA775" s="339"/>
      <c r="BB775" s="339"/>
      <c r="BC775" s="339"/>
      <c r="BD775" s="339"/>
    </row>
    <row r="776" spans="3:56">
      <c r="C776" s="339"/>
      <c r="D776" s="339"/>
      <c r="E776" s="339"/>
      <c r="F776" s="339"/>
      <c r="G776" s="339"/>
      <c r="H776" s="339"/>
      <c r="I776" s="339"/>
      <c r="J776" s="339"/>
      <c r="K776" s="339"/>
      <c r="L776" s="339"/>
      <c r="M776" s="339"/>
      <c r="N776" s="339"/>
      <c r="O776" s="339"/>
      <c r="P776" s="339"/>
      <c r="Q776" s="339"/>
      <c r="R776" s="339"/>
      <c r="S776" s="339"/>
      <c r="T776" s="339"/>
      <c r="U776" s="339"/>
      <c r="V776" s="339"/>
      <c r="W776" s="339"/>
      <c r="X776" s="339"/>
      <c r="Y776" s="339"/>
      <c r="Z776" s="339"/>
      <c r="AA776" s="339"/>
      <c r="AB776" s="339"/>
      <c r="AC776" s="339"/>
      <c r="AD776" s="339"/>
      <c r="AE776" s="339"/>
      <c r="AF776" s="339"/>
      <c r="AG776" s="339"/>
      <c r="AH776" s="339"/>
      <c r="AI776" s="339"/>
      <c r="AJ776" s="339"/>
      <c r="AK776" s="339"/>
      <c r="AL776" s="339"/>
      <c r="AM776" s="339"/>
      <c r="AN776" s="339"/>
      <c r="AO776" s="339"/>
      <c r="AP776" s="339"/>
      <c r="AQ776" s="339"/>
      <c r="AR776" s="339"/>
      <c r="AS776" s="339"/>
      <c r="AT776" s="339"/>
      <c r="AU776" s="339"/>
      <c r="AV776" s="339"/>
      <c r="AW776" s="339"/>
      <c r="AX776" s="339"/>
      <c r="AY776" s="339"/>
      <c r="AZ776" s="339"/>
      <c r="BA776" s="339"/>
      <c r="BB776" s="339"/>
      <c r="BC776" s="339"/>
      <c r="BD776" s="339"/>
    </row>
    <row r="777" spans="3:56">
      <c r="C777" s="339"/>
      <c r="D777" s="339"/>
      <c r="E777" s="339"/>
      <c r="F777" s="339"/>
      <c r="G777" s="339"/>
      <c r="H777" s="339"/>
      <c r="I777" s="339"/>
      <c r="J777" s="339"/>
      <c r="K777" s="339"/>
      <c r="L777" s="339"/>
      <c r="M777" s="339"/>
      <c r="N777" s="339"/>
      <c r="O777" s="339"/>
      <c r="P777" s="339"/>
      <c r="Q777" s="339"/>
      <c r="R777" s="339"/>
      <c r="S777" s="339"/>
      <c r="T777" s="339"/>
      <c r="U777" s="339"/>
      <c r="V777" s="339"/>
      <c r="W777" s="339"/>
      <c r="X777" s="339"/>
      <c r="Y777" s="339"/>
      <c r="Z777" s="339"/>
      <c r="AA777" s="339"/>
      <c r="AB777" s="339"/>
      <c r="AC777" s="339"/>
      <c r="AD777" s="339"/>
      <c r="AE777" s="339"/>
      <c r="AF777" s="339"/>
      <c r="AG777" s="339"/>
      <c r="AH777" s="339"/>
      <c r="AI777" s="339"/>
      <c r="AJ777" s="339"/>
      <c r="AK777" s="339"/>
      <c r="AL777" s="339"/>
      <c r="AM777" s="339"/>
      <c r="AN777" s="339"/>
      <c r="AO777" s="339"/>
      <c r="AP777" s="339"/>
      <c r="AQ777" s="339"/>
      <c r="AR777" s="339"/>
      <c r="AS777" s="339"/>
      <c r="AT777" s="339"/>
      <c r="AU777" s="339"/>
      <c r="AV777" s="339"/>
      <c r="AW777" s="339"/>
      <c r="AX777" s="339"/>
      <c r="AY777" s="339"/>
      <c r="AZ777" s="339"/>
      <c r="BA777" s="339"/>
      <c r="BB777" s="339"/>
      <c r="BC777" s="339"/>
      <c r="BD777" s="339"/>
    </row>
    <row r="778" spans="3:56">
      <c r="C778" s="339"/>
      <c r="D778" s="339"/>
      <c r="E778" s="339"/>
      <c r="F778" s="339"/>
      <c r="G778" s="339"/>
      <c r="H778" s="339"/>
      <c r="I778" s="339"/>
      <c r="J778" s="339"/>
      <c r="K778" s="339"/>
      <c r="L778" s="339"/>
      <c r="M778" s="339"/>
      <c r="N778" s="339"/>
      <c r="O778" s="339"/>
      <c r="P778" s="339"/>
      <c r="Q778" s="339"/>
      <c r="R778" s="339"/>
      <c r="S778" s="339"/>
      <c r="T778" s="339"/>
      <c r="U778" s="339"/>
      <c r="V778" s="339"/>
      <c r="W778" s="339"/>
      <c r="X778" s="339"/>
      <c r="Y778" s="339"/>
      <c r="Z778" s="339"/>
      <c r="AA778" s="339"/>
      <c r="AB778" s="339"/>
      <c r="AC778" s="339"/>
      <c r="AD778" s="339"/>
      <c r="AE778" s="339"/>
      <c r="AF778" s="339"/>
      <c r="AG778" s="339"/>
      <c r="AH778" s="339"/>
      <c r="AI778" s="339"/>
      <c r="AJ778" s="339"/>
      <c r="AK778" s="339"/>
      <c r="AL778" s="339"/>
      <c r="AM778" s="339"/>
      <c r="AN778" s="339"/>
      <c r="AO778" s="339"/>
      <c r="AP778" s="339"/>
      <c r="AQ778" s="339"/>
      <c r="AR778" s="339"/>
      <c r="AS778" s="339"/>
      <c r="AT778" s="339"/>
      <c r="AU778" s="339"/>
      <c r="AV778" s="339"/>
      <c r="AW778" s="339"/>
      <c r="AX778" s="339"/>
      <c r="AY778" s="339"/>
      <c r="AZ778" s="339"/>
      <c r="BA778" s="339"/>
      <c r="BB778" s="339"/>
      <c r="BC778" s="339"/>
      <c r="BD778" s="339"/>
    </row>
    <row r="779" spans="3:56">
      <c r="C779" s="339"/>
      <c r="D779" s="339"/>
      <c r="E779" s="339"/>
      <c r="F779" s="339"/>
      <c r="G779" s="339"/>
      <c r="H779" s="339"/>
      <c r="I779" s="339"/>
      <c r="J779" s="339"/>
      <c r="K779" s="339"/>
      <c r="L779" s="339"/>
      <c r="M779" s="339"/>
      <c r="N779" s="339"/>
      <c r="O779" s="339"/>
      <c r="P779" s="339"/>
      <c r="Q779" s="339"/>
      <c r="R779" s="339"/>
      <c r="S779" s="339"/>
      <c r="T779" s="339"/>
      <c r="U779" s="339"/>
      <c r="V779" s="339"/>
      <c r="W779" s="339"/>
      <c r="X779" s="339"/>
      <c r="Y779" s="339"/>
      <c r="Z779" s="339"/>
      <c r="AA779" s="339"/>
      <c r="AB779" s="339"/>
      <c r="AC779" s="339"/>
      <c r="AD779" s="339"/>
      <c r="AE779" s="339"/>
      <c r="AF779" s="339"/>
      <c r="AG779" s="339"/>
      <c r="AH779" s="339"/>
      <c r="AI779" s="339"/>
      <c r="AJ779" s="339"/>
      <c r="AK779" s="339"/>
      <c r="AL779" s="339"/>
      <c r="AM779" s="339"/>
      <c r="AN779" s="339"/>
      <c r="AO779" s="339"/>
      <c r="AP779" s="339"/>
      <c r="AQ779" s="339"/>
      <c r="AR779" s="339"/>
      <c r="AS779" s="339"/>
      <c r="AT779" s="339"/>
      <c r="AU779" s="339"/>
      <c r="AV779" s="339"/>
      <c r="AW779" s="339"/>
      <c r="AX779" s="339"/>
      <c r="AY779" s="339"/>
      <c r="AZ779" s="339"/>
      <c r="BA779" s="339"/>
      <c r="BB779" s="339"/>
      <c r="BC779" s="339"/>
      <c r="BD779" s="339"/>
    </row>
    <row r="780" spans="3:56">
      <c r="C780" s="339"/>
      <c r="D780" s="339"/>
      <c r="E780" s="339"/>
      <c r="F780" s="339"/>
      <c r="G780" s="339"/>
      <c r="H780" s="339"/>
      <c r="I780" s="339"/>
      <c r="J780" s="339"/>
      <c r="K780" s="339"/>
      <c r="L780" s="339"/>
      <c r="M780" s="339"/>
      <c r="N780" s="339"/>
      <c r="O780" s="339"/>
      <c r="P780" s="339"/>
      <c r="Q780" s="339"/>
      <c r="R780" s="339"/>
      <c r="S780" s="339"/>
      <c r="T780" s="339"/>
      <c r="U780" s="339"/>
      <c r="V780" s="339"/>
      <c r="W780" s="339"/>
      <c r="X780" s="339"/>
      <c r="Y780" s="339"/>
      <c r="Z780" s="339"/>
      <c r="AA780" s="339"/>
      <c r="AB780" s="339"/>
      <c r="AC780" s="339"/>
      <c r="AD780" s="339"/>
      <c r="AE780" s="339"/>
      <c r="AF780" s="339"/>
      <c r="AG780" s="339"/>
      <c r="AH780" s="339"/>
      <c r="AI780" s="339"/>
      <c r="AJ780" s="339"/>
      <c r="AK780" s="339"/>
      <c r="AL780" s="339"/>
      <c r="AM780" s="339"/>
      <c r="AN780" s="339"/>
      <c r="AO780" s="339"/>
      <c r="AP780" s="339"/>
      <c r="AQ780" s="339"/>
      <c r="AR780" s="339"/>
      <c r="AS780" s="339"/>
      <c r="AT780" s="339"/>
      <c r="AU780" s="339"/>
      <c r="AV780" s="339"/>
      <c r="AW780" s="339"/>
      <c r="AX780" s="339"/>
      <c r="AY780" s="339"/>
      <c r="AZ780" s="339"/>
      <c r="BA780" s="339"/>
      <c r="BB780" s="339"/>
      <c r="BC780" s="339"/>
      <c r="BD780" s="339"/>
    </row>
    <row r="781" spans="3:56">
      <c r="C781" s="339"/>
      <c r="D781" s="339"/>
      <c r="E781" s="339"/>
      <c r="F781" s="339"/>
      <c r="G781" s="339"/>
      <c r="H781" s="339"/>
      <c r="I781" s="339"/>
      <c r="J781" s="339"/>
      <c r="K781" s="339"/>
      <c r="L781" s="339"/>
      <c r="M781" s="339"/>
      <c r="N781" s="339"/>
      <c r="O781" s="339"/>
      <c r="P781" s="339"/>
      <c r="Q781" s="339"/>
      <c r="R781" s="339"/>
      <c r="S781" s="339"/>
      <c r="T781" s="339"/>
      <c r="U781" s="339"/>
      <c r="V781" s="339"/>
      <c r="W781" s="339"/>
      <c r="X781" s="339"/>
      <c r="Y781" s="339"/>
      <c r="Z781" s="339"/>
      <c r="AA781" s="339"/>
      <c r="AB781" s="339"/>
      <c r="AC781" s="339"/>
      <c r="AD781" s="339"/>
      <c r="AE781" s="339"/>
      <c r="AF781" s="339"/>
      <c r="AG781" s="339"/>
      <c r="AH781" s="339"/>
      <c r="AI781" s="339"/>
      <c r="AJ781" s="339"/>
      <c r="AK781" s="339"/>
      <c r="AL781" s="339"/>
      <c r="AM781" s="339"/>
      <c r="AN781" s="339"/>
      <c r="AO781" s="339"/>
      <c r="AP781" s="339"/>
      <c r="AQ781" s="339"/>
      <c r="AR781" s="339"/>
      <c r="AS781" s="339"/>
      <c r="AT781" s="339"/>
      <c r="AU781" s="339"/>
      <c r="AV781" s="339"/>
      <c r="AW781" s="339"/>
      <c r="AX781" s="339"/>
      <c r="AY781" s="339"/>
      <c r="AZ781" s="339"/>
      <c r="BA781" s="339"/>
      <c r="BB781" s="339"/>
      <c r="BC781" s="339"/>
      <c r="BD781" s="339"/>
    </row>
    <row r="782" spans="3:56">
      <c r="C782" s="339"/>
      <c r="D782" s="339"/>
      <c r="E782" s="339"/>
      <c r="F782" s="339"/>
      <c r="G782" s="339"/>
      <c r="H782" s="339"/>
      <c r="I782" s="339"/>
      <c r="J782" s="339"/>
      <c r="K782" s="339"/>
      <c r="L782" s="339"/>
      <c r="M782" s="339"/>
      <c r="N782" s="339"/>
      <c r="O782" s="339"/>
      <c r="P782" s="339"/>
      <c r="Q782" s="339"/>
      <c r="R782" s="339"/>
      <c r="S782" s="339"/>
      <c r="T782" s="339"/>
      <c r="U782" s="339"/>
      <c r="V782" s="339"/>
      <c r="W782" s="339"/>
      <c r="X782" s="339"/>
      <c r="Y782" s="339"/>
      <c r="Z782" s="339"/>
      <c r="AA782" s="339"/>
      <c r="AB782" s="339"/>
      <c r="AC782" s="339"/>
      <c r="AD782" s="339"/>
      <c r="AE782" s="339"/>
      <c r="AF782" s="339"/>
      <c r="AG782" s="339"/>
      <c r="AH782" s="339"/>
      <c r="AI782" s="339"/>
      <c r="AJ782" s="339"/>
      <c r="AK782" s="339"/>
      <c r="AL782" s="339"/>
      <c r="AM782" s="339"/>
      <c r="AN782" s="339"/>
      <c r="AO782" s="339"/>
      <c r="AP782" s="339"/>
      <c r="AQ782" s="339"/>
      <c r="AR782" s="339"/>
      <c r="AS782" s="339"/>
      <c r="AT782" s="339"/>
      <c r="AU782" s="339"/>
      <c r="AV782" s="339"/>
      <c r="AW782" s="339"/>
      <c r="AX782" s="339"/>
      <c r="AY782" s="339"/>
      <c r="AZ782" s="339"/>
      <c r="BA782" s="339"/>
      <c r="BB782" s="339"/>
      <c r="BC782" s="339"/>
      <c r="BD782" s="339"/>
    </row>
    <row r="783" spans="3:56">
      <c r="C783" s="339"/>
      <c r="D783" s="339"/>
      <c r="E783" s="339"/>
      <c r="F783" s="339"/>
      <c r="G783" s="339"/>
      <c r="H783" s="339"/>
      <c r="I783" s="339"/>
      <c r="J783" s="339"/>
      <c r="K783" s="339"/>
      <c r="L783" s="339"/>
      <c r="M783" s="339"/>
      <c r="N783" s="339"/>
      <c r="O783" s="339"/>
      <c r="P783" s="339"/>
      <c r="Q783" s="339"/>
      <c r="R783" s="339"/>
      <c r="S783" s="339"/>
      <c r="T783" s="339"/>
      <c r="U783" s="339"/>
      <c r="V783" s="339"/>
      <c r="W783" s="339"/>
      <c r="X783" s="339"/>
      <c r="Y783" s="339"/>
      <c r="Z783" s="339"/>
      <c r="AA783" s="339"/>
      <c r="AB783" s="339"/>
      <c r="AC783" s="339"/>
      <c r="AD783" s="339"/>
      <c r="AE783" s="339"/>
      <c r="AF783" s="339"/>
      <c r="AG783" s="339"/>
      <c r="AH783" s="339"/>
      <c r="AI783" s="339"/>
      <c r="AJ783" s="339"/>
      <c r="AK783" s="339"/>
      <c r="AL783" s="339"/>
      <c r="AM783" s="339"/>
      <c r="AN783" s="339"/>
      <c r="AO783" s="339"/>
      <c r="AP783" s="339"/>
      <c r="AQ783" s="339"/>
      <c r="AR783" s="339"/>
      <c r="AS783" s="339"/>
      <c r="AT783" s="339"/>
      <c r="AU783" s="339"/>
      <c r="AV783" s="339"/>
      <c r="AW783" s="339"/>
      <c r="AX783" s="339"/>
      <c r="AY783" s="339"/>
      <c r="AZ783" s="339"/>
      <c r="BA783" s="339"/>
      <c r="BB783" s="339"/>
      <c r="BC783" s="339"/>
      <c r="BD783" s="339"/>
    </row>
    <row r="784" spans="3:56">
      <c r="C784" s="339"/>
      <c r="D784" s="339"/>
      <c r="E784" s="339"/>
      <c r="F784" s="339"/>
      <c r="G784" s="339"/>
      <c r="H784" s="339"/>
      <c r="I784" s="339"/>
      <c r="J784" s="339"/>
      <c r="K784" s="339"/>
      <c r="L784" s="339"/>
      <c r="M784" s="339"/>
      <c r="N784" s="339"/>
      <c r="O784" s="339"/>
      <c r="P784" s="339"/>
      <c r="Q784" s="339"/>
      <c r="R784" s="339"/>
      <c r="S784" s="339"/>
      <c r="T784" s="339"/>
      <c r="U784" s="339"/>
      <c r="V784" s="339"/>
      <c r="W784" s="339"/>
      <c r="X784" s="339"/>
      <c r="Y784" s="339"/>
      <c r="Z784" s="339"/>
      <c r="AA784" s="339"/>
      <c r="AB784" s="339"/>
      <c r="AC784" s="339"/>
      <c r="AD784" s="339"/>
      <c r="AE784" s="339"/>
      <c r="AF784" s="339"/>
      <c r="AG784" s="339"/>
      <c r="AH784" s="339"/>
      <c r="AI784" s="339"/>
      <c r="AJ784" s="339"/>
      <c r="AK784" s="339"/>
      <c r="AL784" s="339"/>
      <c r="AM784" s="339"/>
      <c r="AN784" s="339"/>
      <c r="AO784" s="339"/>
      <c r="AP784" s="339"/>
      <c r="AQ784" s="339"/>
      <c r="AR784" s="339"/>
      <c r="AS784" s="339"/>
      <c r="AT784" s="339"/>
      <c r="AU784" s="339"/>
      <c r="AV784" s="339"/>
      <c r="AW784" s="339"/>
      <c r="AX784" s="339"/>
      <c r="AY784" s="339"/>
      <c r="AZ784" s="339"/>
      <c r="BA784" s="339"/>
      <c r="BB784" s="339"/>
      <c r="BC784" s="339"/>
      <c r="BD784" s="339"/>
    </row>
    <row r="785" spans="3:56">
      <c r="C785" s="339"/>
      <c r="D785" s="339"/>
      <c r="E785" s="339"/>
      <c r="F785" s="339"/>
      <c r="G785" s="339"/>
      <c r="H785" s="339"/>
      <c r="I785" s="339"/>
      <c r="J785" s="339"/>
      <c r="K785" s="339"/>
      <c r="L785" s="339"/>
      <c r="M785" s="339"/>
      <c r="N785" s="339"/>
      <c r="O785" s="339"/>
      <c r="P785" s="339"/>
      <c r="Q785" s="339"/>
      <c r="R785" s="339"/>
      <c r="S785" s="339"/>
      <c r="T785" s="339"/>
      <c r="U785" s="339"/>
      <c r="V785" s="339"/>
      <c r="W785" s="339"/>
      <c r="X785" s="339"/>
      <c r="Y785" s="339"/>
      <c r="Z785" s="339"/>
      <c r="AA785" s="339"/>
      <c r="AB785" s="339"/>
      <c r="AC785" s="339"/>
      <c r="AD785" s="339"/>
      <c r="AE785" s="339"/>
      <c r="AF785" s="339"/>
      <c r="AG785" s="339"/>
      <c r="AH785" s="339"/>
      <c r="AI785" s="339"/>
      <c r="AJ785" s="339"/>
      <c r="AK785" s="339"/>
      <c r="AL785" s="339"/>
      <c r="AM785" s="339"/>
      <c r="AN785" s="339"/>
      <c r="AO785" s="339"/>
      <c r="AP785" s="339"/>
      <c r="AQ785" s="339"/>
      <c r="AR785" s="339"/>
      <c r="AS785" s="339"/>
      <c r="AT785" s="339"/>
      <c r="AU785" s="339"/>
      <c r="AV785" s="339"/>
      <c r="AW785" s="339"/>
      <c r="AX785" s="339"/>
      <c r="AY785" s="339"/>
      <c r="AZ785" s="339"/>
      <c r="BA785" s="339"/>
      <c r="BB785" s="339"/>
      <c r="BC785" s="339"/>
      <c r="BD785" s="339"/>
    </row>
    <row r="786" spans="3:56">
      <c r="C786" s="339"/>
      <c r="D786" s="339"/>
      <c r="E786" s="339"/>
      <c r="F786" s="339"/>
      <c r="G786" s="339"/>
      <c r="H786" s="339"/>
      <c r="I786" s="339"/>
      <c r="J786" s="339"/>
      <c r="K786" s="339"/>
      <c r="L786" s="339"/>
      <c r="M786" s="339"/>
      <c r="N786" s="339"/>
      <c r="O786" s="339"/>
      <c r="P786" s="339"/>
      <c r="Q786" s="339"/>
      <c r="R786" s="339"/>
      <c r="S786" s="339"/>
      <c r="T786" s="339"/>
      <c r="U786" s="339"/>
      <c r="V786" s="339"/>
      <c r="W786" s="339"/>
      <c r="X786" s="339"/>
      <c r="Y786" s="339"/>
      <c r="Z786" s="339"/>
      <c r="AA786" s="339"/>
      <c r="AB786" s="339"/>
      <c r="AC786" s="339"/>
      <c r="AD786" s="339"/>
      <c r="AE786" s="339"/>
      <c r="AF786" s="339"/>
      <c r="AG786" s="339"/>
      <c r="AH786" s="339"/>
      <c r="AI786" s="339"/>
      <c r="AJ786" s="339"/>
      <c r="AK786" s="339"/>
      <c r="AL786" s="339"/>
      <c r="AM786" s="339"/>
      <c r="AN786" s="339"/>
      <c r="AO786" s="339"/>
      <c r="AP786" s="339"/>
      <c r="AQ786" s="339"/>
      <c r="AR786" s="339"/>
      <c r="AS786" s="339"/>
      <c r="AT786" s="339"/>
      <c r="AU786" s="339"/>
      <c r="AV786" s="339"/>
      <c r="AW786" s="339"/>
      <c r="AX786" s="339"/>
      <c r="AY786" s="339"/>
      <c r="AZ786" s="339"/>
      <c r="BA786" s="339"/>
      <c r="BB786" s="339"/>
      <c r="BC786" s="339"/>
      <c r="BD786" s="339"/>
    </row>
    <row r="787" spans="3:56">
      <c r="C787" s="339"/>
      <c r="D787" s="339"/>
      <c r="E787" s="339"/>
      <c r="F787" s="339"/>
      <c r="G787" s="339"/>
      <c r="H787" s="339"/>
      <c r="I787" s="339"/>
      <c r="J787" s="339"/>
      <c r="K787" s="339"/>
      <c r="L787" s="339"/>
      <c r="M787" s="339"/>
      <c r="N787" s="339"/>
      <c r="O787" s="339"/>
      <c r="P787" s="339"/>
      <c r="Q787" s="339"/>
      <c r="R787" s="339"/>
      <c r="S787" s="339"/>
      <c r="T787" s="339"/>
      <c r="U787" s="339"/>
      <c r="V787" s="339"/>
      <c r="W787" s="339"/>
      <c r="X787" s="339"/>
      <c r="Y787" s="339"/>
      <c r="Z787" s="339"/>
      <c r="AA787" s="339"/>
      <c r="AB787" s="339"/>
      <c r="AC787" s="339"/>
      <c r="AD787" s="339"/>
      <c r="AE787" s="339"/>
      <c r="AF787" s="339"/>
      <c r="AG787" s="339"/>
      <c r="AH787" s="339"/>
      <c r="AI787" s="339"/>
      <c r="AJ787" s="339"/>
      <c r="AK787" s="339"/>
      <c r="AL787" s="339"/>
      <c r="AM787" s="339"/>
      <c r="AN787" s="339"/>
      <c r="AO787" s="339"/>
      <c r="AP787" s="339"/>
      <c r="AQ787" s="339"/>
      <c r="AR787" s="339"/>
      <c r="AS787" s="339"/>
      <c r="AT787" s="339"/>
      <c r="AU787" s="339"/>
      <c r="AV787" s="339"/>
      <c r="AW787" s="339"/>
      <c r="AX787" s="339"/>
      <c r="AY787" s="339"/>
      <c r="AZ787" s="339"/>
      <c r="BA787" s="339"/>
      <c r="BB787" s="339"/>
      <c r="BC787" s="339"/>
      <c r="BD787" s="339"/>
    </row>
    <row r="788" spans="3:56">
      <c r="C788" s="339"/>
      <c r="D788" s="339"/>
      <c r="E788" s="339"/>
      <c r="F788" s="339"/>
      <c r="G788" s="339"/>
      <c r="H788" s="339"/>
      <c r="I788" s="339"/>
      <c r="J788" s="339"/>
      <c r="K788" s="339"/>
      <c r="L788" s="339"/>
      <c r="M788" s="339"/>
      <c r="N788" s="339"/>
      <c r="O788" s="339"/>
      <c r="P788" s="339"/>
      <c r="Q788" s="339"/>
      <c r="R788" s="339"/>
      <c r="S788" s="339"/>
      <c r="T788" s="339"/>
      <c r="U788" s="339"/>
      <c r="V788" s="339"/>
      <c r="W788" s="339"/>
      <c r="X788" s="339"/>
      <c r="Y788" s="339"/>
      <c r="Z788" s="339"/>
      <c r="AA788" s="339"/>
      <c r="AB788" s="339"/>
      <c r="AC788" s="339"/>
      <c r="AD788" s="339"/>
      <c r="AE788" s="339"/>
      <c r="AF788" s="339"/>
      <c r="AG788" s="339"/>
      <c r="AH788" s="339"/>
      <c r="AI788" s="339"/>
      <c r="AJ788" s="339"/>
      <c r="AK788" s="339"/>
      <c r="AL788" s="339"/>
      <c r="AM788" s="339"/>
      <c r="AN788" s="339"/>
      <c r="AO788" s="339"/>
      <c r="AP788" s="339"/>
      <c r="AQ788" s="339"/>
      <c r="AR788" s="339"/>
      <c r="AS788" s="339"/>
      <c r="AT788" s="339"/>
      <c r="AU788" s="339"/>
      <c r="AV788" s="339"/>
      <c r="AW788" s="339"/>
      <c r="AX788" s="339"/>
      <c r="AY788" s="339"/>
      <c r="AZ788" s="339"/>
      <c r="BA788" s="339"/>
      <c r="BB788" s="339"/>
      <c r="BC788" s="339"/>
      <c r="BD788" s="339"/>
    </row>
    <row r="789" spans="3:56">
      <c r="C789" s="339"/>
      <c r="D789" s="339"/>
      <c r="E789" s="339"/>
      <c r="F789" s="339"/>
      <c r="G789" s="339"/>
      <c r="H789" s="339"/>
      <c r="I789" s="339"/>
      <c r="J789" s="339"/>
      <c r="K789" s="339"/>
      <c r="L789" s="339"/>
      <c r="M789" s="339"/>
      <c r="N789" s="339"/>
      <c r="O789" s="339"/>
      <c r="P789" s="339"/>
      <c r="Q789" s="339"/>
      <c r="R789" s="339"/>
      <c r="S789" s="339"/>
      <c r="T789" s="339"/>
      <c r="U789" s="339"/>
      <c r="V789" s="339"/>
      <c r="W789" s="339"/>
      <c r="X789" s="339"/>
      <c r="Y789" s="339"/>
      <c r="Z789" s="339"/>
      <c r="AA789" s="339"/>
      <c r="AB789" s="339"/>
      <c r="AC789" s="339"/>
      <c r="AD789" s="339"/>
      <c r="AE789" s="339"/>
      <c r="AF789" s="339"/>
      <c r="AG789" s="339"/>
      <c r="AH789" s="339"/>
      <c r="AI789" s="339"/>
      <c r="AJ789" s="339"/>
      <c r="AK789" s="339"/>
      <c r="AL789" s="339"/>
      <c r="AM789" s="339"/>
      <c r="AN789" s="339"/>
      <c r="AO789" s="339"/>
      <c r="AP789" s="339"/>
      <c r="AQ789" s="339"/>
      <c r="AR789" s="339"/>
      <c r="AS789" s="339"/>
      <c r="AT789" s="339"/>
      <c r="AU789" s="339"/>
      <c r="AV789" s="339"/>
      <c r="AW789" s="339"/>
      <c r="AX789" s="339"/>
      <c r="AY789" s="339"/>
      <c r="AZ789" s="339"/>
      <c r="BA789" s="339"/>
      <c r="BB789" s="339"/>
      <c r="BC789" s="339"/>
      <c r="BD789" s="339"/>
    </row>
    <row r="790" spans="3:56">
      <c r="C790" s="339"/>
      <c r="D790" s="339"/>
      <c r="E790" s="339"/>
      <c r="F790" s="339"/>
      <c r="G790" s="339"/>
      <c r="H790" s="339"/>
      <c r="I790" s="339"/>
      <c r="J790" s="339"/>
      <c r="K790" s="339"/>
      <c r="L790" s="339"/>
      <c r="M790" s="339"/>
      <c r="N790" s="339"/>
      <c r="O790" s="339"/>
      <c r="P790" s="339"/>
      <c r="Q790" s="339"/>
      <c r="R790" s="339"/>
      <c r="S790" s="339"/>
      <c r="T790" s="339"/>
      <c r="U790" s="339"/>
      <c r="V790" s="339"/>
      <c r="W790" s="339"/>
      <c r="X790" s="339"/>
      <c r="Y790" s="339"/>
      <c r="Z790" s="339"/>
      <c r="AA790" s="339"/>
      <c r="AB790" s="339"/>
      <c r="AC790" s="339"/>
      <c r="AD790" s="339"/>
      <c r="AE790" s="339"/>
      <c r="AF790" s="339"/>
      <c r="AG790" s="339"/>
      <c r="AH790" s="339"/>
      <c r="AI790" s="339"/>
      <c r="AJ790" s="339"/>
      <c r="AK790" s="339"/>
      <c r="AL790" s="339"/>
      <c r="AM790" s="339"/>
      <c r="AN790" s="339"/>
      <c r="AO790" s="339"/>
      <c r="AP790" s="339"/>
      <c r="AQ790" s="339"/>
      <c r="AR790" s="339"/>
      <c r="AS790" s="339"/>
      <c r="AT790" s="339"/>
      <c r="AU790" s="339"/>
      <c r="AV790" s="339"/>
      <c r="AW790" s="339"/>
      <c r="AX790" s="339"/>
      <c r="AY790" s="339"/>
      <c r="AZ790" s="339"/>
      <c r="BA790" s="339"/>
      <c r="BB790" s="339"/>
      <c r="BC790" s="339"/>
      <c r="BD790" s="339"/>
    </row>
    <row r="791" spans="3:56">
      <c r="C791" s="339"/>
      <c r="D791" s="339"/>
      <c r="E791" s="339"/>
      <c r="F791" s="339"/>
      <c r="G791" s="339"/>
      <c r="H791" s="339"/>
      <c r="I791" s="339"/>
      <c r="J791" s="339"/>
      <c r="K791" s="339"/>
      <c r="L791" s="339"/>
      <c r="M791" s="339"/>
      <c r="N791" s="339"/>
      <c r="O791" s="339"/>
      <c r="P791" s="339"/>
      <c r="Q791" s="339"/>
      <c r="R791" s="339"/>
      <c r="S791" s="339"/>
      <c r="T791" s="339"/>
      <c r="U791" s="339"/>
      <c r="V791" s="339"/>
      <c r="W791" s="339"/>
      <c r="X791" s="339"/>
      <c r="Y791" s="339"/>
      <c r="Z791" s="339"/>
      <c r="AA791" s="339"/>
      <c r="AB791" s="339"/>
      <c r="AC791" s="339"/>
      <c r="AD791" s="339"/>
      <c r="AE791" s="339"/>
      <c r="AF791" s="339"/>
      <c r="AG791" s="339"/>
      <c r="AH791" s="339"/>
      <c r="AI791" s="339"/>
      <c r="AJ791" s="339"/>
      <c r="AK791" s="339"/>
      <c r="AL791" s="339"/>
      <c r="AM791" s="339"/>
      <c r="AN791" s="339"/>
      <c r="AO791" s="339"/>
      <c r="AP791" s="339"/>
      <c r="AQ791" s="339"/>
      <c r="AR791" s="339"/>
      <c r="AS791" s="339"/>
      <c r="AT791" s="339"/>
      <c r="AU791" s="339"/>
      <c r="AV791" s="339"/>
      <c r="AW791" s="339"/>
      <c r="AX791" s="339"/>
      <c r="AY791" s="339"/>
      <c r="AZ791" s="339"/>
      <c r="BA791" s="339"/>
      <c r="BB791" s="339"/>
      <c r="BC791" s="339"/>
      <c r="BD791" s="339"/>
    </row>
    <row r="792" spans="3:56">
      <c r="C792" s="339"/>
      <c r="D792" s="339"/>
      <c r="E792" s="339"/>
      <c r="F792" s="339"/>
      <c r="G792" s="339"/>
      <c r="H792" s="339"/>
      <c r="I792" s="339"/>
      <c r="J792" s="339"/>
      <c r="K792" s="339"/>
      <c r="L792" s="339"/>
      <c r="M792" s="339"/>
      <c r="N792" s="339"/>
      <c r="O792" s="339"/>
      <c r="P792" s="339"/>
      <c r="Q792" s="339"/>
      <c r="R792" s="339"/>
      <c r="S792" s="339"/>
      <c r="T792" s="339"/>
      <c r="U792" s="339"/>
      <c r="V792" s="339"/>
      <c r="W792" s="339"/>
      <c r="X792" s="339"/>
      <c r="Y792" s="339"/>
      <c r="Z792" s="339"/>
      <c r="AA792" s="339"/>
      <c r="AB792" s="339"/>
      <c r="AC792" s="339"/>
      <c r="AD792" s="339"/>
      <c r="AE792" s="339"/>
      <c r="AF792" s="339"/>
      <c r="AG792" s="339"/>
      <c r="AH792" s="339"/>
      <c r="AI792" s="339"/>
      <c r="AJ792" s="339"/>
      <c r="AK792" s="339"/>
      <c r="AL792" s="339"/>
      <c r="AM792" s="339"/>
      <c r="AN792" s="339"/>
      <c r="AO792" s="339"/>
      <c r="AP792" s="339"/>
      <c r="AQ792" s="339"/>
      <c r="AR792" s="339"/>
      <c r="AS792" s="339"/>
      <c r="AT792" s="339"/>
      <c r="AU792" s="339"/>
      <c r="AV792" s="339"/>
      <c r="AW792" s="339"/>
      <c r="AX792" s="339"/>
      <c r="AY792" s="339"/>
      <c r="AZ792" s="339"/>
      <c r="BA792" s="339"/>
      <c r="BB792" s="339"/>
      <c r="BC792" s="339"/>
      <c r="BD792" s="339"/>
    </row>
    <row r="793" spans="3:56">
      <c r="C793" s="339"/>
      <c r="D793" s="339"/>
      <c r="E793" s="339"/>
      <c r="F793" s="339"/>
      <c r="G793" s="339"/>
      <c r="H793" s="339"/>
      <c r="I793" s="339"/>
      <c r="J793" s="339"/>
      <c r="K793" s="339"/>
      <c r="L793" s="339"/>
      <c r="M793" s="339"/>
      <c r="N793" s="339"/>
      <c r="O793" s="339"/>
      <c r="P793" s="339"/>
      <c r="Q793" s="339"/>
      <c r="R793" s="339"/>
      <c r="S793" s="339"/>
      <c r="T793" s="339"/>
      <c r="U793" s="339"/>
      <c r="V793" s="339"/>
      <c r="W793" s="339"/>
      <c r="X793" s="339"/>
      <c r="Y793" s="339"/>
      <c r="Z793" s="339"/>
      <c r="AA793" s="339"/>
      <c r="AB793" s="339"/>
      <c r="AC793" s="339"/>
      <c r="AD793" s="339"/>
      <c r="AE793" s="339"/>
      <c r="AF793" s="339"/>
      <c r="AG793" s="339"/>
      <c r="AH793" s="339"/>
      <c r="AI793" s="339"/>
      <c r="AJ793" s="339"/>
      <c r="AK793" s="339"/>
      <c r="AL793" s="339"/>
      <c r="AM793" s="339"/>
      <c r="AN793" s="339"/>
      <c r="AO793" s="339"/>
      <c r="AP793" s="339"/>
      <c r="AQ793" s="339"/>
      <c r="AR793" s="339"/>
      <c r="AS793" s="339"/>
      <c r="AT793" s="339"/>
      <c r="AU793" s="339"/>
      <c r="AV793" s="339"/>
      <c r="AW793" s="339"/>
      <c r="AX793" s="339"/>
      <c r="AY793" s="339"/>
      <c r="AZ793" s="339"/>
      <c r="BA793" s="339"/>
      <c r="BB793" s="339"/>
      <c r="BC793" s="339"/>
      <c r="BD793" s="339"/>
    </row>
    <row r="794" spans="3:56">
      <c r="C794" s="339"/>
      <c r="D794" s="339"/>
      <c r="E794" s="339"/>
      <c r="F794" s="339"/>
      <c r="G794" s="339"/>
      <c r="H794" s="339"/>
      <c r="I794" s="339"/>
      <c r="J794" s="339"/>
      <c r="K794" s="339"/>
      <c r="L794" s="339"/>
      <c r="M794" s="339"/>
      <c r="N794" s="339"/>
      <c r="O794" s="339"/>
      <c r="P794" s="339"/>
      <c r="Q794" s="339"/>
      <c r="R794" s="339"/>
      <c r="S794" s="339"/>
      <c r="T794" s="339"/>
      <c r="U794" s="339"/>
      <c r="V794" s="339"/>
      <c r="W794" s="339"/>
      <c r="X794" s="339"/>
      <c r="Y794" s="339"/>
      <c r="Z794" s="339"/>
      <c r="AA794" s="339"/>
      <c r="AB794" s="339"/>
      <c r="AC794" s="339"/>
      <c r="AD794" s="339"/>
      <c r="AE794" s="339"/>
      <c r="AF794" s="339"/>
      <c r="AG794" s="339"/>
      <c r="AH794" s="339"/>
      <c r="AI794" s="339"/>
      <c r="AJ794" s="339"/>
      <c r="AK794" s="339"/>
      <c r="AL794" s="339"/>
      <c r="AM794" s="339"/>
      <c r="AN794" s="339"/>
      <c r="AO794" s="339"/>
      <c r="AP794" s="339"/>
      <c r="AQ794" s="339"/>
      <c r="AR794" s="339"/>
      <c r="AS794" s="339"/>
      <c r="AT794" s="339"/>
      <c r="AU794" s="339"/>
      <c r="AV794" s="339"/>
      <c r="AW794" s="339"/>
      <c r="AX794" s="339"/>
      <c r="AY794" s="339"/>
      <c r="AZ794" s="339"/>
      <c r="BA794" s="339"/>
      <c r="BB794" s="339"/>
      <c r="BC794" s="339"/>
      <c r="BD794" s="339"/>
    </row>
    <row r="795" spans="3:56">
      <c r="C795" s="339"/>
      <c r="D795" s="339"/>
      <c r="E795" s="339"/>
      <c r="F795" s="339"/>
      <c r="G795" s="339"/>
      <c r="H795" s="339"/>
      <c r="I795" s="339"/>
      <c r="J795" s="339"/>
      <c r="K795" s="339"/>
      <c r="L795" s="339"/>
      <c r="M795" s="339"/>
      <c r="N795" s="339"/>
      <c r="O795" s="339"/>
      <c r="P795" s="339"/>
      <c r="Q795" s="339"/>
      <c r="R795" s="339"/>
      <c r="S795" s="339"/>
      <c r="T795" s="339"/>
      <c r="U795" s="339"/>
      <c r="V795" s="339"/>
      <c r="W795" s="339"/>
      <c r="X795" s="339"/>
      <c r="Y795" s="339"/>
      <c r="Z795" s="339"/>
      <c r="AA795" s="339"/>
      <c r="AB795" s="339"/>
      <c r="AC795" s="339"/>
      <c r="AD795" s="339"/>
      <c r="AE795" s="339"/>
      <c r="AF795" s="339"/>
      <c r="AG795" s="339"/>
      <c r="AH795" s="339"/>
      <c r="AI795" s="339"/>
      <c r="AJ795" s="339"/>
      <c r="AK795" s="339"/>
      <c r="AL795" s="339"/>
      <c r="AM795" s="339"/>
      <c r="AN795" s="339"/>
      <c r="AO795" s="339"/>
      <c r="AP795" s="339"/>
      <c r="AQ795" s="339"/>
      <c r="AR795" s="339"/>
      <c r="AS795" s="339"/>
      <c r="AT795" s="339"/>
      <c r="AU795" s="339"/>
      <c r="AV795" s="339"/>
      <c r="AW795" s="339"/>
      <c r="AX795" s="339"/>
      <c r="AY795" s="339"/>
      <c r="AZ795" s="339"/>
      <c r="BA795" s="339"/>
      <c r="BB795" s="339"/>
      <c r="BC795" s="339"/>
      <c r="BD795" s="339"/>
    </row>
    <row r="796" spans="3:56">
      <c r="C796" s="339"/>
      <c r="D796" s="339"/>
      <c r="E796" s="339"/>
      <c r="F796" s="339"/>
      <c r="G796" s="339"/>
      <c r="H796" s="339"/>
      <c r="I796" s="339"/>
      <c r="J796" s="339"/>
      <c r="K796" s="339"/>
      <c r="L796" s="339"/>
      <c r="M796" s="339"/>
      <c r="N796" s="339"/>
      <c r="O796" s="339"/>
      <c r="P796" s="339"/>
      <c r="Q796" s="339"/>
      <c r="R796" s="339"/>
      <c r="S796" s="339"/>
      <c r="T796" s="339"/>
      <c r="U796" s="339"/>
      <c r="V796" s="339"/>
      <c r="W796" s="339"/>
      <c r="X796" s="339"/>
      <c r="Y796" s="339"/>
      <c r="Z796" s="339"/>
      <c r="AA796" s="339"/>
      <c r="AB796" s="339"/>
      <c r="AC796" s="339"/>
      <c r="AD796" s="339"/>
      <c r="AE796" s="339"/>
      <c r="AF796" s="339"/>
      <c r="AG796" s="339"/>
      <c r="AH796" s="339"/>
      <c r="AI796" s="339"/>
      <c r="AJ796" s="339"/>
      <c r="AK796" s="339"/>
      <c r="AL796" s="339"/>
      <c r="AM796" s="339"/>
      <c r="AN796" s="339"/>
      <c r="AO796" s="339"/>
      <c r="AP796" s="339"/>
      <c r="AQ796" s="339"/>
      <c r="AR796" s="339"/>
      <c r="AS796" s="339"/>
      <c r="AT796" s="339"/>
      <c r="AU796" s="339"/>
      <c r="AV796" s="339"/>
      <c r="AW796" s="339"/>
      <c r="AX796" s="339"/>
      <c r="AY796" s="339"/>
      <c r="AZ796" s="339"/>
      <c r="BA796" s="339"/>
      <c r="BB796" s="339"/>
      <c r="BC796" s="339"/>
      <c r="BD796" s="339"/>
    </row>
    <row r="797" spans="3:56">
      <c r="C797" s="339"/>
      <c r="D797" s="339"/>
      <c r="E797" s="339"/>
      <c r="F797" s="339"/>
      <c r="G797" s="339"/>
      <c r="H797" s="339"/>
      <c r="I797" s="339"/>
      <c r="J797" s="339"/>
      <c r="K797" s="339"/>
      <c r="L797" s="339"/>
      <c r="M797" s="339"/>
      <c r="N797" s="339"/>
      <c r="O797" s="339"/>
      <c r="P797" s="339"/>
      <c r="Q797" s="339"/>
      <c r="R797" s="339"/>
      <c r="S797" s="339"/>
      <c r="T797" s="339"/>
      <c r="U797" s="339"/>
      <c r="V797" s="339"/>
      <c r="W797" s="339"/>
      <c r="X797" s="339"/>
      <c r="Y797" s="339"/>
      <c r="Z797" s="339"/>
      <c r="AA797" s="339"/>
      <c r="AB797" s="339"/>
      <c r="AC797" s="339"/>
      <c r="AD797" s="339"/>
      <c r="AE797" s="339"/>
      <c r="AF797" s="339"/>
      <c r="AG797" s="339"/>
      <c r="AH797" s="339"/>
      <c r="AI797" s="339"/>
      <c r="AJ797" s="339"/>
      <c r="AK797" s="339"/>
      <c r="AL797" s="339"/>
      <c r="AM797" s="339"/>
      <c r="AN797" s="339"/>
      <c r="AO797" s="339"/>
      <c r="AP797" s="339"/>
      <c r="AQ797" s="339"/>
      <c r="AR797" s="339"/>
      <c r="AS797" s="339"/>
      <c r="AT797" s="339"/>
      <c r="AU797" s="339"/>
      <c r="AV797" s="339"/>
      <c r="AW797" s="339"/>
      <c r="AX797" s="339"/>
      <c r="AY797" s="339"/>
      <c r="AZ797" s="339"/>
      <c r="BA797" s="339"/>
      <c r="BB797" s="339"/>
      <c r="BC797" s="339"/>
      <c r="BD797" s="339"/>
    </row>
    <row r="798" spans="3:56">
      <c r="C798" s="339"/>
      <c r="D798" s="339"/>
      <c r="E798" s="339"/>
      <c r="F798" s="339"/>
      <c r="G798" s="339"/>
      <c r="H798" s="339"/>
      <c r="I798" s="339"/>
      <c r="J798" s="339"/>
      <c r="K798" s="339"/>
      <c r="L798" s="339"/>
      <c r="M798" s="339"/>
      <c r="N798" s="339"/>
      <c r="O798" s="339"/>
      <c r="P798" s="339"/>
      <c r="Q798" s="339"/>
      <c r="R798" s="339"/>
      <c r="S798" s="339"/>
      <c r="T798" s="339"/>
      <c r="U798" s="339"/>
      <c r="V798" s="339"/>
      <c r="W798" s="339"/>
      <c r="X798" s="339"/>
      <c r="Y798" s="339"/>
      <c r="Z798" s="339"/>
      <c r="AA798" s="339"/>
      <c r="AB798" s="339"/>
      <c r="AC798" s="339"/>
      <c r="AD798" s="339"/>
      <c r="AE798" s="339"/>
      <c r="AF798" s="339"/>
      <c r="AG798" s="339"/>
      <c r="AH798" s="339"/>
      <c r="AI798" s="339"/>
      <c r="AJ798" s="339"/>
      <c r="AK798" s="339"/>
      <c r="AL798" s="339"/>
      <c r="AM798" s="339"/>
      <c r="AN798" s="339"/>
      <c r="AO798" s="339"/>
      <c r="AP798" s="339"/>
      <c r="AQ798" s="339"/>
      <c r="AR798" s="339"/>
      <c r="AS798" s="339"/>
      <c r="AT798" s="339"/>
      <c r="AU798" s="339"/>
      <c r="AV798" s="339"/>
      <c r="AW798" s="339"/>
      <c r="AX798" s="339"/>
      <c r="AY798" s="339"/>
      <c r="AZ798" s="339"/>
      <c r="BA798" s="339"/>
      <c r="BB798" s="339"/>
      <c r="BC798" s="339"/>
      <c r="BD798" s="339"/>
    </row>
    <row r="799" spans="3:56">
      <c r="C799" s="339"/>
      <c r="D799" s="339"/>
      <c r="E799" s="339"/>
      <c r="F799" s="339"/>
      <c r="G799" s="339"/>
      <c r="H799" s="339"/>
      <c r="I799" s="339"/>
      <c r="J799" s="339"/>
      <c r="K799" s="339"/>
      <c r="L799" s="339"/>
      <c r="M799" s="339"/>
      <c r="N799" s="339"/>
      <c r="O799" s="339"/>
      <c r="P799" s="339"/>
      <c r="Q799" s="339"/>
      <c r="R799" s="339"/>
      <c r="S799" s="339"/>
      <c r="T799" s="339"/>
      <c r="U799" s="339"/>
      <c r="V799" s="339"/>
      <c r="W799" s="339"/>
      <c r="X799" s="339"/>
      <c r="Y799" s="339"/>
      <c r="Z799" s="339"/>
      <c r="AA799" s="339"/>
      <c r="AB799" s="339"/>
      <c r="AC799" s="339"/>
      <c r="AD799" s="339"/>
      <c r="AE799" s="339"/>
      <c r="AF799" s="339"/>
      <c r="AG799" s="339"/>
      <c r="AH799" s="339"/>
      <c r="AI799" s="339"/>
      <c r="AJ799" s="339"/>
      <c r="AK799" s="339"/>
      <c r="AL799" s="339"/>
      <c r="AM799" s="339"/>
      <c r="AN799" s="339"/>
      <c r="AO799" s="339"/>
      <c r="AP799" s="339"/>
      <c r="AQ799" s="339"/>
      <c r="AR799" s="339"/>
      <c r="AS799" s="339"/>
      <c r="AT799" s="339"/>
      <c r="AU799" s="339"/>
      <c r="AV799" s="339"/>
      <c r="AW799" s="339"/>
      <c r="AX799" s="339"/>
      <c r="AY799" s="339"/>
      <c r="AZ799" s="339"/>
      <c r="BA799" s="339"/>
      <c r="BB799" s="339"/>
      <c r="BC799" s="339"/>
      <c r="BD799" s="339"/>
    </row>
    <row r="800" spans="3:56">
      <c r="C800" s="339"/>
      <c r="D800" s="339"/>
      <c r="E800" s="339"/>
      <c r="F800" s="339"/>
      <c r="G800" s="339"/>
      <c r="H800" s="339"/>
      <c r="I800" s="339"/>
      <c r="J800" s="339"/>
      <c r="K800" s="339"/>
      <c r="L800" s="339"/>
      <c r="M800" s="339"/>
      <c r="N800" s="339"/>
      <c r="O800" s="339"/>
      <c r="P800" s="339"/>
      <c r="Q800" s="339"/>
      <c r="R800" s="339"/>
      <c r="S800" s="339"/>
      <c r="T800" s="339"/>
      <c r="U800" s="339"/>
      <c r="V800" s="339"/>
      <c r="W800" s="339"/>
      <c r="X800" s="339"/>
      <c r="Y800" s="339"/>
      <c r="Z800" s="339"/>
      <c r="AA800" s="339"/>
      <c r="AB800" s="339"/>
      <c r="AC800" s="339"/>
      <c r="AD800" s="339"/>
      <c r="AE800" s="339"/>
      <c r="AF800" s="339"/>
      <c r="AG800" s="339"/>
      <c r="AH800" s="339"/>
      <c r="AI800" s="339"/>
      <c r="AJ800" s="339"/>
      <c r="AK800" s="339"/>
      <c r="AL800" s="339"/>
      <c r="AM800" s="339"/>
      <c r="AN800" s="339"/>
      <c r="AO800" s="339"/>
      <c r="AP800" s="339"/>
      <c r="AQ800" s="339"/>
      <c r="AR800" s="339"/>
      <c r="AS800" s="339"/>
      <c r="AT800" s="339"/>
      <c r="AU800" s="339"/>
      <c r="AV800" s="339"/>
      <c r="AW800" s="339"/>
      <c r="AX800" s="339"/>
      <c r="AY800" s="339"/>
      <c r="AZ800" s="339"/>
      <c r="BA800" s="339"/>
      <c r="BB800" s="339"/>
      <c r="BC800" s="339"/>
      <c r="BD800" s="339"/>
    </row>
    <row r="801" spans="3:56">
      <c r="C801" s="339"/>
      <c r="D801" s="339"/>
      <c r="E801" s="339"/>
      <c r="F801" s="339"/>
      <c r="G801" s="339"/>
      <c r="H801" s="339"/>
      <c r="I801" s="339"/>
      <c r="J801" s="339"/>
      <c r="K801" s="339"/>
      <c r="L801" s="339"/>
      <c r="M801" s="339"/>
      <c r="N801" s="339"/>
      <c r="O801" s="339"/>
      <c r="P801" s="339"/>
      <c r="Q801" s="339"/>
      <c r="R801" s="339"/>
      <c r="S801" s="339"/>
      <c r="T801" s="339"/>
      <c r="U801" s="339"/>
      <c r="V801" s="339"/>
      <c r="W801" s="339"/>
      <c r="X801" s="339"/>
      <c r="Y801" s="339"/>
      <c r="Z801" s="339"/>
      <c r="AA801" s="339"/>
      <c r="AB801" s="339"/>
      <c r="AC801" s="339"/>
      <c r="AD801" s="339"/>
      <c r="AE801" s="339"/>
      <c r="AF801" s="339"/>
      <c r="AG801" s="339"/>
      <c r="AH801" s="339"/>
      <c r="AI801" s="339"/>
      <c r="AJ801" s="339"/>
      <c r="AK801" s="339"/>
      <c r="AL801" s="339"/>
      <c r="AM801" s="339"/>
      <c r="AN801" s="339"/>
      <c r="AO801" s="339"/>
      <c r="AP801" s="339"/>
      <c r="AQ801" s="339"/>
      <c r="AR801" s="339"/>
      <c r="AS801" s="339"/>
      <c r="AT801" s="339"/>
      <c r="AU801" s="339"/>
      <c r="AV801" s="339"/>
      <c r="AW801" s="339"/>
      <c r="AX801" s="339"/>
      <c r="AY801" s="339"/>
      <c r="AZ801" s="339"/>
      <c r="BA801" s="339"/>
      <c r="BB801" s="339"/>
      <c r="BC801" s="339"/>
      <c r="BD801" s="339"/>
    </row>
    <row r="802" spans="3:56">
      <c r="C802" s="339"/>
      <c r="D802" s="339"/>
      <c r="E802" s="339"/>
      <c r="F802" s="339"/>
      <c r="G802" s="339"/>
      <c r="H802" s="339"/>
      <c r="I802" s="339"/>
      <c r="J802" s="339"/>
      <c r="K802" s="339"/>
      <c r="L802" s="339"/>
      <c r="M802" s="339"/>
      <c r="N802" s="339"/>
      <c r="O802" s="339"/>
      <c r="P802" s="339"/>
      <c r="Q802" s="339"/>
      <c r="R802" s="339"/>
      <c r="S802" s="339"/>
      <c r="T802" s="339"/>
      <c r="U802" s="339"/>
      <c r="V802" s="339"/>
      <c r="W802" s="339"/>
      <c r="X802" s="339"/>
      <c r="Y802" s="339"/>
      <c r="Z802" s="339"/>
      <c r="AA802" s="339"/>
      <c r="AB802" s="339"/>
      <c r="AC802" s="339"/>
      <c r="AD802" s="339"/>
      <c r="AE802" s="339"/>
      <c r="AF802" s="339"/>
      <c r="AG802" s="339"/>
      <c r="AH802" s="339"/>
      <c r="AI802" s="339"/>
      <c r="AJ802" s="339"/>
      <c r="AK802" s="339"/>
      <c r="AL802" s="339"/>
      <c r="AM802" s="339"/>
      <c r="AN802" s="339"/>
      <c r="AO802" s="339"/>
      <c r="AP802" s="339"/>
      <c r="AQ802" s="339"/>
      <c r="AR802" s="339"/>
      <c r="AS802" s="339"/>
      <c r="AT802" s="339"/>
      <c r="AU802" s="339"/>
      <c r="AV802" s="339"/>
      <c r="AW802" s="339"/>
      <c r="AX802" s="339"/>
      <c r="AY802" s="339"/>
      <c r="AZ802" s="339"/>
      <c r="BA802" s="339"/>
      <c r="BB802" s="339"/>
      <c r="BC802" s="339"/>
      <c r="BD802" s="339"/>
    </row>
    <row r="803" spans="3:56">
      <c r="C803" s="339"/>
      <c r="D803" s="339"/>
      <c r="E803" s="339"/>
      <c r="F803" s="339"/>
      <c r="G803" s="339"/>
      <c r="H803" s="339"/>
      <c r="I803" s="339"/>
      <c r="J803" s="339"/>
      <c r="K803" s="339"/>
      <c r="L803" s="339"/>
      <c r="M803" s="339"/>
      <c r="N803" s="339"/>
      <c r="O803" s="339"/>
      <c r="P803" s="339"/>
      <c r="Q803" s="339"/>
      <c r="R803" s="339"/>
      <c r="S803" s="339"/>
      <c r="T803" s="339"/>
      <c r="U803" s="339"/>
      <c r="V803" s="339"/>
      <c r="W803" s="339"/>
      <c r="X803" s="339"/>
      <c r="Y803" s="339"/>
      <c r="Z803" s="339"/>
      <c r="AA803" s="339"/>
      <c r="AB803" s="339"/>
      <c r="AC803" s="339"/>
      <c r="AD803" s="339"/>
      <c r="AE803" s="339"/>
      <c r="AF803" s="339"/>
      <c r="AG803" s="339"/>
      <c r="AH803" s="339"/>
      <c r="AI803" s="339"/>
      <c r="AJ803" s="339"/>
      <c r="AK803" s="339"/>
      <c r="AL803" s="339"/>
      <c r="AM803" s="339"/>
      <c r="AN803" s="339"/>
      <c r="AO803" s="339"/>
      <c r="AP803" s="339"/>
      <c r="AQ803" s="339"/>
      <c r="AR803" s="339"/>
      <c r="AS803" s="339"/>
      <c r="AT803" s="339"/>
      <c r="AU803" s="339"/>
      <c r="AV803" s="339"/>
      <c r="AW803" s="339"/>
      <c r="AX803" s="339"/>
      <c r="AY803" s="339"/>
      <c r="AZ803" s="339"/>
      <c r="BA803" s="339"/>
      <c r="BB803" s="339"/>
      <c r="BC803" s="339"/>
      <c r="BD803" s="339"/>
    </row>
    <row r="804" spans="3:56">
      <c r="C804" s="339"/>
      <c r="D804" s="339"/>
      <c r="E804" s="339"/>
      <c r="F804" s="339"/>
      <c r="G804" s="339"/>
      <c r="H804" s="339"/>
      <c r="I804" s="339"/>
      <c r="J804" s="339"/>
      <c r="K804" s="339"/>
      <c r="L804" s="339"/>
      <c r="M804" s="339"/>
      <c r="N804" s="339"/>
      <c r="O804" s="339"/>
      <c r="P804" s="339"/>
      <c r="Q804" s="339"/>
      <c r="R804" s="339"/>
      <c r="S804" s="339"/>
      <c r="T804" s="339"/>
      <c r="U804" s="339"/>
      <c r="V804" s="339"/>
      <c r="W804" s="339"/>
      <c r="X804" s="339"/>
      <c r="Y804" s="339"/>
      <c r="Z804" s="339"/>
      <c r="AA804" s="339"/>
      <c r="AB804" s="339"/>
      <c r="AC804" s="339"/>
      <c r="AD804" s="339"/>
      <c r="AE804" s="339"/>
      <c r="AF804" s="339"/>
      <c r="AG804" s="339"/>
      <c r="AH804" s="339"/>
      <c r="AI804" s="339"/>
      <c r="AJ804" s="339"/>
      <c r="AK804" s="339"/>
      <c r="AL804" s="339"/>
      <c r="AM804" s="339"/>
      <c r="AN804" s="339"/>
      <c r="AO804" s="339"/>
      <c r="AP804" s="339"/>
      <c r="AQ804" s="339"/>
      <c r="AR804" s="339"/>
      <c r="AS804" s="339"/>
      <c r="AT804" s="339"/>
      <c r="AU804" s="339"/>
      <c r="AV804" s="339"/>
      <c r="AW804" s="339"/>
      <c r="AX804" s="339"/>
      <c r="AY804" s="339"/>
      <c r="AZ804" s="339"/>
      <c r="BA804" s="339"/>
      <c r="BB804" s="339"/>
      <c r="BC804" s="339"/>
      <c r="BD804" s="339"/>
    </row>
    <row r="805" spans="3:56">
      <c r="C805" s="339"/>
      <c r="D805" s="339"/>
      <c r="E805" s="339"/>
      <c r="F805" s="339"/>
      <c r="G805" s="339"/>
      <c r="H805" s="339"/>
      <c r="I805" s="339"/>
      <c r="J805" s="339"/>
      <c r="K805" s="339"/>
      <c r="L805" s="339"/>
      <c r="M805" s="339"/>
      <c r="N805" s="339"/>
      <c r="O805" s="339"/>
      <c r="P805" s="339"/>
      <c r="Q805" s="339"/>
      <c r="R805" s="339"/>
      <c r="S805" s="339"/>
      <c r="T805" s="339"/>
      <c r="U805" s="339"/>
      <c r="V805" s="339"/>
      <c r="W805" s="339"/>
      <c r="X805" s="339"/>
      <c r="Y805" s="339"/>
      <c r="Z805" s="339"/>
      <c r="AA805" s="339"/>
      <c r="AB805" s="339"/>
      <c r="AC805" s="339"/>
      <c r="AD805" s="339"/>
      <c r="AE805" s="339"/>
      <c r="AF805" s="339"/>
      <c r="AG805" s="339"/>
      <c r="AH805" s="339"/>
      <c r="AI805" s="339"/>
      <c r="AJ805" s="339"/>
      <c r="AK805" s="339"/>
      <c r="AL805" s="339"/>
      <c r="AM805" s="339"/>
      <c r="AN805" s="339"/>
      <c r="AO805" s="339"/>
      <c r="AP805" s="339"/>
      <c r="AQ805" s="339"/>
      <c r="AR805" s="339"/>
      <c r="AS805" s="339"/>
      <c r="AT805" s="339"/>
      <c r="AU805" s="339"/>
      <c r="AV805" s="339"/>
      <c r="AW805" s="339"/>
      <c r="AX805" s="339"/>
      <c r="AY805" s="339"/>
      <c r="AZ805" s="339"/>
      <c r="BA805" s="339"/>
      <c r="BB805" s="339"/>
      <c r="BC805" s="339"/>
      <c r="BD805" s="339"/>
    </row>
    <row r="806" spans="3:56">
      <c r="C806" s="339"/>
      <c r="D806" s="339"/>
      <c r="E806" s="339"/>
      <c r="F806" s="339"/>
      <c r="G806" s="339"/>
      <c r="H806" s="339"/>
      <c r="I806" s="339"/>
      <c r="J806" s="339"/>
      <c r="K806" s="339"/>
      <c r="L806" s="339"/>
      <c r="M806" s="339"/>
      <c r="N806" s="339"/>
      <c r="O806" s="339"/>
      <c r="P806" s="339"/>
      <c r="Q806" s="339"/>
      <c r="R806" s="339"/>
      <c r="S806" s="339"/>
      <c r="T806" s="339"/>
      <c r="U806" s="339"/>
      <c r="V806" s="339"/>
      <c r="W806" s="339"/>
      <c r="X806" s="339"/>
      <c r="Y806" s="339"/>
      <c r="Z806" s="339"/>
      <c r="AA806" s="339"/>
      <c r="AB806" s="339"/>
      <c r="AC806" s="339"/>
      <c r="AD806" s="339"/>
      <c r="AE806" s="339"/>
      <c r="AF806" s="339"/>
      <c r="AG806" s="339"/>
      <c r="AH806" s="339"/>
      <c r="AI806" s="339"/>
      <c r="AJ806" s="339"/>
      <c r="AK806" s="339"/>
      <c r="AL806" s="339"/>
      <c r="AM806" s="339"/>
      <c r="AN806" s="339"/>
      <c r="AO806" s="339"/>
      <c r="AP806" s="339"/>
      <c r="AQ806" s="339"/>
      <c r="AR806" s="339"/>
      <c r="AS806" s="339"/>
      <c r="AT806" s="339"/>
      <c r="AU806" s="339"/>
      <c r="AV806" s="339"/>
      <c r="AW806" s="339"/>
      <c r="AX806" s="339"/>
      <c r="AY806" s="339"/>
      <c r="AZ806" s="339"/>
      <c r="BA806" s="339"/>
      <c r="BB806" s="339"/>
      <c r="BC806" s="339"/>
      <c r="BD806" s="339"/>
    </row>
    <row r="807" spans="3:56">
      <c r="C807" s="339"/>
      <c r="D807" s="339"/>
      <c r="E807" s="339"/>
      <c r="F807" s="339"/>
      <c r="G807" s="339"/>
      <c r="H807" s="339"/>
      <c r="I807" s="339"/>
      <c r="J807" s="339"/>
      <c r="K807" s="339"/>
      <c r="L807" s="339"/>
      <c r="M807" s="339"/>
      <c r="N807" s="339"/>
      <c r="O807" s="339"/>
      <c r="P807" s="339"/>
      <c r="Q807" s="339"/>
      <c r="R807" s="339"/>
      <c r="S807" s="339"/>
      <c r="T807" s="339"/>
      <c r="U807" s="339"/>
      <c r="V807" s="339"/>
      <c r="W807" s="339"/>
      <c r="X807" s="339"/>
      <c r="Y807" s="339"/>
      <c r="Z807" s="339"/>
      <c r="AA807" s="339"/>
      <c r="AB807" s="339"/>
      <c r="AC807" s="339"/>
      <c r="AD807" s="339"/>
      <c r="AE807" s="339"/>
      <c r="AF807" s="339"/>
      <c r="AG807" s="339"/>
      <c r="AH807" s="339"/>
      <c r="AI807" s="339"/>
      <c r="AJ807" s="339"/>
      <c r="AK807" s="339"/>
      <c r="AL807" s="339"/>
      <c r="AM807" s="339"/>
      <c r="AN807" s="339"/>
      <c r="AO807" s="339"/>
      <c r="AP807" s="339"/>
      <c r="AQ807" s="339"/>
      <c r="AR807" s="339"/>
      <c r="AS807" s="339"/>
      <c r="AT807" s="339"/>
      <c r="AU807" s="339"/>
      <c r="AV807" s="339"/>
      <c r="AW807" s="339"/>
      <c r="AX807" s="339"/>
      <c r="AY807" s="339"/>
      <c r="AZ807" s="339"/>
      <c r="BA807" s="339"/>
      <c r="BB807" s="339"/>
      <c r="BC807" s="339"/>
      <c r="BD807" s="339"/>
    </row>
    <row r="808" spans="3:56">
      <c r="C808" s="339"/>
      <c r="D808" s="339"/>
      <c r="E808" s="339"/>
      <c r="F808" s="339"/>
      <c r="G808" s="339"/>
      <c r="H808" s="339"/>
      <c r="I808" s="339"/>
      <c r="J808" s="339"/>
      <c r="K808" s="339"/>
      <c r="L808" s="339"/>
      <c r="M808" s="339"/>
      <c r="N808" s="339"/>
      <c r="O808" s="339"/>
      <c r="P808" s="339"/>
      <c r="Q808" s="339"/>
      <c r="R808" s="339"/>
      <c r="S808" s="339"/>
      <c r="T808" s="339"/>
      <c r="U808" s="339"/>
      <c r="V808" s="339"/>
      <c r="W808" s="339"/>
      <c r="X808" s="339"/>
      <c r="Y808" s="339"/>
      <c r="Z808" s="339"/>
      <c r="AA808" s="339"/>
      <c r="AB808" s="339"/>
      <c r="AC808" s="339"/>
      <c r="AD808" s="339"/>
      <c r="AE808" s="339"/>
      <c r="AF808" s="339"/>
      <c r="AG808" s="339"/>
      <c r="AH808" s="339"/>
      <c r="AI808" s="339"/>
      <c r="AJ808" s="339"/>
      <c r="AK808" s="339"/>
      <c r="AL808" s="339"/>
      <c r="AM808" s="339"/>
      <c r="AN808" s="339"/>
      <c r="AO808" s="339"/>
      <c r="AP808" s="339"/>
      <c r="AQ808" s="339"/>
      <c r="AR808" s="339"/>
      <c r="AS808" s="339"/>
      <c r="AT808" s="339"/>
      <c r="AU808" s="339"/>
      <c r="AV808" s="339"/>
      <c r="AW808" s="339"/>
      <c r="AX808" s="339"/>
      <c r="AY808" s="339"/>
      <c r="AZ808" s="339"/>
      <c r="BA808" s="339"/>
      <c r="BB808" s="339"/>
      <c r="BC808" s="339"/>
      <c r="BD808" s="339"/>
    </row>
    <row r="809" spans="3:56">
      <c r="C809" s="339"/>
      <c r="D809" s="339"/>
      <c r="E809" s="339"/>
      <c r="F809" s="339"/>
      <c r="G809" s="339"/>
      <c r="H809" s="339"/>
      <c r="I809" s="339"/>
      <c r="J809" s="339"/>
      <c r="K809" s="339"/>
      <c r="L809" s="339"/>
      <c r="M809" s="339"/>
      <c r="N809" s="339"/>
      <c r="O809" s="339"/>
      <c r="P809" s="339"/>
      <c r="Q809" s="339"/>
      <c r="R809" s="339"/>
      <c r="S809" s="339"/>
      <c r="T809" s="339"/>
      <c r="U809" s="339"/>
      <c r="V809" s="339"/>
      <c r="W809" s="339"/>
      <c r="X809" s="339"/>
      <c r="Y809" s="339"/>
      <c r="Z809" s="339"/>
      <c r="AA809" s="339"/>
      <c r="AB809" s="339"/>
      <c r="AC809" s="339"/>
      <c r="AD809" s="339"/>
      <c r="AE809" s="339"/>
      <c r="AF809" s="339"/>
      <c r="AG809" s="339"/>
      <c r="AH809" s="339"/>
      <c r="AI809" s="339"/>
      <c r="AJ809" s="339"/>
      <c r="AK809" s="339"/>
      <c r="AL809" s="339"/>
      <c r="AM809" s="339"/>
      <c r="AN809" s="339"/>
      <c r="AO809" s="339"/>
      <c r="AP809" s="339"/>
      <c r="AQ809" s="339"/>
      <c r="AR809" s="339"/>
      <c r="AS809" s="339"/>
      <c r="AT809" s="339"/>
      <c r="AU809" s="339"/>
      <c r="AV809" s="339"/>
      <c r="AW809" s="339"/>
      <c r="AX809" s="339"/>
      <c r="AY809" s="339"/>
      <c r="AZ809" s="339"/>
      <c r="BA809" s="339"/>
      <c r="BB809" s="339"/>
      <c r="BC809" s="339"/>
      <c r="BD809" s="339"/>
    </row>
    <row r="810" spans="3:56">
      <c r="C810" s="339"/>
      <c r="D810" s="339"/>
      <c r="E810" s="339"/>
      <c r="F810" s="339"/>
      <c r="G810" s="339"/>
      <c r="H810" s="339"/>
      <c r="I810" s="339"/>
      <c r="J810" s="339"/>
      <c r="K810" s="339"/>
      <c r="L810" s="339"/>
      <c r="M810" s="339"/>
      <c r="N810" s="339"/>
      <c r="O810" s="339"/>
      <c r="P810" s="339"/>
      <c r="Q810" s="339"/>
      <c r="R810" s="339"/>
      <c r="S810" s="339"/>
      <c r="T810" s="339"/>
      <c r="U810" s="339"/>
      <c r="V810" s="339"/>
      <c r="W810" s="339"/>
      <c r="X810" s="339"/>
      <c r="Y810" s="339"/>
      <c r="Z810" s="339"/>
      <c r="AA810" s="339"/>
      <c r="AB810" s="339"/>
      <c r="AC810" s="339"/>
      <c r="AD810" s="339"/>
      <c r="AE810" s="339"/>
      <c r="AF810" s="339"/>
      <c r="AG810" s="339"/>
      <c r="AH810" s="339"/>
      <c r="AI810" s="339"/>
      <c r="AJ810" s="339"/>
      <c r="AK810" s="339"/>
      <c r="AL810" s="339"/>
      <c r="AM810" s="339"/>
      <c r="AN810" s="339"/>
      <c r="AO810" s="339"/>
      <c r="AP810" s="339"/>
      <c r="AQ810" s="339"/>
      <c r="AR810" s="339"/>
      <c r="AS810" s="339"/>
      <c r="AT810" s="339"/>
      <c r="AU810" s="339"/>
      <c r="AV810" s="339"/>
      <c r="AW810" s="339"/>
      <c r="AX810" s="339"/>
      <c r="AY810" s="339"/>
      <c r="AZ810" s="339"/>
      <c r="BA810" s="339"/>
      <c r="BB810" s="339"/>
      <c r="BC810" s="339"/>
      <c r="BD810" s="339"/>
    </row>
    <row r="811" spans="3:56">
      <c r="C811" s="339"/>
      <c r="D811" s="339"/>
      <c r="E811" s="339"/>
      <c r="F811" s="339"/>
      <c r="G811" s="339"/>
      <c r="H811" s="339"/>
      <c r="I811" s="339"/>
      <c r="J811" s="339"/>
      <c r="K811" s="339"/>
      <c r="L811" s="339"/>
      <c r="M811" s="339"/>
      <c r="N811" s="339"/>
      <c r="O811" s="339"/>
      <c r="P811" s="339"/>
      <c r="Q811" s="339"/>
      <c r="R811" s="339"/>
      <c r="S811" s="339"/>
      <c r="T811" s="339"/>
      <c r="U811" s="339"/>
      <c r="V811" s="339"/>
      <c r="W811" s="339"/>
      <c r="X811" s="339"/>
      <c r="Y811" s="339"/>
      <c r="Z811" s="339"/>
      <c r="AA811" s="339"/>
      <c r="AB811" s="339"/>
      <c r="AC811" s="339"/>
      <c r="AD811" s="339"/>
      <c r="AE811" s="339"/>
      <c r="AF811" s="339"/>
      <c r="AG811" s="339"/>
      <c r="AH811" s="339"/>
      <c r="AI811" s="339"/>
      <c r="AJ811" s="339"/>
      <c r="AK811" s="339"/>
      <c r="AL811" s="339"/>
      <c r="AM811" s="339"/>
      <c r="AN811" s="339"/>
      <c r="AO811" s="339"/>
      <c r="AP811" s="339"/>
      <c r="AQ811" s="339"/>
      <c r="AR811" s="339"/>
      <c r="AS811" s="339"/>
      <c r="AT811" s="339"/>
      <c r="AU811" s="339"/>
      <c r="AV811" s="339"/>
      <c r="AW811" s="339"/>
      <c r="AX811" s="339"/>
      <c r="AY811" s="339"/>
      <c r="AZ811" s="339"/>
      <c r="BA811" s="339"/>
      <c r="BB811" s="339"/>
      <c r="BC811" s="339"/>
      <c r="BD811" s="339"/>
    </row>
    <row r="812" spans="3:56">
      <c r="C812" s="339"/>
      <c r="D812" s="339"/>
      <c r="E812" s="339"/>
      <c r="F812" s="339"/>
      <c r="G812" s="339"/>
      <c r="H812" s="339"/>
      <c r="I812" s="339"/>
      <c r="J812" s="339"/>
      <c r="K812" s="339"/>
      <c r="L812" s="339"/>
      <c r="M812" s="339"/>
      <c r="N812" s="339"/>
      <c r="O812" s="339"/>
      <c r="P812" s="339"/>
      <c r="Q812" s="339"/>
      <c r="R812" s="339"/>
      <c r="S812" s="339"/>
      <c r="T812" s="339"/>
      <c r="U812" s="339"/>
      <c r="V812" s="339"/>
      <c r="W812" s="339"/>
      <c r="X812" s="339"/>
      <c r="Y812" s="339"/>
      <c r="Z812" s="339"/>
      <c r="AA812" s="339"/>
      <c r="AB812" s="339"/>
      <c r="AC812" s="339"/>
      <c r="AD812" s="339"/>
      <c r="AE812" s="339"/>
      <c r="AF812" s="339"/>
      <c r="AG812" s="339"/>
      <c r="AH812" s="339"/>
      <c r="AI812" s="339"/>
      <c r="AJ812" s="339"/>
      <c r="AK812" s="339"/>
      <c r="AL812" s="339"/>
      <c r="AM812" s="339"/>
      <c r="AN812" s="339"/>
      <c r="AO812" s="339"/>
      <c r="AP812" s="339"/>
      <c r="AQ812" s="339"/>
      <c r="AR812" s="339"/>
      <c r="AS812" s="339"/>
      <c r="AT812" s="339"/>
      <c r="AU812" s="339"/>
      <c r="AV812" s="339"/>
      <c r="AW812" s="339"/>
      <c r="AX812" s="339"/>
      <c r="AY812" s="339"/>
      <c r="AZ812" s="339"/>
      <c r="BA812" s="339"/>
      <c r="BB812" s="339"/>
      <c r="BC812" s="339"/>
      <c r="BD812" s="339"/>
    </row>
    <row r="813" spans="3:56">
      <c r="C813" s="339"/>
      <c r="D813" s="339"/>
      <c r="E813" s="339"/>
      <c r="F813" s="339"/>
      <c r="G813" s="339"/>
      <c r="H813" s="339"/>
      <c r="I813" s="339"/>
      <c r="J813" s="339"/>
      <c r="K813" s="339"/>
      <c r="L813" s="339"/>
      <c r="M813" s="339"/>
      <c r="N813" s="339"/>
      <c r="O813" s="339"/>
      <c r="P813" s="339"/>
      <c r="Q813" s="339"/>
      <c r="R813" s="339"/>
      <c r="S813" s="339"/>
      <c r="T813" s="339"/>
      <c r="U813" s="339"/>
      <c r="V813" s="339"/>
      <c r="W813" s="339"/>
      <c r="X813" s="339"/>
      <c r="Y813" s="339"/>
      <c r="Z813" s="339"/>
      <c r="AA813" s="339"/>
      <c r="AB813" s="339"/>
      <c r="AC813" s="339"/>
      <c r="AD813" s="339"/>
      <c r="AE813" s="339"/>
      <c r="AF813" s="339"/>
      <c r="AG813" s="339"/>
      <c r="AH813" s="339"/>
      <c r="AI813" s="339"/>
      <c r="AJ813" s="339"/>
      <c r="AK813" s="339"/>
      <c r="AL813" s="339"/>
      <c r="AM813" s="339"/>
      <c r="AN813" s="339"/>
      <c r="AO813" s="339"/>
      <c r="AP813" s="339"/>
      <c r="AQ813" s="339"/>
      <c r="AR813" s="339"/>
      <c r="AS813" s="339"/>
      <c r="AT813" s="339"/>
      <c r="AU813" s="339"/>
      <c r="AV813" s="339"/>
      <c r="AW813" s="339"/>
      <c r="AX813" s="339"/>
      <c r="AY813" s="339"/>
      <c r="AZ813" s="339"/>
      <c r="BA813" s="339"/>
      <c r="BB813" s="339"/>
      <c r="BC813" s="339"/>
      <c r="BD813" s="339"/>
    </row>
    <row r="814" spans="3:56">
      <c r="C814" s="339"/>
      <c r="D814" s="339"/>
      <c r="E814" s="339"/>
      <c r="F814" s="339"/>
      <c r="G814" s="339"/>
      <c r="H814" s="339"/>
      <c r="I814" s="339"/>
      <c r="J814" s="339"/>
      <c r="K814" s="339"/>
      <c r="L814" s="339"/>
      <c r="M814" s="339"/>
      <c r="N814" s="339"/>
      <c r="O814" s="339"/>
      <c r="P814" s="339"/>
      <c r="Q814" s="339"/>
      <c r="R814" s="339"/>
      <c r="S814" s="339"/>
      <c r="T814" s="339"/>
      <c r="U814" s="339"/>
      <c r="V814" s="339"/>
      <c r="W814" s="339"/>
      <c r="X814" s="339"/>
      <c r="Y814" s="339"/>
      <c r="Z814" s="339"/>
      <c r="AA814" s="339"/>
      <c r="AB814" s="339"/>
      <c r="AC814" s="339"/>
      <c r="AD814" s="339"/>
      <c r="AE814" s="339"/>
      <c r="AF814" s="339"/>
      <c r="AG814" s="339"/>
      <c r="AH814" s="339"/>
      <c r="AI814" s="339"/>
      <c r="AJ814" s="339"/>
      <c r="AK814" s="339"/>
      <c r="AL814" s="339"/>
      <c r="AM814" s="339"/>
      <c r="AN814" s="339"/>
      <c r="AO814" s="339"/>
      <c r="AP814" s="339"/>
      <c r="AQ814" s="339"/>
      <c r="AR814" s="339"/>
      <c r="AS814" s="339"/>
      <c r="AT814" s="339"/>
      <c r="AU814" s="339"/>
      <c r="AV814" s="339"/>
      <c r="AW814" s="339"/>
      <c r="AX814" s="339"/>
      <c r="AY814" s="339"/>
      <c r="AZ814" s="339"/>
      <c r="BA814" s="339"/>
      <c r="BB814" s="339"/>
      <c r="BC814" s="339"/>
      <c r="BD814" s="339"/>
    </row>
    <row r="815" spans="3:56">
      <c r="C815" s="339"/>
      <c r="D815" s="339"/>
      <c r="E815" s="339"/>
      <c r="F815" s="339"/>
      <c r="G815" s="339"/>
      <c r="H815" s="339"/>
      <c r="I815" s="339"/>
      <c r="J815" s="339"/>
      <c r="K815" s="339"/>
      <c r="L815" s="339"/>
      <c r="M815" s="339"/>
      <c r="N815" s="339"/>
      <c r="O815" s="339"/>
      <c r="P815" s="339"/>
      <c r="Q815" s="339"/>
      <c r="R815" s="339"/>
      <c r="S815" s="339"/>
      <c r="T815" s="339"/>
      <c r="U815" s="339"/>
      <c r="V815" s="339"/>
      <c r="W815" s="339"/>
      <c r="X815" s="339"/>
      <c r="Y815" s="339"/>
      <c r="Z815" s="339"/>
      <c r="AA815" s="339"/>
      <c r="AB815" s="339"/>
      <c r="AC815" s="339"/>
      <c r="AD815" s="339"/>
      <c r="AE815" s="339"/>
      <c r="AF815" s="339"/>
      <c r="AG815" s="339"/>
      <c r="AH815" s="339"/>
      <c r="AI815" s="339"/>
      <c r="AJ815" s="339"/>
      <c r="AK815" s="339"/>
      <c r="AL815" s="339"/>
      <c r="AM815" s="339"/>
      <c r="AN815" s="339"/>
      <c r="AO815" s="339"/>
      <c r="AP815" s="339"/>
      <c r="AQ815" s="339"/>
      <c r="AR815" s="339"/>
      <c r="AS815" s="339"/>
      <c r="AT815" s="339"/>
      <c r="AU815" s="339"/>
      <c r="AV815" s="339"/>
      <c r="AW815" s="339"/>
      <c r="AX815" s="339"/>
      <c r="AY815" s="339"/>
      <c r="AZ815" s="339"/>
      <c r="BA815" s="339"/>
      <c r="BB815" s="339"/>
      <c r="BC815" s="339"/>
      <c r="BD815" s="339"/>
    </row>
    <row r="816" spans="3:56">
      <c r="C816" s="339"/>
      <c r="D816" s="339"/>
      <c r="E816" s="339"/>
      <c r="F816" s="339"/>
      <c r="G816" s="339"/>
      <c r="H816" s="339"/>
      <c r="I816" s="339"/>
      <c r="J816" s="339"/>
      <c r="K816" s="339"/>
      <c r="L816" s="339"/>
      <c r="M816" s="339"/>
      <c r="N816" s="339"/>
      <c r="O816" s="339"/>
      <c r="P816" s="339"/>
      <c r="Q816" s="339"/>
      <c r="R816" s="339"/>
      <c r="S816" s="339"/>
      <c r="T816" s="339"/>
      <c r="U816" s="339"/>
      <c r="V816" s="339"/>
      <c r="W816" s="339"/>
      <c r="X816" s="339"/>
      <c r="Y816" s="339"/>
      <c r="Z816" s="339"/>
      <c r="AA816" s="339"/>
      <c r="AB816" s="339"/>
      <c r="AC816" s="339"/>
      <c r="AD816" s="339"/>
      <c r="AE816" s="339"/>
      <c r="AF816" s="339"/>
      <c r="AG816" s="339"/>
      <c r="AH816" s="339"/>
      <c r="AI816" s="339"/>
      <c r="AJ816" s="339"/>
      <c r="AK816" s="339"/>
      <c r="AL816" s="339"/>
      <c r="AM816" s="339"/>
      <c r="AN816" s="339"/>
      <c r="AO816" s="339"/>
      <c r="AP816" s="339"/>
      <c r="AQ816" s="339"/>
      <c r="AR816" s="339"/>
      <c r="AS816" s="339"/>
      <c r="AT816" s="339"/>
      <c r="AU816" s="339"/>
      <c r="AV816" s="339"/>
      <c r="AW816" s="339"/>
      <c r="AX816" s="339"/>
      <c r="AY816" s="339"/>
      <c r="AZ816" s="339"/>
      <c r="BA816" s="339"/>
      <c r="BB816" s="339"/>
      <c r="BC816" s="339"/>
      <c r="BD816" s="339"/>
    </row>
    <row r="817" spans="3:56">
      <c r="C817" s="339"/>
      <c r="D817" s="339"/>
      <c r="E817" s="339"/>
      <c r="F817" s="339"/>
      <c r="G817" s="339"/>
      <c r="H817" s="339"/>
      <c r="I817" s="339"/>
      <c r="J817" s="339"/>
      <c r="K817" s="339"/>
      <c r="L817" s="339"/>
      <c r="M817" s="339"/>
      <c r="N817" s="339"/>
      <c r="O817" s="339"/>
      <c r="P817" s="339"/>
      <c r="Q817" s="339"/>
      <c r="R817" s="339"/>
      <c r="S817" s="339"/>
      <c r="T817" s="339"/>
      <c r="U817" s="339"/>
      <c r="V817" s="339"/>
      <c r="W817" s="339"/>
      <c r="X817" s="339"/>
      <c r="Y817" s="339"/>
      <c r="Z817" s="339"/>
      <c r="AA817" s="339"/>
      <c r="AB817" s="339"/>
      <c r="AC817" s="339"/>
      <c r="AD817" s="339"/>
      <c r="AE817" s="339"/>
      <c r="AF817" s="339"/>
      <c r="AG817" s="339"/>
      <c r="AH817" s="339"/>
      <c r="AI817" s="339"/>
      <c r="AJ817" s="339"/>
      <c r="AK817" s="339"/>
      <c r="AL817" s="339"/>
      <c r="AM817" s="339"/>
      <c r="AN817" s="339"/>
      <c r="AO817" s="339"/>
      <c r="AP817" s="339"/>
      <c r="AQ817" s="339"/>
      <c r="AR817" s="339"/>
      <c r="AS817" s="339"/>
      <c r="AT817" s="339"/>
      <c r="AU817" s="339"/>
      <c r="AV817" s="339"/>
      <c r="AW817" s="339"/>
      <c r="AX817" s="339"/>
      <c r="AY817" s="339"/>
      <c r="AZ817" s="339"/>
      <c r="BA817" s="339"/>
      <c r="BB817" s="339"/>
      <c r="BC817" s="339"/>
      <c r="BD817" s="339"/>
    </row>
    <row r="818" spans="3:56">
      <c r="C818" s="339"/>
      <c r="D818" s="339"/>
      <c r="E818" s="339"/>
      <c r="F818" s="339"/>
      <c r="G818" s="339"/>
      <c r="H818" s="339"/>
      <c r="I818" s="339"/>
      <c r="J818" s="339"/>
      <c r="K818" s="339"/>
      <c r="L818" s="339"/>
      <c r="M818" s="339"/>
      <c r="N818" s="339"/>
      <c r="O818" s="339"/>
      <c r="P818" s="339"/>
      <c r="Q818" s="339"/>
      <c r="R818" s="339"/>
      <c r="S818" s="339"/>
      <c r="T818" s="339"/>
      <c r="U818" s="339"/>
      <c r="V818" s="339"/>
      <c r="W818" s="339"/>
      <c r="X818" s="339"/>
      <c r="Y818" s="339"/>
      <c r="Z818" s="339"/>
      <c r="AA818" s="339"/>
      <c r="AB818" s="339"/>
      <c r="AC818" s="339"/>
      <c r="AD818" s="339"/>
      <c r="AE818" s="339"/>
      <c r="AF818" s="339"/>
      <c r="AG818" s="339"/>
      <c r="AH818" s="339"/>
      <c r="AI818" s="339"/>
      <c r="AJ818" s="339"/>
      <c r="AK818" s="339"/>
      <c r="AL818" s="339"/>
      <c r="AM818" s="339"/>
      <c r="AN818" s="339"/>
      <c r="AO818" s="339"/>
      <c r="AP818" s="339"/>
      <c r="AQ818" s="339"/>
      <c r="AR818" s="339"/>
      <c r="AS818" s="339"/>
      <c r="AT818" s="339"/>
      <c r="AU818" s="339"/>
      <c r="AV818" s="339"/>
      <c r="AW818" s="339"/>
      <c r="AX818" s="339"/>
      <c r="AY818" s="339"/>
      <c r="AZ818" s="339"/>
      <c r="BA818" s="339"/>
      <c r="BB818" s="339"/>
      <c r="BC818" s="339"/>
      <c r="BD818" s="339"/>
    </row>
    <row r="819" spans="3:56">
      <c r="C819" s="339"/>
      <c r="D819" s="339"/>
      <c r="E819" s="339"/>
      <c r="F819" s="339"/>
      <c r="G819" s="339"/>
      <c r="H819" s="339"/>
      <c r="I819" s="339"/>
      <c r="J819" s="339"/>
      <c r="K819" s="339"/>
      <c r="L819" s="339"/>
      <c r="M819" s="339"/>
      <c r="N819" s="339"/>
      <c r="O819" s="339"/>
      <c r="P819" s="339"/>
      <c r="Q819" s="339"/>
      <c r="R819" s="339"/>
      <c r="S819" s="339"/>
      <c r="T819" s="339"/>
      <c r="U819" s="339"/>
      <c r="V819" s="339"/>
      <c r="W819" s="339"/>
      <c r="X819" s="339"/>
      <c r="Y819" s="339"/>
      <c r="Z819" s="339"/>
      <c r="AA819" s="339"/>
      <c r="AB819" s="339"/>
      <c r="AC819" s="339"/>
      <c r="AD819" s="339"/>
      <c r="AE819" s="339"/>
      <c r="AF819" s="339"/>
      <c r="AG819" s="339"/>
      <c r="AH819" s="339"/>
      <c r="AI819" s="339"/>
      <c r="AJ819" s="339"/>
      <c r="AK819" s="339"/>
      <c r="AL819" s="339"/>
      <c r="AM819" s="339"/>
      <c r="AN819" s="339"/>
      <c r="AO819" s="339"/>
      <c r="AP819" s="339"/>
      <c r="AQ819" s="339"/>
      <c r="AR819" s="339"/>
      <c r="AS819" s="339"/>
      <c r="AT819" s="339"/>
      <c r="AU819" s="339"/>
      <c r="AV819" s="339"/>
      <c r="AW819" s="339"/>
      <c r="AX819" s="339"/>
      <c r="AY819" s="339"/>
      <c r="AZ819" s="339"/>
      <c r="BA819" s="339"/>
      <c r="BB819" s="339"/>
      <c r="BC819" s="339"/>
      <c r="BD819" s="339"/>
    </row>
    <row r="820" spans="3:56">
      <c r="C820" s="339"/>
      <c r="D820" s="339"/>
      <c r="E820" s="339"/>
      <c r="F820" s="339"/>
      <c r="G820" s="339"/>
      <c r="H820" s="339"/>
      <c r="I820" s="339"/>
      <c r="J820" s="339"/>
      <c r="K820" s="339"/>
      <c r="L820" s="339"/>
      <c r="M820" s="339"/>
      <c r="N820" s="339"/>
      <c r="O820" s="339"/>
      <c r="P820" s="339"/>
      <c r="Q820" s="339"/>
      <c r="R820" s="339"/>
      <c r="S820" s="339"/>
      <c r="T820" s="339"/>
      <c r="U820" s="339"/>
      <c r="V820" s="339"/>
      <c r="W820" s="339"/>
      <c r="X820" s="339"/>
      <c r="Y820" s="339"/>
      <c r="Z820" s="339"/>
      <c r="AA820" s="339"/>
      <c r="AB820" s="339"/>
      <c r="AC820" s="339"/>
      <c r="AD820" s="339"/>
      <c r="AE820" s="339"/>
      <c r="AF820" s="339"/>
      <c r="AG820" s="339"/>
      <c r="AH820" s="339"/>
      <c r="AI820" s="339"/>
      <c r="AJ820" s="339"/>
      <c r="AK820" s="339"/>
      <c r="AL820" s="339"/>
      <c r="AM820" s="339"/>
      <c r="AN820" s="339"/>
      <c r="AO820" s="339"/>
      <c r="AP820" s="339"/>
      <c r="AQ820" s="339"/>
      <c r="AR820" s="339"/>
      <c r="AS820" s="339"/>
      <c r="AT820" s="339"/>
      <c r="AU820" s="339"/>
      <c r="AV820" s="339"/>
      <c r="AW820" s="339"/>
      <c r="AX820" s="339"/>
      <c r="AY820" s="339"/>
      <c r="AZ820" s="339"/>
      <c r="BA820" s="339"/>
      <c r="BB820" s="339"/>
      <c r="BC820" s="339"/>
      <c r="BD820" s="339"/>
    </row>
    <row r="821" spans="3:56">
      <c r="C821" s="339"/>
      <c r="D821" s="339"/>
      <c r="E821" s="339"/>
      <c r="F821" s="339"/>
      <c r="G821" s="339"/>
      <c r="H821" s="339"/>
      <c r="I821" s="339"/>
      <c r="J821" s="339"/>
      <c r="K821" s="339"/>
      <c r="L821" s="339"/>
      <c r="M821" s="339"/>
      <c r="N821" s="339"/>
      <c r="O821" s="339"/>
      <c r="P821" s="339"/>
      <c r="Q821" s="339"/>
      <c r="R821" s="339"/>
      <c r="S821" s="339"/>
      <c r="T821" s="339"/>
      <c r="U821" s="339"/>
      <c r="V821" s="339"/>
      <c r="W821" s="339"/>
      <c r="X821" s="339"/>
      <c r="Y821" s="339"/>
      <c r="Z821" s="339"/>
      <c r="AA821" s="339"/>
      <c r="AB821" s="339"/>
      <c r="AC821" s="339"/>
      <c r="AD821" s="339"/>
      <c r="AE821" s="339"/>
      <c r="AF821" s="339"/>
      <c r="AG821" s="339"/>
      <c r="AH821" s="339"/>
      <c r="AI821" s="339"/>
      <c r="AJ821" s="339"/>
      <c r="AK821" s="339"/>
      <c r="AL821" s="339"/>
      <c r="AM821" s="339"/>
      <c r="AN821" s="339"/>
      <c r="AO821" s="339"/>
      <c r="AP821" s="339"/>
      <c r="AQ821" s="339"/>
      <c r="AR821" s="339"/>
      <c r="AS821" s="339"/>
      <c r="AT821" s="339"/>
      <c r="AU821" s="339"/>
      <c r="AV821" s="339"/>
      <c r="AW821" s="339"/>
      <c r="AX821" s="339"/>
      <c r="AY821" s="339"/>
      <c r="AZ821" s="339"/>
      <c r="BA821" s="339"/>
      <c r="BB821" s="339"/>
      <c r="BC821" s="339"/>
      <c r="BD821" s="339"/>
    </row>
    <row r="822" spans="3:56">
      <c r="C822" s="339"/>
      <c r="D822" s="339"/>
      <c r="E822" s="339"/>
      <c r="F822" s="339"/>
      <c r="G822" s="339"/>
      <c r="H822" s="339"/>
      <c r="I822" s="339"/>
      <c r="J822" s="339"/>
      <c r="K822" s="339"/>
      <c r="L822" s="339"/>
      <c r="M822" s="339"/>
      <c r="N822" s="339"/>
      <c r="O822" s="339"/>
      <c r="P822" s="339"/>
      <c r="Q822" s="339"/>
      <c r="R822" s="339"/>
      <c r="S822" s="339"/>
      <c r="T822" s="339"/>
      <c r="U822" s="339"/>
      <c r="V822" s="339"/>
      <c r="W822" s="339"/>
      <c r="X822" s="339"/>
      <c r="Y822" s="339"/>
      <c r="Z822" s="339"/>
      <c r="AA822" s="339"/>
      <c r="AB822" s="339"/>
      <c r="AC822" s="339"/>
      <c r="AD822" s="339"/>
      <c r="AE822" s="339"/>
      <c r="AF822" s="339"/>
      <c r="AG822" s="339"/>
      <c r="AH822" s="339"/>
      <c r="AI822" s="339"/>
      <c r="AJ822" s="339"/>
      <c r="AK822" s="339"/>
      <c r="AL822" s="339"/>
      <c r="AM822" s="339"/>
      <c r="AN822" s="339"/>
      <c r="AO822" s="339"/>
      <c r="AP822" s="339"/>
      <c r="AQ822" s="339"/>
      <c r="AR822" s="339"/>
      <c r="AS822" s="339"/>
      <c r="AT822" s="339"/>
      <c r="AU822" s="339"/>
      <c r="AV822" s="339"/>
      <c r="AW822" s="339"/>
      <c r="AX822" s="339"/>
      <c r="AY822" s="339"/>
      <c r="AZ822" s="339"/>
      <c r="BA822" s="339"/>
      <c r="BB822" s="339"/>
      <c r="BC822" s="339"/>
      <c r="BD822" s="339"/>
    </row>
    <row r="823" spans="3:56">
      <c r="C823" s="339"/>
      <c r="D823" s="339"/>
      <c r="E823" s="339"/>
      <c r="F823" s="339"/>
      <c r="G823" s="339"/>
      <c r="H823" s="339"/>
      <c r="I823" s="339"/>
      <c r="J823" s="339"/>
      <c r="K823" s="339"/>
      <c r="L823" s="339"/>
      <c r="M823" s="339"/>
      <c r="N823" s="339"/>
      <c r="O823" s="339"/>
      <c r="P823" s="339"/>
      <c r="Q823" s="339"/>
      <c r="R823" s="339"/>
      <c r="S823" s="339"/>
      <c r="T823" s="339"/>
      <c r="U823" s="339"/>
      <c r="V823" s="339"/>
      <c r="W823" s="339"/>
      <c r="X823" s="339"/>
      <c r="Y823" s="339"/>
      <c r="Z823" s="339"/>
      <c r="AA823" s="339"/>
      <c r="AB823" s="339"/>
      <c r="AC823" s="339"/>
      <c r="AD823" s="339"/>
      <c r="AE823" s="339"/>
      <c r="AF823" s="339"/>
      <c r="AG823" s="339"/>
      <c r="AH823" s="339"/>
      <c r="AI823" s="339"/>
      <c r="AJ823" s="339"/>
      <c r="AK823" s="339"/>
      <c r="AL823" s="339"/>
      <c r="AM823" s="339"/>
      <c r="AN823" s="339"/>
      <c r="AO823" s="339"/>
      <c r="AP823" s="339"/>
      <c r="AQ823" s="339"/>
      <c r="AR823" s="339"/>
      <c r="AS823" s="339"/>
      <c r="AT823" s="339"/>
      <c r="AU823" s="339"/>
      <c r="AV823" s="339"/>
      <c r="AW823" s="339"/>
      <c r="AX823" s="339"/>
      <c r="AY823" s="339"/>
      <c r="AZ823" s="339"/>
      <c r="BA823" s="339"/>
      <c r="BB823" s="339"/>
      <c r="BC823" s="339"/>
      <c r="BD823" s="339"/>
    </row>
    <row r="824" spans="3:56">
      <c r="C824" s="339"/>
      <c r="D824" s="339"/>
      <c r="E824" s="339"/>
      <c r="F824" s="339"/>
      <c r="G824" s="339"/>
      <c r="H824" s="339"/>
      <c r="I824" s="339"/>
      <c r="J824" s="339"/>
      <c r="K824" s="339"/>
      <c r="L824" s="339"/>
      <c r="M824" s="339"/>
      <c r="N824" s="339"/>
      <c r="O824" s="339"/>
      <c r="P824" s="339"/>
      <c r="Q824" s="339"/>
      <c r="R824" s="339"/>
      <c r="S824" s="339"/>
      <c r="T824" s="339"/>
      <c r="U824" s="339"/>
      <c r="V824" s="339"/>
      <c r="W824" s="339"/>
      <c r="X824" s="339"/>
      <c r="Y824" s="339"/>
      <c r="Z824" s="339"/>
      <c r="AA824" s="339"/>
      <c r="AB824" s="339"/>
      <c r="AC824" s="339"/>
      <c r="AD824" s="339"/>
      <c r="AE824" s="339"/>
      <c r="AF824" s="339"/>
      <c r="AG824" s="339"/>
      <c r="AH824" s="339"/>
      <c r="AI824" s="339"/>
      <c r="AJ824" s="339"/>
      <c r="AK824" s="339"/>
      <c r="AL824" s="339"/>
      <c r="AM824" s="339"/>
      <c r="AN824" s="339"/>
      <c r="AO824" s="339"/>
      <c r="AP824" s="339"/>
      <c r="AQ824" s="339"/>
      <c r="AR824" s="339"/>
      <c r="AS824" s="339"/>
      <c r="AT824" s="339"/>
      <c r="AU824" s="339"/>
      <c r="AV824" s="339"/>
      <c r="AW824" s="339"/>
      <c r="AX824" s="339"/>
      <c r="AY824" s="339"/>
      <c r="AZ824" s="339"/>
      <c r="BA824" s="339"/>
      <c r="BB824" s="339"/>
      <c r="BC824" s="339"/>
      <c r="BD824" s="339"/>
    </row>
    <row r="825" spans="3:56">
      <c r="C825" s="339"/>
      <c r="D825" s="339"/>
      <c r="E825" s="339"/>
      <c r="F825" s="339"/>
      <c r="G825" s="339"/>
      <c r="H825" s="339"/>
      <c r="I825" s="339"/>
      <c r="J825" s="339"/>
      <c r="K825" s="339"/>
      <c r="L825" s="339"/>
      <c r="M825" s="339"/>
      <c r="N825" s="339"/>
      <c r="O825" s="339"/>
      <c r="P825" s="339"/>
      <c r="Q825" s="339"/>
      <c r="R825" s="339"/>
      <c r="S825" s="339"/>
      <c r="T825" s="339"/>
      <c r="U825" s="339"/>
      <c r="V825" s="339"/>
      <c r="W825" s="339"/>
      <c r="X825" s="339"/>
      <c r="Y825" s="339"/>
      <c r="Z825" s="339"/>
      <c r="AA825" s="339"/>
      <c r="AB825" s="339"/>
      <c r="AC825" s="339"/>
      <c r="AD825" s="339"/>
      <c r="AE825" s="339"/>
      <c r="AF825" s="339"/>
      <c r="AG825" s="339"/>
      <c r="AH825" s="339"/>
      <c r="AI825" s="339"/>
      <c r="AJ825" s="339"/>
      <c r="AK825" s="339"/>
      <c r="AL825" s="339"/>
      <c r="AM825" s="339"/>
      <c r="AN825" s="339"/>
      <c r="AO825" s="339"/>
      <c r="AP825" s="339"/>
      <c r="AQ825" s="339"/>
      <c r="AR825" s="339"/>
      <c r="AS825" s="339"/>
      <c r="AT825" s="339"/>
      <c r="AU825" s="339"/>
      <c r="AV825" s="339"/>
      <c r="AW825" s="339"/>
      <c r="AX825" s="339"/>
      <c r="AY825" s="339"/>
      <c r="AZ825" s="339"/>
      <c r="BA825" s="339"/>
      <c r="BB825" s="339"/>
      <c r="BC825" s="339"/>
      <c r="BD825" s="339"/>
    </row>
    <row r="826" spans="3:56">
      <c r="C826" s="339"/>
      <c r="D826" s="339"/>
      <c r="E826" s="339"/>
      <c r="F826" s="339"/>
      <c r="G826" s="339"/>
      <c r="H826" s="339"/>
      <c r="I826" s="339"/>
      <c r="J826" s="339"/>
      <c r="K826" s="339"/>
      <c r="L826" s="339"/>
      <c r="M826" s="339"/>
      <c r="N826" s="339"/>
      <c r="O826" s="339"/>
      <c r="P826" s="339"/>
      <c r="Q826" s="339"/>
      <c r="R826" s="339"/>
      <c r="S826" s="339"/>
      <c r="T826" s="339"/>
      <c r="U826" s="339"/>
      <c r="V826" s="339"/>
      <c r="W826" s="339"/>
      <c r="X826" s="339"/>
      <c r="Y826" s="339"/>
      <c r="Z826" s="339"/>
      <c r="AA826" s="339"/>
      <c r="AB826" s="339"/>
      <c r="AC826" s="339"/>
      <c r="AD826" s="339"/>
      <c r="AE826" s="339"/>
      <c r="AF826" s="339"/>
      <c r="AG826" s="339"/>
      <c r="AH826" s="339"/>
      <c r="AI826" s="339"/>
      <c r="AJ826" s="339"/>
      <c r="AK826" s="339"/>
      <c r="AL826" s="339"/>
      <c r="AM826" s="339"/>
      <c r="AN826" s="339"/>
      <c r="AO826" s="339"/>
      <c r="AP826" s="339"/>
      <c r="AQ826" s="339"/>
      <c r="AR826" s="339"/>
      <c r="AS826" s="339"/>
      <c r="AT826" s="339"/>
      <c r="AU826" s="339"/>
      <c r="AV826" s="339"/>
      <c r="AW826" s="339"/>
      <c r="AX826" s="339"/>
      <c r="AY826" s="339"/>
      <c r="AZ826" s="339"/>
      <c r="BA826" s="339"/>
      <c r="BB826" s="339"/>
      <c r="BC826" s="339"/>
      <c r="BD826" s="339"/>
    </row>
    <row r="827" spans="3:56">
      <c r="C827" s="339"/>
      <c r="D827" s="339"/>
      <c r="E827" s="339"/>
      <c r="F827" s="339"/>
      <c r="G827" s="339"/>
      <c r="H827" s="339"/>
      <c r="I827" s="339"/>
      <c r="J827" s="339"/>
      <c r="K827" s="339"/>
      <c r="L827" s="339"/>
      <c r="M827" s="339"/>
      <c r="N827" s="339"/>
      <c r="O827" s="339"/>
      <c r="P827" s="339"/>
      <c r="Q827" s="339"/>
      <c r="R827" s="339"/>
      <c r="S827" s="339"/>
      <c r="T827" s="339"/>
      <c r="U827" s="339"/>
      <c r="V827" s="339"/>
      <c r="W827" s="339"/>
      <c r="X827" s="339"/>
      <c r="Y827" s="339"/>
      <c r="Z827" s="339"/>
      <c r="AA827" s="339"/>
      <c r="AB827" s="339"/>
      <c r="AC827" s="339"/>
      <c r="AD827" s="339"/>
      <c r="AE827" s="339"/>
      <c r="AF827" s="339"/>
      <c r="AG827" s="339"/>
      <c r="AH827" s="339"/>
      <c r="AI827" s="339"/>
      <c r="AJ827" s="339"/>
      <c r="AK827" s="339"/>
      <c r="AL827" s="339"/>
      <c r="AM827" s="339"/>
      <c r="AN827" s="339"/>
      <c r="AO827" s="339"/>
      <c r="AP827" s="339"/>
      <c r="AQ827" s="339"/>
      <c r="AR827" s="339"/>
      <c r="AS827" s="339"/>
      <c r="AT827" s="339"/>
      <c r="AU827" s="339"/>
      <c r="AV827" s="339"/>
      <c r="AW827" s="339"/>
      <c r="AX827" s="339"/>
      <c r="AY827" s="339"/>
      <c r="AZ827" s="339"/>
      <c r="BA827" s="339"/>
      <c r="BB827" s="339"/>
      <c r="BC827" s="339"/>
      <c r="BD827" s="339"/>
    </row>
    <row r="828" spans="3:56">
      <c r="C828" s="339"/>
      <c r="D828" s="339"/>
      <c r="E828" s="339"/>
      <c r="F828" s="339"/>
      <c r="G828" s="339"/>
      <c r="H828" s="339"/>
      <c r="I828" s="339"/>
      <c r="J828" s="339"/>
      <c r="K828" s="339"/>
      <c r="L828" s="339"/>
      <c r="M828" s="339"/>
      <c r="N828" s="339"/>
      <c r="O828" s="339"/>
      <c r="P828" s="339"/>
      <c r="Q828" s="339"/>
      <c r="R828" s="339"/>
      <c r="S828" s="339"/>
      <c r="T828" s="339"/>
      <c r="U828" s="339"/>
      <c r="V828" s="339"/>
      <c r="W828" s="339"/>
      <c r="X828" s="339"/>
      <c r="Y828" s="339"/>
      <c r="Z828" s="339"/>
      <c r="AA828" s="339"/>
      <c r="AB828" s="339"/>
      <c r="AC828" s="339"/>
      <c r="AD828" s="339"/>
      <c r="AE828" s="339"/>
      <c r="AF828" s="339"/>
      <c r="AG828" s="339"/>
      <c r="AH828" s="339"/>
      <c r="AI828" s="339"/>
      <c r="AJ828" s="339"/>
      <c r="AK828" s="339"/>
      <c r="AL828" s="339"/>
      <c r="AM828" s="339"/>
      <c r="AN828" s="339"/>
      <c r="AO828" s="339"/>
      <c r="AP828" s="339"/>
      <c r="AQ828" s="339"/>
      <c r="AR828" s="339"/>
      <c r="AS828" s="339"/>
      <c r="AT828" s="339"/>
      <c r="AU828" s="339"/>
      <c r="AV828" s="339"/>
      <c r="AW828" s="339"/>
      <c r="AX828" s="339"/>
      <c r="AY828" s="339"/>
      <c r="AZ828" s="339"/>
      <c r="BA828" s="339"/>
      <c r="BB828" s="339"/>
      <c r="BC828" s="339"/>
      <c r="BD828" s="339"/>
    </row>
    <row r="829" spans="3:56">
      <c r="C829" s="339"/>
      <c r="D829" s="339"/>
      <c r="E829" s="339"/>
      <c r="F829" s="339"/>
      <c r="G829" s="339"/>
      <c r="H829" s="339"/>
      <c r="I829" s="339"/>
      <c r="J829" s="339"/>
      <c r="K829" s="339"/>
      <c r="L829" s="339"/>
      <c r="M829" s="339"/>
      <c r="N829" s="339"/>
      <c r="O829" s="339"/>
      <c r="P829" s="339"/>
      <c r="Q829" s="339"/>
      <c r="R829" s="339"/>
      <c r="S829" s="339"/>
      <c r="T829" s="339"/>
      <c r="U829" s="339"/>
      <c r="V829" s="339"/>
      <c r="W829" s="339"/>
      <c r="X829" s="339"/>
      <c r="Y829" s="339"/>
      <c r="Z829" s="339"/>
      <c r="AA829" s="339"/>
      <c r="AB829" s="339"/>
      <c r="AC829" s="339"/>
      <c r="AD829" s="339"/>
      <c r="AE829" s="339"/>
      <c r="AF829" s="339"/>
      <c r="AG829" s="339"/>
      <c r="AH829" s="339"/>
      <c r="AI829" s="339"/>
      <c r="AJ829" s="339"/>
      <c r="AK829" s="339"/>
      <c r="AL829" s="339"/>
      <c r="AM829" s="339"/>
      <c r="AN829" s="339"/>
      <c r="AO829" s="339"/>
      <c r="AP829" s="339"/>
      <c r="AQ829" s="339"/>
      <c r="AR829" s="339"/>
      <c r="AS829" s="339"/>
      <c r="AT829" s="339"/>
      <c r="AU829" s="339"/>
      <c r="AV829" s="339"/>
      <c r="AW829" s="339"/>
      <c r="AX829" s="339"/>
      <c r="AY829" s="339"/>
      <c r="AZ829" s="339"/>
      <c r="BA829" s="339"/>
      <c r="BB829" s="339"/>
      <c r="BC829" s="339"/>
      <c r="BD829" s="339"/>
    </row>
    <row r="830" spans="3:56">
      <c r="C830" s="339"/>
      <c r="D830" s="339"/>
      <c r="E830" s="339"/>
      <c r="F830" s="339"/>
      <c r="G830" s="339"/>
      <c r="H830" s="339"/>
      <c r="I830" s="339"/>
      <c r="J830" s="339"/>
      <c r="K830" s="339"/>
      <c r="L830" s="339"/>
      <c r="M830" s="339"/>
      <c r="N830" s="339"/>
      <c r="O830" s="339"/>
      <c r="P830" s="339"/>
      <c r="Q830" s="339"/>
      <c r="R830" s="339"/>
      <c r="S830" s="339"/>
      <c r="T830" s="339"/>
      <c r="U830" s="339"/>
      <c r="V830" s="339"/>
      <c r="W830" s="339"/>
      <c r="X830" s="339"/>
      <c r="Y830" s="339"/>
      <c r="Z830" s="339"/>
      <c r="AA830" s="339"/>
      <c r="AB830" s="339"/>
      <c r="AC830" s="339"/>
      <c r="AD830" s="339"/>
      <c r="AE830" s="339"/>
      <c r="AF830" s="339"/>
      <c r="AG830" s="339"/>
      <c r="AH830" s="339"/>
      <c r="AI830" s="339"/>
      <c r="AJ830" s="339"/>
      <c r="AK830" s="339"/>
      <c r="AL830" s="339"/>
      <c r="AM830" s="339"/>
      <c r="AN830" s="339"/>
      <c r="AO830" s="339"/>
      <c r="AP830" s="339"/>
      <c r="AQ830" s="339"/>
      <c r="AR830" s="339"/>
      <c r="AS830" s="339"/>
      <c r="AT830" s="339"/>
      <c r="AU830" s="339"/>
      <c r="AV830" s="339"/>
      <c r="AW830" s="339"/>
      <c r="AX830" s="339"/>
      <c r="AY830" s="339"/>
      <c r="AZ830" s="339"/>
      <c r="BA830" s="339"/>
      <c r="BB830" s="339"/>
      <c r="BC830" s="339"/>
      <c r="BD830" s="339"/>
    </row>
    <row r="831" spans="3:56">
      <c r="C831" s="339"/>
      <c r="D831" s="339"/>
      <c r="E831" s="339"/>
      <c r="F831" s="339"/>
      <c r="G831" s="339"/>
      <c r="H831" s="339"/>
      <c r="I831" s="339"/>
      <c r="J831" s="339"/>
      <c r="K831" s="339"/>
      <c r="L831" s="339"/>
      <c r="M831" s="339"/>
      <c r="N831" s="339"/>
      <c r="O831" s="339"/>
      <c r="P831" s="339"/>
      <c r="Q831" s="339"/>
      <c r="R831" s="339"/>
      <c r="S831" s="339"/>
      <c r="T831" s="339"/>
      <c r="U831" s="339"/>
      <c r="V831" s="339"/>
      <c r="W831" s="339"/>
      <c r="X831" s="339"/>
      <c r="Y831" s="339"/>
      <c r="Z831" s="339"/>
      <c r="AA831" s="339"/>
      <c r="AB831" s="339"/>
      <c r="AC831" s="339"/>
      <c r="AD831" s="339"/>
      <c r="AE831" s="339"/>
      <c r="AF831" s="339"/>
      <c r="AG831" s="339"/>
      <c r="AH831" s="339"/>
      <c r="AI831" s="339"/>
      <c r="AJ831" s="339"/>
      <c r="AK831" s="339"/>
      <c r="AL831" s="339"/>
      <c r="AM831" s="339"/>
      <c r="AN831" s="339"/>
      <c r="AO831" s="339"/>
      <c r="AP831" s="339"/>
      <c r="AQ831" s="339"/>
      <c r="AR831" s="339"/>
      <c r="AS831" s="339"/>
      <c r="AT831" s="339"/>
      <c r="AU831" s="339"/>
      <c r="AV831" s="339"/>
      <c r="AW831" s="339"/>
      <c r="AX831" s="339"/>
      <c r="AY831" s="339"/>
      <c r="AZ831" s="339"/>
      <c r="BA831" s="339"/>
      <c r="BB831" s="339"/>
      <c r="BC831" s="339"/>
      <c r="BD831" s="339"/>
    </row>
    <row r="832" spans="3:56">
      <c r="C832" s="339"/>
      <c r="D832" s="339"/>
      <c r="E832" s="339"/>
      <c r="F832" s="339"/>
      <c r="G832" s="339"/>
      <c r="H832" s="339"/>
      <c r="I832" s="339"/>
      <c r="J832" s="339"/>
      <c r="K832" s="339"/>
      <c r="L832" s="339"/>
      <c r="M832" s="339"/>
      <c r="N832" s="339"/>
      <c r="O832" s="339"/>
      <c r="P832" s="339"/>
      <c r="Q832" s="339"/>
      <c r="R832" s="339"/>
      <c r="S832" s="339"/>
      <c r="T832" s="339"/>
      <c r="U832" s="339"/>
      <c r="V832" s="339"/>
      <c r="W832" s="339"/>
      <c r="X832" s="339"/>
      <c r="Y832" s="339"/>
      <c r="Z832" s="339"/>
      <c r="AA832" s="339"/>
      <c r="AB832" s="339"/>
      <c r="AC832" s="339"/>
      <c r="AD832" s="339"/>
      <c r="AE832" s="339"/>
      <c r="AF832" s="339"/>
      <c r="AG832" s="339"/>
      <c r="AH832" s="339"/>
      <c r="AI832" s="339"/>
      <c r="AJ832" s="339"/>
      <c r="AK832" s="339"/>
      <c r="AL832" s="339"/>
      <c r="AM832" s="339"/>
      <c r="AN832" s="339"/>
      <c r="AO832" s="339"/>
      <c r="AP832" s="339"/>
      <c r="AQ832" s="339"/>
      <c r="AR832" s="339"/>
      <c r="AS832" s="339"/>
      <c r="AT832" s="339"/>
      <c r="AU832" s="339"/>
      <c r="AV832" s="339"/>
      <c r="AW832" s="339"/>
      <c r="AX832" s="339"/>
      <c r="AY832" s="339"/>
      <c r="AZ832" s="339"/>
      <c r="BA832" s="339"/>
      <c r="BB832" s="339"/>
      <c r="BC832" s="339"/>
      <c r="BD832" s="339"/>
    </row>
    <row r="833" spans="3:56">
      <c r="C833" s="339"/>
      <c r="D833" s="339"/>
      <c r="E833" s="339"/>
      <c r="F833" s="339"/>
      <c r="G833" s="339"/>
      <c r="H833" s="339"/>
      <c r="I833" s="339"/>
      <c r="J833" s="339"/>
      <c r="K833" s="339"/>
      <c r="L833" s="339"/>
      <c r="M833" s="339"/>
      <c r="N833" s="339"/>
      <c r="O833" s="339"/>
      <c r="P833" s="339"/>
      <c r="Q833" s="339"/>
      <c r="R833" s="339"/>
      <c r="S833" s="339"/>
      <c r="T833" s="339"/>
      <c r="U833" s="339"/>
      <c r="V833" s="339"/>
      <c r="W833" s="339"/>
      <c r="X833" s="339"/>
      <c r="Y833" s="339"/>
      <c r="Z833" s="339"/>
      <c r="AA833" s="339"/>
      <c r="AB833" s="339"/>
      <c r="AC833" s="339"/>
      <c r="AD833" s="339"/>
      <c r="AE833" s="339"/>
      <c r="AF833" s="339"/>
      <c r="AG833" s="339"/>
      <c r="AH833" s="339"/>
      <c r="AI833" s="339"/>
      <c r="AJ833" s="339"/>
      <c r="AK833" s="339"/>
      <c r="AL833" s="339"/>
      <c r="AM833" s="339"/>
      <c r="AN833" s="339"/>
      <c r="AO833" s="339"/>
      <c r="AP833" s="339"/>
      <c r="AQ833" s="339"/>
      <c r="AR833" s="339"/>
      <c r="AS833" s="339"/>
      <c r="AT833" s="339"/>
      <c r="AU833" s="339"/>
      <c r="AV833" s="339"/>
      <c r="AW833" s="339"/>
      <c r="AX833" s="339"/>
      <c r="AY833" s="339"/>
      <c r="AZ833" s="339"/>
      <c r="BA833" s="339"/>
      <c r="BB833" s="339"/>
      <c r="BC833" s="339"/>
      <c r="BD833" s="339"/>
    </row>
    <row r="834" spans="3:56">
      <c r="C834" s="339"/>
      <c r="D834" s="339"/>
      <c r="E834" s="339"/>
      <c r="F834" s="339"/>
      <c r="G834" s="339"/>
      <c r="H834" s="339"/>
      <c r="I834" s="339"/>
      <c r="J834" s="339"/>
      <c r="K834" s="339"/>
      <c r="L834" s="339"/>
      <c r="M834" s="339"/>
      <c r="N834" s="339"/>
      <c r="O834" s="339"/>
      <c r="P834" s="339"/>
      <c r="Q834" s="339"/>
      <c r="R834" s="339"/>
      <c r="S834" s="339"/>
      <c r="T834" s="339"/>
      <c r="U834" s="339"/>
      <c r="V834" s="339"/>
      <c r="W834" s="339"/>
      <c r="X834" s="339"/>
      <c r="Y834" s="339"/>
      <c r="Z834" s="339"/>
      <c r="AA834" s="339"/>
      <c r="AB834" s="339"/>
      <c r="AC834" s="339"/>
      <c r="AD834" s="339"/>
      <c r="AE834" s="339"/>
      <c r="AF834" s="339"/>
      <c r="AG834" s="339"/>
      <c r="AH834" s="339"/>
      <c r="AI834" s="339"/>
      <c r="AJ834" s="339"/>
      <c r="AK834" s="339"/>
      <c r="AL834" s="339"/>
      <c r="AM834" s="339"/>
      <c r="AN834" s="339"/>
      <c r="AO834" s="339"/>
      <c r="AP834" s="339"/>
      <c r="AQ834" s="339"/>
      <c r="AR834" s="339"/>
      <c r="AS834" s="339"/>
      <c r="AT834" s="339"/>
      <c r="AU834" s="339"/>
      <c r="AV834" s="339"/>
      <c r="AW834" s="339"/>
      <c r="AX834" s="339"/>
      <c r="AY834" s="339"/>
      <c r="AZ834" s="339"/>
      <c r="BA834" s="339"/>
      <c r="BB834" s="339"/>
      <c r="BC834" s="339"/>
      <c r="BD834" s="339"/>
    </row>
    <row r="835" spans="3:56">
      <c r="C835" s="339"/>
      <c r="D835" s="339"/>
      <c r="E835" s="339"/>
      <c r="F835" s="339"/>
      <c r="G835" s="339"/>
      <c r="H835" s="339"/>
      <c r="I835" s="339"/>
      <c r="J835" s="339"/>
      <c r="K835" s="339"/>
      <c r="L835" s="339"/>
      <c r="M835" s="339"/>
      <c r="N835" s="339"/>
      <c r="O835" s="339"/>
      <c r="P835" s="339"/>
      <c r="Q835" s="339"/>
      <c r="R835" s="339"/>
      <c r="S835" s="339"/>
      <c r="T835" s="339"/>
      <c r="U835" s="339"/>
      <c r="V835" s="339"/>
      <c r="W835" s="339"/>
      <c r="X835" s="339"/>
      <c r="Y835" s="339"/>
      <c r="Z835" s="339"/>
      <c r="AA835" s="339"/>
      <c r="AB835" s="339"/>
      <c r="AC835" s="339"/>
      <c r="AD835" s="339"/>
      <c r="AE835" s="339"/>
      <c r="AF835" s="339"/>
      <c r="AG835" s="339"/>
      <c r="AH835" s="339"/>
      <c r="AI835" s="339"/>
      <c r="AJ835" s="339"/>
      <c r="AK835" s="339"/>
      <c r="AL835" s="339"/>
      <c r="AM835" s="339"/>
      <c r="AN835" s="339"/>
      <c r="AO835" s="339"/>
      <c r="AP835" s="339"/>
      <c r="AQ835" s="339"/>
      <c r="AR835" s="339"/>
      <c r="AS835" s="339"/>
      <c r="AT835" s="339"/>
      <c r="AU835" s="339"/>
      <c r="AV835" s="339"/>
      <c r="AW835" s="339"/>
      <c r="AX835" s="339"/>
      <c r="AY835" s="339"/>
      <c r="AZ835" s="339"/>
      <c r="BA835" s="339"/>
      <c r="BB835" s="339"/>
      <c r="BC835" s="339"/>
      <c r="BD835" s="339"/>
    </row>
    <row r="836" spans="3:56">
      <c r="C836" s="339"/>
      <c r="D836" s="339"/>
      <c r="E836" s="339"/>
      <c r="F836" s="339"/>
      <c r="G836" s="339"/>
      <c r="H836" s="339"/>
      <c r="I836" s="339"/>
      <c r="J836" s="339"/>
      <c r="K836" s="339"/>
      <c r="L836" s="339"/>
      <c r="M836" s="339"/>
      <c r="N836" s="339"/>
      <c r="O836" s="339"/>
      <c r="P836" s="339"/>
      <c r="Q836" s="339"/>
      <c r="R836" s="339"/>
      <c r="S836" s="339"/>
      <c r="T836" s="339"/>
      <c r="U836" s="339"/>
      <c r="V836" s="339"/>
      <c r="W836" s="339"/>
      <c r="X836" s="339"/>
      <c r="Y836" s="339"/>
      <c r="Z836" s="339"/>
      <c r="AA836" s="339"/>
      <c r="AB836" s="339"/>
      <c r="AC836" s="339"/>
      <c r="AD836" s="339"/>
      <c r="AE836" s="339"/>
      <c r="AF836" s="339"/>
      <c r="AG836" s="339"/>
      <c r="AH836" s="339"/>
      <c r="AI836" s="339"/>
      <c r="AJ836" s="339"/>
      <c r="AK836" s="339"/>
      <c r="AL836" s="339"/>
      <c r="AM836" s="339"/>
      <c r="AN836" s="339"/>
      <c r="AO836" s="339"/>
      <c r="AP836" s="339"/>
      <c r="AQ836" s="339"/>
      <c r="AR836" s="339"/>
      <c r="AS836" s="339"/>
      <c r="AT836" s="339"/>
      <c r="AU836" s="339"/>
      <c r="AV836" s="339"/>
      <c r="AW836" s="339"/>
      <c r="AX836" s="339"/>
      <c r="AY836" s="339"/>
      <c r="AZ836" s="339"/>
      <c r="BA836" s="339"/>
      <c r="BB836" s="339"/>
      <c r="BC836" s="339"/>
      <c r="BD836" s="339"/>
    </row>
    <row r="837" spans="3:56">
      <c r="C837" s="339"/>
      <c r="D837" s="339"/>
      <c r="E837" s="339"/>
      <c r="F837" s="339"/>
      <c r="G837" s="339"/>
      <c r="H837" s="339"/>
      <c r="I837" s="339"/>
      <c r="J837" s="339"/>
      <c r="K837" s="339"/>
      <c r="L837" s="339"/>
      <c r="M837" s="339"/>
      <c r="N837" s="339"/>
      <c r="O837" s="339"/>
      <c r="P837" s="339"/>
      <c r="Q837" s="339"/>
      <c r="R837" s="339"/>
      <c r="S837" s="339"/>
      <c r="T837" s="339"/>
      <c r="U837" s="339"/>
      <c r="V837" s="339"/>
      <c r="W837" s="339"/>
      <c r="X837" s="339"/>
      <c r="Y837" s="339"/>
      <c r="Z837" s="339"/>
      <c r="AA837" s="339"/>
      <c r="AB837" s="339"/>
      <c r="AC837" s="339"/>
      <c r="AD837" s="339"/>
      <c r="AE837" s="339"/>
      <c r="AF837" s="339"/>
      <c r="AG837" s="339"/>
      <c r="AH837" s="339"/>
      <c r="AI837" s="339"/>
      <c r="AJ837" s="339"/>
      <c r="AK837" s="339"/>
      <c r="AL837" s="339"/>
      <c r="AM837" s="339"/>
      <c r="AN837" s="339"/>
      <c r="AO837" s="339"/>
      <c r="AP837" s="339"/>
      <c r="AQ837" s="339"/>
      <c r="AR837" s="339"/>
      <c r="AS837" s="339"/>
      <c r="AT837" s="339"/>
      <c r="AU837" s="339"/>
      <c r="AV837" s="339"/>
      <c r="AW837" s="339"/>
      <c r="AX837" s="339"/>
      <c r="AY837" s="339"/>
      <c r="AZ837" s="339"/>
      <c r="BA837" s="339"/>
      <c r="BB837" s="339"/>
      <c r="BC837" s="339"/>
      <c r="BD837" s="339"/>
    </row>
    <row r="838" spans="3:56">
      <c r="C838" s="339"/>
      <c r="D838" s="339"/>
      <c r="E838" s="339"/>
      <c r="F838" s="339"/>
      <c r="G838" s="339"/>
      <c r="H838" s="339"/>
      <c r="I838" s="339"/>
      <c r="J838" s="339"/>
      <c r="K838" s="339"/>
      <c r="L838" s="339"/>
      <c r="M838" s="339"/>
      <c r="N838" s="339"/>
      <c r="O838" s="339"/>
      <c r="P838" s="339"/>
      <c r="Q838" s="339"/>
      <c r="R838" s="339"/>
      <c r="S838" s="339"/>
      <c r="T838" s="339"/>
      <c r="U838" s="339"/>
      <c r="V838" s="339"/>
      <c r="W838" s="339"/>
      <c r="X838" s="339"/>
      <c r="Y838" s="339"/>
      <c r="Z838" s="339"/>
      <c r="AA838" s="339"/>
      <c r="AB838" s="339"/>
      <c r="AC838" s="339"/>
      <c r="AD838" s="339"/>
      <c r="AE838" s="339"/>
      <c r="AF838" s="339"/>
      <c r="AG838" s="339"/>
      <c r="AH838" s="339"/>
      <c r="AI838" s="339"/>
      <c r="AJ838" s="339"/>
      <c r="AK838" s="339"/>
      <c r="AL838" s="339"/>
      <c r="AM838" s="339"/>
      <c r="AN838" s="339"/>
      <c r="AO838" s="339"/>
      <c r="AP838" s="339"/>
      <c r="AQ838" s="339"/>
      <c r="AR838" s="339"/>
      <c r="AS838" s="339"/>
      <c r="AT838" s="339"/>
      <c r="AU838" s="339"/>
      <c r="AV838" s="339"/>
      <c r="AW838" s="339"/>
      <c r="AX838" s="339"/>
      <c r="AY838" s="339"/>
      <c r="AZ838" s="339"/>
      <c r="BA838" s="339"/>
      <c r="BB838" s="339"/>
      <c r="BC838" s="339"/>
      <c r="BD838" s="339"/>
    </row>
    <row r="839" spans="3:56">
      <c r="C839" s="339"/>
      <c r="D839" s="339"/>
      <c r="E839" s="339"/>
      <c r="F839" s="339"/>
      <c r="G839" s="339"/>
      <c r="H839" s="339"/>
      <c r="I839" s="339"/>
      <c r="J839" s="339"/>
      <c r="K839" s="339"/>
      <c r="L839" s="339"/>
      <c r="M839" s="339"/>
      <c r="N839" s="339"/>
      <c r="O839" s="339"/>
      <c r="P839" s="339"/>
      <c r="Q839" s="339"/>
      <c r="R839" s="339"/>
      <c r="S839" s="339"/>
      <c r="T839" s="339"/>
      <c r="U839" s="339"/>
      <c r="V839" s="339"/>
      <c r="W839" s="339"/>
      <c r="X839" s="339"/>
      <c r="Y839" s="339"/>
      <c r="Z839" s="339"/>
      <c r="AA839" s="339"/>
      <c r="AB839" s="339"/>
      <c r="AC839" s="339"/>
      <c r="AD839" s="339"/>
      <c r="AE839" s="339"/>
      <c r="AF839" s="339"/>
      <c r="AG839" s="339"/>
      <c r="AH839" s="339"/>
      <c r="AI839" s="339"/>
      <c r="AJ839" s="339"/>
      <c r="AK839" s="339"/>
      <c r="AL839" s="339"/>
      <c r="AM839" s="339"/>
      <c r="AN839" s="339"/>
      <c r="AO839" s="339"/>
      <c r="AP839" s="339"/>
      <c r="AQ839" s="339"/>
      <c r="AR839" s="339"/>
      <c r="AS839" s="339"/>
      <c r="AT839" s="339"/>
      <c r="AU839" s="339"/>
      <c r="AV839" s="339"/>
      <c r="AW839" s="339"/>
      <c r="AX839" s="339"/>
      <c r="AY839" s="339"/>
      <c r="AZ839" s="339"/>
      <c r="BA839" s="339"/>
      <c r="BB839" s="339"/>
      <c r="BC839" s="339"/>
      <c r="BD839" s="339"/>
    </row>
    <row r="840" spans="3:56">
      <c r="C840" s="339"/>
      <c r="D840" s="339"/>
      <c r="E840" s="339"/>
      <c r="F840" s="339"/>
      <c r="G840" s="339"/>
      <c r="H840" s="339"/>
      <c r="I840" s="339"/>
      <c r="J840" s="339"/>
      <c r="K840" s="339"/>
      <c r="L840" s="339"/>
      <c r="M840" s="339"/>
      <c r="N840" s="339"/>
      <c r="O840" s="339"/>
      <c r="P840" s="339"/>
      <c r="Q840" s="339"/>
      <c r="R840" s="339"/>
      <c r="S840" s="339"/>
      <c r="T840" s="339"/>
      <c r="U840" s="339"/>
      <c r="V840" s="339"/>
      <c r="W840" s="339"/>
      <c r="X840" s="339"/>
      <c r="Y840" s="339"/>
      <c r="Z840" s="339"/>
      <c r="AA840" s="339"/>
      <c r="AB840" s="339"/>
      <c r="AC840" s="339"/>
      <c r="AD840" s="339"/>
      <c r="AE840" s="339"/>
      <c r="AF840" s="339"/>
      <c r="AG840" s="339"/>
      <c r="AH840" s="339"/>
      <c r="AI840" s="339"/>
      <c r="AJ840" s="339"/>
      <c r="AK840" s="339"/>
      <c r="AL840" s="339"/>
      <c r="AM840" s="339"/>
      <c r="AN840" s="339"/>
      <c r="AO840" s="339"/>
      <c r="AP840" s="339"/>
      <c r="AQ840" s="339"/>
      <c r="AR840" s="339"/>
      <c r="AS840" s="339"/>
      <c r="AT840" s="339"/>
      <c r="AU840" s="339"/>
      <c r="AV840" s="339"/>
      <c r="AW840" s="339"/>
      <c r="AX840" s="339"/>
      <c r="AY840" s="339"/>
      <c r="AZ840" s="339"/>
      <c r="BA840" s="339"/>
      <c r="BB840" s="339"/>
      <c r="BC840" s="339"/>
      <c r="BD840" s="339"/>
    </row>
    <row r="841" spans="3:56">
      <c r="C841" s="339"/>
      <c r="D841" s="339"/>
      <c r="E841" s="339"/>
      <c r="F841" s="339"/>
      <c r="G841" s="339"/>
      <c r="H841" s="339"/>
      <c r="I841" s="339"/>
      <c r="J841" s="339"/>
      <c r="K841" s="339"/>
      <c r="L841" s="339"/>
      <c r="M841" s="339"/>
      <c r="N841" s="339"/>
      <c r="O841" s="339"/>
      <c r="P841" s="339"/>
      <c r="Q841" s="339"/>
      <c r="R841" s="339"/>
      <c r="S841" s="339"/>
      <c r="T841" s="339"/>
      <c r="U841" s="339"/>
      <c r="V841" s="339"/>
      <c r="W841" s="339"/>
      <c r="X841" s="339"/>
      <c r="Y841" s="339"/>
      <c r="Z841" s="339"/>
      <c r="AA841" s="339"/>
      <c r="AB841" s="339"/>
      <c r="AC841" s="339"/>
      <c r="AD841" s="339"/>
      <c r="AE841" s="339"/>
      <c r="AF841" s="339"/>
      <c r="AG841" s="339"/>
      <c r="AH841" s="339"/>
      <c r="AI841" s="339"/>
      <c r="AJ841" s="339"/>
      <c r="AK841" s="339"/>
      <c r="AL841" s="339"/>
      <c r="AM841" s="339"/>
      <c r="AN841" s="339"/>
      <c r="AO841" s="339"/>
      <c r="AP841" s="339"/>
      <c r="AQ841" s="339"/>
      <c r="AR841" s="339"/>
      <c r="AS841" s="339"/>
      <c r="AT841" s="339"/>
      <c r="AU841" s="339"/>
      <c r="AV841" s="339"/>
      <c r="AW841" s="339"/>
      <c r="AX841" s="339"/>
      <c r="AY841" s="339"/>
      <c r="AZ841" s="339"/>
      <c r="BA841" s="339"/>
      <c r="BB841" s="339"/>
      <c r="BC841" s="339"/>
      <c r="BD841" s="339"/>
    </row>
    <row r="842" spans="3:56">
      <c r="C842" s="339"/>
      <c r="D842" s="339"/>
      <c r="E842" s="339"/>
      <c r="F842" s="339"/>
      <c r="G842" s="339"/>
      <c r="H842" s="339"/>
      <c r="I842" s="339"/>
      <c r="J842" s="339"/>
      <c r="K842" s="339"/>
      <c r="L842" s="339"/>
      <c r="M842" s="339"/>
      <c r="N842" s="339"/>
      <c r="O842" s="339"/>
      <c r="P842" s="339"/>
      <c r="Q842" s="339"/>
      <c r="R842" s="339"/>
      <c r="S842" s="339"/>
      <c r="T842" s="339"/>
      <c r="U842" s="339"/>
      <c r="V842" s="339"/>
      <c r="W842" s="339"/>
      <c r="X842" s="339"/>
      <c r="Y842" s="339"/>
      <c r="Z842" s="339"/>
      <c r="AA842" s="339"/>
      <c r="AB842" s="339"/>
      <c r="AC842" s="339"/>
      <c r="AD842" s="339"/>
      <c r="AE842" s="339"/>
      <c r="AF842" s="339"/>
      <c r="AG842" s="339"/>
      <c r="AH842" s="339"/>
      <c r="AI842" s="339"/>
      <c r="AJ842" s="339"/>
      <c r="AK842" s="339"/>
      <c r="AL842" s="339"/>
      <c r="AM842" s="339"/>
      <c r="AN842" s="339"/>
      <c r="AO842" s="339"/>
      <c r="AP842" s="339"/>
      <c r="AQ842" s="339"/>
      <c r="AR842" s="339"/>
      <c r="AS842" s="339"/>
      <c r="AT842" s="339"/>
      <c r="AU842" s="339"/>
      <c r="AV842" s="339"/>
      <c r="AW842" s="339"/>
      <c r="AX842" s="339"/>
      <c r="AY842" s="339"/>
      <c r="AZ842" s="339"/>
      <c r="BA842" s="339"/>
      <c r="BB842" s="339"/>
      <c r="BC842" s="339"/>
      <c r="BD842" s="339"/>
    </row>
    <row r="843" spans="3:56">
      <c r="C843" s="339"/>
      <c r="D843" s="339"/>
      <c r="E843" s="339"/>
      <c r="F843" s="339"/>
      <c r="G843" s="339"/>
      <c r="H843" s="339"/>
      <c r="I843" s="339"/>
      <c r="J843" s="339"/>
      <c r="K843" s="339"/>
      <c r="L843" s="339"/>
      <c r="M843" s="339"/>
      <c r="N843" s="339"/>
      <c r="O843" s="339"/>
      <c r="P843" s="339"/>
      <c r="Q843" s="339"/>
      <c r="R843" s="339"/>
      <c r="S843" s="339"/>
      <c r="T843" s="339"/>
      <c r="U843" s="339"/>
      <c r="V843" s="339"/>
      <c r="W843" s="339"/>
      <c r="X843" s="339"/>
      <c r="Y843" s="339"/>
      <c r="Z843" s="339"/>
      <c r="AA843" s="339"/>
      <c r="AB843" s="339"/>
      <c r="AC843" s="339"/>
      <c r="AD843" s="339"/>
      <c r="AE843" s="339"/>
      <c r="AF843" s="339"/>
      <c r="AG843" s="339"/>
      <c r="AH843" s="339"/>
      <c r="AI843" s="339"/>
      <c r="AJ843" s="339"/>
      <c r="AK843" s="339"/>
      <c r="AL843" s="339"/>
      <c r="AM843" s="339"/>
      <c r="AN843" s="339"/>
      <c r="AO843" s="339"/>
      <c r="AP843" s="339"/>
      <c r="AQ843" s="339"/>
      <c r="AR843" s="339"/>
      <c r="AS843" s="339"/>
      <c r="AT843" s="339"/>
      <c r="AU843" s="339"/>
      <c r="AV843" s="339"/>
      <c r="AW843" s="339"/>
      <c r="AX843" s="339"/>
      <c r="AY843" s="339"/>
      <c r="AZ843" s="339"/>
      <c r="BA843" s="339"/>
      <c r="BB843" s="339"/>
      <c r="BC843" s="339"/>
      <c r="BD843" s="339"/>
    </row>
    <row r="844" spans="3:56">
      <c r="C844" s="339"/>
      <c r="D844" s="339"/>
      <c r="E844" s="339"/>
      <c r="F844" s="339"/>
      <c r="G844" s="339"/>
      <c r="H844" s="339"/>
      <c r="I844" s="339"/>
      <c r="J844" s="339"/>
      <c r="K844" s="339"/>
      <c r="L844" s="339"/>
      <c r="M844" s="339"/>
      <c r="N844" s="339"/>
      <c r="O844" s="339"/>
      <c r="P844" s="339"/>
      <c r="Q844" s="339"/>
      <c r="R844" s="339"/>
      <c r="S844" s="339"/>
      <c r="T844" s="339"/>
      <c r="U844" s="339"/>
      <c r="V844" s="339"/>
      <c r="W844" s="339"/>
      <c r="X844" s="339"/>
      <c r="Y844" s="339"/>
      <c r="Z844" s="339"/>
      <c r="AA844" s="339"/>
      <c r="AB844" s="339"/>
      <c r="AC844" s="339"/>
      <c r="AD844" s="339"/>
      <c r="AE844" s="339"/>
      <c r="AF844" s="339"/>
      <c r="AG844" s="339"/>
      <c r="AH844" s="339"/>
      <c r="AI844" s="339"/>
      <c r="AJ844" s="339"/>
      <c r="AK844" s="339"/>
      <c r="AL844" s="339"/>
      <c r="AM844" s="339"/>
      <c r="AN844" s="339"/>
      <c r="AO844" s="339"/>
      <c r="AP844" s="339"/>
      <c r="AQ844" s="339"/>
      <c r="AR844" s="339"/>
      <c r="AS844" s="339"/>
      <c r="AT844" s="339"/>
      <c r="AU844" s="339"/>
      <c r="AV844" s="339"/>
      <c r="AW844" s="339"/>
      <c r="AX844" s="339"/>
      <c r="AY844" s="339"/>
      <c r="AZ844" s="339"/>
      <c r="BA844" s="339"/>
      <c r="BB844" s="339"/>
      <c r="BC844" s="339"/>
      <c r="BD844" s="339"/>
    </row>
    <row r="845" spans="3:56">
      <c r="C845" s="339"/>
      <c r="D845" s="339"/>
      <c r="E845" s="339"/>
      <c r="F845" s="339"/>
      <c r="G845" s="339"/>
      <c r="H845" s="339"/>
      <c r="I845" s="339"/>
      <c r="J845" s="339"/>
      <c r="K845" s="339"/>
      <c r="L845" s="339"/>
      <c r="M845" s="339"/>
      <c r="N845" s="339"/>
      <c r="O845" s="339"/>
      <c r="P845" s="339"/>
      <c r="Q845" s="339"/>
      <c r="R845" s="339"/>
      <c r="S845" s="339"/>
      <c r="T845" s="339"/>
      <c r="U845" s="339"/>
      <c r="V845" s="339"/>
      <c r="W845" s="339"/>
      <c r="X845" s="339"/>
      <c r="Y845" s="339"/>
      <c r="Z845" s="339"/>
      <c r="AA845" s="339"/>
      <c r="AB845" s="339"/>
      <c r="AC845" s="339"/>
      <c r="AD845" s="339"/>
      <c r="AE845" s="339"/>
      <c r="AF845" s="339"/>
      <c r="AG845" s="339"/>
      <c r="AH845" s="339"/>
      <c r="AI845" s="339"/>
      <c r="AJ845" s="339"/>
      <c r="AK845" s="339"/>
      <c r="AL845" s="339"/>
      <c r="AM845" s="339"/>
      <c r="AN845" s="339"/>
      <c r="AO845" s="339"/>
      <c r="AP845" s="339"/>
      <c r="AQ845" s="339"/>
      <c r="AR845" s="339"/>
      <c r="AS845" s="339"/>
      <c r="AT845" s="339"/>
      <c r="AU845" s="339"/>
      <c r="AV845" s="339"/>
      <c r="AW845" s="339"/>
      <c r="AX845" s="339"/>
      <c r="AY845" s="339"/>
      <c r="AZ845" s="339"/>
      <c r="BA845" s="339"/>
      <c r="BB845" s="339"/>
      <c r="BC845" s="339"/>
      <c r="BD845" s="339"/>
    </row>
    <row r="846" spans="3:56">
      <c r="C846" s="339"/>
      <c r="D846" s="339"/>
      <c r="E846" s="339"/>
      <c r="F846" s="339"/>
      <c r="G846" s="339"/>
      <c r="H846" s="339"/>
      <c r="I846" s="339"/>
      <c r="J846" s="339"/>
      <c r="K846" s="339"/>
      <c r="L846" s="339"/>
      <c r="M846" s="339"/>
      <c r="N846" s="339"/>
      <c r="O846" s="339"/>
      <c r="P846" s="339"/>
      <c r="Q846" s="339"/>
      <c r="R846" s="339"/>
      <c r="S846" s="339"/>
      <c r="T846" s="339"/>
      <c r="U846" s="339"/>
      <c r="V846" s="339"/>
      <c r="W846" s="339"/>
      <c r="X846" s="339"/>
      <c r="Y846" s="339"/>
      <c r="Z846" s="339"/>
      <c r="AA846" s="339"/>
      <c r="AB846" s="339"/>
      <c r="AC846" s="339"/>
      <c r="AD846" s="339"/>
      <c r="AE846" s="339"/>
      <c r="AF846" s="339"/>
      <c r="AG846" s="339"/>
      <c r="AH846" s="339"/>
      <c r="AI846" s="339"/>
      <c r="AJ846" s="339"/>
      <c r="AK846" s="339"/>
      <c r="AL846" s="339"/>
      <c r="AM846" s="339"/>
      <c r="AN846" s="339"/>
      <c r="AO846" s="339"/>
      <c r="AP846" s="339"/>
      <c r="AQ846" s="339"/>
      <c r="AR846" s="339"/>
      <c r="AS846" s="339"/>
      <c r="AT846" s="339"/>
      <c r="AU846" s="339"/>
      <c r="AV846" s="339"/>
      <c r="AW846" s="339"/>
      <c r="AX846" s="339"/>
      <c r="AY846" s="339"/>
      <c r="AZ846" s="339"/>
      <c r="BA846" s="339"/>
      <c r="BB846" s="339"/>
      <c r="BC846" s="339"/>
      <c r="BD846" s="339"/>
    </row>
    <row r="847" spans="3:56">
      <c r="C847" s="339"/>
      <c r="D847" s="339"/>
      <c r="E847" s="339"/>
      <c r="F847" s="339"/>
      <c r="G847" s="339"/>
      <c r="H847" s="339"/>
      <c r="I847" s="339"/>
      <c r="J847" s="339"/>
      <c r="K847" s="339"/>
      <c r="L847" s="339"/>
      <c r="M847" s="339"/>
      <c r="N847" s="339"/>
      <c r="O847" s="339"/>
      <c r="P847" s="339"/>
      <c r="Q847" s="339"/>
      <c r="R847" s="339"/>
      <c r="S847" s="339"/>
      <c r="T847" s="339"/>
      <c r="U847" s="339"/>
      <c r="V847" s="339"/>
      <c r="W847" s="339"/>
      <c r="X847" s="339"/>
      <c r="Y847" s="339"/>
      <c r="Z847" s="339"/>
      <c r="AA847" s="339"/>
      <c r="AB847" s="339"/>
      <c r="AC847" s="339"/>
      <c r="AD847" s="339"/>
      <c r="AE847" s="339"/>
      <c r="AF847" s="339"/>
      <c r="AG847" s="339"/>
      <c r="AH847" s="339"/>
      <c r="AI847" s="339"/>
      <c r="AJ847" s="339"/>
      <c r="AK847" s="339"/>
      <c r="AL847" s="339"/>
      <c r="AM847" s="339"/>
      <c r="AN847" s="339"/>
      <c r="AO847" s="339"/>
      <c r="AP847" s="339"/>
      <c r="AQ847" s="339"/>
      <c r="AR847" s="339"/>
      <c r="AS847" s="339"/>
      <c r="AT847" s="339"/>
      <c r="AU847" s="339"/>
      <c r="AV847" s="339"/>
      <c r="AW847" s="339"/>
      <c r="AX847" s="339"/>
      <c r="AY847" s="339"/>
      <c r="AZ847" s="339"/>
      <c r="BA847" s="339"/>
      <c r="BB847" s="339"/>
      <c r="BC847" s="339"/>
      <c r="BD847" s="339"/>
    </row>
    <row r="848" spans="3:56">
      <c r="C848" s="339"/>
      <c r="D848" s="339"/>
      <c r="E848" s="339"/>
      <c r="F848" s="339"/>
      <c r="G848" s="339"/>
      <c r="H848" s="339"/>
      <c r="I848" s="339"/>
      <c r="J848" s="339"/>
      <c r="K848" s="339"/>
      <c r="L848" s="339"/>
      <c r="M848" s="339"/>
      <c r="N848" s="339"/>
      <c r="O848" s="339"/>
      <c r="P848" s="339"/>
      <c r="Q848" s="339"/>
      <c r="R848" s="339"/>
      <c r="S848" s="339"/>
      <c r="T848" s="339"/>
      <c r="U848" s="339"/>
      <c r="V848" s="339"/>
      <c r="W848" s="339"/>
      <c r="X848" s="339"/>
      <c r="Y848" s="339"/>
      <c r="Z848" s="339"/>
      <c r="AA848" s="339"/>
      <c r="AB848" s="339"/>
      <c r="AC848" s="339"/>
      <c r="AD848" s="339"/>
      <c r="AE848" s="339"/>
      <c r="AF848" s="339"/>
      <c r="AG848" s="339"/>
      <c r="AH848" s="339"/>
      <c r="AI848" s="339"/>
      <c r="AJ848" s="339"/>
      <c r="AK848" s="339"/>
      <c r="AL848" s="339"/>
      <c r="AM848" s="339"/>
      <c r="AN848" s="339"/>
      <c r="AO848" s="339"/>
      <c r="AP848" s="339"/>
      <c r="AQ848" s="339"/>
      <c r="AR848" s="339"/>
      <c r="AS848" s="339"/>
      <c r="AT848" s="339"/>
      <c r="AU848" s="339"/>
      <c r="AV848" s="339"/>
      <c r="AW848" s="339"/>
      <c r="AX848" s="339"/>
      <c r="AY848" s="339"/>
      <c r="AZ848" s="339"/>
      <c r="BA848" s="339"/>
      <c r="BB848" s="339"/>
      <c r="BC848" s="339"/>
      <c r="BD848" s="339"/>
    </row>
    <row r="849" spans="3:56">
      <c r="C849" s="339"/>
      <c r="D849" s="339"/>
      <c r="E849" s="339"/>
      <c r="F849" s="339"/>
      <c r="G849" s="339"/>
      <c r="H849" s="339"/>
      <c r="I849" s="339"/>
      <c r="J849" s="339"/>
      <c r="K849" s="339"/>
      <c r="L849" s="339"/>
      <c r="M849" s="339"/>
      <c r="N849" s="339"/>
      <c r="O849" s="339"/>
      <c r="P849" s="339"/>
      <c r="Q849" s="339"/>
      <c r="R849" s="339"/>
      <c r="S849" s="339"/>
      <c r="T849" s="339"/>
      <c r="U849" s="339"/>
      <c r="V849" s="339"/>
      <c r="W849" s="339"/>
      <c r="X849" s="339"/>
      <c r="Y849" s="339"/>
      <c r="Z849" s="339"/>
      <c r="AA849" s="339"/>
      <c r="AB849" s="339"/>
      <c r="AC849" s="339"/>
      <c r="AD849" s="339"/>
      <c r="AE849" s="339"/>
      <c r="AF849" s="339"/>
      <c r="AG849" s="339"/>
      <c r="AH849" s="339"/>
      <c r="AI849" s="339"/>
      <c r="AJ849" s="339"/>
      <c r="AK849" s="339"/>
      <c r="AL849" s="339"/>
      <c r="AM849" s="339"/>
      <c r="AN849" s="339"/>
      <c r="AO849" s="339"/>
      <c r="AP849" s="339"/>
      <c r="AQ849" s="339"/>
      <c r="AR849" s="339"/>
      <c r="AS849" s="339"/>
      <c r="AT849" s="339"/>
      <c r="AU849" s="339"/>
      <c r="AV849" s="339"/>
      <c r="AW849" s="339"/>
      <c r="AX849" s="339"/>
      <c r="AY849" s="339"/>
      <c r="AZ849" s="339"/>
      <c r="BA849" s="339"/>
      <c r="BB849" s="339"/>
      <c r="BC849" s="339"/>
      <c r="BD849" s="339"/>
    </row>
    <row r="850" spans="3:56">
      <c r="C850" s="339"/>
      <c r="D850" s="339"/>
      <c r="E850" s="339"/>
      <c r="F850" s="339"/>
      <c r="G850" s="339"/>
      <c r="H850" s="339"/>
      <c r="I850" s="339"/>
      <c r="J850" s="339"/>
      <c r="K850" s="339"/>
      <c r="L850" s="339"/>
      <c r="M850" s="339"/>
      <c r="N850" s="339"/>
      <c r="O850" s="339"/>
      <c r="P850" s="339"/>
      <c r="Q850" s="339"/>
      <c r="R850" s="339"/>
      <c r="S850" s="339"/>
      <c r="T850" s="339"/>
      <c r="U850" s="339"/>
      <c r="V850" s="339"/>
      <c r="W850" s="339"/>
      <c r="X850" s="339"/>
      <c r="Y850" s="339"/>
      <c r="Z850" s="339"/>
      <c r="AA850" s="339"/>
      <c r="AB850" s="339"/>
      <c r="AC850" s="339"/>
      <c r="AD850" s="339"/>
      <c r="AE850" s="339"/>
      <c r="AF850" s="339"/>
      <c r="AG850" s="339"/>
      <c r="AH850" s="339"/>
      <c r="AI850" s="339"/>
      <c r="AJ850" s="339"/>
      <c r="AK850" s="339"/>
      <c r="AL850" s="339"/>
      <c r="AM850" s="339"/>
      <c r="AN850" s="339"/>
      <c r="AO850" s="339"/>
      <c r="AP850" s="339"/>
      <c r="AQ850" s="339"/>
      <c r="AR850" s="339"/>
      <c r="AS850" s="339"/>
      <c r="AT850" s="339"/>
      <c r="AU850" s="339"/>
      <c r="AV850" s="339"/>
      <c r="AW850" s="339"/>
      <c r="AX850" s="339"/>
      <c r="AY850" s="339"/>
      <c r="AZ850" s="339"/>
      <c r="BA850" s="339"/>
      <c r="BB850" s="339"/>
      <c r="BC850" s="339"/>
      <c r="BD850" s="339"/>
    </row>
    <row r="851" spans="3:56">
      <c r="C851" s="339"/>
      <c r="D851" s="339"/>
      <c r="E851" s="339"/>
      <c r="F851" s="339"/>
      <c r="G851" s="339"/>
      <c r="H851" s="339"/>
      <c r="I851" s="339"/>
      <c r="J851" s="339"/>
      <c r="K851" s="339"/>
      <c r="L851" s="339"/>
      <c r="M851" s="339"/>
      <c r="N851" s="339"/>
      <c r="O851" s="339"/>
      <c r="P851" s="339"/>
      <c r="Q851" s="339"/>
      <c r="R851" s="339"/>
      <c r="S851" s="339"/>
      <c r="T851" s="339"/>
      <c r="U851" s="339"/>
      <c r="V851" s="339"/>
      <c r="W851" s="339"/>
      <c r="X851" s="339"/>
      <c r="Y851" s="339"/>
      <c r="Z851" s="339"/>
      <c r="AA851" s="339"/>
      <c r="AB851" s="339"/>
      <c r="AC851" s="339"/>
      <c r="AD851" s="339"/>
      <c r="AE851" s="339"/>
      <c r="AF851" s="339"/>
      <c r="AG851" s="339"/>
      <c r="AH851" s="339"/>
      <c r="AI851" s="339"/>
      <c r="AJ851" s="339"/>
      <c r="AK851" s="339"/>
      <c r="AL851" s="339"/>
      <c r="AM851" s="339"/>
      <c r="AN851" s="339"/>
      <c r="AO851" s="339"/>
      <c r="AP851" s="339"/>
      <c r="AQ851" s="339"/>
      <c r="AR851" s="339"/>
      <c r="AS851" s="339"/>
      <c r="AT851" s="339"/>
      <c r="AU851" s="339"/>
      <c r="AV851" s="339"/>
      <c r="AW851" s="339"/>
      <c r="AX851" s="339"/>
      <c r="AY851" s="339"/>
      <c r="AZ851" s="339"/>
      <c r="BA851" s="339"/>
      <c r="BB851" s="339"/>
      <c r="BC851" s="339"/>
      <c r="BD851" s="339"/>
    </row>
    <row r="852" spans="3:56">
      <c r="C852" s="339"/>
      <c r="D852" s="339"/>
      <c r="E852" s="339"/>
      <c r="F852" s="339"/>
      <c r="G852" s="339"/>
      <c r="H852" s="339"/>
      <c r="I852" s="339"/>
      <c r="J852" s="339"/>
      <c r="K852" s="339"/>
      <c r="L852" s="339"/>
      <c r="M852" s="339"/>
      <c r="N852" s="339"/>
      <c r="O852" s="339"/>
      <c r="P852" s="339"/>
      <c r="Q852" s="339"/>
      <c r="R852" s="339"/>
      <c r="S852" s="339"/>
      <c r="T852" s="339"/>
      <c r="U852" s="339"/>
      <c r="V852" s="339"/>
      <c r="W852" s="339"/>
      <c r="X852" s="339"/>
      <c r="Y852" s="339"/>
      <c r="Z852" s="339"/>
      <c r="AA852" s="339"/>
      <c r="AB852" s="339"/>
      <c r="AC852" s="339"/>
      <c r="AD852" s="339"/>
      <c r="AE852" s="339"/>
      <c r="AF852" s="339"/>
      <c r="AG852" s="339"/>
      <c r="AH852" s="339"/>
      <c r="AI852" s="339"/>
      <c r="AJ852" s="339"/>
      <c r="AK852" s="339"/>
      <c r="AL852" s="339"/>
      <c r="AM852" s="339"/>
      <c r="AN852" s="339"/>
      <c r="AO852" s="339"/>
      <c r="AP852" s="339"/>
      <c r="AQ852" s="339"/>
      <c r="AR852" s="339"/>
      <c r="AS852" s="339"/>
      <c r="AT852" s="339"/>
      <c r="AU852" s="339"/>
      <c r="AV852" s="339"/>
      <c r="AW852" s="339"/>
      <c r="AX852" s="339"/>
      <c r="AY852" s="339"/>
      <c r="AZ852" s="339"/>
      <c r="BA852" s="339"/>
      <c r="BB852" s="339"/>
      <c r="BC852" s="339"/>
      <c r="BD852" s="339"/>
    </row>
    <row r="853" spans="3:56">
      <c r="C853" s="339"/>
      <c r="D853" s="339"/>
      <c r="E853" s="339"/>
      <c r="F853" s="339"/>
      <c r="G853" s="339"/>
      <c r="H853" s="339"/>
      <c r="I853" s="339"/>
      <c r="J853" s="339"/>
      <c r="K853" s="339"/>
      <c r="L853" s="339"/>
      <c r="M853" s="339"/>
      <c r="N853" s="339"/>
      <c r="O853" s="339"/>
      <c r="P853" s="339"/>
      <c r="Q853" s="339"/>
      <c r="R853" s="339"/>
      <c r="S853" s="339"/>
      <c r="T853" s="339"/>
      <c r="U853" s="339"/>
      <c r="V853" s="339"/>
      <c r="W853" s="339"/>
      <c r="X853" s="339"/>
      <c r="Y853" s="339"/>
      <c r="Z853" s="339"/>
      <c r="AA853" s="339"/>
      <c r="AB853" s="339"/>
      <c r="AC853" s="339"/>
      <c r="AD853" s="339"/>
      <c r="AE853" s="339"/>
      <c r="AF853" s="339"/>
      <c r="AG853" s="339"/>
      <c r="AH853" s="339"/>
      <c r="AI853" s="339"/>
      <c r="AJ853" s="339"/>
      <c r="AK853" s="339"/>
      <c r="AL853" s="339"/>
      <c r="AM853" s="339"/>
      <c r="AN853" s="339"/>
      <c r="AO853" s="339"/>
      <c r="AP853" s="339"/>
      <c r="AQ853" s="339"/>
      <c r="AR853" s="339"/>
      <c r="AS853" s="339"/>
      <c r="AT853" s="339"/>
      <c r="AU853" s="339"/>
      <c r="AV853" s="339"/>
      <c r="AW853" s="339"/>
      <c r="AX853" s="339"/>
      <c r="AY853" s="339"/>
      <c r="AZ853" s="339"/>
      <c r="BA853" s="339"/>
      <c r="BB853" s="339"/>
      <c r="BC853" s="339"/>
      <c r="BD853" s="339"/>
    </row>
    <row r="854" spans="3:56">
      <c r="C854" s="339"/>
      <c r="D854" s="339"/>
      <c r="E854" s="339"/>
      <c r="F854" s="339"/>
      <c r="G854" s="339"/>
      <c r="H854" s="339"/>
      <c r="I854" s="339"/>
      <c r="J854" s="339"/>
      <c r="K854" s="339"/>
      <c r="L854" s="339"/>
      <c r="M854" s="339"/>
      <c r="N854" s="339"/>
      <c r="O854" s="339"/>
      <c r="P854" s="339"/>
      <c r="Q854" s="339"/>
      <c r="R854" s="339"/>
      <c r="S854" s="339"/>
      <c r="T854" s="339"/>
      <c r="U854" s="339"/>
      <c r="V854" s="339"/>
      <c r="W854" s="339"/>
      <c r="X854" s="339"/>
      <c r="Y854" s="339"/>
      <c r="Z854" s="339"/>
      <c r="AA854" s="339"/>
      <c r="AB854" s="339"/>
      <c r="AC854" s="339"/>
      <c r="AD854" s="339"/>
      <c r="AE854" s="339"/>
      <c r="AF854" s="339"/>
      <c r="AG854" s="339"/>
      <c r="AH854" s="339"/>
      <c r="AI854" s="339"/>
      <c r="AJ854" s="339"/>
      <c r="AK854" s="339"/>
      <c r="AL854" s="339"/>
      <c r="AM854" s="339"/>
      <c r="AN854" s="339"/>
      <c r="AO854" s="339"/>
      <c r="AP854" s="339"/>
      <c r="AQ854" s="339"/>
      <c r="AR854" s="339"/>
      <c r="AS854" s="339"/>
      <c r="AT854" s="339"/>
      <c r="AU854" s="339"/>
      <c r="AV854" s="339"/>
      <c r="AW854" s="339"/>
      <c r="AX854" s="339"/>
      <c r="AY854" s="339"/>
      <c r="AZ854" s="339"/>
      <c r="BA854" s="339"/>
      <c r="BB854" s="339"/>
      <c r="BC854" s="339"/>
      <c r="BD854" s="339"/>
    </row>
    <row r="855" spans="3:56">
      <c r="C855" s="339"/>
      <c r="D855" s="339"/>
      <c r="E855" s="339"/>
      <c r="F855" s="339"/>
      <c r="G855" s="339"/>
      <c r="H855" s="339"/>
      <c r="I855" s="339"/>
      <c r="J855" s="339"/>
      <c r="K855" s="339"/>
      <c r="L855" s="339"/>
      <c r="M855" s="339"/>
      <c r="N855" s="339"/>
      <c r="O855" s="339"/>
      <c r="P855" s="339"/>
      <c r="Q855" s="339"/>
      <c r="R855" s="339"/>
      <c r="S855" s="339"/>
      <c r="T855" s="339"/>
      <c r="U855" s="339"/>
      <c r="V855" s="339"/>
      <c r="W855" s="339"/>
      <c r="X855" s="339"/>
      <c r="Y855" s="339"/>
      <c r="Z855" s="339"/>
      <c r="AA855" s="339"/>
      <c r="AB855" s="339"/>
      <c r="AC855" s="339"/>
      <c r="AD855" s="339"/>
      <c r="AE855" s="339"/>
      <c r="AF855" s="339"/>
      <c r="AG855" s="339"/>
      <c r="AH855" s="339"/>
      <c r="AI855" s="339"/>
      <c r="AJ855" s="339"/>
      <c r="AK855" s="339"/>
      <c r="AL855" s="339"/>
      <c r="AM855" s="339"/>
      <c r="AN855" s="339"/>
      <c r="AO855" s="339"/>
      <c r="AP855" s="339"/>
      <c r="AQ855" s="339"/>
      <c r="AR855" s="339"/>
      <c r="AS855" s="339"/>
      <c r="AT855" s="339"/>
      <c r="AU855" s="339"/>
      <c r="AV855" s="339"/>
      <c r="AW855" s="339"/>
      <c r="AX855" s="339"/>
      <c r="AY855" s="339"/>
      <c r="AZ855" s="339"/>
      <c r="BA855" s="339"/>
      <c r="BB855" s="339"/>
      <c r="BC855" s="339"/>
      <c r="BD855" s="339"/>
    </row>
    <row r="856" spans="3:56">
      <c r="C856" s="339"/>
      <c r="D856" s="339"/>
      <c r="E856" s="339"/>
      <c r="F856" s="339"/>
      <c r="G856" s="339"/>
      <c r="H856" s="339"/>
      <c r="I856" s="339"/>
      <c r="J856" s="339"/>
      <c r="K856" s="339"/>
      <c r="L856" s="339"/>
      <c r="M856" s="339"/>
      <c r="N856" s="339"/>
      <c r="O856" s="339"/>
      <c r="P856" s="339"/>
      <c r="Q856" s="339"/>
      <c r="R856" s="339"/>
      <c r="S856" s="339"/>
      <c r="T856" s="339"/>
      <c r="U856" s="339"/>
      <c r="V856" s="339"/>
      <c r="W856" s="339"/>
      <c r="X856" s="339"/>
      <c r="Y856" s="339"/>
      <c r="Z856" s="339"/>
      <c r="AA856" s="339"/>
      <c r="AB856" s="339"/>
      <c r="AC856" s="339"/>
      <c r="AD856" s="339"/>
      <c r="AE856" s="339"/>
      <c r="AF856" s="339"/>
      <c r="AG856" s="339"/>
      <c r="AH856" s="339"/>
      <c r="AI856" s="339"/>
      <c r="AJ856" s="339"/>
      <c r="AK856" s="339"/>
      <c r="AL856" s="339"/>
      <c r="AM856" s="339"/>
      <c r="AN856" s="339"/>
      <c r="AO856" s="339"/>
      <c r="AP856" s="339"/>
      <c r="AQ856" s="339"/>
      <c r="AR856" s="339"/>
      <c r="AS856" s="339"/>
      <c r="AT856" s="339"/>
      <c r="AU856" s="339"/>
      <c r="AV856" s="339"/>
      <c r="AW856" s="339"/>
      <c r="AX856" s="339"/>
      <c r="AY856" s="339"/>
      <c r="AZ856" s="339"/>
      <c r="BA856" s="339"/>
      <c r="BB856" s="339"/>
      <c r="BC856" s="339"/>
      <c r="BD856" s="339"/>
    </row>
    <row r="857" spans="3:56">
      <c r="C857" s="339"/>
      <c r="D857" s="339"/>
      <c r="E857" s="339"/>
      <c r="F857" s="339"/>
      <c r="G857" s="339"/>
      <c r="H857" s="339"/>
      <c r="I857" s="339"/>
      <c r="J857" s="339"/>
      <c r="K857" s="339"/>
      <c r="L857" s="339"/>
      <c r="M857" s="339"/>
      <c r="N857" s="339"/>
      <c r="O857" s="339"/>
      <c r="P857" s="339"/>
      <c r="Q857" s="339"/>
      <c r="R857" s="339"/>
      <c r="S857" s="339"/>
      <c r="T857" s="339"/>
      <c r="U857" s="339"/>
      <c r="V857" s="339"/>
      <c r="W857" s="339"/>
      <c r="X857" s="339"/>
      <c r="Y857" s="339"/>
      <c r="Z857" s="339"/>
      <c r="AA857" s="339"/>
      <c r="AB857" s="339"/>
      <c r="AC857" s="339"/>
      <c r="AD857" s="339"/>
      <c r="AE857" s="339"/>
      <c r="AF857" s="339"/>
      <c r="AG857" s="339"/>
      <c r="AH857" s="339"/>
      <c r="AI857" s="339"/>
      <c r="AJ857" s="339"/>
      <c r="AK857" s="339"/>
      <c r="AL857" s="339"/>
      <c r="AM857" s="339"/>
      <c r="AN857" s="339"/>
      <c r="AO857" s="339"/>
      <c r="AP857" s="339"/>
      <c r="AQ857" s="339"/>
      <c r="AR857" s="339"/>
      <c r="AS857" s="339"/>
      <c r="AT857" s="339"/>
      <c r="AU857" s="339"/>
      <c r="AV857" s="339"/>
      <c r="AW857" s="339"/>
      <c r="AX857" s="339"/>
      <c r="AY857" s="339"/>
      <c r="AZ857" s="339"/>
      <c r="BA857" s="339"/>
      <c r="BB857" s="339"/>
      <c r="BC857" s="339"/>
      <c r="BD857" s="339"/>
    </row>
    <row r="858" spans="3:56">
      <c r="C858" s="339"/>
      <c r="D858" s="339"/>
      <c r="E858" s="339"/>
      <c r="F858" s="339"/>
      <c r="G858" s="339"/>
      <c r="H858" s="339"/>
      <c r="I858" s="339"/>
      <c r="J858" s="339"/>
      <c r="K858" s="339"/>
      <c r="L858" s="339"/>
      <c r="M858" s="339"/>
      <c r="N858" s="339"/>
      <c r="O858" s="339"/>
      <c r="P858" s="339"/>
      <c r="Q858" s="339"/>
      <c r="R858" s="339"/>
      <c r="S858" s="339"/>
      <c r="T858" s="339"/>
      <c r="U858" s="339"/>
      <c r="V858" s="339"/>
      <c r="W858" s="339"/>
      <c r="X858" s="339"/>
      <c r="Y858" s="339"/>
      <c r="Z858" s="339"/>
      <c r="AA858" s="339"/>
      <c r="AB858" s="339"/>
      <c r="AC858" s="339"/>
      <c r="AD858" s="339"/>
      <c r="AE858" s="339"/>
      <c r="AF858" s="339"/>
      <c r="AG858" s="339"/>
      <c r="AH858" s="339"/>
      <c r="AI858" s="339"/>
      <c r="AJ858" s="339"/>
      <c r="AK858" s="339"/>
      <c r="AL858" s="339"/>
      <c r="AM858" s="339"/>
      <c r="AN858" s="339"/>
      <c r="AO858" s="339"/>
      <c r="AP858" s="339"/>
      <c r="AQ858" s="339"/>
      <c r="AR858" s="339"/>
      <c r="AS858" s="339"/>
      <c r="AT858" s="339"/>
      <c r="AU858" s="339"/>
      <c r="AV858" s="339"/>
      <c r="AW858" s="339"/>
      <c r="AX858" s="339"/>
      <c r="AY858" s="339"/>
      <c r="AZ858" s="339"/>
      <c r="BA858" s="339"/>
      <c r="BB858" s="339"/>
      <c r="BC858" s="339"/>
      <c r="BD858" s="339"/>
    </row>
    <row r="859" spans="3:56">
      <c r="C859" s="339"/>
      <c r="D859" s="339"/>
      <c r="E859" s="339"/>
      <c r="F859" s="339"/>
      <c r="G859" s="339"/>
      <c r="H859" s="339"/>
      <c r="I859" s="339"/>
      <c r="J859" s="339"/>
      <c r="K859" s="339"/>
      <c r="L859" s="339"/>
      <c r="M859" s="339"/>
      <c r="N859" s="339"/>
      <c r="O859" s="339"/>
      <c r="P859" s="339"/>
      <c r="Q859" s="339"/>
      <c r="R859" s="339"/>
      <c r="S859" s="339"/>
      <c r="T859" s="339"/>
      <c r="U859" s="339"/>
      <c r="V859" s="339"/>
      <c r="W859" s="339"/>
      <c r="X859" s="339"/>
      <c r="Y859" s="339"/>
      <c r="Z859" s="339"/>
      <c r="AA859" s="339"/>
      <c r="AB859" s="339"/>
      <c r="AC859" s="339"/>
      <c r="AD859" s="339"/>
      <c r="AE859" s="339"/>
      <c r="AF859" s="339"/>
      <c r="AG859" s="339"/>
      <c r="AH859" s="339"/>
      <c r="AI859" s="339"/>
      <c r="AJ859" s="339"/>
      <c r="AK859" s="339"/>
      <c r="AL859" s="339"/>
      <c r="AM859" s="339"/>
      <c r="AN859" s="339"/>
      <c r="AO859" s="339"/>
      <c r="AP859" s="339"/>
      <c r="AQ859" s="339"/>
      <c r="AR859" s="339"/>
      <c r="AS859" s="339"/>
      <c r="AT859" s="339"/>
      <c r="AU859" s="339"/>
      <c r="AV859" s="339"/>
      <c r="AW859" s="339"/>
      <c r="AX859" s="339"/>
      <c r="AY859" s="339"/>
      <c r="AZ859" s="339"/>
      <c r="BA859" s="339"/>
      <c r="BB859" s="339"/>
      <c r="BC859" s="339"/>
      <c r="BD859" s="339"/>
    </row>
    <row r="860" spans="3:56">
      <c r="C860" s="339"/>
      <c r="D860" s="339"/>
      <c r="E860" s="339"/>
      <c r="F860" s="339"/>
      <c r="G860" s="339"/>
      <c r="H860" s="339"/>
      <c r="I860" s="339"/>
      <c r="J860" s="339"/>
      <c r="K860" s="339"/>
      <c r="L860" s="339"/>
      <c r="M860" s="339"/>
      <c r="N860" s="339"/>
      <c r="O860" s="339"/>
      <c r="P860" s="339"/>
      <c r="Q860" s="339"/>
      <c r="R860" s="339"/>
      <c r="S860" s="339"/>
      <c r="T860" s="339"/>
      <c r="U860" s="339"/>
      <c r="V860" s="339"/>
      <c r="W860" s="339"/>
      <c r="X860" s="339"/>
      <c r="Y860" s="339"/>
      <c r="Z860" s="339"/>
      <c r="AA860" s="339"/>
      <c r="AB860" s="339"/>
      <c r="AC860" s="339"/>
      <c r="AD860" s="339"/>
      <c r="AE860" s="339"/>
      <c r="AF860" s="339"/>
      <c r="AG860" s="339"/>
      <c r="AH860" s="339"/>
      <c r="AI860" s="339"/>
      <c r="AJ860" s="339"/>
      <c r="AK860" s="339"/>
      <c r="AL860" s="339"/>
      <c r="AM860" s="339"/>
      <c r="AN860" s="339"/>
      <c r="AO860" s="339"/>
      <c r="AP860" s="339"/>
      <c r="AQ860" s="339"/>
      <c r="AR860" s="339"/>
      <c r="AS860" s="339"/>
      <c r="AT860" s="339"/>
      <c r="AU860" s="339"/>
      <c r="AV860" s="339"/>
      <c r="AW860" s="339"/>
      <c r="AX860" s="339"/>
      <c r="AY860" s="339"/>
      <c r="AZ860" s="339"/>
      <c r="BA860" s="339"/>
      <c r="BB860" s="339"/>
      <c r="BC860" s="339"/>
      <c r="BD860" s="339"/>
    </row>
    <row r="861" spans="3:56">
      <c r="C861" s="339"/>
      <c r="D861" s="339"/>
      <c r="E861" s="339"/>
      <c r="F861" s="339"/>
      <c r="G861" s="339"/>
      <c r="H861" s="339"/>
      <c r="I861" s="339"/>
      <c r="J861" s="339"/>
      <c r="K861" s="339"/>
      <c r="L861" s="339"/>
      <c r="M861" s="339"/>
      <c r="N861" s="339"/>
      <c r="O861" s="339"/>
      <c r="P861" s="339"/>
      <c r="Q861" s="339"/>
      <c r="R861" s="339"/>
      <c r="S861" s="339"/>
      <c r="T861" s="339"/>
      <c r="U861" s="339"/>
      <c r="V861" s="339"/>
      <c r="W861" s="339"/>
      <c r="X861" s="339"/>
      <c r="Y861" s="339"/>
      <c r="Z861" s="339"/>
      <c r="AA861" s="339"/>
      <c r="AB861" s="339"/>
      <c r="AC861" s="339"/>
      <c r="AD861" s="339"/>
      <c r="AE861" s="339"/>
      <c r="AF861" s="339"/>
      <c r="AG861" s="339"/>
      <c r="AH861" s="339"/>
      <c r="AI861" s="339"/>
      <c r="AJ861" s="339"/>
      <c r="AK861" s="339"/>
      <c r="AL861" s="339"/>
      <c r="AM861" s="339"/>
      <c r="AN861" s="339"/>
      <c r="AO861" s="339"/>
      <c r="AP861" s="339"/>
      <c r="AQ861" s="339"/>
      <c r="AR861" s="339"/>
      <c r="AS861" s="339"/>
      <c r="AT861" s="339"/>
      <c r="AU861" s="339"/>
      <c r="AV861" s="339"/>
      <c r="AW861" s="339"/>
      <c r="AX861" s="339"/>
      <c r="AY861" s="339"/>
      <c r="AZ861" s="339"/>
      <c r="BA861" s="339"/>
      <c r="BB861" s="339"/>
      <c r="BC861" s="339"/>
      <c r="BD861" s="339"/>
    </row>
    <row r="862" spans="3:56">
      <c r="C862" s="339"/>
      <c r="D862" s="339"/>
      <c r="E862" s="339"/>
      <c r="F862" s="339"/>
      <c r="G862" s="339"/>
      <c r="H862" s="339"/>
      <c r="I862" s="339"/>
      <c r="J862" s="339"/>
      <c r="K862" s="339"/>
      <c r="L862" s="339"/>
      <c r="M862" s="339"/>
      <c r="N862" s="339"/>
      <c r="O862" s="339"/>
      <c r="P862" s="339"/>
      <c r="Q862" s="339"/>
      <c r="R862" s="339"/>
      <c r="S862" s="339"/>
      <c r="T862" s="339"/>
      <c r="U862" s="339"/>
      <c r="V862" s="339"/>
      <c r="W862" s="339"/>
      <c r="X862" s="339"/>
      <c r="Y862" s="339"/>
      <c r="Z862" s="339"/>
      <c r="AA862" s="339"/>
      <c r="AB862" s="339"/>
      <c r="AC862" s="339"/>
      <c r="AD862" s="339"/>
      <c r="AE862" s="339"/>
      <c r="AF862" s="339"/>
      <c r="AG862" s="339"/>
      <c r="AH862" s="339"/>
      <c r="AI862" s="339"/>
      <c r="AJ862" s="339"/>
      <c r="AK862" s="339"/>
      <c r="AL862" s="339"/>
      <c r="AM862" s="339"/>
      <c r="AN862" s="339"/>
      <c r="AO862" s="339"/>
      <c r="AP862" s="339"/>
      <c r="AQ862" s="339"/>
      <c r="AR862" s="339"/>
      <c r="AS862" s="339"/>
      <c r="AT862" s="339"/>
      <c r="AU862" s="339"/>
      <c r="AV862" s="339"/>
      <c r="AW862" s="339"/>
      <c r="AX862" s="339"/>
      <c r="AY862" s="339"/>
      <c r="AZ862" s="339"/>
      <c r="BA862" s="339"/>
      <c r="BB862" s="339"/>
      <c r="BC862" s="339"/>
      <c r="BD862" s="339"/>
    </row>
    <row r="863" spans="3:56">
      <c r="C863" s="339"/>
      <c r="D863" s="339"/>
      <c r="E863" s="339"/>
      <c r="F863" s="339"/>
      <c r="G863" s="339"/>
      <c r="H863" s="339"/>
      <c r="I863" s="339"/>
      <c r="J863" s="339"/>
      <c r="K863" s="339"/>
      <c r="L863" s="339"/>
      <c r="M863" s="339"/>
      <c r="N863" s="339"/>
      <c r="O863" s="339"/>
      <c r="P863" s="339"/>
      <c r="Q863" s="339"/>
      <c r="R863" s="339"/>
      <c r="S863" s="339"/>
      <c r="T863" s="339"/>
      <c r="U863" s="339"/>
      <c r="V863" s="339"/>
      <c r="W863" s="339"/>
      <c r="X863" s="339"/>
      <c r="Y863" s="339"/>
      <c r="Z863" s="339"/>
      <c r="AA863" s="339"/>
      <c r="AB863" s="339"/>
      <c r="AC863" s="339"/>
      <c r="AD863" s="339"/>
      <c r="AE863" s="339"/>
      <c r="AF863" s="339"/>
      <c r="AG863" s="339"/>
      <c r="AH863" s="339"/>
      <c r="AI863" s="339"/>
      <c r="AJ863" s="339"/>
      <c r="AK863" s="339"/>
      <c r="AL863" s="339"/>
      <c r="AM863" s="339"/>
      <c r="AN863" s="339"/>
      <c r="AO863" s="339"/>
      <c r="AP863" s="339"/>
      <c r="AQ863" s="339"/>
      <c r="AR863" s="339"/>
      <c r="AS863" s="339"/>
      <c r="AT863" s="339"/>
      <c r="AU863" s="339"/>
      <c r="AV863" s="339"/>
      <c r="AW863" s="339"/>
      <c r="AX863" s="339"/>
      <c r="AY863" s="339"/>
      <c r="AZ863" s="339"/>
      <c r="BA863" s="339"/>
      <c r="BB863" s="339"/>
      <c r="BC863" s="339"/>
      <c r="BD863" s="339"/>
    </row>
    <row r="864" spans="3:56">
      <c r="C864" s="339"/>
      <c r="D864" s="339"/>
      <c r="E864" s="339"/>
      <c r="F864" s="339"/>
      <c r="G864" s="339"/>
      <c r="H864" s="339"/>
      <c r="I864" s="339"/>
      <c r="J864" s="339"/>
      <c r="K864" s="339"/>
      <c r="L864" s="339"/>
      <c r="M864" s="339"/>
      <c r="N864" s="339"/>
      <c r="O864" s="339"/>
      <c r="P864" s="339"/>
      <c r="Q864" s="339"/>
      <c r="R864" s="339"/>
      <c r="S864" s="339"/>
      <c r="T864" s="339"/>
      <c r="U864" s="339"/>
      <c r="V864" s="339"/>
      <c r="W864" s="339"/>
      <c r="X864" s="339"/>
      <c r="Y864" s="339"/>
      <c r="Z864" s="339"/>
      <c r="AA864" s="339"/>
      <c r="AB864" s="339"/>
      <c r="AC864" s="339"/>
      <c r="AD864" s="339"/>
      <c r="AE864" s="339"/>
      <c r="AF864" s="339"/>
      <c r="AG864" s="339"/>
      <c r="AH864" s="339"/>
      <c r="AI864" s="339"/>
      <c r="AJ864" s="339"/>
      <c r="AK864" s="339"/>
      <c r="AL864" s="339"/>
      <c r="AM864" s="339"/>
      <c r="AN864" s="339"/>
      <c r="AO864" s="339"/>
      <c r="AP864" s="339"/>
      <c r="AQ864" s="339"/>
      <c r="AR864" s="339"/>
      <c r="AS864" s="339"/>
      <c r="AT864" s="339"/>
      <c r="AU864" s="339"/>
      <c r="AV864" s="339"/>
      <c r="AW864" s="339"/>
      <c r="AX864" s="339"/>
      <c r="AY864" s="339"/>
      <c r="AZ864" s="339"/>
      <c r="BA864" s="339"/>
      <c r="BB864" s="339"/>
      <c r="BC864" s="339"/>
      <c r="BD864" s="339"/>
    </row>
    <row r="865" spans="3:56">
      <c r="C865" s="339"/>
      <c r="D865" s="339"/>
      <c r="E865" s="339"/>
      <c r="F865" s="339"/>
      <c r="G865" s="339"/>
      <c r="H865" s="339"/>
      <c r="I865" s="339"/>
      <c r="J865" s="339"/>
      <c r="K865" s="339"/>
      <c r="L865" s="339"/>
      <c r="M865" s="339"/>
      <c r="N865" s="339"/>
      <c r="O865" s="339"/>
      <c r="P865" s="339"/>
      <c r="Q865" s="339"/>
      <c r="R865" s="339"/>
      <c r="S865" s="339"/>
      <c r="T865" s="339"/>
      <c r="U865" s="339"/>
      <c r="V865" s="339"/>
      <c r="W865" s="339"/>
      <c r="X865" s="339"/>
      <c r="Y865" s="339"/>
      <c r="Z865" s="339"/>
      <c r="AA865" s="339"/>
      <c r="AB865" s="339"/>
      <c r="AC865" s="339"/>
      <c r="AD865" s="339"/>
      <c r="AE865" s="339"/>
      <c r="AF865" s="339"/>
      <c r="AG865" s="339"/>
      <c r="AH865" s="339"/>
      <c r="AI865" s="339"/>
      <c r="AJ865" s="339"/>
      <c r="AK865" s="339"/>
      <c r="AL865" s="339"/>
      <c r="AM865" s="339"/>
      <c r="AN865" s="339"/>
      <c r="AO865" s="339"/>
      <c r="AP865" s="339"/>
      <c r="AQ865" s="339"/>
      <c r="AR865" s="339"/>
      <c r="AS865" s="339"/>
      <c r="AT865" s="339"/>
      <c r="AU865" s="339"/>
      <c r="AV865" s="339"/>
      <c r="AW865" s="339"/>
      <c r="AX865" s="339"/>
      <c r="AY865" s="339"/>
      <c r="AZ865" s="339"/>
      <c r="BA865" s="339"/>
      <c r="BB865" s="339"/>
      <c r="BC865" s="339"/>
      <c r="BD865" s="339"/>
    </row>
    <row r="866" spans="3:56">
      <c r="C866" s="339"/>
      <c r="D866" s="339"/>
      <c r="E866" s="339"/>
      <c r="F866" s="339"/>
      <c r="G866" s="339"/>
      <c r="H866" s="339"/>
      <c r="I866" s="339"/>
      <c r="J866" s="339"/>
      <c r="K866" s="339"/>
      <c r="L866" s="339"/>
      <c r="M866" s="339"/>
      <c r="N866" s="339"/>
      <c r="O866" s="339"/>
      <c r="P866" s="339"/>
      <c r="Q866" s="339"/>
      <c r="R866" s="339"/>
      <c r="S866" s="339"/>
      <c r="T866" s="339"/>
      <c r="U866" s="339"/>
      <c r="V866" s="339"/>
      <c r="W866" s="339"/>
      <c r="X866" s="339"/>
      <c r="Y866" s="339"/>
      <c r="Z866" s="339"/>
      <c r="AA866" s="339"/>
      <c r="AB866" s="339"/>
      <c r="AC866" s="339"/>
      <c r="AD866" s="339"/>
      <c r="AE866" s="339"/>
      <c r="AF866" s="339"/>
      <c r="AG866" s="339"/>
      <c r="AH866" s="339"/>
      <c r="AI866" s="339"/>
      <c r="AJ866" s="339"/>
      <c r="AK866" s="339"/>
      <c r="AL866" s="339"/>
      <c r="AM866" s="339"/>
      <c r="AN866" s="339"/>
      <c r="AO866" s="339"/>
      <c r="AP866" s="339"/>
      <c r="AQ866" s="339"/>
      <c r="AR866" s="339"/>
      <c r="AS866" s="339"/>
      <c r="AT866" s="339"/>
      <c r="AU866" s="339"/>
      <c r="AV866" s="339"/>
      <c r="AW866" s="339"/>
      <c r="AX866" s="339"/>
      <c r="AY866" s="339"/>
      <c r="AZ866" s="339"/>
      <c r="BA866" s="339"/>
      <c r="BB866" s="339"/>
      <c r="BC866" s="339"/>
      <c r="BD866" s="339"/>
    </row>
    <row r="867" spans="3:56">
      <c r="C867" s="339"/>
      <c r="D867" s="339"/>
      <c r="E867" s="339"/>
      <c r="F867" s="339"/>
      <c r="G867" s="339"/>
      <c r="H867" s="339"/>
      <c r="I867" s="339"/>
      <c r="J867" s="339"/>
      <c r="K867" s="339"/>
      <c r="L867" s="339"/>
      <c r="M867" s="339"/>
      <c r="N867" s="339"/>
      <c r="O867" s="339"/>
      <c r="P867" s="339"/>
      <c r="Q867" s="339"/>
      <c r="R867" s="339"/>
      <c r="S867" s="339"/>
      <c r="T867" s="339"/>
      <c r="U867" s="339"/>
      <c r="V867" s="339"/>
      <c r="W867" s="339"/>
      <c r="X867" s="339"/>
      <c r="Y867" s="339"/>
      <c r="Z867" s="339"/>
      <c r="AA867" s="339"/>
      <c r="AB867" s="339"/>
      <c r="AC867" s="339"/>
      <c r="AD867" s="339"/>
      <c r="AE867" s="339"/>
      <c r="AF867" s="339"/>
      <c r="AG867" s="339"/>
      <c r="AH867" s="339"/>
      <c r="AI867" s="339"/>
      <c r="AJ867" s="339"/>
      <c r="AK867" s="339"/>
      <c r="AL867" s="339"/>
      <c r="AM867" s="339"/>
      <c r="AN867" s="339"/>
      <c r="AO867" s="339"/>
      <c r="AP867" s="339"/>
      <c r="AQ867" s="339"/>
      <c r="AR867" s="339"/>
      <c r="AS867" s="339"/>
      <c r="AT867" s="339"/>
      <c r="AU867" s="339"/>
      <c r="AV867" s="339"/>
      <c r="AW867" s="339"/>
      <c r="AX867" s="339"/>
      <c r="AY867" s="339"/>
      <c r="AZ867" s="339"/>
      <c r="BA867" s="339"/>
      <c r="BB867" s="339"/>
      <c r="BC867" s="339"/>
      <c r="BD867" s="339"/>
    </row>
    <row r="868" spans="3:56">
      <c r="C868" s="339"/>
      <c r="D868" s="339"/>
      <c r="E868" s="339"/>
      <c r="F868" s="339"/>
      <c r="G868" s="339"/>
      <c r="H868" s="339"/>
      <c r="I868" s="339"/>
      <c r="J868" s="339"/>
      <c r="K868" s="339"/>
      <c r="L868" s="339"/>
      <c r="M868" s="339"/>
      <c r="N868" s="339"/>
      <c r="O868" s="339"/>
      <c r="P868" s="339"/>
      <c r="Q868" s="339"/>
      <c r="R868" s="339"/>
      <c r="S868" s="339"/>
      <c r="T868" s="339"/>
      <c r="U868" s="339"/>
      <c r="V868" s="339"/>
      <c r="W868" s="339"/>
      <c r="X868" s="339"/>
      <c r="Y868" s="339"/>
      <c r="Z868" s="339"/>
      <c r="AA868" s="339"/>
      <c r="AB868" s="339"/>
      <c r="AC868" s="339"/>
      <c r="AD868" s="339"/>
      <c r="AE868" s="339"/>
      <c r="AF868" s="339"/>
      <c r="AG868" s="339"/>
      <c r="AH868" s="339"/>
      <c r="AI868" s="339"/>
      <c r="AJ868" s="339"/>
      <c r="AK868" s="339"/>
      <c r="AL868" s="339"/>
      <c r="AM868" s="339"/>
      <c r="AN868" s="339"/>
      <c r="AO868" s="339"/>
      <c r="AP868" s="339"/>
      <c r="AQ868" s="339"/>
      <c r="AR868" s="339"/>
      <c r="AS868" s="339"/>
      <c r="AT868" s="339"/>
      <c r="AU868" s="339"/>
      <c r="AV868" s="339"/>
      <c r="AW868" s="339"/>
      <c r="AX868" s="339"/>
      <c r="AY868" s="339"/>
      <c r="AZ868" s="339"/>
      <c r="BA868" s="339"/>
      <c r="BB868" s="339"/>
      <c r="BC868" s="339"/>
      <c r="BD868" s="339"/>
    </row>
    <row r="869" spans="3:56">
      <c r="C869" s="339"/>
      <c r="D869" s="339"/>
      <c r="E869" s="339"/>
      <c r="F869" s="339"/>
      <c r="G869" s="339"/>
      <c r="H869" s="339"/>
      <c r="I869" s="339"/>
      <c r="J869" s="339"/>
      <c r="K869" s="339"/>
      <c r="L869" s="339"/>
      <c r="M869" s="339"/>
      <c r="N869" s="339"/>
      <c r="O869" s="339"/>
      <c r="P869" s="339"/>
      <c r="Q869" s="339"/>
      <c r="R869" s="339"/>
      <c r="S869" s="339"/>
      <c r="T869" s="339"/>
      <c r="U869" s="339"/>
      <c r="V869" s="339"/>
      <c r="W869" s="339"/>
      <c r="X869" s="339"/>
      <c r="Y869" s="339"/>
      <c r="Z869" s="339"/>
      <c r="AA869" s="339"/>
      <c r="AB869" s="339"/>
      <c r="AC869" s="339"/>
      <c r="AD869" s="339"/>
      <c r="AE869" s="339"/>
      <c r="AF869" s="339"/>
      <c r="AG869" s="339"/>
      <c r="AH869" s="339"/>
      <c r="AI869" s="339"/>
      <c r="AJ869" s="339"/>
      <c r="AK869" s="339"/>
      <c r="AL869" s="339"/>
      <c r="AM869" s="339"/>
      <c r="AN869" s="339"/>
      <c r="AO869" s="339"/>
      <c r="AP869" s="339"/>
      <c r="AQ869" s="339"/>
      <c r="AR869" s="339"/>
      <c r="AS869" s="339"/>
      <c r="AT869" s="339"/>
      <c r="AU869" s="339"/>
      <c r="AV869" s="339"/>
      <c r="AW869" s="339"/>
      <c r="AX869" s="339"/>
      <c r="AY869" s="339"/>
      <c r="AZ869" s="339"/>
      <c r="BA869" s="339"/>
      <c r="BB869" s="339"/>
      <c r="BC869" s="339"/>
      <c r="BD869" s="339"/>
    </row>
    <row r="870" spans="3:56">
      <c r="C870" s="339"/>
      <c r="D870" s="339"/>
      <c r="E870" s="339"/>
      <c r="F870" s="339"/>
      <c r="G870" s="339"/>
      <c r="H870" s="339"/>
      <c r="I870" s="339"/>
      <c r="J870" s="339"/>
      <c r="K870" s="339"/>
      <c r="L870" s="339"/>
      <c r="M870" s="339"/>
      <c r="N870" s="339"/>
      <c r="O870" s="339"/>
      <c r="P870" s="339"/>
      <c r="Q870" s="339"/>
      <c r="R870" s="339"/>
      <c r="S870" s="339"/>
      <c r="T870" s="339"/>
      <c r="U870" s="339"/>
      <c r="V870" s="339"/>
      <c r="W870" s="339"/>
      <c r="X870" s="339"/>
      <c r="Y870" s="339"/>
      <c r="Z870" s="339"/>
      <c r="AA870" s="339"/>
      <c r="AB870" s="339"/>
      <c r="AC870" s="339"/>
      <c r="AD870" s="339"/>
      <c r="AE870" s="339"/>
      <c r="AF870" s="339"/>
      <c r="AG870" s="339"/>
      <c r="AH870" s="339"/>
      <c r="AI870" s="339"/>
      <c r="AJ870" s="339"/>
      <c r="AK870" s="339"/>
      <c r="AL870" s="339"/>
      <c r="AM870" s="339"/>
      <c r="AN870" s="339"/>
      <c r="AO870" s="339"/>
      <c r="AP870" s="339"/>
      <c r="AQ870" s="339"/>
      <c r="AR870" s="339"/>
      <c r="AS870" s="339"/>
      <c r="AT870" s="339"/>
      <c r="AU870" s="339"/>
      <c r="AV870" s="339"/>
      <c r="AW870" s="339"/>
      <c r="AX870" s="339"/>
      <c r="AY870" s="339"/>
      <c r="AZ870" s="339"/>
      <c r="BA870" s="339"/>
      <c r="BB870" s="339"/>
      <c r="BC870" s="339"/>
      <c r="BD870" s="339"/>
    </row>
    <row r="871" spans="3:56">
      <c r="C871" s="339"/>
      <c r="D871" s="339"/>
      <c r="E871" s="339"/>
      <c r="F871" s="339"/>
      <c r="G871" s="339"/>
      <c r="H871" s="339"/>
      <c r="I871" s="339"/>
      <c r="J871" s="339"/>
      <c r="K871" s="339"/>
      <c r="L871" s="339"/>
      <c r="M871" s="339"/>
      <c r="N871" s="339"/>
      <c r="O871" s="339"/>
      <c r="P871" s="339"/>
      <c r="Q871" s="339"/>
      <c r="R871" s="339"/>
      <c r="S871" s="339"/>
      <c r="T871" s="339"/>
      <c r="U871" s="339"/>
      <c r="V871" s="339"/>
      <c r="W871" s="339"/>
      <c r="X871" s="339"/>
      <c r="Y871" s="339"/>
      <c r="Z871" s="339"/>
      <c r="AA871" s="339"/>
      <c r="AB871" s="339"/>
      <c r="AC871" s="339"/>
      <c r="AD871" s="339"/>
      <c r="AE871" s="339"/>
      <c r="AF871" s="339"/>
      <c r="AG871" s="339"/>
      <c r="AH871" s="339"/>
      <c r="AI871" s="339"/>
      <c r="AJ871" s="339"/>
      <c r="AK871" s="339"/>
      <c r="AL871" s="339"/>
      <c r="AM871" s="339"/>
      <c r="AN871" s="339"/>
      <c r="AO871" s="339"/>
      <c r="AP871" s="339"/>
      <c r="AQ871" s="339"/>
      <c r="AR871" s="339"/>
      <c r="AS871" s="339"/>
      <c r="AT871" s="339"/>
      <c r="AU871" s="339"/>
      <c r="AV871" s="339"/>
      <c r="AW871" s="339"/>
      <c r="AX871" s="339"/>
      <c r="AY871" s="339"/>
      <c r="AZ871" s="339"/>
      <c r="BA871" s="339"/>
      <c r="BB871" s="339"/>
      <c r="BC871" s="339"/>
      <c r="BD871" s="339"/>
    </row>
    <row r="872" spans="3:56">
      <c r="C872" s="339"/>
      <c r="D872" s="339"/>
      <c r="E872" s="339"/>
      <c r="F872" s="339"/>
      <c r="G872" s="339"/>
      <c r="H872" s="339"/>
      <c r="I872" s="339"/>
      <c r="J872" s="339"/>
      <c r="K872" s="339"/>
      <c r="L872" s="339"/>
      <c r="M872" s="339"/>
      <c r="N872" s="339"/>
      <c r="O872" s="339"/>
      <c r="P872" s="339"/>
      <c r="Q872" s="339"/>
      <c r="R872" s="339"/>
      <c r="S872" s="339"/>
      <c r="T872" s="339"/>
      <c r="U872" s="339"/>
      <c r="V872" s="339"/>
      <c r="W872" s="339"/>
      <c r="X872" s="339"/>
      <c r="Y872" s="339"/>
      <c r="Z872" s="339"/>
      <c r="AA872" s="339"/>
      <c r="AB872" s="339"/>
      <c r="AC872" s="339"/>
      <c r="AD872" s="339"/>
      <c r="AE872" s="339"/>
      <c r="AF872" s="339"/>
      <c r="AG872" s="339"/>
      <c r="AH872" s="339"/>
      <c r="AI872" s="339"/>
      <c r="AJ872" s="339"/>
      <c r="AK872" s="339"/>
      <c r="AL872" s="339"/>
      <c r="AM872" s="339"/>
      <c r="AN872" s="339"/>
      <c r="AO872" s="339"/>
      <c r="AP872" s="339"/>
      <c r="AQ872" s="339"/>
      <c r="AR872" s="339"/>
      <c r="AS872" s="339"/>
      <c r="AT872" s="339"/>
      <c r="AU872" s="339"/>
      <c r="AV872" s="339"/>
      <c r="AW872" s="339"/>
      <c r="AX872" s="339"/>
      <c r="AY872" s="339"/>
      <c r="AZ872" s="339"/>
      <c r="BA872" s="339"/>
      <c r="BB872" s="339"/>
      <c r="BC872" s="339"/>
      <c r="BD872" s="339"/>
    </row>
    <row r="873" spans="3:56">
      <c r="C873" s="339"/>
      <c r="D873" s="339"/>
      <c r="E873" s="339"/>
      <c r="F873" s="339"/>
      <c r="G873" s="339"/>
      <c r="H873" s="339"/>
      <c r="I873" s="339"/>
      <c r="J873" s="339"/>
      <c r="K873" s="339"/>
      <c r="L873" s="339"/>
      <c r="M873" s="339"/>
      <c r="N873" s="339"/>
      <c r="O873" s="339"/>
      <c r="P873" s="339"/>
      <c r="Q873" s="339"/>
      <c r="R873" s="339"/>
      <c r="S873" s="339"/>
      <c r="T873" s="339"/>
      <c r="U873" s="339"/>
      <c r="V873" s="339"/>
      <c r="W873" s="339"/>
      <c r="X873" s="339"/>
      <c r="Y873" s="339"/>
      <c r="Z873" s="339"/>
      <c r="AA873" s="339"/>
      <c r="AB873" s="339"/>
      <c r="AC873" s="339"/>
      <c r="AD873" s="339"/>
      <c r="AE873" s="339"/>
      <c r="AF873" s="339"/>
      <c r="AG873" s="339"/>
      <c r="AH873" s="339"/>
      <c r="AI873" s="339"/>
      <c r="AJ873" s="339"/>
      <c r="AK873" s="339"/>
      <c r="AL873" s="339"/>
      <c r="AM873" s="339"/>
      <c r="AN873" s="339"/>
      <c r="AO873" s="339"/>
      <c r="AP873" s="339"/>
      <c r="AQ873" s="339"/>
      <c r="AR873" s="339"/>
      <c r="AS873" s="339"/>
      <c r="AT873" s="339"/>
      <c r="AU873" s="339"/>
      <c r="AV873" s="339"/>
      <c r="AW873" s="339"/>
      <c r="AX873" s="339"/>
      <c r="AY873" s="339"/>
      <c r="AZ873" s="339"/>
      <c r="BA873" s="339"/>
      <c r="BB873" s="339"/>
      <c r="BC873" s="339"/>
      <c r="BD873" s="339"/>
    </row>
    <row r="874" spans="3:56">
      <c r="C874" s="339"/>
      <c r="D874" s="339"/>
      <c r="E874" s="339"/>
      <c r="F874" s="339"/>
      <c r="G874" s="339"/>
      <c r="H874" s="339"/>
      <c r="I874" s="339"/>
      <c r="J874" s="339"/>
      <c r="K874" s="339"/>
      <c r="L874" s="339"/>
      <c r="M874" s="339"/>
      <c r="N874" s="339"/>
      <c r="O874" s="339"/>
      <c r="P874" s="339"/>
      <c r="Q874" s="339"/>
      <c r="R874" s="339"/>
      <c r="S874" s="339"/>
      <c r="T874" s="339"/>
      <c r="U874" s="339"/>
      <c r="V874" s="339"/>
      <c r="W874" s="339"/>
      <c r="X874" s="339"/>
      <c r="Y874" s="339"/>
      <c r="Z874" s="339"/>
      <c r="AA874" s="339"/>
      <c r="AB874" s="339"/>
      <c r="AC874" s="339"/>
      <c r="AD874" s="339"/>
      <c r="AE874" s="339"/>
      <c r="AF874" s="339"/>
      <c r="AG874" s="339"/>
      <c r="AH874" s="339"/>
      <c r="AI874" s="339"/>
      <c r="AJ874" s="339"/>
      <c r="AK874" s="339"/>
      <c r="AL874" s="339"/>
      <c r="AM874" s="339"/>
      <c r="AN874" s="339"/>
      <c r="AO874" s="339"/>
      <c r="AP874" s="339"/>
      <c r="AQ874" s="339"/>
      <c r="AR874" s="339"/>
      <c r="AS874" s="339"/>
      <c r="AT874" s="339"/>
      <c r="AU874" s="339"/>
      <c r="AV874" s="339"/>
      <c r="AW874" s="339"/>
      <c r="AX874" s="339"/>
      <c r="AY874" s="339"/>
      <c r="AZ874" s="339"/>
      <c r="BA874" s="339"/>
      <c r="BB874" s="339"/>
      <c r="BC874" s="339"/>
      <c r="BD874" s="339"/>
    </row>
    <row r="875" spans="3:56">
      <c r="C875" s="339"/>
      <c r="D875" s="339"/>
      <c r="E875" s="339"/>
      <c r="F875" s="339"/>
      <c r="G875" s="339"/>
      <c r="H875" s="339"/>
      <c r="I875" s="339"/>
      <c r="J875" s="339"/>
      <c r="K875" s="339"/>
      <c r="L875" s="339"/>
      <c r="M875" s="339"/>
      <c r="N875" s="339"/>
      <c r="O875" s="339"/>
      <c r="P875" s="339"/>
      <c r="Q875" s="339"/>
      <c r="R875" s="339"/>
      <c r="S875" s="339"/>
      <c r="T875" s="339"/>
      <c r="U875" s="339"/>
      <c r="V875" s="339"/>
      <c r="W875" s="339"/>
      <c r="X875" s="339"/>
      <c r="Y875" s="339"/>
      <c r="Z875" s="339"/>
      <c r="AA875" s="339"/>
      <c r="AB875" s="339"/>
      <c r="AC875" s="339"/>
      <c r="AD875" s="339"/>
      <c r="AE875" s="339"/>
      <c r="AF875" s="339"/>
      <c r="AG875" s="339"/>
      <c r="AH875" s="339"/>
      <c r="AI875" s="339"/>
      <c r="AJ875" s="339"/>
      <c r="AK875" s="339"/>
      <c r="AL875" s="339"/>
      <c r="AM875" s="339"/>
      <c r="AN875" s="339"/>
      <c r="AO875" s="339"/>
      <c r="AP875" s="339"/>
      <c r="AQ875" s="339"/>
      <c r="AR875" s="339"/>
      <c r="AS875" s="339"/>
      <c r="AT875" s="339"/>
      <c r="AU875" s="339"/>
      <c r="AV875" s="339"/>
      <c r="AW875" s="339"/>
      <c r="AX875" s="339"/>
      <c r="AY875" s="339"/>
      <c r="AZ875" s="339"/>
      <c r="BA875" s="339"/>
      <c r="BB875" s="339"/>
      <c r="BC875" s="339"/>
      <c r="BD875" s="339"/>
    </row>
    <row r="876" spans="3:56">
      <c r="C876" s="339"/>
      <c r="D876" s="339"/>
      <c r="E876" s="339"/>
      <c r="F876" s="339"/>
      <c r="G876" s="339"/>
      <c r="H876" s="339"/>
      <c r="I876" s="339"/>
      <c r="J876" s="339"/>
      <c r="K876" s="339"/>
      <c r="L876" s="339"/>
      <c r="M876" s="339"/>
      <c r="N876" s="339"/>
      <c r="O876" s="339"/>
      <c r="P876" s="339"/>
      <c r="Q876" s="339"/>
      <c r="R876" s="339"/>
      <c r="S876" s="339"/>
      <c r="T876" s="339"/>
      <c r="U876" s="339"/>
      <c r="V876" s="339"/>
      <c r="W876" s="339"/>
      <c r="X876" s="339"/>
      <c r="Y876" s="339"/>
      <c r="Z876" s="339"/>
      <c r="AA876" s="339"/>
      <c r="AB876" s="339"/>
      <c r="AC876" s="339"/>
      <c r="AD876" s="339"/>
      <c r="AE876" s="339"/>
      <c r="AF876" s="339"/>
      <c r="AG876" s="339"/>
      <c r="AH876" s="339"/>
      <c r="AI876" s="339"/>
      <c r="AJ876" s="339"/>
      <c r="AK876" s="339"/>
      <c r="AL876" s="339"/>
      <c r="AM876" s="339"/>
      <c r="AN876" s="339"/>
      <c r="AO876" s="339"/>
      <c r="AP876" s="339"/>
      <c r="AQ876" s="339"/>
      <c r="AR876" s="339"/>
      <c r="AS876" s="339"/>
      <c r="AT876" s="339"/>
      <c r="AU876" s="339"/>
      <c r="AV876" s="339"/>
      <c r="AW876" s="339"/>
      <c r="AX876" s="339"/>
      <c r="AY876" s="339"/>
      <c r="AZ876" s="339"/>
      <c r="BA876" s="339"/>
      <c r="BB876" s="339"/>
      <c r="BC876" s="339"/>
      <c r="BD876" s="339"/>
    </row>
    <row r="877" spans="3:56">
      <c r="C877" s="339"/>
      <c r="D877" s="339"/>
      <c r="E877" s="339"/>
      <c r="F877" s="339"/>
      <c r="G877" s="339"/>
      <c r="H877" s="339"/>
      <c r="I877" s="339"/>
      <c r="J877" s="339"/>
      <c r="K877" s="339"/>
      <c r="L877" s="339"/>
      <c r="M877" s="339"/>
      <c r="N877" s="339"/>
      <c r="O877" s="339"/>
      <c r="P877" s="339"/>
      <c r="Q877" s="339"/>
      <c r="R877" s="339"/>
      <c r="S877" s="339"/>
      <c r="T877" s="339"/>
      <c r="U877" s="339"/>
      <c r="V877" s="339"/>
      <c r="W877" s="339"/>
      <c r="X877" s="339"/>
      <c r="Y877" s="339"/>
      <c r="Z877" s="339"/>
      <c r="AA877" s="339"/>
      <c r="AB877" s="339"/>
      <c r="AC877" s="339"/>
      <c r="AD877" s="339"/>
      <c r="AE877" s="339"/>
      <c r="AF877" s="339"/>
      <c r="AG877" s="339"/>
      <c r="AH877" s="339"/>
      <c r="AI877" s="339"/>
      <c r="AJ877" s="339"/>
      <c r="AK877" s="339"/>
      <c r="AL877" s="339"/>
      <c r="AM877" s="339"/>
      <c r="AN877" s="339"/>
      <c r="AO877" s="339"/>
      <c r="AP877" s="339"/>
      <c r="AQ877" s="339"/>
      <c r="AR877" s="339"/>
      <c r="AS877" s="339"/>
      <c r="AT877" s="339"/>
      <c r="AU877" s="339"/>
      <c r="AV877" s="339"/>
      <c r="AW877" s="339"/>
      <c r="AX877" s="339"/>
      <c r="AY877" s="339"/>
      <c r="AZ877" s="339"/>
      <c r="BA877" s="339"/>
      <c r="BB877" s="339"/>
      <c r="BC877" s="339"/>
      <c r="BD877" s="339"/>
    </row>
    <row r="878" spans="3:56">
      <c r="C878" s="339"/>
      <c r="D878" s="339"/>
      <c r="E878" s="339"/>
      <c r="F878" s="339"/>
      <c r="G878" s="339"/>
      <c r="H878" s="339"/>
      <c r="I878" s="339"/>
      <c r="J878" s="339"/>
      <c r="K878" s="339"/>
      <c r="L878" s="339"/>
      <c r="M878" s="339"/>
      <c r="N878" s="339"/>
      <c r="O878" s="339"/>
      <c r="P878" s="339"/>
      <c r="Q878" s="339"/>
      <c r="R878" s="339"/>
      <c r="S878" s="339"/>
      <c r="T878" s="339"/>
      <c r="U878" s="339"/>
      <c r="V878" s="339"/>
      <c r="W878" s="339"/>
      <c r="X878" s="339"/>
      <c r="Y878" s="339"/>
      <c r="Z878" s="339"/>
      <c r="AA878" s="339"/>
      <c r="AB878" s="339"/>
      <c r="AC878" s="339"/>
      <c r="AD878" s="339"/>
      <c r="AE878" s="339"/>
      <c r="AF878" s="339"/>
      <c r="AG878" s="339"/>
      <c r="AH878" s="339"/>
      <c r="AI878" s="339"/>
      <c r="AJ878" s="339"/>
      <c r="AK878" s="339"/>
      <c r="AL878" s="339"/>
      <c r="AM878" s="339"/>
      <c r="AN878" s="339"/>
      <c r="AO878" s="339"/>
      <c r="AP878" s="339"/>
      <c r="AQ878" s="339"/>
      <c r="AR878" s="339"/>
      <c r="AS878" s="339"/>
      <c r="AT878" s="339"/>
      <c r="AU878" s="339"/>
      <c r="AV878" s="339"/>
      <c r="AW878" s="339"/>
      <c r="AX878" s="339"/>
      <c r="AY878" s="339"/>
      <c r="AZ878" s="339"/>
      <c r="BA878" s="339"/>
      <c r="BB878" s="339"/>
      <c r="BC878" s="339"/>
      <c r="BD878" s="339"/>
    </row>
    <row r="879" spans="3:56">
      <c r="C879" s="339"/>
      <c r="D879" s="339"/>
      <c r="E879" s="339"/>
      <c r="F879" s="339"/>
      <c r="G879" s="339"/>
      <c r="H879" s="339"/>
      <c r="I879" s="339"/>
      <c r="J879" s="339"/>
      <c r="K879" s="339"/>
      <c r="L879" s="339"/>
      <c r="M879" s="339"/>
      <c r="N879" s="339"/>
      <c r="O879" s="339"/>
      <c r="P879" s="339"/>
      <c r="Q879" s="339"/>
      <c r="R879" s="339"/>
      <c r="S879" s="339"/>
      <c r="T879" s="339"/>
      <c r="U879" s="339"/>
      <c r="V879" s="339"/>
      <c r="W879" s="339"/>
      <c r="X879" s="339"/>
      <c r="Y879" s="339"/>
      <c r="Z879" s="339"/>
      <c r="AA879" s="339"/>
      <c r="AB879" s="339"/>
      <c r="AC879" s="339"/>
      <c r="AD879" s="339"/>
      <c r="AE879" s="339"/>
      <c r="AF879" s="339"/>
      <c r="AG879" s="339"/>
      <c r="AH879" s="339"/>
      <c r="AI879" s="339"/>
      <c r="AJ879" s="339"/>
      <c r="AK879" s="339"/>
      <c r="AL879" s="339"/>
      <c r="AM879" s="339"/>
      <c r="AN879" s="339"/>
      <c r="AO879" s="339"/>
      <c r="AP879" s="339"/>
      <c r="AQ879" s="339"/>
      <c r="AR879" s="339"/>
      <c r="AS879" s="339"/>
      <c r="AT879" s="339"/>
      <c r="AU879" s="339"/>
      <c r="AV879" s="339"/>
      <c r="AW879" s="339"/>
      <c r="AX879" s="339"/>
      <c r="AY879" s="339"/>
      <c r="AZ879" s="339"/>
      <c r="BA879" s="339"/>
      <c r="BB879" s="339"/>
      <c r="BC879" s="339"/>
      <c r="BD879" s="339"/>
    </row>
    <row r="880" spans="3:56">
      <c r="C880" s="339"/>
      <c r="D880" s="339"/>
      <c r="E880" s="339"/>
      <c r="F880" s="339"/>
      <c r="G880" s="339"/>
      <c r="H880" s="339"/>
      <c r="I880" s="339"/>
      <c r="J880" s="339"/>
      <c r="K880" s="339"/>
      <c r="L880" s="339"/>
      <c r="M880" s="339"/>
      <c r="N880" s="339"/>
      <c r="O880" s="339"/>
      <c r="P880" s="339"/>
      <c r="Q880" s="339"/>
      <c r="R880" s="339"/>
      <c r="S880" s="339"/>
      <c r="T880" s="339"/>
      <c r="U880" s="339"/>
      <c r="V880" s="339"/>
      <c r="W880" s="339"/>
      <c r="X880" s="339"/>
      <c r="Y880" s="339"/>
      <c r="Z880" s="339"/>
      <c r="AA880" s="339"/>
      <c r="AB880" s="339"/>
      <c r="AC880" s="339"/>
      <c r="AD880" s="339"/>
      <c r="AE880" s="339"/>
      <c r="AF880" s="339"/>
      <c r="AG880" s="339"/>
      <c r="AH880" s="339"/>
      <c r="AI880" s="339"/>
      <c r="AJ880" s="339"/>
      <c r="AK880" s="339"/>
      <c r="AL880" s="339"/>
      <c r="AM880" s="339"/>
      <c r="AN880" s="339"/>
      <c r="AO880" s="339"/>
      <c r="AP880" s="339"/>
      <c r="AQ880" s="339"/>
      <c r="AR880" s="339"/>
      <c r="AS880" s="339"/>
      <c r="AT880" s="339"/>
      <c r="AU880" s="339"/>
      <c r="AV880" s="339"/>
      <c r="AW880" s="339"/>
      <c r="AX880" s="339"/>
      <c r="AY880" s="339"/>
      <c r="AZ880" s="339"/>
      <c r="BA880" s="339"/>
      <c r="BB880" s="339"/>
      <c r="BC880" s="339"/>
      <c r="BD880" s="339"/>
    </row>
    <row r="881" spans="3:56">
      <c r="C881" s="339"/>
      <c r="D881" s="339"/>
      <c r="E881" s="339"/>
      <c r="F881" s="339"/>
      <c r="G881" s="339"/>
      <c r="H881" s="339"/>
      <c r="I881" s="339"/>
      <c r="J881" s="339"/>
      <c r="K881" s="339"/>
      <c r="L881" s="339"/>
      <c r="M881" s="339"/>
      <c r="N881" s="339"/>
      <c r="O881" s="339"/>
      <c r="P881" s="339"/>
      <c r="Q881" s="339"/>
      <c r="R881" s="339"/>
      <c r="S881" s="339"/>
      <c r="T881" s="339"/>
      <c r="U881" s="339"/>
      <c r="V881" s="339"/>
      <c r="W881" s="339"/>
      <c r="X881" s="339"/>
      <c r="Y881" s="339"/>
      <c r="Z881" s="339"/>
      <c r="AA881" s="339"/>
      <c r="AB881" s="339"/>
      <c r="AC881" s="339"/>
      <c r="AD881" s="339"/>
      <c r="AE881" s="339"/>
      <c r="AF881" s="339"/>
      <c r="AG881" s="339"/>
      <c r="AH881" s="339"/>
      <c r="AI881" s="339"/>
      <c r="AJ881" s="339"/>
      <c r="AK881" s="339"/>
      <c r="AL881" s="339"/>
      <c r="AM881" s="339"/>
      <c r="AN881" s="339"/>
      <c r="AO881" s="339"/>
      <c r="AP881" s="339"/>
      <c r="AQ881" s="339"/>
      <c r="AR881" s="339"/>
      <c r="AS881" s="339"/>
      <c r="AT881" s="339"/>
      <c r="AU881" s="339"/>
      <c r="AV881" s="339"/>
      <c r="AW881" s="339"/>
      <c r="AX881" s="339"/>
      <c r="AY881" s="339"/>
      <c r="AZ881" s="339"/>
      <c r="BA881" s="339"/>
      <c r="BB881" s="339"/>
      <c r="BC881" s="339"/>
      <c r="BD881" s="339"/>
    </row>
    <row r="882" spans="3:56">
      <c r="C882" s="339"/>
      <c r="D882" s="339"/>
      <c r="E882" s="339"/>
      <c r="F882" s="339"/>
      <c r="G882" s="339"/>
      <c r="H882" s="339"/>
      <c r="I882" s="339"/>
      <c r="J882" s="339"/>
      <c r="K882" s="339"/>
      <c r="L882" s="339"/>
      <c r="M882" s="339"/>
      <c r="N882" s="339"/>
      <c r="O882" s="339"/>
      <c r="P882" s="339"/>
      <c r="Q882" s="339"/>
      <c r="R882" s="339"/>
      <c r="S882" s="339"/>
      <c r="T882" s="339"/>
      <c r="U882" s="339"/>
      <c r="V882" s="339"/>
      <c r="W882" s="339"/>
      <c r="X882" s="339"/>
      <c r="Y882" s="339"/>
      <c r="Z882" s="339"/>
      <c r="AA882" s="339"/>
      <c r="AB882" s="339"/>
      <c r="AC882" s="339"/>
      <c r="AD882" s="339"/>
      <c r="AE882" s="339"/>
      <c r="AF882" s="339"/>
      <c r="AG882" s="339"/>
      <c r="AH882" s="339"/>
      <c r="AI882" s="339"/>
      <c r="AJ882" s="339"/>
      <c r="AK882" s="339"/>
      <c r="AL882" s="339"/>
      <c r="AM882" s="339"/>
      <c r="AN882" s="339"/>
      <c r="AO882" s="339"/>
      <c r="AP882" s="339"/>
      <c r="AQ882" s="339"/>
      <c r="AR882" s="339"/>
      <c r="AS882" s="339"/>
      <c r="AT882" s="339"/>
      <c r="AU882" s="339"/>
      <c r="AV882" s="339"/>
      <c r="AW882" s="339"/>
      <c r="AX882" s="339"/>
      <c r="AY882" s="339"/>
      <c r="AZ882" s="339"/>
      <c r="BA882" s="339"/>
      <c r="BB882" s="339"/>
      <c r="BC882" s="339"/>
      <c r="BD882" s="339"/>
    </row>
    <row r="883" spans="3:56">
      <c r="C883" s="339"/>
      <c r="D883" s="339"/>
      <c r="E883" s="339"/>
      <c r="F883" s="339"/>
      <c r="G883" s="339"/>
      <c r="H883" s="339"/>
      <c r="I883" s="339"/>
      <c r="J883" s="339"/>
      <c r="K883" s="339"/>
      <c r="L883" s="339"/>
      <c r="M883" s="339"/>
      <c r="N883" s="339"/>
      <c r="O883" s="339"/>
      <c r="P883" s="339"/>
      <c r="Q883" s="339"/>
      <c r="R883" s="339"/>
      <c r="S883" s="339"/>
      <c r="T883" s="339"/>
      <c r="U883" s="339"/>
      <c r="V883" s="339"/>
      <c r="W883" s="339"/>
      <c r="X883" s="339"/>
      <c r="Y883" s="339"/>
      <c r="Z883" s="339"/>
      <c r="AA883" s="339"/>
      <c r="AB883" s="339"/>
      <c r="AC883" s="339"/>
      <c r="AD883" s="339"/>
      <c r="AE883" s="339"/>
      <c r="AF883" s="339"/>
      <c r="AG883" s="339"/>
      <c r="AH883" s="339"/>
      <c r="AI883" s="339"/>
      <c r="AJ883" s="339"/>
      <c r="AK883" s="339"/>
      <c r="AL883" s="339"/>
      <c r="AM883" s="339"/>
      <c r="AN883" s="339"/>
      <c r="AO883" s="339"/>
      <c r="AP883" s="339"/>
      <c r="AQ883" s="339"/>
      <c r="AR883" s="339"/>
      <c r="AS883" s="339"/>
      <c r="AT883" s="339"/>
      <c r="AU883" s="339"/>
      <c r="AV883" s="339"/>
      <c r="AW883" s="339"/>
      <c r="AX883" s="339"/>
      <c r="AY883" s="339"/>
      <c r="AZ883" s="339"/>
      <c r="BA883" s="339"/>
      <c r="BB883" s="339"/>
      <c r="BC883" s="339"/>
      <c r="BD883" s="339"/>
    </row>
    <row r="884" spans="3:56">
      <c r="C884" s="339"/>
      <c r="D884" s="339"/>
      <c r="E884" s="339"/>
      <c r="F884" s="339"/>
      <c r="G884" s="339"/>
      <c r="H884" s="339"/>
      <c r="I884" s="339"/>
      <c r="J884" s="339"/>
      <c r="K884" s="339"/>
      <c r="L884" s="339"/>
      <c r="M884" s="339"/>
      <c r="N884" s="339"/>
      <c r="O884" s="339"/>
      <c r="P884" s="339"/>
      <c r="Q884" s="339"/>
      <c r="R884" s="339"/>
      <c r="S884" s="339"/>
      <c r="T884" s="339"/>
      <c r="U884" s="339"/>
      <c r="V884" s="339"/>
      <c r="W884" s="339"/>
      <c r="X884" s="339"/>
      <c r="Y884" s="339"/>
      <c r="Z884" s="339"/>
      <c r="AA884" s="339"/>
      <c r="AB884" s="339"/>
      <c r="AC884" s="339"/>
      <c r="AD884" s="339"/>
      <c r="AE884" s="339"/>
      <c r="AF884" s="339"/>
      <c r="AG884" s="339"/>
      <c r="AH884" s="339"/>
      <c r="AI884" s="339"/>
      <c r="AJ884" s="339"/>
      <c r="AK884" s="339"/>
      <c r="AL884" s="339"/>
      <c r="AM884" s="339"/>
      <c r="AN884" s="339"/>
      <c r="AO884" s="339"/>
      <c r="AP884" s="339"/>
      <c r="AQ884" s="339"/>
      <c r="AR884" s="339"/>
      <c r="AS884" s="339"/>
      <c r="AT884" s="339"/>
      <c r="AU884" s="339"/>
      <c r="AV884" s="339"/>
      <c r="AW884" s="339"/>
      <c r="AX884" s="339"/>
      <c r="AY884" s="339"/>
      <c r="AZ884" s="339"/>
      <c r="BA884" s="339"/>
      <c r="BB884" s="339"/>
      <c r="BC884" s="339"/>
      <c r="BD884" s="339"/>
    </row>
    <row r="885" spans="3:56">
      <c r="C885" s="339"/>
      <c r="D885" s="339"/>
      <c r="E885" s="339"/>
      <c r="F885" s="339"/>
      <c r="G885" s="339"/>
      <c r="H885" s="339"/>
      <c r="I885" s="339"/>
      <c r="J885" s="339"/>
      <c r="K885" s="339"/>
      <c r="L885" s="339"/>
      <c r="M885" s="339"/>
      <c r="N885" s="339"/>
      <c r="O885" s="339"/>
      <c r="P885" s="339"/>
      <c r="Q885" s="339"/>
      <c r="R885" s="339"/>
      <c r="S885" s="339"/>
      <c r="T885" s="339"/>
      <c r="U885" s="339"/>
      <c r="V885" s="339"/>
      <c r="W885" s="339"/>
      <c r="X885" s="339"/>
      <c r="Y885" s="339"/>
      <c r="Z885" s="339"/>
      <c r="AA885" s="339"/>
      <c r="AB885" s="339"/>
      <c r="AC885" s="339"/>
      <c r="AD885" s="339"/>
      <c r="AE885" s="339"/>
      <c r="AF885" s="339"/>
      <c r="AG885" s="339"/>
      <c r="AH885" s="339"/>
      <c r="AI885" s="339"/>
      <c r="AJ885" s="339"/>
      <c r="AK885" s="339"/>
      <c r="AL885" s="339"/>
      <c r="AM885" s="339"/>
      <c r="AN885" s="339"/>
      <c r="AO885" s="339"/>
      <c r="AP885" s="339"/>
      <c r="AQ885" s="339"/>
      <c r="AR885" s="339"/>
      <c r="AS885" s="339"/>
      <c r="AT885" s="339"/>
      <c r="AU885" s="339"/>
      <c r="AV885" s="339"/>
      <c r="AW885" s="339"/>
      <c r="AX885" s="339"/>
      <c r="AY885" s="339"/>
      <c r="AZ885" s="339"/>
      <c r="BA885" s="339"/>
      <c r="BB885" s="339"/>
      <c r="BC885" s="339"/>
      <c r="BD885" s="339"/>
    </row>
    <row r="886" spans="3:56">
      <c r="C886" s="339"/>
      <c r="D886" s="339"/>
      <c r="E886" s="339"/>
      <c r="F886" s="339"/>
      <c r="G886" s="339"/>
      <c r="H886" s="339"/>
      <c r="I886" s="339"/>
      <c r="J886" s="339"/>
      <c r="K886" s="339"/>
      <c r="L886" s="339"/>
      <c r="M886" s="339"/>
      <c r="N886" s="339"/>
      <c r="O886" s="339"/>
      <c r="P886" s="339"/>
      <c r="Q886" s="339"/>
      <c r="R886" s="339"/>
      <c r="S886" s="339"/>
      <c r="T886" s="339"/>
      <c r="U886" s="339"/>
      <c r="V886" s="339"/>
      <c r="W886" s="339"/>
      <c r="X886" s="339"/>
      <c r="Y886" s="339"/>
      <c r="Z886" s="339"/>
      <c r="AA886" s="339"/>
      <c r="AB886" s="339"/>
      <c r="AC886" s="339"/>
      <c r="AD886" s="339"/>
      <c r="AE886" s="339"/>
      <c r="AF886" s="339"/>
      <c r="AG886" s="339"/>
      <c r="AH886" s="339"/>
      <c r="AI886" s="339"/>
      <c r="AJ886" s="339"/>
      <c r="AK886" s="339"/>
      <c r="AL886" s="339"/>
      <c r="AM886" s="339"/>
      <c r="AN886" s="339"/>
      <c r="AO886" s="339"/>
      <c r="AP886" s="339"/>
      <c r="AQ886" s="339"/>
      <c r="AR886" s="339"/>
      <c r="AS886" s="339"/>
      <c r="AT886" s="339"/>
      <c r="AU886" s="339"/>
      <c r="AV886" s="339"/>
      <c r="AW886" s="339"/>
      <c r="AX886" s="339"/>
      <c r="AY886" s="339"/>
      <c r="AZ886" s="339"/>
      <c r="BA886" s="339"/>
      <c r="BB886" s="339"/>
      <c r="BC886" s="339"/>
      <c r="BD886" s="339"/>
    </row>
    <row r="887" spans="3:56">
      <c r="C887" s="339"/>
      <c r="D887" s="339"/>
      <c r="E887" s="339"/>
      <c r="F887" s="339"/>
      <c r="G887" s="339"/>
      <c r="H887" s="339"/>
      <c r="I887" s="339"/>
      <c r="J887" s="339"/>
      <c r="K887" s="339"/>
      <c r="L887" s="339"/>
      <c r="M887" s="339"/>
      <c r="N887" s="339"/>
      <c r="O887" s="339"/>
      <c r="P887" s="339"/>
      <c r="Q887" s="339"/>
      <c r="R887" s="339"/>
      <c r="S887" s="339"/>
      <c r="T887" s="339"/>
      <c r="U887" s="339"/>
      <c r="V887" s="339"/>
      <c r="W887" s="339"/>
      <c r="X887" s="339"/>
      <c r="Y887" s="339"/>
      <c r="Z887" s="339"/>
      <c r="AA887" s="339"/>
      <c r="AB887" s="339"/>
      <c r="AC887" s="339"/>
      <c r="AD887" s="339"/>
      <c r="AE887" s="339"/>
      <c r="AF887" s="339"/>
      <c r="AG887" s="339"/>
      <c r="AH887" s="339"/>
      <c r="AI887" s="339"/>
      <c r="AJ887" s="339"/>
      <c r="AK887" s="339"/>
      <c r="AL887" s="339"/>
      <c r="AM887" s="339"/>
      <c r="AN887" s="339"/>
      <c r="AO887" s="339"/>
      <c r="AP887" s="339"/>
      <c r="AQ887" s="339"/>
      <c r="AR887" s="339"/>
      <c r="AS887" s="339"/>
      <c r="AT887" s="339"/>
      <c r="AU887" s="339"/>
      <c r="AV887" s="339"/>
      <c r="AW887" s="339"/>
      <c r="AX887" s="339"/>
      <c r="AY887" s="339"/>
      <c r="AZ887" s="339"/>
      <c r="BA887" s="339"/>
      <c r="BB887" s="339"/>
      <c r="BC887" s="339"/>
      <c r="BD887" s="339"/>
    </row>
    <row r="888" spans="3:56">
      <c r="C888" s="339"/>
      <c r="D888" s="339"/>
      <c r="E888" s="339"/>
      <c r="F888" s="339"/>
      <c r="G888" s="339"/>
      <c r="H888" s="339"/>
      <c r="I888" s="339"/>
      <c r="J888" s="339"/>
      <c r="K888" s="339"/>
      <c r="L888" s="339"/>
      <c r="M888" s="339"/>
      <c r="N888" s="339"/>
      <c r="O888" s="339"/>
      <c r="P888" s="339"/>
      <c r="Q888" s="339"/>
      <c r="R888" s="339"/>
      <c r="S888" s="339"/>
      <c r="T888" s="339"/>
      <c r="U888" s="339"/>
      <c r="V888" s="339"/>
      <c r="W888" s="339"/>
      <c r="X888" s="339"/>
      <c r="Y888" s="339"/>
      <c r="Z888" s="339"/>
      <c r="AA888" s="339"/>
      <c r="AB888" s="339"/>
      <c r="AC888" s="339"/>
      <c r="AD888" s="339"/>
      <c r="AE888" s="339"/>
      <c r="AF888" s="339"/>
      <c r="AG888" s="339"/>
      <c r="AH888" s="339"/>
      <c r="AI888" s="339"/>
      <c r="AJ888" s="339"/>
      <c r="AK888" s="339"/>
      <c r="AL888" s="339"/>
      <c r="AM888" s="339"/>
      <c r="AN888" s="339"/>
      <c r="AO888" s="339"/>
      <c r="AP888" s="339"/>
      <c r="AQ888" s="339"/>
      <c r="AR888" s="339"/>
      <c r="AS888" s="339"/>
      <c r="AT888" s="339"/>
      <c r="AU888" s="339"/>
      <c r="AV888" s="339"/>
      <c r="AW888" s="339"/>
      <c r="AX888" s="339"/>
      <c r="AY888" s="339"/>
      <c r="AZ888" s="339"/>
      <c r="BA888" s="339"/>
      <c r="BB888" s="339"/>
      <c r="BC888" s="339"/>
      <c r="BD888" s="339"/>
    </row>
    <row r="889" spans="3:56">
      <c r="C889" s="339"/>
      <c r="D889" s="339"/>
      <c r="E889" s="339"/>
      <c r="F889" s="339"/>
      <c r="G889" s="339"/>
      <c r="H889" s="339"/>
      <c r="I889" s="339"/>
      <c r="J889" s="339"/>
      <c r="K889" s="339"/>
      <c r="L889" s="339"/>
      <c r="M889" s="339"/>
      <c r="N889" s="339"/>
      <c r="O889" s="339"/>
      <c r="P889" s="339"/>
      <c r="Q889" s="339"/>
      <c r="R889" s="339"/>
      <c r="S889" s="339"/>
      <c r="T889" s="339"/>
      <c r="U889" s="339"/>
      <c r="V889" s="339"/>
      <c r="W889" s="339"/>
      <c r="X889" s="339"/>
      <c r="Y889" s="339"/>
      <c r="Z889" s="339"/>
      <c r="AA889" s="339"/>
      <c r="AB889" s="339"/>
      <c r="AC889" s="339"/>
      <c r="AD889" s="339"/>
      <c r="AE889" s="339"/>
      <c r="AF889" s="339"/>
      <c r="AG889" s="339"/>
      <c r="AH889" s="339"/>
      <c r="AI889" s="339"/>
      <c r="AJ889" s="339"/>
      <c r="AK889" s="339"/>
      <c r="AL889" s="339"/>
      <c r="AM889" s="339"/>
      <c r="AN889" s="339"/>
      <c r="AO889" s="339"/>
      <c r="AP889" s="339"/>
      <c r="AQ889" s="339"/>
      <c r="AR889" s="339"/>
      <c r="AS889" s="339"/>
      <c r="AT889" s="339"/>
      <c r="AU889" s="339"/>
      <c r="AV889" s="339"/>
      <c r="AW889" s="339"/>
      <c r="AX889" s="339"/>
      <c r="AY889" s="339"/>
      <c r="AZ889" s="339"/>
      <c r="BA889" s="339"/>
      <c r="BB889" s="339"/>
      <c r="BC889" s="339"/>
      <c r="BD889" s="339"/>
    </row>
    <row r="890" spans="3:56">
      <c r="C890" s="339"/>
      <c r="D890" s="339"/>
      <c r="E890" s="339"/>
      <c r="F890" s="339"/>
      <c r="G890" s="339"/>
      <c r="H890" s="339"/>
      <c r="I890" s="339"/>
      <c r="J890" s="339"/>
      <c r="K890" s="339"/>
      <c r="L890" s="339"/>
      <c r="M890" s="339"/>
      <c r="N890" s="339"/>
      <c r="O890" s="339"/>
      <c r="P890" s="339"/>
      <c r="Q890" s="339"/>
      <c r="R890" s="339"/>
      <c r="S890" s="339"/>
      <c r="T890" s="339"/>
      <c r="U890" s="339"/>
      <c r="V890" s="339"/>
      <c r="W890" s="339"/>
      <c r="X890" s="339"/>
      <c r="Y890" s="339"/>
      <c r="Z890" s="339"/>
      <c r="AA890" s="339"/>
      <c r="AB890" s="339"/>
      <c r="AC890" s="339"/>
      <c r="AD890" s="339"/>
      <c r="AE890" s="339"/>
      <c r="AF890" s="339"/>
      <c r="AG890" s="339"/>
      <c r="AH890" s="339"/>
      <c r="AI890" s="339"/>
      <c r="AJ890" s="339"/>
      <c r="AK890" s="339"/>
      <c r="AL890" s="339"/>
      <c r="AM890" s="339"/>
      <c r="AN890" s="339"/>
      <c r="AO890" s="339"/>
      <c r="AP890" s="339"/>
      <c r="AQ890" s="339"/>
      <c r="AR890" s="339"/>
      <c r="AS890" s="339"/>
      <c r="AT890" s="339"/>
      <c r="AU890" s="339"/>
      <c r="AV890" s="339"/>
      <c r="AW890" s="339"/>
      <c r="AX890" s="339"/>
      <c r="AY890" s="339"/>
      <c r="AZ890" s="339"/>
      <c r="BA890" s="339"/>
      <c r="BB890" s="339"/>
      <c r="BC890" s="339"/>
      <c r="BD890" s="339"/>
    </row>
    <row r="891" spans="3:56">
      <c r="C891" s="339"/>
      <c r="D891" s="339"/>
      <c r="E891" s="339"/>
      <c r="F891" s="339"/>
      <c r="G891" s="339"/>
      <c r="H891" s="339"/>
      <c r="I891" s="339"/>
      <c r="J891" s="339"/>
      <c r="K891" s="339"/>
      <c r="L891" s="339"/>
      <c r="M891" s="339"/>
      <c r="N891" s="339"/>
      <c r="O891" s="339"/>
      <c r="P891" s="339"/>
      <c r="Q891" s="339"/>
      <c r="R891" s="339"/>
      <c r="S891" s="339"/>
      <c r="T891" s="339"/>
      <c r="U891" s="339"/>
      <c r="V891" s="339"/>
      <c r="W891" s="339"/>
      <c r="X891" s="339"/>
      <c r="Y891" s="339"/>
      <c r="Z891" s="339"/>
      <c r="AA891" s="339"/>
      <c r="AB891" s="339"/>
      <c r="AC891" s="339"/>
      <c r="AD891" s="339"/>
      <c r="AE891" s="339"/>
      <c r="AF891" s="339"/>
      <c r="AG891" s="339"/>
      <c r="AH891" s="339"/>
      <c r="AI891" s="339"/>
      <c r="AJ891" s="339"/>
      <c r="AK891" s="339"/>
      <c r="AL891" s="339"/>
      <c r="AM891" s="339"/>
      <c r="AN891" s="339"/>
      <c r="AO891" s="339"/>
      <c r="AP891" s="339"/>
      <c r="AQ891" s="339"/>
      <c r="AR891" s="339"/>
      <c r="AS891" s="339"/>
      <c r="AT891" s="339"/>
      <c r="AU891" s="339"/>
      <c r="AV891" s="339"/>
      <c r="AW891" s="339"/>
      <c r="AX891" s="339"/>
      <c r="AY891" s="339"/>
      <c r="AZ891" s="339"/>
      <c r="BA891" s="339"/>
      <c r="BB891" s="339"/>
      <c r="BC891" s="339"/>
      <c r="BD891" s="339"/>
    </row>
    <row r="892" spans="3:56">
      <c r="C892" s="339"/>
      <c r="D892" s="339"/>
      <c r="E892" s="339"/>
      <c r="F892" s="339"/>
      <c r="G892" s="339"/>
      <c r="H892" s="339"/>
      <c r="I892" s="339"/>
      <c r="J892" s="339"/>
      <c r="K892" s="339"/>
      <c r="L892" s="339"/>
      <c r="M892" s="339"/>
      <c r="N892" s="339"/>
      <c r="O892" s="339"/>
      <c r="P892" s="339"/>
      <c r="Q892" s="339"/>
      <c r="R892" s="339"/>
      <c r="S892" s="339"/>
      <c r="T892" s="339"/>
      <c r="U892" s="339"/>
      <c r="V892" s="339"/>
      <c r="W892" s="339"/>
      <c r="X892" s="339"/>
      <c r="Y892" s="339"/>
      <c r="Z892" s="339"/>
      <c r="AA892" s="339"/>
      <c r="AB892" s="339"/>
      <c r="AC892" s="339"/>
      <c r="AD892" s="339"/>
      <c r="AE892" s="339"/>
      <c r="AF892" s="339"/>
      <c r="AG892" s="339"/>
      <c r="AH892" s="339"/>
      <c r="AI892" s="339"/>
      <c r="AJ892" s="339"/>
      <c r="AK892" s="339"/>
      <c r="AL892" s="339"/>
      <c r="AM892" s="339"/>
      <c r="AN892" s="339"/>
      <c r="AO892" s="339"/>
      <c r="AP892" s="339"/>
      <c r="AQ892" s="339"/>
      <c r="AR892" s="339"/>
      <c r="AS892" s="339"/>
      <c r="AT892" s="339"/>
      <c r="AU892" s="339"/>
      <c r="AV892" s="339"/>
      <c r="AW892" s="339"/>
      <c r="AX892" s="339"/>
      <c r="AY892" s="339"/>
      <c r="AZ892" s="339"/>
      <c r="BA892" s="339"/>
      <c r="BB892" s="339"/>
      <c r="BC892" s="339"/>
      <c r="BD892" s="339"/>
    </row>
    <row r="893" spans="3:56">
      <c r="C893" s="339"/>
      <c r="D893" s="339"/>
      <c r="E893" s="339"/>
      <c r="F893" s="339"/>
      <c r="G893" s="339"/>
      <c r="H893" s="339"/>
      <c r="I893" s="339"/>
      <c r="J893" s="339"/>
      <c r="K893" s="339"/>
      <c r="L893" s="339"/>
      <c r="M893" s="339"/>
      <c r="N893" s="339"/>
      <c r="O893" s="339"/>
      <c r="P893" s="339"/>
      <c r="Q893" s="339"/>
      <c r="R893" s="339"/>
      <c r="S893" s="339"/>
      <c r="T893" s="339"/>
      <c r="U893" s="339"/>
      <c r="V893" s="339"/>
      <c r="W893" s="339"/>
      <c r="X893" s="339"/>
      <c r="Y893" s="339"/>
      <c r="Z893" s="339"/>
      <c r="AA893" s="339"/>
      <c r="AB893" s="339"/>
      <c r="AC893" s="339"/>
      <c r="AD893" s="339"/>
      <c r="AE893" s="339"/>
      <c r="AF893" s="339"/>
      <c r="AG893" s="339"/>
      <c r="AH893" s="339"/>
      <c r="AI893" s="339"/>
      <c r="AJ893" s="339"/>
      <c r="AK893" s="339"/>
      <c r="AL893" s="339"/>
      <c r="AM893" s="339"/>
      <c r="AN893" s="339"/>
      <c r="AO893" s="339"/>
      <c r="AP893" s="339"/>
      <c r="AQ893" s="339"/>
      <c r="AR893" s="339"/>
      <c r="AS893" s="339"/>
      <c r="AT893" s="339"/>
      <c r="AU893" s="339"/>
      <c r="AV893" s="339"/>
      <c r="AW893" s="339"/>
      <c r="AX893" s="339"/>
      <c r="AY893" s="339"/>
      <c r="AZ893" s="339"/>
      <c r="BA893" s="339"/>
      <c r="BB893" s="339"/>
      <c r="BC893" s="339"/>
      <c r="BD893" s="339"/>
    </row>
    <row r="894" spans="3:56">
      <c r="C894" s="339"/>
      <c r="D894" s="339"/>
      <c r="E894" s="339"/>
      <c r="F894" s="339"/>
      <c r="G894" s="339"/>
      <c r="H894" s="339"/>
      <c r="I894" s="339"/>
      <c r="J894" s="339"/>
      <c r="K894" s="339"/>
      <c r="L894" s="339"/>
      <c r="M894" s="339"/>
      <c r="N894" s="339"/>
      <c r="O894" s="339"/>
      <c r="P894" s="339"/>
      <c r="Q894" s="339"/>
      <c r="R894" s="339"/>
      <c r="S894" s="339"/>
      <c r="T894" s="339"/>
      <c r="U894" s="339"/>
      <c r="V894" s="339"/>
      <c r="W894" s="339"/>
      <c r="X894" s="339"/>
      <c r="Y894" s="339"/>
      <c r="Z894" s="339"/>
      <c r="AA894" s="339"/>
      <c r="AB894" s="339"/>
      <c r="AC894" s="339"/>
      <c r="AD894" s="339"/>
      <c r="AE894" s="339"/>
      <c r="AF894" s="339"/>
      <c r="AG894" s="339"/>
      <c r="AH894" s="339"/>
      <c r="AI894" s="339"/>
      <c r="AJ894" s="339"/>
      <c r="AK894" s="339"/>
      <c r="AL894" s="339"/>
      <c r="AM894" s="339"/>
      <c r="AN894" s="339"/>
      <c r="AO894" s="339"/>
      <c r="AP894" s="339"/>
      <c r="AQ894" s="339"/>
      <c r="AR894" s="339"/>
      <c r="AS894" s="339"/>
      <c r="AT894" s="339"/>
      <c r="AU894" s="339"/>
      <c r="AV894" s="339"/>
      <c r="AW894" s="339"/>
      <c r="AX894" s="339"/>
      <c r="AY894" s="339"/>
      <c r="AZ894" s="339"/>
      <c r="BA894" s="339"/>
      <c r="BB894" s="339"/>
      <c r="BC894" s="339"/>
      <c r="BD894" s="339"/>
    </row>
    <row r="895" spans="3:56">
      <c r="C895" s="339"/>
      <c r="D895" s="339"/>
      <c r="E895" s="339"/>
      <c r="F895" s="339"/>
      <c r="G895" s="339"/>
      <c r="H895" s="339"/>
      <c r="I895" s="339"/>
      <c r="J895" s="339"/>
      <c r="K895" s="339"/>
      <c r="L895" s="339"/>
      <c r="M895" s="339"/>
      <c r="N895" s="339"/>
      <c r="O895" s="339"/>
      <c r="P895" s="339"/>
      <c r="Q895" s="339"/>
      <c r="R895" s="339"/>
      <c r="S895" s="339"/>
      <c r="T895" s="339"/>
      <c r="U895" s="339"/>
      <c r="V895" s="339"/>
      <c r="W895" s="339"/>
      <c r="X895" s="339"/>
      <c r="Y895" s="339"/>
      <c r="Z895" s="339"/>
      <c r="AA895" s="339"/>
      <c r="AB895" s="339"/>
      <c r="AC895" s="339"/>
      <c r="AD895" s="339"/>
      <c r="AE895" s="339"/>
      <c r="AF895" s="339"/>
      <c r="AG895" s="339"/>
      <c r="AH895" s="339"/>
      <c r="AI895" s="339"/>
      <c r="AJ895" s="339"/>
      <c r="AK895" s="339"/>
      <c r="AL895" s="339"/>
      <c r="AM895" s="339"/>
      <c r="AN895" s="339"/>
      <c r="AO895" s="339"/>
      <c r="AP895" s="339"/>
      <c r="AQ895" s="339"/>
      <c r="AR895" s="339"/>
      <c r="AS895" s="339"/>
      <c r="AT895" s="339"/>
      <c r="AU895" s="339"/>
      <c r="AV895" s="339"/>
      <c r="AW895" s="339"/>
      <c r="AX895" s="339"/>
      <c r="AY895" s="339"/>
      <c r="AZ895" s="339"/>
      <c r="BA895" s="339"/>
      <c r="BB895" s="339"/>
      <c r="BC895" s="339"/>
      <c r="BD895" s="339"/>
    </row>
    <row r="896" spans="3:56">
      <c r="C896" s="339"/>
      <c r="D896" s="339"/>
      <c r="E896" s="339"/>
      <c r="F896" s="339"/>
      <c r="G896" s="339"/>
      <c r="H896" s="339"/>
      <c r="I896" s="339"/>
      <c r="J896" s="339"/>
      <c r="K896" s="339"/>
      <c r="L896" s="339"/>
      <c r="M896" s="339"/>
      <c r="N896" s="339"/>
      <c r="O896" s="339"/>
      <c r="P896" s="339"/>
      <c r="Q896" s="339"/>
      <c r="R896" s="339"/>
      <c r="S896" s="339"/>
      <c r="T896" s="339"/>
      <c r="U896" s="339"/>
      <c r="V896" s="339"/>
      <c r="W896" s="339"/>
      <c r="X896" s="339"/>
      <c r="Y896" s="339"/>
      <c r="Z896" s="339"/>
      <c r="AA896" s="339"/>
      <c r="AB896" s="339"/>
      <c r="AC896" s="339"/>
      <c r="AD896" s="339"/>
      <c r="AE896" s="339"/>
      <c r="AF896" s="339"/>
      <c r="AG896" s="339"/>
      <c r="AH896" s="339"/>
      <c r="AI896" s="339"/>
      <c r="AJ896" s="339"/>
      <c r="AK896" s="339"/>
      <c r="AL896" s="339"/>
      <c r="AM896" s="339"/>
      <c r="AN896" s="339"/>
      <c r="AO896" s="339"/>
      <c r="AP896" s="339"/>
      <c r="AQ896" s="339"/>
      <c r="AR896" s="339"/>
      <c r="AS896" s="339"/>
      <c r="AT896" s="339"/>
      <c r="AU896" s="339"/>
      <c r="AV896" s="339"/>
      <c r="AW896" s="339"/>
      <c r="AX896" s="339"/>
      <c r="AY896" s="339"/>
      <c r="AZ896" s="339"/>
      <c r="BA896" s="339"/>
      <c r="BB896" s="339"/>
      <c r="BC896" s="339"/>
      <c r="BD896" s="339"/>
    </row>
    <row r="897" spans="3:56">
      <c r="C897" s="339"/>
      <c r="D897" s="339"/>
      <c r="E897" s="339"/>
      <c r="F897" s="339"/>
      <c r="G897" s="339"/>
      <c r="H897" s="339"/>
      <c r="I897" s="339"/>
      <c r="J897" s="339"/>
      <c r="K897" s="339"/>
      <c r="L897" s="339"/>
      <c r="M897" s="339"/>
      <c r="N897" s="339"/>
      <c r="O897" s="339"/>
      <c r="P897" s="339"/>
      <c r="Q897" s="339"/>
      <c r="R897" s="339"/>
      <c r="S897" s="339"/>
      <c r="T897" s="339"/>
      <c r="U897" s="339"/>
      <c r="V897" s="339"/>
      <c r="W897" s="339"/>
      <c r="X897" s="339"/>
      <c r="Y897" s="339"/>
      <c r="Z897" s="339"/>
      <c r="AA897" s="339"/>
      <c r="AB897" s="339"/>
      <c r="AC897" s="339"/>
      <c r="AD897" s="339"/>
      <c r="AE897" s="339"/>
      <c r="AF897" s="339"/>
      <c r="AG897" s="339"/>
      <c r="AH897" s="339"/>
      <c r="AI897" s="339"/>
      <c r="AJ897" s="339"/>
      <c r="AK897" s="339"/>
      <c r="AL897" s="339"/>
      <c r="AM897" s="339"/>
      <c r="AN897" s="339"/>
      <c r="AO897" s="339"/>
      <c r="AP897" s="339"/>
      <c r="AQ897" s="339"/>
      <c r="AR897" s="339"/>
      <c r="AS897" s="339"/>
      <c r="AT897" s="339"/>
      <c r="AU897" s="339"/>
      <c r="AV897" s="339"/>
      <c r="AW897" s="339"/>
      <c r="AX897" s="339"/>
      <c r="AY897" s="339"/>
      <c r="AZ897" s="339"/>
      <c r="BA897" s="339"/>
      <c r="BB897" s="339"/>
      <c r="BC897" s="339"/>
      <c r="BD897" s="339"/>
    </row>
    <row r="898" spans="3:56">
      <c r="C898" s="339"/>
      <c r="D898" s="339"/>
      <c r="E898" s="339"/>
      <c r="F898" s="339"/>
      <c r="G898" s="339"/>
      <c r="H898" s="339"/>
      <c r="I898" s="339"/>
      <c r="J898" s="339"/>
      <c r="K898" s="339"/>
      <c r="L898" s="339"/>
      <c r="M898" s="339"/>
      <c r="N898" s="339"/>
      <c r="O898" s="339"/>
      <c r="P898" s="339"/>
      <c r="Q898" s="339"/>
      <c r="R898" s="339"/>
      <c r="S898" s="339"/>
      <c r="T898" s="339"/>
      <c r="U898" s="339"/>
      <c r="V898" s="339"/>
      <c r="W898" s="339"/>
      <c r="X898" s="339"/>
      <c r="Y898" s="339"/>
      <c r="Z898" s="339"/>
      <c r="AA898" s="339"/>
      <c r="AB898" s="339"/>
      <c r="AC898" s="339"/>
      <c r="AD898" s="339"/>
      <c r="AE898" s="339"/>
      <c r="AF898" s="339"/>
      <c r="AG898" s="339"/>
      <c r="AH898" s="339"/>
      <c r="AI898" s="339"/>
      <c r="AJ898" s="339"/>
      <c r="AK898" s="339"/>
      <c r="AL898" s="339"/>
      <c r="AM898" s="339"/>
      <c r="AN898" s="339"/>
      <c r="AO898" s="339"/>
      <c r="AP898" s="339"/>
      <c r="AQ898" s="339"/>
      <c r="AR898" s="339"/>
      <c r="AS898" s="339"/>
      <c r="AT898" s="339"/>
      <c r="AU898" s="339"/>
      <c r="AV898" s="339"/>
      <c r="AW898" s="339"/>
      <c r="AX898" s="339"/>
      <c r="AY898" s="339"/>
      <c r="AZ898" s="339"/>
      <c r="BA898" s="339"/>
      <c r="BB898" s="339"/>
      <c r="BC898" s="339"/>
      <c r="BD898" s="339"/>
    </row>
    <row r="899" spans="3:56">
      <c r="C899" s="339"/>
      <c r="D899" s="339"/>
      <c r="E899" s="339"/>
      <c r="F899" s="339"/>
      <c r="G899" s="339"/>
      <c r="H899" s="339"/>
      <c r="I899" s="339"/>
      <c r="J899" s="339"/>
      <c r="K899" s="339"/>
      <c r="L899" s="339"/>
      <c r="M899" s="339"/>
      <c r="N899" s="339"/>
      <c r="O899" s="339"/>
      <c r="P899" s="339"/>
      <c r="Q899" s="339"/>
      <c r="R899" s="339"/>
      <c r="S899" s="339"/>
      <c r="T899" s="339"/>
      <c r="U899" s="339"/>
      <c r="V899" s="339"/>
      <c r="W899" s="339"/>
      <c r="X899" s="339"/>
      <c r="Y899" s="339"/>
      <c r="Z899" s="339"/>
      <c r="AA899" s="339"/>
      <c r="AB899" s="339"/>
      <c r="AC899" s="339"/>
      <c r="AD899" s="339"/>
      <c r="AE899" s="339"/>
      <c r="AF899" s="339"/>
      <c r="AG899" s="339"/>
      <c r="AH899" s="339"/>
      <c r="AI899" s="339"/>
      <c r="AJ899" s="339"/>
      <c r="AK899" s="339"/>
      <c r="AL899" s="339"/>
      <c r="AM899" s="339"/>
      <c r="AN899" s="339"/>
      <c r="AO899" s="339"/>
      <c r="AP899" s="339"/>
      <c r="AQ899" s="339"/>
      <c r="AR899" s="339"/>
      <c r="AS899" s="339"/>
      <c r="AT899" s="339"/>
      <c r="AU899" s="339"/>
      <c r="AV899" s="339"/>
      <c r="AW899" s="339"/>
      <c r="AX899" s="339"/>
      <c r="AY899" s="339"/>
      <c r="AZ899" s="339"/>
      <c r="BA899" s="339"/>
      <c r="BB899" s="339"/>
      <c r="BC899" s="339"/>
      <c r="BD899" s="339"/>
    </row>
    <row r="900" spans="3:56">
      <c r="C900" s="339"/>
      <c r="D900" s="339"/>
      <c r="E900" s="339"/>
      <c r="F900" s="339"/>
      <c r="G900" s="339"/>
      <c r="H900" s="339"/>
      <c r="I900" s="339"/>
      <c r="J900" s="339"/>
      <c r="K900" s="339"/>
      <c r="L900" s="339"/>
      <c r="M900" s="339"/>
      <c r="N900" s="339"/>
      <c r="O900" s="339"/>
      <c r="P900" s="339"/>
      <c r="Q900" s="339"/>
      <c r="R900" s="339"/>
      <c r="S900" s="339"/>
      <c r="T900" s="339"/>
      <c r="U900" s="339"/>
      <c r="V900" s="339"/>
      <c r="W900" s="339"/>
      <c r="X900" s="339"/>
      <c r="Y900" s="339"/>
      <c r="Z900" s="339"/>
      <c r="AA900" s="339"/>
      <c r="AB900" s="339"/>
      <c r="AC900" s="339"/>
      <c r="AD900" s="339"/>
      <c r="AE900" s="339"/>
      <c r="AF900" s="339"/>
      <c r="AG900" s="339"/>
      <c r="AH900" s="339"/>
      <c r="AI900" s="339"/>
      <c r="AJ900" s="339"/>
      <c r="AK900" s="339"/>
      <c r="AL900" s="339"/>
      <c r="AM900" s="339"/>
      <c r="AN900" s="339"/>
      <c r="AO900" s="339"/>
      <c r="AP900" s="339"/>
      <c r="AQ900" s="339"/>
      <c r="AR900" s="339"/>
      <c r="AS900" s="339"/>
      <c r="AT900" s="339"/>
      <c r="AU900" s="339"/>
      <c r="AV900" s="339"/>
      <c r="AW900" s="339"/>
      <c r="AX900" s="339"/>
      <c r="AY900" s="339"/>
      <c r="AZ900" s="339"/>
      <c r="BA900" s="339"/>
      <c r="BB900" s="339"/>
      <c r="BC900" s="339"/>
      <c r="BD900" s="339"/>
    </row>
    <row r="901" spans="3:56">
      <c r="C901" s="339"/>
      <c r="D901" s="339"/>
      <c r="E901" s="339"/>
      <c r="F901" s="339"/>
      <c r="G901" s="339"/>
      <c r="H901" s="339"/>
      <c r="I901" s="339"/>
      <c r="J901" s="339"/>
      <c r="K901" s="339"/>
      <c r="L901" s="339"/>
      <c r="M901" s="339"/>
      <c r="N901" s="339"/>
      <c r="O901" s="339"/>
      <c r="P901" s="339"/>
      <c r="Q901" s="339"/>
      <c r="R901" s="339"/>
      <c r="S901" s="339"/>
      <c r="T901" s="339"/>
      <c r="U901" s="339"/>
      <c r="V901" s="339"/>
      <c r="W901" s="339"/>
      <c r="X901" s="339"/>
      <c r="Y901" s="339"/>
      <c r="Z901" s="339"/>
      <c r="AA901" s="339"/>
      <c r="AB901" s="339"/>
      <c r="AC901" s="339"/>
      <c r="AD901" s="339"/>
      <c r="AE901" s="339"/>
      <c r="AF901" s="339"/>
      <c r="AG901" s="339"/>
      <c r="AH901" s="339"/>
      <c r="AI901" s="339"/>
      <c r="AJ901" s="339"/>
      <c r="AK901" s="339"/>
      <c r="AL901" s="339"/>
      <c r="AM901" s="339"/>
      <c r="AN901" s="339"/>
      <c r="AO901" s="339"/>
      <c r="AP901" s="339"/>
      <c r="AQ901" s="339"/>
      <c r="AR901" s="339"/>
      <c r="AS901" s="339"/>
      <c r="AT901" s="339"/>
      <c r="AU901" s="339"/>
      <c r="AV901" s="339"/>
      <c r="AW901" s="339"/>
      <c r="AX901" s="339"/>
      <c r="AY901" s="339"/>
      <c r="AZ901" s="339"/>
      <c r="BA901" s="339"/>
      <c r="BB901" s="339"/>
      <c r="BC901" s="339"/>
      <c r="BD901" s="339"/>
    </row>
    <row r="902" spans="3:56">
      <c r="C902" s="339"/>
      <c r="D902" s="339"/>
      <c r="E902" s="339"/>
      <c r="F902" s="339"/>
      <c r="G902" s="339"/>
      <c r="H902" s="339"/>
      <c r="I902" s="339"/>
      <c r="J902" s="339"/>
      <c r="K902" s="339"/>
      <c r="L902" s="339"/>
      <c r="M902" s="339"/>
      <c r="N902" s="339"/>
      <c r="O902" s="339"/>
      <c r="P902" s="339"/>
      <c r="Q902" s="339"/>
      <c r="R902" s="339"/>
      <c r="S902" s="339"/>
      <c r="T902" s="339"/>
      <c r="U902" s="339"/>
      <c r="V902" s="339"/>
      <c r="W902" s="339"/>
      <c r="X902" s="339"/>
      <c r="Y902" s="339"/>
      <c r="Z902" s="339"/>
      <c r="AA902" s="339"/>
      <c r="AB902" s="339"/>
      <c r="AC902" s="339"/>
      <c r="AD902" s="339"/>
      <c r="AE902" s="339"/>
      <c r="AF902" s="339"/>
      <c r="AG902" s="339"/>
      <c r="AH902" s="339"/>
      <c r="AI902" s="339"/>
      <c r="AJ902" s="339"/>
      <c r="AK902" s="339"/>
      <c r="AL902" s="339"/>
      <c r="AM902" s="339"/>
      <c r="AN902" s="339"/>
      <c r="AO902" s="339"/>
      <c r="AP902" s="339"/>
      <c r="AQ902" s="339"/>
      <c r="AR902" s="339"/>
      <c r="AS902" s="339"/>
      <c r="AT902" s="339"/>
      <c r="AU902" s="339"/>
      <c r="AV902" s="339"/>
      <c r="AW902" s="339"/>
      <c r="AX902" s="339"/>
      <c r="AY902" s="339"/>
      <c r="AZ902" s="339"/>
      <c r="BA902" s="339"/>
      <c r="BB902" s="339"/>
      <c r="BC902" s="339"/>
      <c r="BD902" s="339"/>
    </row>
    <row r="903" spans="3:56">
      <c r="C903" s="339"/>
      <c r="D903" s="339"/>
      <c r="E903" s="339"/>
      <c r="F903" s="339"/>
      <c r="G903" s="339"/>
      <c r="H903" s="339"/>
      <c r="I903" s="339"/>
      <c r="J903" s="339"/>
      <c r="K903" s="339"/>
      <c r="L903" s="339"/>
      <c r="M903" s="339"/>
      <c r="N903" s="339"/>
      <c r="O903" s="339"/>
      <c r="P903" s="339"/>
      <c r="Q903" s="339"/>
      <c r="R903" s="339"/>
      <c r="S903" s="339"/>
      <c r="T903" s="339"/>
      <c r="U903" s="339"/>
      <c r="V903" s="339"/>
      <c r="W903" s="339"/>
      <c r="X903" s="339"/>
      <c r="Y903" s="339"/>
      <c r="Z903" s="339"/>
      <c r="AA903" s="339"/>
      <c r="AB903" s="339"/>
      <c r="AC903" s="339"/>
      <c r="AD903" s="339"/>
      <c r="AE903" s="339"/>
      <c r="AF903" s="339"/>
      <c r="AG903" s="339"/>
      <c r="AH903" s="339"/>
      <c r="AI903" s="339"/>
      <c r="AJ903" s="339"/>
      <c r="AK903" s="339"/>
      <c r="AL903" s="339"/>
      <c r="AM903" s="339"/>
      <c r="AN903" s="339"/>
      <c r="AO903" s="339"/>
      <c r="AP903" s="339"/>
      <c r="AQ903" s="339"/>
      <c r="AR903" s="339"/>
      <c r="AS903" s="339"/>
      <c r="AT903" s="339"/>
      <c r="AU903" s="339"/>
      <c r="AV903" s="339"/>
      <c r="AW903" s="339"/>
      <c r="AX903" s="339"/>
      <c r="AY903" s="339"/>
      <c r="AZ903" s="339"/>
      <c r="BA903" s="339"/>
      <c r="BB903" s="339"/>
      <c r="BC903" s="339"/>
      <c r="BD903" s="339"/>
    </row>
    <row r="904" spans="3:56">
      <c r="C904" s="339"/>
      <c r="D904" s="339"/>
      <c r="E904" s="339"/>
      <c r="F904" s="339"/>
      <c r="G904" s="339"/>
      <c r="H904" s="339"/>
      <c r="I904" s="339"/>
      <c r="J904" s="339"/>
      <c r="K904" s="339"/>
      <c r="L904" s="339"/>
      <c r="M904" s="339"/>
      <c r="N904" s="339"/>
      <c r="O904" s="339"/>
      <c r="P904" s="339"/>
      <c r="Q904" s="339"/>
      <c r="R904" s="339"/>
      <c r="S904" s="339"/>
      <c r="T904" s="339"/>
      <c r="U904" s="339"/>
      <c r="V904" s="339"/>
      <c r="W904" s="339"/>
      <c r="X904" s="339"/>
      <c r="Y904" s="339"/>
      <c r="Z904" s="339"/>
      <c r="AA904" s="339"/>
      <c r="AB904" s="339"/>
      <c r="AC904" s="339"/>
      <c r="AD904" s="339"/>
      <c r="AE904" s="339"/>
      <c r="AF904" s="339"/>
      <c r="AG904" s="339"/>
      <c r="AH904" s="339"/>
      <c r="AI904" s="339"/>
      <c r="AJ904" s="339"/>
      <c r="AK904" s="339"/>
      <c r="AL904" s="339"/>
      <c r="AM904" s="339"/>
      <c r="AN904" s="339"/>
      <c r="AO904" s="339"/>
      <c r="AP904" s="339"/>
      <c r="AQ904" s="339"/>
      <c r="AR904" s="339"/>
      <c r="AS904" s="339"/>
      <c r="AT904" s="339"/>
      <c r="AU904" s="339"/>
      <c r="AV904" s="339"/>
      <c r="AW904" s="339"/>
      <c r="AX904" s="339"/>
      <c r="AY904" s="339"/>
      <c r="AZ904" s="339"/>
      <c r="BA904" s="339"/>
      <c r="BB904" s="339"/>
      <c r="BC904" s="339"/>
      <c r="BD904" s="339"/>
    </row>
    <row r="905" spans="3:56">
      <c r="C905" s="339"/>
      <c r="D905" s="339"/>
      <c r="E905" s="339"/>
      <c r="F905" s="339"/>
      <c r="G905" s="339"/>
      <c r="H905" s="339"/>
      <c r="I905" s="339"/>
      <c r="J905" s="339"/>
      <c r="K905" s="339"/>
      <c r="L905" s="339"/>
      <c r="M905" s="339"/>
      <c r="N905" s="339"/>
      <c r="O905" s="339"/>
      <c r="P905" s="339"/>
      <c r="Q905" s="339"/>
      <c r="R905" s="339"/>
      <c r="S905" s="339"/>
      <c r="T905" s="339"/>
      <c r="U905" s="339"/>
      <c r="V905" s="339"/>
      <c r="W905" s="339"/>
      <c r="X905" s="339"/>
      <c r="Y905" s="339"/>
      <c r="Z905" s="339"/>
      <c r="AA905" s="339"/>
      <c r="AB905" s="339"/>
      <c r="AC905" s="339"/>
      <c r="AD905" s="339"/>
      <c r="AE905" s="339"/>
      <c r="AF905" s="339"/>
      <c r="AG905" s="339"/>
      <c r="AH905" s="339"/>
      <c r="AI905" s="339"/>
      <c r="AJ905" s="339"/>
      <c r="AK905" s="339"/>
      <c r="AL905" s="339"/>
      <c r="AM905" s="339"/>
      <c r="AN905" s="339"/>
      <c r="AO905" s="339"/>
      <c r="AP905" s="339"/>
      <c r="AQ905" s="339"/>
      <c r="AR905" s="339"/>
      <c r="AS905" s="339"/>
      <c r="AT905" s="339"/>
      <c r="AU905" s="339"/>
      <c r="AV905" s="339"/>
      <c r="AW905" s="339"/>
      <c r="AX905" s="339"/>
      <c r="AY905" s="339"/>
      <c r="AZ905" s="339"/>
      <c r="BA905" s="339"/>
      <c r="BB905" s="339"/>
      <c r="BC905" s="339"/>
      <c r="BD905" s="339"/>
    </row>
    <row r="906" spans="3:56">
      <c r="C906" s="339"/>
      <c r="D906" s="339"/>
      <c r="E906" s="339"/>
      <c r="F906" s="339"/>
      <c r="G906" s="339"/>
      <c r="H906" s="339"/>
      <c r="I906" s="339"/>
      <c r="J906" s="339"/>
      <c r="K906" s="339"/>
      <c r="L906" s="339"/>
      <c r="M906" s="339"/>
      <c r="N906" s="339"/>
      <c r="O906" s="339"/>
      <c r="P906" s="339"/>
      <c r="Q906" s="339"/>
      <c r="R906" s="339"/>
      <c r="S906" s="339"/>
      <c r="T906" s="339"/>
      <c r="U906" s="339"/>
      <c r="V906" s="339"/>
      <c r="W906" s="339"/>
      <c r="X906" s="339"/>
      <c r="Y906" s="339"/>
      <c r="Z906" s="339"/>
      <c r="AA906" s="339"/>
      <c r="AB906" s="339"/>
      <c r="AC906" s="339"/>
      <c r="AD906" s="339"/>
      <c r="AE906" s="339"/>
      <c r="AF906" s="339"/>
      <c r="AG906" s="339"/>
      <c r="AH906" s="339"/>
      <c r="AI906" s="339"/>
      <c r="AJ906" s="339"/>
      <c r="AK906" s="339"/>
      <c r="AL906" s="339"/>
      <c r="AM906" s="339"/>
      <c r="AN906" s="339"/>
      <c r="AO906" s="339"/>
      <c r="AP906" s="339"/>
      <c r="AQ906" s="339"/>
      <c r="AR906" s="339"/>
      <c r="AS906" s="339"/>
      <c r="AT906" s="339"/>
      <c r="AU906" s="339"/>
      <c r="AV906" s="339"/>
      <c r="AW906" s="339"/>
      <c r="AX906" s="339"/>
      <c r="AY906" s="339"/>
      <c r="AZ906" s="339"/>
      <c r="BA906" s="339"/>
      <c r="BB906" s="339"/>
      <c r="BC906" s="339"/>
      <c r="BD906" s="339"/>
    </row>
    <row r="907" spans="3:56">
      <c r="C907" s="339"/>
      <c r="D907" s="339"/>
      <c r="E907" s="339"/>
      <c r="F907" s="339"/>
      <c r="G907" s="339"/>
      <c r="H907" s="339"/>
      <c r="I907" s="339"/>
      <c r="J907" s="339"/>
      <c r="K907" s="339"/>
      <c r="L907" s="339"/>
      <c r="M907" s="339"/>
      <c r="N907" s="339"/>
      <c r="O907" s="339"/>
      <c r="P907" s="339"/>
      <c r="Q907" s="339"/>
      <c r="R907" s="339"/>
      <c r="S907" s="339"/>
      <c r="T907" s="339"/>
      <c r="U907" s="339"/>
      <c r="V907" s="339"/>
      <c r="W907" s="339"/>
      <c r="X907" s="339"/>
      <c r="Y907" s="339"/>
      <c r="Z907" s="339"/>
      <c r="AA907" s="339"/>
      <c r="AB907" s="339"/>
      <c r="AC907" s="339"/>
      <c r="AD907" s="339"/>
      <c r="AE907" s="339"/>
      <c r="AF907" s="339"/>
      <c r="AG907" s="339"/>
      <c r="AH907" s="339"/>
      <c r="AI907" s="339"/>
      <c r="AJ907" s="339"/>
      <c r="AK907" s="339"/>
      <c r="AL907" s="339"/>
      <c r="AM907" s="339"/>
      <c r="AN907" s="339"/>
      <c r="AO907" s="339"/>
      <c r="AP907" s="339"/>
      <c r="AQ907" s="339"/>
      <c r="AR907" s="339"/>
      <c r="AS907" s="339"/>
      <c r="AT907" s="339"/>
      <c r="AU907" s="339"/>
      <c r="AV907" s="339"/>
      <c r="AW907" s="339"/>
      <c r="AX907" s="339"/>
      <c r="AY907" s="339"/>
      <c r="AZ907" s="339"/>
      <c r="BA907" s="339"/>
      <c r="BB907" s="339"/>
      <c r="BC907" s="339"/>
      <c r="BD907" s="339"/>
    </row>
    <row r="908" spans="3:56">
      <c r="C908" s="339"/>
      <c r="D908" s="339"/>
      <c r="E908" s="339"/>
      <c r="F908" s="339"/>
      <c r="G908" s="339"/>
      <c r="H908" s="339"/>
      <c r="I908" s="339"/>
      <c r="J908" s="339"/>
      <c r="K908" s="339"/>
      <c r="L908" s="339"/>
      <c r="M908" s="339"/>
      <c r="N908" s="339"/>
      <c r="O908" s="339"/>
      <c r="P908" s="339"/>
      <c r="Q908" s="339"/>
      <c r="R908" s="339"/>
      <c r="S908" s="339"/>
      <c r="T908" s="339"/>
      <c r="U908" s="339"/>
      <c r="V908" s="339"/>
      <c r="W908" s="339"/>
      <c r="X908" s="339"/>
      <c r="Y908" s="339"/>
      <c r="Z908" s="339"/>
      <c r="AA908" s="339"/>
      <c r="AB908" s="339"/>
      <c r="AC908" s="339"/>
      <c r="AD908" s="339"/>
      <c r="AE908" s="339"/>
      <c r="AF908" s="339"/>
      <c r="AG908" s="339"/>
      <c r="AH908" s="339"/>
      <c r="AI908" s="339"/>
      <c r="AJ908" s="339"/>
      <c r="AK908" s="339"/>
      <c r="AL908" s="339"/>
      <c r="AM908" s="339"/>
      <c r="AN908" s="339"/>
      <c r="AO908" s="339"/>
      <c r="AP908" s="339"/>
      <c r="AQ908" s="339"/>
      <c r="AR908" s="339"/>
      <c r="AS908" s="339"/>
      <c r="AT908" s="339"/>
      <c r="AU908" s="339"/>
      <c r="AV908" s="339"/>
      <c r="AW908" s="339"/>
      <c r="AX908" s="339"/>
      <c r="AY908" s="339"/>
      <c r="AZ908" s="339"/>
      <c r="BA908" s="339"/>
      <c r="BB908" s="339"/>
      <c r="BC908" s="339"/>
      <c r="BD908" s="339"/>
    </row>
    <row r="909" spans="3:56">
      <c r="C909" s="339"/>
      <c r="D909" s="339"/>
      <c r="E909" s="339"/>
      <c r="F909" s="339"/>
      <c r="G909" s="339"/>
      <c r="H909" s="339"/>
      <c r="I909" s="339"/>
      <c r="J909" s="339"/>
      <c r="K909" s="339"/>
      <c r="L909" s="339"/>
      <c r="M909" s="339"/>
      <c r="N909" s="339"/>
      <c r="O909" s="339"/>
      <c r="P909" s="339"/>
      <c r="Q909" s="339"/>
      <c r="R909" s="339"/>
      <c r="S909" s="339"/>
      <c r="T909" s="339"/>
      <c r="U909" s="339"/>
      <c r="V909" s="339"/>
      <c r="W909" s="339"/>
      <c r="X909" s="339"/>
      <c r="Y909" s="339"/>
      <c r="Z909" s="339"/>
      <c r="AA909" s="339"/>
      <c r="AB909" s="339"/>
      <c r="AC909" s="339"/>
      <c r="AD909" s="339"/>
      <c r="AE909" s="339"/>
      <c r="AF909" s="339"/>
      <c r="AG909" s="339"/>
      <c r="AH909" s="339"/>
      <c r="AI909" s="339"/>
      <c r="AJ909" s="339"/>
      <c r="AK909" s="339"/>
      <c r="AL909" s="339"/>
      <c r="AM909" s="339"/>
      <c r="AN909" s="339"/>
      <c r="AO909" s="339"/>
      <c r="AP909" s="339"/>
      <c r="AQ909" s="339"/>
      <c r="AR909" s="339"/>
      <c r="AS909" s="339"/>
      <c r="AT909" s="339"/>
      <c r="AU909" s="339"/>
      <c r="AV909" s="339"/>
      <c r="AW909" s="339"/>
      <c r="AX909" s="339"/>
      <c r="AY909" s="339"/>
      <c r="AZ909" s="339"/>
      <c r="BA909" s="339"/>
      <c r="BB909" s="339"/>
      <c r="BC909" s="339"/>
      <c r="BD909" s="339"/>
    </row>
    <row r="910" spans="3:56">
      <c r="C910" s="339"/>
      <c r="D910" s="339"/>
      <c r="E910" s="339"/>
      <c r="F910" s="339"/>
      <c r="G910" s="339"/>
      <c r="H910" s="339"/>
      <c r="I910" s="339"/>
      <c r="J910" s="339"/>
      <c r="K910" s="339"/>
      <c r="L910" s="339"/>
      <c r="M910" s="339"/>
      <c r="N910" s="339"/>
      <c r="O910" s="339"/>
      <c r="P910" s="339"/>
      <c r="Q910" s="339"/>
      <c r="R910" s="339"/>
      <c r="S910" s="339"/>
      <c r="T910" s="339"/>
      <c r="U910" s="339"/>
      <c r="V910" s="339"/>
      <c r="W910" s="339"/>
      <c r="X910" s="339"/>
      <c r="Y910" s="339"/>
      <c r="Z910" s="339"/>
      <c r="AA910" s="339"/>
      <c r="AB910" s="339"/>
      <c r="AC910" s="339"/>
      <c r="AD910" s="339"/>
      <c r="AE910" s="339"/>
      <c r="AF910" s="339"/>
      <c r="AG910" s="339"/>
      <c r="AH910" s="339"/>
      <c r="AI910" s="339"/>
      <c r="AJ910" s="339"/>
      <c r="AK910" s="339"/>
      <c r="AL910" s="339"/>
      <c r="AM910" s="339"/>
      <c r="AN910" s="339"/>
      <c r="AO910" s="339"/>
      <c r="AP910" s="339"/>
      <c r="AQ910" s="339"/>
      <c r="AR910" s="339"/>
      <c r="AS910" s="339"/>
      <c r="AT910" s="339"/>
      <c r="AU910" s="339"/>
      <c r="AV910" s="339"/>
      <c r="AW910" s="339"/>
      <c r="AX910" s="339"/>
      <c r="AY910" s="339"/>
      <c r="AZ910" s="339"/>
      <c r="BA910" s="339"/>
      <c r="BB910" s="339"/>
      <c r="BC910" s="339"/>
      <c r="BD910" s="339"/>
    </row>
    <row r="911" spans="3:56">
      <c r="C911" s="339"/>
      <c r="D911" s="339"/>
      <c r="E911" s="339"/>
      <c r="F911" s="339"/>
      <c r="G911" s="339"/>
      <c r="H911" s="339"/>
      <c r="I911" s="339"/>
      <c r="J911" s="339"/>
      <c r="K911" s="339"/>
      <c r="L911" s="339"/>
      <c r="M911" s="339"/>
      <c r="N911" s="339"/>
      <c r="O911" s="339"/>
      <c r="P911" s="339"/>
      <c r="Q911" s="339"/>
      <c r="R911" s="339"/>
      <c r="S911" s="339"/>
      <c r="T911" s="339"/>
      <c r="U911" s="339"/>
      <c r="V911" s="339"/>
      <c r="W911" s="339"/>
      <c r="X911" s="339"/>
      <c r="Y911" s="339"/>
      <c r="Z911" s="339"/>
      <c r="AA911" s="339"/>
      <c r="AB911" s="339"/>
      <c r="AC911" s="339"/>
      <c r="AD911" s="339"/>
      <c r="AE911" s="339"/>
      <c r="AF911" s="339"/>
      <c r="AG911" s="339"/>
      <c r="AH911" s="339"/>
      <c r="AI911" s="339"/>
      <c r="AJ911" s="339"/>
      <c r="AK911" s="339"/>
      <c r="AL911" s="339"/>
      <c r="AM911" s="339"/>
      <c r="AN911" s="339"/>
      <c r="AO911" s="339"/>
      <c r="AP911" s="339"/>
      <c r="AQ911" s="339"/>
      <c r="AR911" s="339"/>
      <c r="AS911" s="339"/>
      <c r="AT911" s="339"/>
      <c r="AU911" s="339"/>
      <c r="AV911" s="339"/>
      <c r="AW911" s="339"/>
      <c r="AX911" s="339"/>
      <c r="AY911" s="339"/>
      <c r="AZ911" s="339"/>
      <c r="BA911" s="339"/>
      <c r="BB911" s="339"/>
      <c r="BC911" s="339"/>
      <c r="BD911" s="339"/>
    </row>
    <row r="912" spans="3:56">
      <c r="C912" s="339"/>
      <c r="D912" s="339"/>
      <c r="E912" s="339"/>
      <c r="F912" s="339"/>
      <c r="G912" s="339"/>
      <c r="H912" s="339"/>
      <c r="I912" s="339"/>
      <c r="J912" s="339"/>
      <c r="K912" s="339"/>
      <c r="L912" s="339"/>
      <c r="M912" s="339"/>
      <c r="N912" s="339"/>
      <c r="O912" s="339"/>
      <c r="P912" s="339"/>
      <c r="Q912" s="339"/>
      <c r="R912" s="339"/>
      <c r="S912" s="339"/>
      <c r="T912" s="339"/>
      <c r="U912" s="339"/>
      <c r="V912" s="339"/>
      <c r="W912" s="339"/>
      <c r="X912" s="339"/>
      <c r="Y912" s="339"/>
      <c r="Z912" s="339"/>
      <c r="AA912" s="339"/>
      <c r="AB912" s="339"/>
      <c r="AC912" s="339"/>
      <c r="AD912" s="339"/>
      <c r="AE912" s="339"/>
      <c r="AF912" s="339"/>
      <c r="AG912" s="339"/>
      <c r="AH912" s="339"/>
      <c r="AI912" s="339"/>
      <c r="AJ912" s="339"/>
      <c r="AK912" s="339"/>
      <c r="AL912" s="339"/>
      <c r="AM912" s="339"/>
      <c r="AN912" s="339"/>
      <c r="AO912" s="339"/>
      <c r="AP912" s="339"/>
      <c r="AQ912" s="339"/>
      <c r="AR912" s="339"/>
      <c r="AS912" s="339"/>
      <c r="AT912" s="339"/>
      <c r="AU912" s="339"/>
      <c r="AV912" s="339"/>
      <c r="AW912" s="339"/>
      <c r="AX912" s="339"/>
      <c r="AY912" s="339"/>
      <c r="AZ912" s="339"/>
      <c r="BA912" s="339"/>
      <c r="BB912" s="339"/>
      <c r="BC912" s="339"/>
      <c r="BD912" s="339"/>
    </row>
    <row r="913" spans="3:56">
      <c r="C913" s="339"/>
      <c r="D913" s="339"/>
      <c r="E913" s="339"/>
      <c r="F913" s="339"/>
      <c r="G913" s="339"/>
      <c r="H913" s="339"/>
      <c r="I913" s="339"/>
      <c r="J913" s="339"/>
      <c r="K913" s="339"/>
      <c r="L913" s="339"/>
      <c r="M913" s="339"/>
      <c r="N913" s="339"/>
      <c r="O913" s="339"/>
      <c r="P913" s="339"/>
      <c r="Q913" s="339"/>
      <c r="R913" s="339"/>
      <c r="S913" s="339"/>
      <c r="T913" s="339"/>
      <c r="U913" s="339"/>
      <c r="V913" s="339"/>
      <c r="W913" s="339"/>
      <c r="X913" s="339"/>
      <c r="Y913" s="339"/>
      <c r="Z913" s="339"/>
      <c r="AA913" s="339"/>
      <c r="AB913" s="339"/>
      <c r="AC913" s="339"/>
      <c r="AD913" s="339"/>
      <c r="AE913" s="339"/>
      <c r="AF913" s="339"/>
      <c r="AG913" s="339"/>
      <c r="AH913" s="339"/>
      <c r="AI913" s="339"/>
      <c r="AJ913" s="339"/>
      <c r="AK913" s="339"/>
      <c r="AL913" s="339"/>
      <c r="AM913" s="339"/>
      <c r="AN913" s="339"/>
      <c r="AO913" s="339"/>
      <c r="AP913" s="339"/>
      <c r="AQ913" s="339"/>
      <c r="AR913" s="339"/>
      <c r="AS913" s="339"/>
      <c r="AT913" s="339"/>
      <c r="AU913" s="339"/>
      <c r="AV913" s="339"/>
      <c r="AW913" s="339"/>
      <c r="AX913" s="339"/>
      <c r="AY913" s="339"/>
      <c r="AZ913" s="339"/>
      <c r="BA913" s="339"/>
      <c r="BB913" s="339"/>
      <c r="BC913" s="339"/>
      <c r="BD913" s="339"/>
    </row>
    <row r="914" spans="3:56">
      <c r="C914" s="339"/>
      <c r="D914" s="339"/>
      <c r="E914" s="339"/>
      <c r="F914" s="339"/>
      <c r="G914" s="339"/>
      <c r="H914" s="339"/>
      <c r="I914" s="339"/>
      <c r="J914" s="339"/>
      <c r="K914" s="339"/>
      <c r="L914" s="339"/>
      <c r="M914" s="339"/>
      <c r="N914" s="339"/>
      <c r="O914" s="339"/>
      <c r="P914" s="339"/>
      <c r="Q914" s="339"/>
      <c r="R914" s="339"/>
      <c r="S914" s="339"/>
      <c r="T914" s="339"/>
      <c r="U914" s="339"/>
      <c r="V914" s="339"/>
      <c r="W914" s="339"/>
      <c r="X914" s="339"/>
      <c r="Y914" s="339"/>
      <c r="Z914" s="339"/>
      <c r="AA914" s="339"/>
      <c r="AB914" s="339"/>
      <c r="AC914" s="339"/>
      <c r="AD914" s="339"/>
      <c r="AE914" s="339"/>
      <c r="AF914" s="339"/>
      <c r="AG914" s="339"/>
      <c r="AH914" s="339"/>
      <c r="AI914" s="339"/>
      <c r="AJ914" s="339"/>
      <c r="AK914" s="339"/>
      <c r="AL914" s="339"/>
      <c r="AM914" s="339"/>
      <c r="AN914" s="339"/>
      <c r="AO914" s="339"/>
      <c r="AP914" s="339"/>
      <c r="AQ914" s="339"/>
      <c r="AR914" s="339"/>
      <c r="AS914" s="339"/>
      <c r="AT914" s="339"/>
      <c r="AU914" s="339"/>
      <c r="AV914" s="339"/>
      <c r="AW914" s="339"/>
      <c r="AX914" s="339"/>
      <c r="AY914" s="339"/>
      <c r="AZ914" s="339"/>
      <c r="BA914" s="339"/>
      <c r="BB914" s="339"/>
      <c r="BC914" s="339"/>
      <c r="BD914" s="339"/>
    </row>
    <row r="915" spans="3:56">
      <c r="C915" s="339"/>
      <c r="D915" s="339"/>
      <c r="E915" s="339"/>
      <c r="F915" s="339"/>
      <c r="G915" s="339"/>
      <c r="H915" s="339"/>
      <c r="I915" s="339"/>
      <c r="J915" s="339"/>
      <c r="K915" s="339"/>
      <c r="L915" s="339"/>
      <c r="M915" s="339"/>
      <c r="N915" s="339"/>
      <c r="O915" s="339"/>
      <c r="P915" s="339"/>
      <c r="Q915" s="339"/>
      <c r="R915" s="339"/>
      <c r="S915" s="339"/>
      <c r="T915" s="339"/>
      <c r="U915" s="339"/>
      <c r="V915" s="339"/>
      <c r="W915" s="339"/>
      <c r="X915" s="339"/>
      <c r="Y915" s="339"/>
      <c r="Z915" s="339"/>
      <c r="AA915" s="339"/>
      <c r="AB915" s="339"/>
      <c r="AC915" s="339"/>
      <c r="AD915" s="339"/>
      <c r="AE915" s="339"/>
      <c r="AF915" s="339"/>
      <c r="AG915" s="339"/>
      <c r="AH915" s="339"/>
      <c r="AI915" s="339"/>
      <c r="AJ915" s="339"/>
      <c r="AK915" s="339"/>
      <c r="AL915" s="339"/>
      <c r="AM915" s="339"/>
      <c r="AN915" s="339"/>
      <c r="AO915" s="339"/>
      <c r="AP915" s="339"/>
      <c r="AQ915" s="339"/>
      <c r="AR915" s="339"/>
      <c r="AS915" s="339"/>
      <c r="AT915" s="339"/>
      <c r="AU915" s="339"/>
      <c r="AV915" s="339"/>
      <c r="AW915" s="339"/>
      <c r="AX915" s="339"/>
      <c r="AY915" s="339"/>
      <c r="AZ915" s="339"/>
      <c r="BA915" s="339"/>
      <c r="BB915" s="339"/>
      <c r="BC915" s="339"/>
      <c r="BD915" s="339"/>
    </row>
    <row r="916" spans="3:56">
      <c r="C916" s="339"/>
      <c r="D916" s="339"/>
      <c r="E916" s="339"/>
      <c r="F916" s="339"/>
      <c r="G916" s="339"/>
      <c r="H916" s="339"/>
      <c r="I916" s="339"/>
      <c r="J916" s="339"/>
      <c r="K916" s="339"/>
      <c r="L916" s="339"/>
      <c r="M916" s="339"/>
      <c r="N916" s="339"/>
      <c r="O916" s="339"/>
      <c r="P916" s="339"/>
      <c r="Q916" s="339"/>
      <c r="R916" s="339"/>
      <c r="S916" s="339"/>
      <c r="T916" s="339"/>
      <c r="U916" s="339"/>
      <c r="V916" s="339"/>
      <c r="W916" s="339"/>
      <c r="X916" s="339"/>
      <c r="Y916" s="339"/>
      <c r="Z916" s="339"/>
      <c r="AA916" s="339"/>
      <c r="AB916" s="339"/>
      <c r="AC916" s="339"/>
      <c r="AD916" s="339"/>
      <c r="AE916" s="339"/>
      <c r="AF916" s="339"/>
      <c r="AG916" s="339"/>
      <c r="AH916" s="339"/>
      <c r="AI916" s="339"/>
      <c r="AJ916" s="339"/>
      <c r="AK916" s="339"/>
      <c r="AL916" s="339"/>
      <c r="AM916" s="339"/>
      <c r="AN916" s="339"/>
      <c r="AO916" s="339"/>
      <c r="AP916" s="339"/>
      <c r="AQ916" s="339"/>
      <c r="AR916" s="339"/>
      <c r="AS916" s="339"/>
      <c r="AT916" s="339"/>
      <c r="AU916" s="339"/>
      <c r="AV916" s="339"/>
      <c r="AW916" s="339"/>
      <c r="AX916" s="339"/>
      <c r="AY916" s="339"/>
      <c r="AZ916" s="339"/>
      <c r="BA916" s="339"/>
      <c r="BB916" s="339"/>
      <c r="BC916" s="339"/>
      <c r="BD916" s="339"/>
    </row>
    <row r="917" spans="3:56">
      <c r="C917" s="339"/>
      <c r="D917" s="339"/>
      <c r="E917" s="339"/>
      <c r="F917" s="339"/>
      <c r="G917" s="339"/>
      <c r="H917" s="339"/>
      <c r="I917" s="339"/>
      <c r="J917" s="339"/>
      <c r="K917" s="339"/>
      <c r="L917" s="339"/>
      <c r="M917" s="339"/>
      <c r="N917" s="339"/>
      <c r="O917" s="339"/>
      <c r="P917" s="339"/>
      <c r="Q917" s="339"/>
      <c r="R917" s="339"/>
      <c r="S917" s="339"/>
      <c r="T917" s="339"/>
      <c r="U917" s="339"/>
      <c r="V917" s="339"/>
      <c r="W917" s="339"/>
      <c r="X917" s="339"/>
      <c r="Y917" s="339"/>
      <c r="Z917" s="339"/>
      <c r="AA917" s="339"/>
      <c r="AB917" s="339"/>
      <c r="AC917" s="339"/>
      <c r="AD917" s="339"/>
      <c r="AE917" s="339"/>
      <c r="AF917" s="339"/>
      <c r="AG917" s="339"/>
      <c r="AH917" s="339"/>
      <c r="AI917" s="339"/>
      <c r="AJ917" s="339"/>
      <c r="AK917" s="339"/>
      <c r="AL917" s="339"/>
      <c r="AM917" s="339"/>
      <c r="AN917" s="339"/>
      <c r="AO917" s="339"/>
      <c r="AP917" s="339"/>
      <c r="AQ917" s="339"/>
      <c r="AR917" s="339"/>
      <c r="AS917" s="339"/>
      <c r="AT917" s="339"/>
      <c r="AU917" s="339"/>
      <c r="AV917" s="339"/>
      <c r="AW917" s="339"/>
      <c r="AX917" s="339"/>
      <c r="AY917" s="339"/>
      <c r="AZ917" s="339"/>
      <c r="BA917" s="339"/>
      <c r="BB917" s="339"/>
      <c r="BC917" s="339"/>
      <c r="BD917" s="339"/>
    </row>
    <row r="918" spans="3:56">
      <c r="C918" s="339"/>
      <c r="D918" s="339"/>
      <c r="E918" s="339"/>
      <c r="F918" s="339"/>
      <c r="G918" s="339"/>
      <c r="H918" s="339"/>
      <c r="I918" s="339"/>
      <c r="J918" s="339"/>
      <c r="K918" s="339"/>
      <c r="L918" s="339"/>
      <c r="M918" s="339"/>
      <c r="N918" s="339"/>
      <c r="O918" s="339"/>
      <c r="P918" s="339"/>
      <c r="Q918" s="339"/>
      <c r="R918" s="339"/>
      <c r="S918" s="339"/>
      <c r="T918" s="339"/>
      <c r="U918" s="339"/>
      <c r="V918" s="339"/>
      <c r="W918" s="339"/>
      <c r="X918" s="339"/>
      <c r="Y918" s="339"/>
      <c r="Z918" s="339"/>
      <c r="AA918" s="339"/>
      <c r="AB918" s="339"/>
      <c r="AC918" s="339"/>
      <c r="AD918" s="339"/>
      <c r="AE918" s="339"/>
      <c r="AF918" s="339"/>
      <c r="AG918" s="339"/>
      <c r="AH918" s="339"/>
      <c r="AI918" s="339"/>
      <c r="AJ918" s="339"/>
      <c r="AK918" s="339"/>
      <c r="AL918" s="339"/>
      <c r="AM918" s="339"/>
      <c r="AN918" s="339"/>
      <c r="AO918" s="339"/>
      <c r="AP918" s="339"/>
      <c r="AQ918" s="339"/>
      <c r="AR918" s="339"/>
      <c r="AS918" s="339"/>
      <c r="AT918" s="339"/>
      <c r="AU918" s="339"/>
      <c r="AV918" s="339"/>
      <c r="AW918" s="339"/>
      <c r="AX918" s="339"/>
      <c r="AY918" s="339"/>
      <c r="AZ918" s="339"/>
      <c r="BA918" s="339"/>
      <c r="BB918" s="339"/>
      <c r="BC918" s="339"/>
      <c r="BD918" s="339"/>
    </row>
    <row r="919" spans="3:56">
      <c r="C919" s="339"/>
      <c r="D919" s="339"/>
      <c r="E919" s="339"/>
      <c r="F919" s="339"/>
      <c r="G919" s="339"/>
      <c r="H919" s="339"/>
      <c r="I919" s="339"/>
      <c r="J919" s="339"/>
      <c r="K919" s="339"/>
      <c r="L919" s="339"/>
      <c r="M919" s="339"/>
      <c r="N919" s="339"/>
      <c r="O919" s="339"/>
      <c r="P919" s="339"/>
      <c r="Q919" s="339"/>
      <c r="R919" s="339"/>
      <c r="S919" s="339"/>
      <c r="T919" s="339"/>
      <c r="U919" s="339"/>
      <c r="V919" s="339"/>
      <c r="W919" s="339"/>
      <c r="X919" s="339"/>
      <c r="Y919" s="339"/>
      <c r="Z919" s="339"/>
      <c r="AA919" s="339"/>
      <c r="AB919" s="339"/>
      <c r="AC919" s="339"/>
      <c r="AD919" s="339"/>
      <c r="AE919" s="339"/>
      <c r="AF919" s="339"/>
      <c r="AG919" s="339"/>
      <c r="AH919" s="339"/>
      <c r="AI919" s="339"/>
      <c r="AJ919" s="339"/>
      <c r="AK919" s="339"/>
      <c r="AL919" s="339"/>
      <c r="AM919" s="339"/>
      <c r="AN919" s="339"/>
      <c r="AO919" s="339"/>
      <c r="AP919" s="339"/>
      <c r="AQ919" s="339"/>
      <c r="AR919" s="339"/>
      <c r="AS919" s="339"/>
      <c r="AT919" s="339"/>
      <c r="AU919" s="339"/>
      <c r="AV919" s="339"/>
      <c r="AW919" s="339"/>
      <c r="AX919" s="339"/>
      <c r="AY919" s="339"/>
      <c r="AZ919" s="339"/>
      <c r="BA919" s="339"/>
      <c r="BB919" s="339"/>
      <c r="BC919" s="339"/>
      <c r="BD919" s="339"/>
    </row>
    <row r="920" spans="3:56">
      <c r="C920" s="339"/>
      <c r="D920" s="339"/>
      <c r="E920" s="339"/>
      <c r="F920" s="339"/>
      <c r="G920" s="339"/>
      <c r="H920" s="339"/>
      <c r="I920" s="339"/>
      <c r="J920" s="339"/>
      <c r="K920" s="339"/>
      <c r="L920" s="339"/>
      <c r="M920" s="339"/>
      <c r="N920" s="339"/>
      <c r="O920" s="339"/>
      <c r="P920" s="339"/>
      <c r="Q920" s="339"/>
      <c r="R920" s="339"/>
      <c r="S920" s="339"/>
      <c r="T920" s="339"/>
      <c r="U920" s="339"/>
      <c r="V920" s="339"/>
      <c r="W920" s="339"/>
      <c r="X920" s="339"/>
      <c r="Y920" s="339"/>
      <c r="Z920" s="339"/>
      <c r="AA920" s="339"/>
      <c r="AB920" s="339"/>
      <c r="AC920" s="339"/>
      <c r="AD920" s="339"/>
      <c r="AE920" s="339"/>
      <c r="AF920" s="339"/>
      <c r="AG920" s="339"/>
      <c r="AH920" s="339"/>
      <c r="AI920" s="339"/>
      <c r="AJ920" s="339"/>
      <c r="AK920" s="339"/>
      <c r="AL920" s="339"/>
      <c r="AM920" s="339"/>
      <c r="AN920" s="339"/>
      <c r="AO920" s="339"/>
      <c r="AP920" s="339"/>
      <c r="AQ920" s="339"/>
      <c r="AR920" s="339"/>
      <c r="AS920" s="339"/>
      <c r="AT920" s="339"/>
      <c r="AU920" s="339"/>
      <c r="AV920" s="339"/>
      <c r="AW920" s="339"/>
      <c r="AX920" s="339"/>
      <c r="AY920" s="339"/>
      <c r="AZ920" s="339"/>
      <c r="BA920" s="339"/>
      <c r="BB920" s="339"/>
      <c r="BC920" s="339"/>
      <c r="BD920" s="339"/>
    </row>
    <row r="921" spans="3:56">
      <c r="C921" s="339"/>
      <c r="D921" s="339"/>
      <c r="E921" s="339"/>
      <c r="F921" s="339"/>
      <c r="G921" s="339"/>
      <c r="H921" s="339"/>
      <c r="I921" s="339"/>
      <c r="J921" s="339"/>
      <c r="K921" s="339"/>
      <c r="L921" s="339"/>
      <c r="M921" s="339"/>
      <c r="N921" s="339"/>
      <c r="O921" s="339"/>
      <c r="P921" s="339"/>
      <c r="Q921" s="339"/>
      <c r="R921" s="339"/>
      <c r="S921" s="339"/>
      <c r="T921" s="339"/>
      <c r="U921" s="339"/>
      <c r="V921" s="339"/>
      <c r="W921" s="339"/>
      <c r="X921" s="339"/>
      <c r="Y921" s="339"/>
      <c r="Z921" s="339"/>
      <c r="AA921" s="339"/>
      <c r="AB921" s="339"/>
      <c r="AC921" s="339"/>
      <c r="AD921" s="339"/>
      <c r="AE921" s="339"/>
      <c r="AF921" s="339"/>
      <c r="AG921" s="339"/>
      <c r="AH921" s="339"/>
      <c r="AI921" s="339"/>
      <c r="AJ921" s="339"/>
      <c r="AK921" s="339"/>
      <c r="AL921" s="339"/>
      <c r="AM921" s="339"/>
      <c r="AN921" s="339"/>
      <c r="AO921" s="339"/>
      <c r="AP921" s="339"/>
      <c r="AQ921" s="339"/>
      <c r="AR921" s="339"/>
      <c r="AS921" s="339"/>
      <c r="AT921" s="339"/>
      <c r="AU921" s="339"/>
      <c r="AV921" s="339"/>
      <c r="AW921" s="339"/>
      <c r="AX921" s="339"/>
      <c r="AY921" s="339"/>
      <c r="AZ921" s="339"/>
      <c r="BA921" s="339"/>
      <c r="BB921" s="339"/>
      <c r="BC921" s="339"/>
      <c r="BD921" s="339"/>
    </row>
    <row r="922" spans="3:56">
      <c r="C922" s="339"/>
      <c r="D922" s="339"/>
      <c r="E922" s="339"/>
      <c r="F922" s="339"/>
      <c r="G922" s="339"/>
      <c r="H922" s="339"/>
      <c r="I922" s="339"/>
      <c r="J922" s="339"/>
      <c r="K922" s="339"/>
      <c r="L922" s="339"/>
      <c r="M922" s="339"/>
      <c r="N922" s="339"/>
      <c r="O922" s="339"/>
      <c r="P922" s="339"/>
      <c r="Q922" s="339"/>
      <c r="R922" s="339"/>
      <c r="S922" s="339"/>
      <c r="T922" s="339"/>
      <c r="U922" s="339"/>
      <c r="V922" s="339"/>
      <c r="W922" s="339"/>
      <c r="X922" s="339"/>
      <c r="Y922" s="339"/>
      <c r="Z922" s="339"/>
      <c r="AA922" s="339"/>
      <c r="AB922" s="339"/>
      <c r="AC922" s="339"/>
      <c r="AD922" s="339"/>
      <c r="AE922" s="339"/>
      <c r="AF922" s="339"/>
      <c r="AG922" s="339"/>
      <c r="AH922" s="339"/>
      <c r="AI922" s="339"/>
      <c r="AJ922" s="339"/>
      <c r="AK922" s="339"/>
      <c r="AL922" s="339"/>
      <c r="AM922" s="339"/>
      <c r="AN922" s="339"/>
      <c r="AO922" s="339"/>
      <c r="AP922" s="339"/>
      <c r="AQ922" s="339"/>
      <c r="AR922" s="339"/>
      <c r="AS922" s="339"/>
      <c r="AT922" s="339"/>
      <c r="AU922" s="339"/>
      <c r="AV922" s="339"/>
      <c r="AW922" s="339"/>
      <c r="AX922" s="339"/>
      <c r="AY922" s="339"/>
      <c r="AZ922" s="339"/>
      <c r="BA922" s="339"/>
      <c r="BB922" s="339"/>
      <c r="BC922" s="339"/>
      <c r="BD922" s="339"/>
    </row>
    <row r="923" spans="3:56">
      <c r="C923" s="339"/>
      <c r="D923" s="339"/>
      <c r="E923" s="339"/>
      <c r="F923" s="339"/>
      <c r="G923" s="339"/>
      <c r="H923" s="339"/>
      <c r="I923" s="339"/>
      <c r="J923" s="339"/>
      <c r="K923" s="339"/>
      <c r="L923" s="339"/>
      <c r="M923" s="339"/>
      <c r="N923" s="339"/>
      <c r="O923" s="339"/>
      <c r="P923" s="339"/>
      <c r="Q923" s="339"/>
      <c r="R923" s="339"/>
      <c r="S923" s="339"/>
      <c r="T923" s="339"/>
      <c r="U923" s="339"/>
      <c r="V923" s="339"/>
      <c r="W923" s="339"/>
      <c r="X923" s="339"/>
      <c r="Y923" s="339"/>
      <c r="Z923" s="339"/>
      <c r="AA923" s="339"/>
      <c r="AB923" s="339"/>
      <c r="AC923" s="339"/>
      <c r="AD923" s="339"/>
      <c r="AE923" s="339"/>
      <c r="AF923" s="339"/>
      <c r="AG923" s="339"/>
      <c r="AH923" s="339"/>
      <c r="AI923" s="339"/>
      <c r="AJ923" s="339"/>
      <c r="AK923" s="339"/>
      <c r="AL923" s="339"/>
      <c r="AM923" s="339"/>
      <c r="AN923" s="339"/>
      <c r="AO923" s="339"/>
      <c r="AP923" s="339"/>
      <c r="AQ923" s="339"/>
      <c r="AR923" s="339"/>
      <c r="AS923" s="339"/>
      <c r="AT923" s="339"/>
      <c r="AU923" s="339"/>
      <c r="AV923" s="339"/>
      <c r="AW923" s="339"/>
      <c r="AX923" s="339"/>
      <c r="AY923" s="339"/>
      <c r="AZ923" s="339"/>
      <c r="BA923" s="339"/>
      <c r="BB923" s="339"/>
      <c r="BC923" s="339"/>
      <c r="BD923" s="339"/>
    </row>
    <row r="924" spans="3:56">
      <c r="C924" s="339"/>
      <c r="D924" s="339"/>
      <c r="E924" s="339"/>
      <c r="F924" s="339"/>
      <c r="G924" s="339"/>
      <c r="H924" s="339"/>
      <c r="I924" s="339"/>
      <c r="J924" s="339"/>
      <c r="K924" s="339"/>
      <c r="L924" s="339"/>
      <c r="M924" s="339"/>
      <c r="N924" s="339"/>
      <c r="O924" s="339"/>
      <c r="P924" s="339"/>
      <c r="Q924" s="339"/>
      <c r="R924" s="339"/>
      <c r="S924" s="339"/>
      <c r="T924" s="339"/>
      <c r="U924" s="339"/>
      <c r="V924" s="339"/>
      <c r="W924" s="339"/>
      <c r="X924" s="339"/>
      <c r="Y924" s="339"/>
      <c r="Z924" s="339"/>
      <c r="AA924" s="339"/>
      <c r="AB924" s="339"/>
      <c r="AC924" s="339"/>
      <c r="AD924" s="339"/>
      <c r="AE924" s="339"/>
      <c r="AF924" s="339"/>
      <c r="AG924" s="339"/>
      <c r="AH924" s="339"/>
      <c r="AI924" s="339"/>
      <c r="AJ924" s="339"/>
      <c r="AK924" s="339"/>
      <c r="AL924" s="339"/>
      <c r="AM924" s="339"/>
      <c r="AN924" s="339"/>
      <c r="AO924" s="339"/>
      <c r="AP924" s="339"/>
      <c r="AQ924" s="339"/>
      <c r="AR924" s="339"/>
      <c r="AS924" s="339"/>
      <c r="AT924" s="339"/>
      <c r="AU924" s="339"/>
      <c r="AV924" s="339"/>
      <c r="AW924" s="339"/>
      <c r="AX924" s="339"/>
      <c r="AY924" s="339"/>
      <c r="AZ924" s="339"/>
      <c r="BA924" s="339"/>
      <c r="BB924" s="339"/>
      <c r="BC924" s="339"/>
      <c r="BD924" s="339"/>
    </row>
    <row r="925" spans="3:56">
      <c r="C925" s="339"/>
      <c r="D925" s="339"/>
      <c r="E925" s="339"/>
      <c r="F925" s="339"/>
      <c r="G925" s="339"/>
      <c r="H925" s="339"/>
      <c r="I925" s="339"/>
      <c r="J925" s="339"/>
      <c r="K925" s="339"/>
      <c r="L925" s="339"/>
      <c r="M925" s="339"/>
      <c r="N925" s="339"/>
      <c r="O925" s="339"/>
      <c r="P925" s="339"/>
      <c r="Q925" s="339"/>
      <c r="R925" s="339"/>
      <c r="S925" s="339"/>
      <c r="T925" s="339"/>
      <c r="U925" s="339"/>
      <c r="V925" s="339"/>
      <c r="W925" s="339"/>
      <c r="X925" s="339"/>
      <c r="Y925" s="339"/>
      <c r="Z925" s="339"/>
      <c r="AA925" s="339"/>
      <c r="AB925" s="339"/>
      <c r="AC925" s="339"/>
      <c r="AD925" s="339"/>
      <c r="AE925" s="339"/>
      <c r="AF925" s="339"/>
      <c r="AG925" s="339"/>
      <c r="AH925" s="339"/>
      <c r="AI925" s="339"/>
      <c r="AJ925" s="339"/>
      <c r="AK925" s="339"/>
      <c r="AL925" s="339"/>
      <c r="AM925" s="339"/>
      <c r="AN925" s="339"/>
      <c r="AO925" s="339"/>
      <c r="AP925" s="339"/>
      <c r="AQ925" s="339"/>
      <c r="AR925" s="339"/>
      <c r="AS925" s="339"/>
      <c r="AT925" s="339"/>
      <c r="AU925" s="339"/>
      <c r="AV925" s="339"/>
      <c r="AW925" s="339"/>
      <c r="AX925" s="339"/>
      <c r="AY925" s="339"/>
      <c r="AZ925" s="339"/>
      <c r="BA925" s="339"/>
      <c r="BB925" s="339"/>
      <c r="BC925" s="339"/>
      <c r="BD925" s="339"/>
    </row>
    <row r="926" spans="3:56">
      <c r="C926" s="339"/>
      <c r="D926" s="339"/>
      <c r="E926" s="339"/>
      <c r="F926" s="339"/>
      <c r="G926" s="339"/>
      <c r="H926" s="339"/>
      <c r="I926" s="339"/>
      <c r="J926" s="339"/>
      <c r="K926" s="339"/>
      <c r="L926" s="339"/>
      <c r="M926" s="339"/>
      <c r="N926" s="339"/>
      <c r="O926" s="339"/>
      <c r="P926" s="339"/>
      <c r="Q926" s="339"/>
      <c r="R926" s="339"/>
      <c r="S926" s="339"/>
      <c r="T926" s="339"/>
      <c r="U926" s="339"/>
      <c r="V926" s="339"/>
      <c r="W926" s="339"/>
      <c r="X926" s="339"/>
      <c r="Y926" s="339"/>
      <c r="Z926" s="339"/>
      <c r="AA926" s="339"/>
      <c r="AB926" s="339"/>
      <c r="AC926" s="339"/>
      <c r="AD926" s="339"/>
      <c r="AE926" s="339"/>
      <c r="AF926" s="339"/>
      <c r="AG926" s="339"/>
      <c r="AH926" s="339"/>
      <c r="AI926" s="339"/>
      <c r="AJ926" s="339"/>
      <c r="AK926" s="339"/>
      <c r="AL926" s="339"/>
      <c r="AM926" s="339"/>
      <c r="AN926" s="339"/>
      <c r="AO926" s="339"/>
      <c r="AP926" s="339"/>
      <c r="AQ926" s="339"/>
      <c r="AR926" s="339"/>
      <c r="AS926" s="339"/>
      <c r="AT926" s="339"/>
      <c r="AU926" s="339"/>
      <c r="AV926" s="339"/>
      <c r="AW926" s="339"/>
      <c r="AX926" s="339"/>
      <c r="AY926" s="339"/>
      <c r="AZ926" s="339"/>
      <c r="BA926" s="339"/>
      <c r="BB926" s="339"/>
      <c r="BC926" s="339"/>
      <c r="BD926" s="339"/>
    </row>
    <row r="927" spans="3:56">
      <c r="C927" s="339"/>
      <c r="D927" s="339"/>
      <c r="E927" s="339"/>
      <c r="F927" s="339"/>
      <c r="G927" s="339"/>
      <c r="H927" s="339"/>
      <c r="I927" s="339"/>
      <c r="J927" s="339"/>
      <c r="K927" s="339"/>
      <c r="L927" s="339"/>
      <c r="M927" s="339"/>
      <c r="N927" s="339"/>
      <c r="O927" s="339"/>
      <c r="P927" s="339"/>
      <c r="Q927" s="339"/>
      <c r="R927" s="339"/>
      <c r="S927" s="339"/>
      <c r="T927" s="339"/>
      <c r="U927" s="339"/>
      <c r="V927" s="339"/>
      <c r="W927" s="339"/>
      <c r="X927" s="339"/>
      <c r="Y927" s="339"/>
      <c r="Z927" s="339"/>
      <c r="AA927" s="339"/>
      <c r="AB927" s="339"/>
      <c r="AC927" s="339"/>
      <c r="AD927" s="339"/>
      <c r="AE927" s="339"/>
      <c r="AF927" s="339"/>
      <c r="AG927" s="339"/>
      <c r="AH927" s="339"/>
      <c r="AI927" s="339"/>
      <c r="AJ927" s="339"/>
      <c r="AK927" s="339"/>
      <c r="AL927" s="339"/>
      <c r="AM927" s="339"/>
      <c r="AN927" s="339"/>
      <c r="AO927" s="339"/>
      <c r="AP927" s="339"/>
      <c r="AQ927" s="339"/>
      <c r="AR927" s="339"/>
      <c r="AS927" s="339"/>
      <c r="AT927" s="339"/>
      <c r="AU927" s="339"/>
      <c r="AV927" s="339"/>
      <c r="AW927" s="339"/>
      <c r="AX927" s="339"/>
      <c r="AY927" s="339"/>
      <c r="AZ927" s="339"/>
      <c r="BA927" s="339"/>
      <c r="BB927" s="339"/>
      <c r="BC927" s="339"/>
      <c r="BD927" s="339"/>
    </row>
    <row r="928" spans="3:56">
      <c r="C928" s="339"/>
      <c r="D928" s="339"/>
      <c r="E928" s="339"/>
      <c r="F928" s="339"/>
      <c r="G928" s="339"/>
      <c r="H928" s="339"/>
      <c r="I928" s="339"/>
      <c r="J928" s="339"/>
      <c r="K928" s="339"/>
      <c r="L928" s="339"/>
      <c r="M928" s="339"/>
      <c r="N928" s="339"/>
      <c r="O928" s="339"/>
      <c r="P928" s="339"/>
      <c r="Q928" s="339"/>
      <c r="R928" s="339"/>
      <c r="S928" s="339"/>
      <c r="T928" s="339"/>
      <c r="U928" s="339"/>
      <c r="V928" s="339"/>
      <c r="W928" s="339"/>
      <c r="X928" s="339"/>
      <c r="Y928" s="339"/>
      <c r="Z928" s="339"/>
      <c r="AA928" s="339"/>
      <c r="AB928" s="339"/>
      <c r="AC928" s="339"/>
      <c r="AD928" s="339"/>
      <c r="AE928" s="339"/>
      <c r="AF928" s="339"/>
      <c r="AG928" s="339"/>
      <c r="AH928" s="339"/>
      <c r="AI928" s="339"/>
      <c r="AJ928" s="339"/>
      <c r="AK928" s="339"/>
      <c r="AL928" s="339"/>
      <c r="AM928" s="339"/>
      <c r="AN928" s="339"/>
      <c r="AO928" s="339"/>
      <c r="AP928" s="339"/>
      <c r="AQ928" s="339"/>
      <c r="AR928" s="339"/>
      <c r="AS928" s="339"/>
      <c r="AT928" s="339"/>
      <c r="AU928" s="339"/>
      <c r="AV928" s="339"/>
      <c r="AW928" s="339"/>
      <c r="AX928" s="339"/>
      <c r="AY928" s="339"/>
      <c r="AZ928" s="339"/>
      <c r="BA928" s="339"/>
      <c r="BB928" s="339"/>
      <c r="BC928" s="339"/>
      <c r="BD928" s="339"/>
    </row>
    <row r="929" spans="3:56">
      <c r="C929" s="339"/>
      <c r="D929" s="339"/>
      <c r="E929" s="339"/>
      <c r="F929" s="339"/>
      <c r="G929" s="339"/>
      <c r="H929" s="339"/>
      <c r="I929" s="339"/>
      <c r="J929" s="339"/>
      <c r="K929" s="339"/>
      <c r="L929" s="339"/>
      <c r="M929" s="339"/>
      <c r="N929" s="339"/>
      <c r="O929" s="339"/>
      <c r="P929" s="339"/>
      <c r="Q929" s="339"/>
      <c r="R929" s="339"/>
      <c r="S929" s="339"/>
      <c r="T929" s="339"/>
      <c r="U929" s="339"/>
      <c r="V929" s="339"/>
      <c r="W929" s="339"/>
      <c r="X929" s="339"/>
      <c r="Y929" s="339"/>
      <c r="Z929" s="339"/>
      <c r="AA929" s="339"/>
      <c r="AB929" s="339"/>
      <c r="AC929" s="339"/>
      <c r="AD929" s="339"/>
      <c r="AE929" s="339"/>
      <c r="AF929" s="339"/>
      <c r="AG929" s="339"/>
      <c r="AH929" s="339"/>
      <c r="AI929" s="339"/>
      <c r="AJ929" s="339"/>
      <c r="AK929" s="339"/>
      <c r="AL929" s="339"/>
      <c r="AM929" s="339"/>
      <c r="AN929" s="339"/>
      <c r="AO929" s="339"/>
      <c r="AP929" s="339"/>
      <c r="AQ929" s="339"/>
      <c r="AR929" s="339"/>
      <c r="AS929" s="339"/>
      <c r="AT929" s="339"/>
      <c r="AU929" s="339"/>
      <c r="AV929" s="339"/>
      <c r="AW929" s="339"/>
      <c r="AX929" s="339"/>
      <c r="AY929" s="339"/>
      <c r="AZ929" s="339"/>
      <c r="BA929" s="339"/>
      <c r="BB929" s="339"/>
      <c r="BC929" s="339"/>
      <c r="BD929" s="339"/>
    </row>
    <row r="930" spans="3:56">
      <c r="C930" s="339"/>
      <c r="D930" s="339"/>
      <c r="E930" s="339"/>
      <c r="F930" s="339"/>
      <c r="G930" s="339"/>
      <c r="H930" s="339"/>
      <c r="I930" s="339"/>
      <c r="J930" s="339"/>
      <c r="K930" s="339"/>
      <c r="L930" s="339"/>
      <c r="M930" s="339"/>
      <c r="N930" s="339"/>
      <c r="O930" s="339"/>
      <c r="P930" s="339"/>
      <c r="Q930" s="339"/>
      <c r="R930" s="339"/>
      <c r="S930" s="339"/>
      <c r="T930" s="339"/>
      <c r="U930" s="339"/>
      <c r="V930" s="339"/>
      <c r="W930" s="339"/>
      <c r="X930" s="339"/>
      <c r="Y930" s="339"/>
      <c r="Z930" s="339"/>
      <c r="AA930" s="339"/>
      <c r="AB930" s="339"/>
      <c r="AC930" s="339"/>
      <c r="AD930" s="339"/>
      <c r="AE930" s="339"/>
      <c r="AF930" s="339"/>
      <c r="AG930" s="339"/>
      <c r="AH930" s="339"/>
      <c r="AI930" s="339"/>
      <c r="AJ930" s="339"/>
      <c r="AK930" s="339"/>
      <c r="AL930" s="339"/>
      <c r="AM930" s="339"/>
      <c r="AN930" s="339"/>
      <c r="AO930" s="339"/>
      <c r="AP930" s="339"/>
      <c r="AQ930" s="339"/>
      <c r="AR930" s="339"/>
      <c r="AS930" s="339"/>
      <c r="AT930" s="339"/>
      <c r="AU930" s="339"/>
      <c r="AV930" s="339"/>
      <c r="AW930" s="339"/>
      <c r="AX930" s="339"/>
      <c r="AY930" s="339"/>
      <c r="AZ930" s="339"/>
      <c r="BA930" s="339"/>
      <c r="BB930" s="339"/>
      <c r="BC930" s="339"/>
      <c r="BD930" s="339"/>
    </row>
    <row r="931" spans="3:56">
      <c r="C931" s="339"/>
      <c r="D931" s="339"/>
      <c r="E931" s="339"/>
      <c r="F931" s="339"/>
      <c r="G931" s="339"/>
      <c r="H931" s="339"/>
      <c r="I931" s="339"/>
      <c r="J931" s="339"/>
      <c r="K931" s="339"/>
      <c r="L931" s="339"/>
      <c r="M931" s="339"/>
      <c r="N931" s="339"/>
      <c r="O931" s="339"/>
      <c r="P931" s="339"/>
      <c r="Q931" s="339"/>
      <c r="R931" s="339"/>
      <c r="S931" s="339"/>
      <c r="T931" s="339"/>
      <c r="U931" s="339"/>
      <c r="V931" s="339"/>
      <c r="W931" s="339"/>
      <c r="X931" s="339"/>
      <c r="Y931" s="339"/>
      <c r="Z931" s="339"/>
      <c r="AA931" s="339"/>
      <c r="AB931" s="339"/>
      <c r="AC931" s="339"/>
      <c r="AD931" s="339"/>
      <c r="AE931" s="339"/>
      <c r="AF931" s="339"/>
      <c r="AG931" s="339"/>
      <c r="AH931" s="339"/>
      <c r="AI931" s="339"/>
      <c r="AJ931" s="339"/>
      <c r="AK931" s="339"/>
      <c r="AL931" s="339"/>
      <c r="AM931" s="339"/>
      <c r="AN931" s="339"/>
      <c r="AO931" s="339"/>
      <c r="AP931" s="339"/>
      <c r="AQ931" s="339"/>
      <c r="AR931" s="339"/>
      <c r="AS931" s="339"/>
      <c r="AT931" s="339"/>
      <c r="AU931" s="339"/>
      <c r="AV931" s="339"/>
      <c r="AW931" s="339"/>
      <c r="AX931" s="339"/>
      <c r="AY931" s="339"/>
      <c r="AZ931" s="339"/>
      <c r="BA931" s="339"/>
      <c r="BB931" s="339"/>
      <c r="BC931" s="339"/>
      <c r="BD931" s="339"/>
    </row>
    <row r="932" spans="3:56">
      <c r="C932" s="339"/>
      <c r="D932" s="339"/>
      <c r="E932" s="339"/>
      <c r="F932" s="339"/>
      <c r="G932" s="339"/>
      <c r="H932" s="339"/>
      <c r="I932" s="339"/>
      <c r="J932" s="339"/>
      <c r="K932" s="339"/>
      <c r="L932" s="339"/>
      <c r="M932" s="339"/>
      <c r="N932" s="339"/>
      <c r="O932" s="339"/>
      <c r="P932" s="339"/>
      <c r="Q932" s="339"/>
      <c r="R932" s="339"/>
      <c r="S932" s="339"/>
      <c r="T932" s="339"/>
      <c r="U932" s="339"/>
      <c r="V932" s="339"/>
      <c r="W932" s="339"/>
      <c r="X932" s="339"/>
      <c r="Y932" s="339"/>
      <c r="Z932" s="339"/>
      <c r="AA932" s="339"/>
      <c r="AB932" s="339"/>
      <c r="AC932" s="339"/>
      <c r="AD932" s="339"/>
      <c r="AE932" s="339"/>
      <c r="AF932" s="339"/>
      <c r="AG932" s="339"/>
      <c r="AH932" s="339"/>
      <c r="AI932" s="339"/>
      <c r="AJ932" s="339"/>
      <c r="AK932" s="339"/>
      <c r="AL932" s="339"/>
      <c r="AM932" s="339"/>
      <c r="AN932" s="339"/>
      <c r="AO932" s="339"/>
      <c r="AP932" s="339"/>
      <c r="AQ932" s="339"/>
      <c r="AR932" s="339"/>
      <c r="AS932" s="339"/>
      <c r="AT932" s="339"/>
      <c r="AU932" s="339"/>
      <c r="AV932" s="339"/>
      <c r="AW932" s="339"/>
      <c r="AX932" s="339"/>
      <c r="AY932" s="339"/>
      <c r="AZ932" s="339"/>
      <c r="BA932" s="339"/>
      <c r="BB932" s="339"/>
      <c r="BC932" s="339"/>
      <c r="BD932" s="339"/>
    </row>
    <row r="933" spans="3:56">
      <c r="C933" s="339"/>
      <c r="D933" s="339"/>
      <c r="E933" s="339"/>
      <c r="F933" s="339"/>
      <c r="G933" s="339"/>
      <c r="H933" s="339"/>
      <c r="I933" s="339"/>
      <c r="J933" s="339"/>
      <c r="K933" s="339"/>
      <c r="L933" s="339"/>
      <c r="M933" s="339"/>
      <c r="N933" s="339"/>
      <c r="O933" s="339"/>
      <c r="P933" s="339"/>
      <c r="Q933" s="339"/>
      <c r="R933" s="339"/>
      <c r="S933" s="339"/>
      <c r="T933" s="339"/>
      <c r="U933" s="339"/>
      <c r="V933" s="339"/>
      <c r="W933" s="339"/>
      <c r="X933" s="339"/>
      <c r="Y933" s="339"/>
      <c r="Z933" s="339"/>
      <c r="AA933" s="339"/>
      <c r="AB933" s="339"/>
      <c r="AC933" s="339"/>
      <c r="AD933" s="339"/>
      <c r="AE933" s="339"/>
      <c r="AF933" s="339"/>
      <c r="AG933" s="339"/>
      <c r="AH933" s="339"/>
      <c r="AI933" s="339"/>
      <c r="AJ933" s="339"/>
      <c r="AK933" s="339"/>
      <c r="AL933" s="339"/>
      <c r="AM933" s="339"/>
      <c r="AN933" s="339"/>
      <c r="AO933" s="339"/>
      <c r="AP933" s="339"/>
      <c r="AQ933" s="339"/>
      <c r="AR933" s="339"/>
      <c r="AS933" s="339"/>
      <c r="AT933" s="339"/>
      <c r="AU933" s="339"/>
      <c r="AV933" s="339"/>
      <c r="AW933" s="339"/>
      <c r="AX933" s="339"/>
      <c r="AY933" s="339"/>
      <c r="AZ933" s="339"/>
      <c r="BA933" s="339"/>
      <c r="BB933" s="339"/>
      <c r="BC933" s="339"/>
      <c r="BD933" s="339"/>
    </row>
    <row r="934" spans="3:56">
      <c r="C934" s="339"/>
      <c r="D934" s="339"/>
      <c r="E934" s="339"/>
      <c r="F934" s="339"/>
      <c r="G934" s="339"/>
      <c r="H934" s="339"/>
      <c r="I934" s="339"/>
      <c r="J934" s="339"/>
      <c r="K934" s="339"/>
      <c r="L934" s="339"/>
      <c r="M934" s="339"/>
      <c r="N934" s="339"/>
      <c r="O934" s="339"/>
      <c r="P934" s="339"/>
      <c r="Q934" s="339"/>
      <c r="R934" s="339"/>
      <c r="S934" s="339"/>
      <c r="T934" s="339"/>
      <c r="U934" s="339"/>
      <c r="V934" s="339"/>
      <c r="W934" s="339"/>
      <c r="X934" s="339"/>
      <c r="Y934" s="339"/>
      <c r="Z934" s="339"/>
      <c r="AA934" s="339"/>
      <c r="AB934" s="339"/>
      <c r="AC934" s="339"/>
      <c r="AD934" s="339"/>
      <c r="AE934" s="339"/>
      <c r="AF934" s="339"/>
      <c r="AG934" s="339"/>
      <c r="AH934" s="339"/>
      <c r="AI934" s="339"/>
      <c r="AJ934" s="339"/>
      <c r="AK934" s="339"/>
      <c r="AL934" s="339"/>
      <c r="AM934" s="339"/>
      <c r="AN934" s="339"/>
      <c r="AO934" s="339"/>
      <c r="AP934" s="339"/>
      <c r="AQ934" s="339"/>
      <c r="AR934" s="339"/>
      <c r="AS934" s="339"/>
      <c r="AT934" s="339"/>
      <c r="AU934" s="339"/>
      <c r="AV934" s="339"/>
      <c r="AW934" s="339"/>
      <c r="AX934" s="339"/>
      <c r="AY934" s="339"/>
      <c r="AZ934" s="339"/>
      <c r="BA934" s="339"/>
      <c r="BB934" s="339"/>
      <c r="BC934" s="339"/>
      <c r="BD934" s="339"/>
    </row>
    <row r="935" spans="3:56">
      <c r="C935" s="339"/>
      <c r="D935" s="339"/>
      <c r="E935" s="339"/>
      <c r="F935" s="339"/>
      <c r="G935" s="339"/>
      <c r="H935" s="339"/>
      <c r="I935" s="339"/>
      <c r="J935" s="339"/>
      <c r="K935" s="339"/>
      <c r="L935" s="339"/>
      <c r="M935" s="339"/>
      <c r="N935" s="339"/>
      <c r="O935" s="339"/>
      <c r="P935" s="339"/>
      <c r="Q935" s="339"/>
      <c r="R935" s="339"/>
      <c r="S935" s="339"/>
      <c r="T935" s="339"/>
      <c r="U935" s="339"/>
      <c r="V935" s="339"/>
      <c r="W935" s="339"/>
      <c r="X935" s="339"/>
      <c r="Y935" s="339"/>
      <c r="Z935" s="339"/>
      <c r="AA935" s="339"/>
      <c r="AB935" s="339"/>
      <c r="AC935" s="339"/>
      <c r="AD935" s="339"/>
      <c r="AE935" s="339"/>
      <c r="AF935" s="339"/>
      <c r="AG935" s="339"/>
      <c r="AH935" s="339"/>
      <c r="AI935" s="339"/>
      <c r="AJ935" s="339"/>
      <c r="AK935" s="339"/>
      <c r="AL935" s="339"/>
      <c r="AM935" s="339"/>
      <c r="AN935" s="339"/>
      <c r="AO935" s="339"/>
      <c r="AP935" s="339"/>
      <c r="AQ935" s="339"/>
      <c r="AR935" s="339"/>
      <c r="AS935" s="339"/>
      <c r="AT935" s="339"/>
      <c r="AU935" s="339"/>
      <c r="AV935" s="339"/>
      <c r="AW935" s="339"/>
      <c r="AX935" s="339"/>
      <c r="AY935" s="339"/>
      <c r="AZ935" s="339"/>
      <c r="BA935" s="339"/>
      <c r="BB935" s="339"/>
      <c r="BC935" s="339"/>
      <c r="BD935" s="339"/>
    </row>
    <row r="936" spans="3:56">
      <c r="C936" s="339"/>
      <c r="D936" s="339"/>
      <c r="E936" s="339"/>
      <c r="F936" s="339"/>
      <c r="G936" s="339"/>
      <c r="H936" s="339"/>
      <c r="I936" s="339"/>
      <c r="J936" s="339"/>
      <c r="K936" s="339"/>
      <c r="L936" s="339"/>
      <c r="M936" s="339"/>
      <c r="N936" s="339"/>
      <c r="O936" s="339"/>
      <c r="P936" s="339"/>
      <c r="Q936" s="339"/>
      <c r="R936" s="339"/>
      <c r="S936" s="339"/>
      <c r="T936" s="339"/>
      <c r="U936" s="339"/>
      <c r="V936" s="339"/>
      <c r="W936" s="339"/>
      <c r="X936" s="339"/>
      <c r="Y936" s="339"/>
      <c r="Z936" s="339"/>
      <c r="AA936" s="339"/>
      <c r="AB936" s="339"/>
      <c r="AC936" s="339"/>
      <c r="AD936" s="339"/>
      <c r="AE936" s="339"/>
      <c r="AF936" s="339"/>
      <c r="AG936" s="339"/>
      <c r="AH936" s="339"/>
      <c r="AI936" s="339"/>
      <c r="AJ936" s="339"/>
      <c r="AK936" s="339"/>
      <c r="AL936" s="339"/>
      <c r="AM936" s="339"/>
      <c r="AN936" s="339"/>
      <c r="AO936" s="339"/>
      <c r="AP936" s="339"/>
      <c r="AQ936" s="339"/>
      <c r="AR936" s="339"/>
      <c r="AS936" s="339"/>
      <c r="AT936" s="339"/>
      <c r="AU936" s="339"/>
      <c r="AV936" s="339"/>
      <c r="AW936" s="339"/>
      <c r="AX936" s="339"/>
      <c r="AY936" s="339"/>
      <c r="AZ936" s="339"/>
      <c r="BA936" s="339"/>
      <c r="BB936" s="339"/>
      <c r="BC936" s="339"/>
      <c r="BD936" s="339"/>
    </row>
    <row r="937" spans="3:56">
      <c r="C937" s="339"/>
      <c r="D937" s="339"/>
      <c r="E937" s="339"/>
      <c r="F937" s="339"/>
      <c r="G937" s="339"/>
      <c r="H937" s="339"/>
      <c r="I937" s="339"/>
      <c r="J937" s="339"/>
      <c r="K937" s="339"/>
      <c r="L937" s="339"/>
      <c r="M937" s="339"/>
      <c r="N937" s="339"/>
      <c r="O937" s="339"/>
      <c r="P937" s="339"/>
      <c r="Q937" s="339"/>
      <c r="R937" s="339"/>
      <c r="S937" s="339"/>
      <c r="T937" s="339"/>
      <c r="U937" s="339"/>
      <c r="V937" s="339"/>
      <c r="W937" s="339"/>
      <c r="X937" s="339"/>
      <c r="Y937" s="339"/>
      <c r="Z937" s="339"/>
      <c r="AA937" s="339"/>
      <c r="AB937" s="339"/>
      <c r="AC937" s="339"/>
      <c r="AD937" s="339"/>
      <c r="AE937" s="339"/>
      <c r="AF937" s="339"/>
      <c r="AG937" s="339"/>
      <c r="AH937" s="339"/>
      <c r="AI937" s="339"/>
      <c r="AJ937" s="339"/>
      <c r="AK937" s="339"/>
      <c r="AL937" s="339"/>
      <c r="AM937" s="339"/>
      <c r="AN937" s="339"/>
      <c r="AO937" s="339"/>
      <c r="AP937" s="339"/>
      <c r="AQ937" s="339"/>
      <c r="AR937" s="339"/>
      <c r="AS937" s="339"/>
      <c r="AT937" s="339"/>
      <c r="AU937" s="339"/>
      <c r="AV937" s="339"/>
      <c r="AW937" s="339"/>
      <c r="AX937" s="339"/>
      <c r="AY937" s="339"/>
      <c r="AZ937" s="339"/>
      <c r="BA937" s="339"/>
      <c r="BB937" s="339"/>
      <c r="BC937" s="339"/>
      <c r="BD937" s="339"/>
    </row>
    <row r="938" spans="3:56">
      <c r="C938" s="339"/>
      <c r="D938" s="339"/>
      <c r="E938" s="339"/>
      <c r="F938" s="339"/>
      <c r="G938" s="339"/>
      <c r="H938" s="339"/>
      <c r="I938" s="339"/>
      <c r="J938" s="339"/>
      <c r="K938" s="339"/>
      <c r="L938" s="339"/>
      <c r="M938" s="339"/>
      <c r="N938" s="339"/>
      <c r="O938" s="339"/>
      <c r="P938" s="339"/>
      <c r="Q938" s="339"/>
      <c r="R938" s="339"/>
      <c r="S938" s="339"/>
      <c r="T938" s="339"/>
      <c r="U938" s="339"/>
      <c r="V938" s="339"/>
      <c r="W938" s="339"/>
      <c r="X938" s="339"/>
      <c r="Y938" s="339"/>
      <c r="Z938" s="339"/>
      <c r="AA938" s="339"/>
      <c r="AB938" s="339"/>
      <c r="AC938" s="339"/>
      <c r="AD938" s="339"/>
      <c r="AE938" s="339"/>
      <c r="AF938" s="339"/>
      <c r="AG938" s="339"/>
      <c r="AH938" s="339"/>
      <c r="AI938" s="339"/>
      <c r="AJ938" s="339"/>
      <c r="AK938" s="339"/>
      <c r="AL938" s="339"/>
      <c r="AM938" s="339"/>
      <c r="AN938" s="339"/>
      <c r="AO938" s="339"/>
      <c r="AP938" s="339"/>
      <c r="AQ938" s="339"/>
      <c r="AR938" s="339"/>
      <c r="AS938" s="339"/>
      <c r="AT938" s="339"/>
      <c r="AU938" s="339"/>
      <c r="AV938" s="339"/>
      <c r="AW938" s="339"/>
      <c r="AX938" s="339"/>
      <c r="AY938" s="339"/>
      <c r="AZ938" s="339"/>
      <c r="BA938" s="339"/>
      <c r="BB938" s="339"/>
      <c r="BC938" s="339"/>
      <c r="BD938" s="339"/>
    </row>
    <row r="939" spans="3:56">
      <c r="C939" s="339"/>
      <c r="D939" s="339"/>
      <c r="E939" s="339"/>
      <c r="F939" s="339"/>
      <c r="G939" s="339"/>
      <c r="H939" s="339"/>
      <c r="I939" s="339"/>
      <c r="J939" s="339"/>
      <c r="K939" s="339"/>
      <c r="L939" s="339"/>
      <c r="M939" s="339"/>
      <c r="N939" s="339"/>
      <c r="O939" s="339"/>
      <c r="P939" s="339"/>
      <c r="Q939" s="339"/>
      <c r="R939" s="339"/>
      <c r="S939" s="339"/>
      <c r="T939" s="339"/>
      <c r="U939" s="339"/>
      <c r="V939" s="339"/>
      <c r="W939" s="339"/>
      <c r="X939" s="339"/>
      <c r="Y939" s="339"/>
      <c r="Z939" s="339"/>
      <c r="AA939" s="339"/>
      <c r="AB939" s="339"/>
      <c r="AC939" s="339"/>
      <c r="AD939" s="339"/>
      <c r="AE939" s="339"/>
      <c r="AF939" s="339"/>
      <c r="AG939" s="339"/>
      <c r="AH939" s="339"/>
      <c r="AI939" s="339"/>
      <c r="AJ939" s="339"/>
      <c r="AK939" s="339"/>
      <c r="AL939" s="339"/>
      <c r="AM939" s="339"/>
      <c r="AN939" s="339"/>
      <c r="AO939" s="339"/>
      <c r="AP939" s="339"/>
      <c r="AQ939" s="339"/>
      <c r="AR939" s="339"/>
      <c r="AS939" s="339"/>
      <c r="AT939" s="339"/>
      <c r="AU939" s="339"/>
      <c r="AV939" s="339"/>
      <c r="AW939" s="339"/>
      <c r="AX939" s="339"/>
      <c r="AY939" s="339"/>
      <c r="AZ939" s="339"/>
      <c r="BA939" s="339"/>
      <c r="BB939" s="339"/>
      <c r="BC939" s="339"/>
      <c r="BD939" s="339"/>
    </row>
    <row r="940" spans="3:56">
      <c r="C940" s="339"/>
      <c r="D940" s="339"/>
      <c r="E940" s="339"/>
      <c r="F940" s="339"/>
      <c r="G940" s="339"/>
      <c r="H940" s="339"/>
      <c r="I940" s="339"/>
      <c r="J940" s="339"/>
      <c r="K940" s="339"/>
      <c r="L940" s="339"/>
      <c r="M940" s="339"/>
      <c r="N940" s="339"/>
      <c r="O940" s="339"/>
      <c r="P940" s="339"/>
      <c r="Q940" s="339"/>
      <c r="R940" s="339"/>
      <c r="S940" s="339"/>
      <c r="T940" s="339"/>
      <c r="U940" s="339"/>
      <c r="V940" s="339"/>
      <c r="W940" s="339"/>
      <c r="X940" s="339"/>
      <c r="Y940" s="339"/>
      <c r="Z940" s="339"/>
      <c r="AA940" s="339"/>
      <c r="AB940" s="339"/>
      <c r="AC940" s="339"/>
      <c r="AD940" s="339"/>
      <c r="AE940" s="339"/>
      <c r="AF940" s="339"/>
      <c r="AG940" s="339"/>
      <c r="AH940" s="339"/>
      <c r="AI940" s="339"/>
      <c r="AJ940" s="339"/>
      <c r="AK940" s="339"/>
      <c r="AL940" s="339"/>
      <c r="AM940" s="339"/>
      <c r="AN940" s="339"/>
      <c r="AO940" s="339"/>
      <c r="AP940" s="339"/>
      <c r="AQ940" s="339"/>
      <c r="AR940" s="339"/>
      <c r="AS940" s="339"/>
      <c r="AT940" s="339"/>
      <c r="AU940" s="339"/>
      <c r="AV940" s="339"/>
      <c r="AW940" s="339"/>
      <c r="AX940" s="339"/>
      <c r="AY940" s="339"/>
      <c r="AZ940" s="339"/>
      <c r="BA940" s="339"/>
      <c r="BB940" s="339"/>
      <c r="BC940" s="339"/>
      <c r="BD940" s="339"/>
    </row>
    <row r="941" spans="3:56">
      <c r="C941" s="339"/>
      <c r="D941" s="339"/>
      <c r="E941" s="339"/>
      <c r="F941" s="339"/>
      <c r="G941" s="339"/>
      <c r="H941" s="339"/>
      <c r="I941" s="339"/>
      <c r="J941" s="339"/>
      <c r="K941" s="339"/>
      <c r="L941" s="339"/>
      <c r="M941" s="339"/>
      <c r="N941" s="339"/>
      <c r="O941" s="339"/>
      <c r="P941" s="339"/>
      <c r="Q941" s="339"/>
      <c r="R941" s="339"/>
      <c r="S941" s="339"/>
      <c r="T941" s="339"/>
      <c r="U941" s="339"/>
      <c r="V941" s="339"/>
      <c r="W941" s="339"/>
      <c r="X941" s="339"/>
      <c r="Y941" s="339"/>
      <c r="Z941" s="339"/>
      <c r="AA941" s="339"/>
      <c r="AB941" s="339"/>
      <c r="AC941" s="339"/>
      <c r="AD941" s="339"/>
      <c r="AE941" s="339"/>
      <c r="AF941" s="339"/>
      <c r="AG941" s="339"/>
      <c r="AH941" s="339"/>
      <c r="AI941" s="339"/>
      <c r="AJ941" s="339"/>
      <c r="AK941" s="339"/>
      <c r="AL941" s="339"/>
      <c r="AM941" s="339"/>
      <c r="AN941" s="339"/>
      <c r="AO941" s="339"/>
      <c r="AP941" s="339"/>
      <c r="AQ941" s="339"/>
      <c r="AR941" s="339"/>
      <c r="AS941" s="339"/>
      <c r="AT941" s="339"/>
      <c r="AU941" s="339"/>
      <c r="AV941" s="339"/>
      <c r="AW941" s="339"/>
      <c r="AX941" s="339"/>
      <c r="AY941" s="339"/>
      <c r="AZ941" s="339"/>
      <c r="BA941" s="339"/>
      <c r="BB941" s="339"/>
      <c r="BC941" s="339"/>
      <c r="BD941" s="339"/>
    </row>
    <row r="942" spans="3:56">
      <c r="C942" s="339"/>
      <c r="D942" s="339"/>
      <c r="E942" s="339"/>
      <c r="F942" s="339"/>
      <c r="G942" s="339"/>
      <c r="H942" s="339"/>
      <c r="I942" s="339"/>
      <c r="J942" s="339"/>
      <c r="K942" s="339"/>
      <c r="L942" s="339"/>
      <c r="M942" s="339"/>
      <c r="N942" s="339"/>
      <c r="O942" s="339"/>
      <c r="P942" s="339"/>
      <c r="Q942" s="339"/>
      <c r="R942" s="339"/>
      <c r="S942" s="339"/>
      <c r="T942" s="339"/>
      <c r="U942" s="339"/>
      <c r="V942" s="339"/>
      <c r="W942" s="339"/>
      <c r="X942" s="339"/>
      <c r="Y942" s="339"/>
      <c r="Z942" s="339"/>
      <c r="AA942" s="339"/>
      <c r="AB942" s="339"/>
      <c r="AC942" s="339"/>
      <c r="AD942" s="339"/>
      <c r="AE942" s="339"/>
      <c r="AF942" s="339"/>
      <c r="AG942" s="339"/>
      <c r="AH942" s="339"/>
      <c r="AI942" s="339"/>
      <c r="AJ942" s="339"/>
      <c r="AK942" s="339"/>
      <c r="AL942" s="339"/>
      <c r="AM942" s="339"/>
      <c r="AN942" s="339"/>
      <c r="AO942" s="339"/>
      <c r="AP942" s="339"/>
      <c r="AQ942" s="339"/>
      <c r="AR942" s="339"/>
      <c r="AS942" s="339"/>
      <c r="AT942" s="339"/>
      <c r="AU942" s="339"/>
      <c r="AV942" s="339"/>
      <c r="AW942" s="339"/>
      <c r="AX942" s="339"/>
      <c r="AY942" s="339"/>
      <c r="AZ942" s="339"/>
      <c r="BA942" s="339"/>
      <c r="BB942" s="339"/>
      <c r="BC942" s="339"/>
      <c r="BD942" s="339"/>
    </row>
    <row r="943" spans="3:56">
      <c r="C943" s="339"/>
      <c r="D943" s="339"/>
      <c r="E943" s="339"/>
      <c r="F943" s="339"/>
      <c r="G943" s="339"/>
      <c r="H943" s="339"/>
      <c r="I943" s="339"/>
      <c r="J943" s="339"/>
      <c r="K943" s="339"/>
      <c r="L943" s="339"/>
      <c r="M943" s="339"/>
      <c r="N943" s="339"/>
      <c r="O943" s="339"/>
      <c r="P943" s="339"/>
      <c r="Q943" s="339"/>
      <c r="R943" s="339"/>
      <c r="S943" s="339"/>
      <c r="T943" s="339"/>
      <c r="U943" s="339"/>
      <c r="V943" s="339"/>
      <c r="W943" s="339"/>
      <c r="X943" s="339"/>
      <c r="Y943" s="339"/>
      <c r="Z943" s="339"/>
      <c r="AA943" s="339"/>
      <c r="AB943" s="339"/>
      <c r="AC943" s="339"/>
      <c r="AD943" s="339"/>
      <c r="AE943" s="339"/>
      <c r="AF943" s="339"/>
      <c r="AG943" s="339"/>
      <c r="AH943" s="339"/>
      <c r="AI943" s="339"/>
      <c r="AJ943" s="339"/>
      <c r="AK943" s="339"/>
      <c r="AL943" s="339"/>
      <c r="AM943" s="339"/>
      <c r="AN943" s="339"/>
      <c r="AO943" s="339"/>
      <c r="AP943" s="339"/>
      <c r="AQ943" s="339"/>
      <c r="AR943" s="339"/>
      <c r="AS943" s="339"/>
      <c r="AT943" s="339"/>
      <c r="AU943" s="339"/>
      <c r="AV943" s="339"/>
      <c r="AW943" s="339"/>
      <c r="AX943" s="339"/>
      <c r="AY943" s="339"/>
      <c r="AZ943" s="339"/>
      <c r="BA943" s="339"/>
      <c r="BB943" s="339"/>
      <c r="BC943" s="339"/>
      <c r="BD943" s="339"/>
    </row>
    <row r="944" spans="3:56">
      <c r="C944" s="339"/>
      <c r="D944" s="339"/>
      <c r="E944" s="339"/>
      <c r="F944" s="339"/>
      <c r="G944" s="339"/>
      <c r="H944" s="339"/>
      <c r="I944" s="339"/>
      <c r="J944" s="339"/>
      <c r="K944" s="339"/>
      <c r="L944" s="339"/>
      <c r="M944" s="339"/>
      <c r="N944" s="339"/>
      <c r="O944" s="339"/>
      <c r="P944" s="339"/>
      <c r="Q944" s="339"/>
      <c r="R944" s="339"/>
      <c r="S944" s="339"/>
      <c r="T944" s="339"/>
      <c r="U944" s="339"/>
      <c r="V944" s="339"/>
      <c r="W944" s="339"/>
      <c r="X944" s="339"/>
      <c r="Y944" s="339"/>
      <c r="Z944" s="339"/>
      <c r="AA944" s="339"/>
      <c r="AB944" s="339"/>
      <c r="AC944" s="339"/>
      <c r="AD944" s="339"/>
      <c r="AE944" s="339"/>
      <c r="AF944" s="339"/>
      <c r="AG944" s="339"/>
      <c r="AH944" s="339"/>
      <c r="AI944" s="339"/>
      <c r="AJ944" s="339"/>
      <c r="AK944" s="339"/>
      <c r="AL944" s="339"/>
      <c r="AM944" s="339"/>
      <c r="AN944" s="339"/>
      <c r="AO944" s="339"/>
      <c r="AP944" s="339"/>
      <c r="AQ944" s="339"/>
      <c r="AR944" s="339"/>
      <c r="AS944" s="339"/>
      <c r="AT944" s="339"/>
      <c r="AU944" s="339"/>
      <c r="AV944" s="339"/>
      <c r="AW944" s="339"/>
      <c r="AX944" s="339"/>
      <c r="AY944" s="339"/>
      <c r="AZ944" s="339"/>
      <c r="BA944" s="339"/>
      <c r="BB944" s="339"/>
      <c r="BC944" s="339"/>
      <c r="BD944" s="339"/>
    </row>
    <row r="945" spans="3:56">
      <c r="C945" s="339"/>
      <c r="D945" s="339"/>
      <c r="E945" s="339"/>
      <c r="F945" s="339"/>
      <c r="G945" s="339"/>
      <c r="H945" s="339"/>
      <c r="I945" s="339"/>
      <c r="J945" s="339"/>
      <c r="K945" s="339"/>
      <c r="L945" s="339"/>
      <c r="M945" s="339"/>
      <c r="N945" s="339"/>
      <c r="O945" s="339"/>
      <c r="P945" s="339"/>
      <c r="Q945" s="339"/>
      <c r="R945" s="339"/>
      <c r="S945" s="339"/>
      <c r="T945" s="339"/>
      <c r="U945" s="339"/>
      <c r="V945" s="339"/>
      <c r="W945" s="339"/>
      <c r="X945" s="339"/>
      <c r="Y945" s="339"/>
      <c r="Z945" s="339"/>
      <c r="AA945" s="339"/>
      <c r="AB945" s="339"/>
      <c r="AC945" s="339"/>
      <c r="AD945" s="339"/>
      <c r="AE945" s="339"/>
      <c r="AF945" s="339"/>
      <c r="AG945" s="339"/>
      <c r="AH945" s="339"/>
      <c r="AI945" s="339"/>
      <c r="AJ945" s="339"/>
      <c r="AK945" s="339"/>
      <c r="AL945" s="339"/>
      <c r="AM945" s="339"/>
      <c r="AN945" s="339"/>
      <c r="AO945" s="339"/>
      <c r="AP945" s="339"/>
      <c r="AQ945" s="339"/>
      <c r="AR945" s="339"/>
      <c r="AS945" s="339"/>
      <c r="AT945" s="339"/>
      <c r="AU945" s="339"/>
      <c r="AV945" s="339"/>
      <c r="AW945" s="339"/>
      <c r="AX945" s="339"/>
      <c r="AY945" s="339"/>
      <c r="AZ945" s="339"/>
      <c r="BA945" s="339"/>
      <c r="BB945" s="339"/>
      <c r="BC945" s="339"/>
      <c r="BD945" s="339"/>
    </row>
    <row r="946" spans="3:56">
      <c r="C946" s="339"/>
      <c r="D946" s="339"/>
      <c r="E946" s="339"/>
      <c r="F946" s="339"/>
      <c r="G946" s="339"/>
      <c r="H946" s="339"/>
      <c r="I946" s="339"/>
      <c r="J946" s="339"/>
      <c r="K946" s="339"/>
      <c r="L946" s="339"/>
      <c r="M946" s="339"/>
      <c r="N946" s="339"/>
      <c r="O946" s="339"/>
      <c r="P946" s="339"/>
      <c r="Q946" s="339"/>
      <c r="R946" s="339"/>
      <c r="S946" s="339"/>
      <c r="T946" s="339"/>
      <c r="U946" s="339"/>
      <c r="V946" s="339"/>
      <c r="W946" s="339"/>
      <c r="X946" s="339"/>
      <c r="Y946" s="339"/>
      <c r="Z946" s="339"/>
      <c r="AA946" s="339"/>
      <c r="AB946" s="339"/>
      <c r="AC946" s="339"/>
      <c r="AD946" s="339"/>
      <c r="AE946" s="339"/>
      <c r="AF946" s="339"/>
      <c r="AG946" s="339"/>
      <c r="AH946" s="339"/>
      <c r="AI946" s="339"/>
      <c r="AJ946" s="339"/>
      <c r="AK946" s="339"/>
      <c r="AL946" s="339"/>
      <c r="AM946" s="339"/>
      <c r="AN946" s="339"/>
      <c r="AO946" s="339"/>
      <c r="AP946" s="339"/>
      <c r="AQ946" s="339"/>
      <c r="AR946" s="339"/>
      <c r="AS946" s="339"/>
      <c r="AT946" s="339"/>
      <c r="AU946" s="339"/>
      <c r="AV946" s="339"/>
      <c r="AW946" s="339"/>
      <c r="AX946" s="339"/>
      <c r="AY946" s="339"/>
      <c r="AZ946" s="339"/>
      <c r="BA946" s="339"/>
      <c r="BB946" s="339"/>
      <c r="BC946" s="339"/>
      <c r="BD946" s="339"/>
    </row>
    <row r="947" spans="3:56">
      <c r="C947" s="339"/>
      <c r="D947" s="339"/>
      <c r="E947" s="339"/>
      <c r="F947" s="339"/>
      <c r="G947" s="339"/>
      <c r="H947" s="339"/>
      <c r="I947" s="339"/>
      <c r="J947" s="339"/>
      <c r="K947" s="339"/>
      <c r="L947" s="339"/>
      <c r="M947" s="339"/>
      <c r="N947" s="339"/>
      <c r="O947" s="339"/>
      <c r="P947" s="339"/>
      <c r="Q947" s="339"/>
      <c r="R947" s="339"/>
      <c r="S947" s="339"/>
      <c r="T947" s="339"/>
      <c r="U947" s="339"/>
      <c r="V947" s="339"/>
      <c r="W947" s="339"/>
      <c r="X947" s="339"/>
      <c r="Y947" s="339"/>
      <c r="Z947" s="339"/>
      <c r="AA947" s="339"/>
      <c r="AB947" s="339"/>
      <c r="AC947" s="339"/>
      <c r="AD947" s="339"/>
      <c r="AE947" s="339"/>
      <c r="AF947" s="339"/>
      <c r="AG947" s="339"/>
      <c r="AH947" s="339"/>
      <c r="AI947" s="339"/>
      <c r="AJ947" s="339"/>
      <c r="AK947" s="339"/>
      <c r="AL947" s="339"/>
      <c r="AM947" s="339"/>
      <c r="AN947" s="339"/>
      <c r="AO947" s="339"/>
      <c r="AP947" s="339"/>
      <c r="AQ947" s="339"/>
      <c r="AR947" s="339"/>
      <c r="AS947" s="339"/>
      <c r="AT947" s="339"/>
      <c r="AU947" s="339"/>
      <c r="AV947" s="339"/>
      <c r="AW947" s="339"/>
      <c r="AX947" s="339"/>
      <c r="AY947" s="339"/>
      <c r="AZ947" s="339"/>
      <c r="BA947" s="339"/>
      <c r="BB947" s="339"/>
      <c r="BC947" s="339"/>
      <c r="BD947" s="339"/>
    </row>
    <row r="948" spans="3:56">
      <c r="C948" s="339"/>
      <c r="D948" s="339"/>
      <c r="E948" s="339"/>
      <c r="F948" s="339"/>
      <c r="G948" s="339"/>
      <c r="H948" s="339"/>
      <c r="I948" s="339"/>
      <c r="J948" s="339"/>
      <c r="K948" s="339"/>
      <c r="L948" s="339"/>
      <c r="M948" s="339"/>
      <c r="N948" s="339"/>
      <c r="O948" s="339"/>
      <c r="P948" s="339"/>
      <c r="Q948" s="339"/>
      <c r="R948" s="339"/>
      <c r="S948" s="339"/>
      <c r="T948" s="339"/>
      <c r="U948" s="339"/>
      <c r="V948" s="339"/>
      <c r="W948" s="339"/>
      <c r="X948" s="339"/>
      <c r="Y948" s="339"/>
      <c r="Z948" s="339"/>
      <c r="AA948" s="339"/>
      <c r="AB948" s="339"/>
      <c r="AC948" s="339"/>
      <c r="AD948" s="339"/>
      <c r="AE948" s="339"/>
      <c r="AF948" s="339"/>
      <c r="AG948" s="339"/>
      <c r="AH948" s="339"/>
      <c r="AI948" s="339"/>
      <c r="AJ948" s="339"/>
      <c r="AK948" s="339"/>
      <c r="AL948" s="339"/>
      <c r="AM948" s="339"/>
      <c r="AN948" s="339"/>
      <c r="AO948" s="339"/>
      <c r="AP948" s="339"/>
      <c r="AQ948" s="339"/>
      <c r="AR948" s="339"/>
      <c r="AS948" s="339"/>
      <c r="AT948" s="339"/>
      <c r="AU948" s="339"/>
      <c r="AV948" s="339"/>
      <c r="AW948" s="339"/>
      <c r="AX948" s="339"/>
      <c r="AY948" s="339"/>
      <c r="AZ948" s="339"/>
      <c r="BA948" s="339"/>
      <c r="BB948" s="339"/>
      <c r="BC948" s="339"/>
      <c r="BD948" s="339"/>
    </row>
    <row r="949" spans="3:56">
      <c r="C949" s="339"/>
      <c r="D949" s="339"/>
      <c r="E949" s="339"/>
      <c r="F949" s="339"/>
      <c r="G949" s="339"/>
      <c r="H949" s="339"/>
      <c r="I949" s="339"/>
      <c r="J949" s="339"/>
      <c r="K949" s="339"/>
      <c r="L949" s="339"/>
      <c r="M949" s="339"/>
      <c r="N949" s="339"/>
      <c r="O949" s="339"/>
      <c r="P949" s="339"/>
      <c r="Q949" s="339"/>
      <c r="R949" s="339"/>
      <c r="S949" s="339"/>
      <c r="T949" s="339"/>
      <c r="U949" s="339"/>
      <c r="V949" s="339"/>
      <c r="W949" s="339"/>
      <c r="X949" s="339"/>
      <c r="Y949" s="339"/>
      <c r="Z949" s="339"/>
      <c r="AA949" s="339"/>
      <c r="AB949" s="339"/>
      <c r="AC949" s="339"/>
      <c r="AD949" s="339"/>
      <c r="AE949" s="339"/>
      <c r="AF949" s="339"/>
      <c r="AG949" s="339"/>
      <c r="AH949" s="339"/>
      <c r="AI949" s="339"/>
      <c r="AJ949" s="339"/>
      <c r="AK949" s="339"/>
      <c r="AL949" s="339"/>
      <c r="AM949" s="339"/>
      <c r="AN949" s="339"/>
      <c r="AO949" s="339"/>
      <c r="AP949" s="339"/>
      <c r="AQ949" s="339"/>
      <c r="AR949" s="339"/>
      <c r="AS949" s="339"/>
      <c r="AT949" s="339"/>
      <c r="AU949" s="339"/>
      <c r="AV949" s="339"/>
      <c r="AW949" s="339"/>
      <c r="AX949" s="339"/>
      <c r="AY949" s="339"/>
      <c r="AZ949" s="339"/>
      <c r="BA949" s="339"/>
      <c r="BB949" s="339"/>
      <c r="BC949" s="339"/>
      <c r="BD949" s="339"/>
    </row>
    <row r="950" spans="3:56">
      <c r="C950" s="339"/>
      <c r="D950" s="339"/>
      <c r="E950" s="339"/>
      <c r="F950" s="339"/>
      <c r="G950" s="339"/>
      <c r="H950" s="339"/>
      <c r="I950" s="339"/>
      <c r="J950" s="339"/>
      <c r="K950" s="339"/>
      <c r="L950" s="339"/>
      <c r="M950" s="339"/>
      <c r="N950" s="339"/>
      <c r="O950" s="339"/>
      <c r="P950" s="339"/>
      <c r="Q950" s="339"/>
      <c r="R950" s="339"/>
      <c r="S950" s="339"/>
      <c r="T950" s="339"/>
      <c r="U950" s="339"/>
      <c r="V950" s="339"/>
      <c r="W950" s="339"/>
      <c r="X950" s="339"/>
      <c r="Y950" s="339"/>
      <c r="Z950" s="339"/>
      <c r="AA950" s="339"/>
      <c r="AB950" s="339"/>
      <c r="AC950" s="339"/>
      <c r="AD950" s="339"/>
      <c r="AE950" s="339"/>
      <c r="AF950" s="339"/>
      <c r="AG950" s="339"/>
      <c r="AH950" s="339"/>
      <c r="AI950" s="339"/>
      <c r="AJ950" s="339"/>
      <c r="AK950" s="339"/>
      <c r="AL950" s="339"/>
      <c r="AM950" s="339"/>
      <c r="AN950" s="339"/>
      <c r="AO950" s="339"/>
      <c r="AP950" s="339"/>
      <c r="AQ950" s="339"/>
      <c r="AR950" s="339"/>
      <c r="AS950" s="339"/>
      <c r="AT950" s="339"/>
      <c r="AU950" s="339"/>
      <c r="AV950" s="339"/>
      <c r="AW950" s="339"/>
      <c r="AX950" s="339"/>
      <c r="AY950" s="339"/>
      <c r="AZ950" s="339"/>
      <c r="BA950" s="339"/>
      <c r="BB950" s="339"/>
      <c r="BC950" s="339"/>
      <c r="BD950" s="339"/>
    </row>
    <row r="951" spans="3:56">
      <c r="C951" s="339"/>
      <c r="D951" s="339"/>
      <c r="E951" s="339"/>
      <c r="F951" s="339"/>
      <c r="G951" s="339"/>
      <c r="H951" s="339"/>
      <c r="I951" s="339"/>
      <c r="J951" s="339"/>
      <c r="K951" s="339"/>
      <c r="L951" s="339"/>
      <c r="M951" s="339"/>
      <c r="N951" s="339"/>
      <c r="O951" s="339"/>
      <c r="P951" s="339"/>
      <c r="Q951" s="339"/>
      <c r="R951" s="339"/>
      <c r="S951" s="339"/>
      <c r="T951" s="339"/>
      <c r="U951" s="339"/>
      <c r="V951" s="339"/>
      <c r="W951" s="339"/>
      <c r="X951" s="339"/>
      <c r="Y951" s="339"/>
      <c r="Z951" s="339"/>
      <c r="AA951" s="339"/>
      <c r="AB951" s="339"/>
      <c r="AC951" s="339"/>
      <c r="AD951" s="339"/>
      <c r="AE951" s="339"/>
      <c r="AF951" s="339"/>
      <c r="AG951" s="339"/>
      <c r="AH951" s="339"/>
      <c r="AI951" s="339"/>
      <c r="AJ951" s="339"/>
      <c r="AK951" s="339"/>
      <c r="AL951" s="339"/>
      <c r="AM951" s="339"/>
      <c r="AN951" s="339"/>
      <c r="AO951" s="339"/>
      <c r="AP951" s="339"/>
      <c r="AQ951" s="339"/>
      <c r="AR951" s="339"/>
      <c r="AS951" s="339"/>
      <c r="AT951" s="339"/>
      <c r="AU951" s="339"/>
      <c r="AV951" s="339"/>
      <c r="AW951" s="339"/>
      <c r="AX951" s="339"/>
      <c r="AY951" s="339"/>
      <c r="AZ951" s="339"/>
      <c r="BA951" s="339"/>
      <c r="BB951" s="339"/>
      <c r="BC951" s="339"/>
      <c r="BD951" s="339"/>
    </row>
    <row r="952" spans="3:56">
      <c r="C952" s="339"/>
      <c r="D952" s="339"/>
      <c r="E952" s="339"/>
      <c r="F952" s="339"/>
      <c r="G952" s="339"/>
      <c r="H952" s="339"/>
      <c r="I952" s="339"/>
      <c r="J952" s="339"/>
      <c r="K952" s="339"/>
      <c r="L952" s="339"/>
      <c r="M952" s="339"/>
      <c r="N952" s="339"/>
      <c r="O952" s="339"/>
      <c r="P952" s="339"/>
      <c r="Q952" s="339"/>
      <c r="R952" s="339"/>
      <c r="S952" s="339"/>
      <c r="T952" s="339"/>
      <c r="U952" s="339"/>
      <c r="V952" s="339"/>
      <c r="W952" s="339"/>
      <c r="X952" s="339"/>
      <c r="Y952" s="339"/>
      <c r="Z952" s="339"/>
      <c r="AA952" s="339"/>
      <c r="AB952" s="339"/>
      <c r="AC952" s="339"/>
      <c r="AD952" s="339"/>
      <c r="AE952" s="339"/>
      <c r="AF952" s="339"/>
      <c r="AG952" s="339"/>
      <c r="AH952" s="339"/>
      <c r="AI952" s="339"/>
      <c r="AJ952" s="339"/>
      <c r="AK952" s="339"/>
      <c r="AL952" s="339"/>
      <c r="AM952" s="339"/>
      <c r="AN952" s="339"/>
      <c r="AO952" s="339"/>
      <c r="AP952" s="339"/>
      <c r="AQ952" s="339"/>
      <c r="AR952" s="339"/>
      <c r="AS952" s="339"/>
      <c r="AT952" s="339"/>
      <c r="AU952" s="339"/>
      <c r="AV952" s="339"/>
      <c r="AW952" s="339"/>
      <c r="AX952" s="339"/>
      <c r="AY952" s="339"/>
      <c r="AZ952" s="339"/>
      <c r="BA952" s="339"/>
      <c r="BB952" s="339"/>
      <c r="BC952" s="339"/>
      <c r="BD952" s="339"/>
    </row>
    <row r="953" spans="3:56">
      <c r="C953" s="339"/>
      <c r="D953" s="339"/>
      <c r="E953" s="339"/>
      <c r="F953" s="339"/>
      <c r="G953" s="339"/>
      <c r="H953" s="339"/>
      <c r="I953" s="339"/>
      <c r="J953" s="339"/>
      <c r="K953" s="339"/>
      <c r="L953" s="339"/>
      <c r="M953" s="339"/>
      <c r="N953" s="339"/>
      <c r="O953" s="339"/>
      <c r="P953" s="339"/>
      <c r="Q953" s="339"/>
      <c r="R953" s="339"/>
      <c r="S953" s="339"/>
      <c r="T953" s="339"/>
      <c r="U953" s="339"/>
      <c r="V953" s="339"/>
      <c r="W953" s="339"/>
      <c r="X953" s="339"/>
      <c r="Y953" s="339"/>
      <c r="Z953" s="339"/>
      <c r="AA953" s="339"/>
      <c r="AB953" s="339"/>
      <c r="AC953" s="339"/>
      <c r="AD953" s="339"/>
      <c r="AE953" s="339"/>
      <c r="AF953" s="339"/>
      <c r="AG953" s="339"/>
      <c r="AH953" s="339"/>
      <c r="AI953" s="339"/>
      <c r="AJ953" s="339"/>
      <c r="AK953" s="339"/>
      <c r="AL953" s="339"/>
      <c r="AM953" s="339"/>
      <c r="AN953" s="339"/>
      <c r="AO953" s="339"/>
      <c r="AP953" s="339"/>
      <c r="AQ953" s="339"/>
      <c r="AR953" s="339"/>
      <c r="AS953" s="339"/>
      <c r="AT953" s="339"/>
      <c r="AU953" s="339"/>
      <c r="AV953" s="339"/>
      <c r="AW953" s="339"/>
      <c r="AX953" s="339"/>
      <c r="AY953" s="339"/>
      <c r="AZ953" s="339"/>
      <c r="BA953" s="339"/>
      <c r="BB953" s="339"/>
      <c r="BC953" s="339"/>
      <c r="BD953" s="339"/>
    </row>
    <row r="954" spans="3:56">
      <c r="C954" s="339"/>
      <c r="D954" s="339"/>
      <c r="E954" s="339"/>
      <c r="F954" s="339"/>
      <c r="G954" s="339"/>
      <c r="H954" s="339"/>
      <c r="I954" s="339"/>
      <c r="J954" s="339"/>
      <c r="K954" s="339"/>
      <c r="L954" s="339"/>
      <c r="M954" s="339"/>
      <c r="N954" s="339"/>
      <c r="O954" s="339"/>
      <c r="P954" s="339"/>
      <c r="Q954" s="339"/>
      <c r="R954" s="339"/>
      <c r="S954" s="339"/>
      <c r="T954" s="339"/>
      <c r="U954" s="339"/>
      <c r="V954" s="339"/>
      <c r="W954" s="339"/>
      <c r="X954" s="339"/>
      <c r="Y954" s="339"/>
      <c r="Z954" s="339"/>
      <c r="AA954" s="339"/>
      <c r="AB954" s="339"/>
      <c r="AC954" s="339"/>
      <c r="AD954" s="339"/>
      <c r="AE954" s="339"/>
      <c r="AF954" s="339"/>
      <c r="AG954" s="339"/>
      <c r="AH954" s="339"/>
      <c r="AI954" s="339"/>
      <c r="AJ954" s="339"/>
      <c r="AK954" s="339"/>
      <c r="AL954" s="339"/>
      <c r="AM954" s="339"/>
      <c r="AN954" s="339"/>
      <c r="AO954" s="339"/>
      <c r="AP954" s="339"/>
      <c r="AQ954" s="339"/>
      <c r="AR954" s="339"/>
      <c r="AS954" s="339"/>
      <c r="AT954" s="339"/>
      <c r="AU954" s="339"/>
      <c r="AV954" s="339"/>
      <c r="AW954" s="339"/>
      <c r="AX954" s="339"/>
      <c r="AY954" s="339"/>
      <c r="AZ954" s="339"/>
      <c r="BA954" s="339"/>
      <c r="BB954" s="339"/>
      <c r="BC954" s="339"/>
      <c r="BD954" s="339"/>
    </row>
    <row r="955" spans="3:56">
      <c r="C955" s="339"/>
      <c r="D955" s="339"/>
      <c r="E955" s="339"/>
      <c r="F955" s="339"/>
      <c r="G955" s="339"/>
      <c r="H955" s="339"/>
      <c r="I955" s="339"/>
      <c r="J955" s="339"/>
      <c r="K955" s="339"/>
      <c r="L955" s="339"/>
      <c r="M955" s="339"/>
      <c r="N955" s="339"/>
      <c r="O955" s="339"/>
      <c r="P955" s="339"/>
      <c r="Q955" s="339"/>
      <c r="R955" s="339"/>
      <c r="S955" s="339"/>
      <c r="T955" s="339"/>
      <c r="U955" s="339"/>
      <c r="V955" s="339"/>
      <c r="W955" s="339"/>
      <c r="X955" s="339"/>
      <c r="Y955" s="339"/>
      <c r="Z955" s="339"/>
      <c r="AA955" s="339"/>
      <c r="AB955" s="339"/>
      <c r="AC955" s="339"/>
      <c r="AD955" s="339"/>
      <c r="AE955" s="339"/>
      <c r="AF955" s="339"/>
      <c r="AG955" s="339"/>
      <c r="AH955" s="339"/>
      <c r="AI955" s="339"/>
      <c r="AJ955" s="339"/>
      <c r="AK955" s="339"/>
      <c r="AL955" s="339"/>
      <c r="AM955" s="339"/>
      <c r="AN955" s="339"/>
      <c r="AO955" s="339"/>
      <c r="AP955" s="339"/>
      <c r="AQ955" s="339"/>
      <c r="AR955" s="339"/>
      <c r="AS955" s="339"/>
      <c r="AT955" s="339"/>
      <c r="AU955" s="339"/>
      <c r="AV955" s="339"/>
      <c r="AW955" s="339"/>
      <c r="AX955" s="339"/>
      <c r="AY955" s="339"/>
      <c r="AZ955" s="339"/>
      <c r="BA955" s="339"/>
      <c r="BB955" s="339"/>
      <c r="BC955" s="339"/>
      <c r="BD955" s="339"/>
    </row>
    <row r="956" spans="3:56">
      <c r="C956" s="339"/>
      <c r="D956" s="339"/>
      <c r="E956" s="339"/>
      <c r="F956" s="339"/>
      <c r="G956" s="339"/>
      <c r="H956" s="339"/>
      <c r="I956" s="339"/>
      <c r="J956" s="339"/>
      <c r="K956" s="339"/>
      <c r="L956" s="339"/>
      <c r="M956" s="339"/>
      <c r="N956" s="339"/>
      <c r="O956" s="339"/>
      <c r="P956" s="339"/>
      <c r="Q956" s="339"/>
      <c r="R956" s="339"/>
      <c r="S956" s="339"/>
      <c r="T956" s="339"/>
      <c r="U956" s="339"/>
      <c r="V956" s="339"/>
      <c r="W956" s="339"/>
      <c r="X956" s="339"/>
      <c r="Y956" s="339"/>
      <c r="Z956" s="339"/>
      <c r="AA956" s="339"/>
      <c r="AB956" s="339"/>
      <c r="AC956" s="339"/>
      <c r="AD956" s="339"/>
      <c r="AE956" s="339"/>
      <c r="AF956" s="339"/>
      <c r="AG956" s="339"/>
      <c r="AH956" s="339"/>
      <c r="AI956" s="339"/>
      <c r="AJ956" s="339"/>
      <c r="AK956" s="339"/>
      <c r="AL956" s="339"/>
      <c r="AM956" s="339"/>
      <c r="AN956" s="339"/>
      <c r="AO956" s="339"/>
      <c r="AP956" s="339"/>
      <c r="AQ956" s="339"/>
      <c r="AR956" s="339"/>
      <c r="AS956" s="339"/>
      <c r="AT956" s="339"/>
      <c r="AU956" s="339"/>
      <c r="AV956" s="339"/>
      <c r="AW956" s="339"/>
      <c r="AX956" s="339"/>
      <c r="AY956" s="339"/>
      <c r="AZ956" s="339"/>
      <c r="BA956" s="339"/>
      <c r="BB956" s="339"/>
      <c r="BC956" s="339"/>
      <c r="BD956" s="339"/>
    </row>
    <row r="957" spans="3:56">
      <c r="C957" s="339"/>
      <c r="D957" s="339"/>
      <c r="E957" s="339"/>
      <c r="F957" s="339"/>
      <c r="G957" s="339"/>
      <c r="H957" s="339"/>
      <c r="I957" s="339"/>
      <c r="J957" s="339"/>
      <c r="K957" s="339"/>
      <c r="L957" s="339"/>
      <c r="M957" s="339"/>
      <c r="N957" s="339"/>
      <c r="O957" s="339"/>
      <c r="P957" s="339"/>
      <c r="Q957" s="339"/>
      <c r="R957" s="339"/>
      <c r="S957" s="339"/>
      <c r="T957" s="339"/>
      <c r="U957" s="339"/>
      <c r="V957" s="339"/>
      <c r="W957" s="339"/>
      <c r="X957" s="339"/>
      <c r="Y957" s="339"/>
      <c r="Z957" s="339"/>
      <c r="AA957" s="339"/>
      <c r="AB957" s="339"/>
      <c r="AC957" s="339"/>
      <c r="AD957" s="339"/>
      <c r="AE957" s="339"/>
      <c r="AF957" s="339"/>
      <c r="AG957" s="339"/>
      <c r="AH957" s="339"/>
      <c r="AI957" s="339"/>
      <c r="AJ957" s="339"/>
      <c r="AK957" s="339"/>
      <c r="AL957" s="339"/>
      <c r="AM957" s="339"/>
      <c r="AN957" s="339"/>
      <c r="AO957" s="339"/>
      <c r="AP957" s="339"/>
      <c r="AQ957" s="339"/>
      <c r="AR957" s="339"/>
      <c r="AS957" s="339"/>
      <c r="AT957" s="339"/>
      <c r="AU957" s="339"/>
      <c r="AV957" s="339"/>
      <c r="AW957" s="339"/>
      <c r="AX957" s="339"/>
      <c r="AY957" s="339"/>
      <c r="AZ957" s="339"/>
      <c r="BA957" s="339"/>
      <c r="BB957" s="339"/>
      <c r="BC957" s="339"/>
      <c r="BD957" s="339"/>
    </row>
    <row r="958" spans="3:56">
      <c r="C958" s="339"/>
      <c r="D958" s="339"/>
      <c r="E958" s="339"/>
      <c r="F958" s="339"/>
      <c r="G958" s="339"/>
      <c r="H958" s="339"/>
      <c r="I958" s="339"/>
      <c r="J958" s="339"/>
      <c r="K958" s="339"/>
      <c r="L958" s="339"/>
      <c r="M958" s="339"/>
      <c r="N958" s="339"/>
      <c r="O958" s="339"/>
      <c r="P958" s="339"/>
      <c r="Q958" s="339"/>
      <c r="R958" s="339"/>
      <c r="S958" s="339"/>
      <c r="T958" s="339"/>
      <c r="U958" s="339"/>
      <c r="V958" s="339"/>
      <c r="W958" s="339"/>
      <c r="X958" s="339"/>
      <c r="Y958" s="339"/>
      <c r="Z958" s="339"/>
      <c r="AA958" s="339"/>
      <c r="AB958" s="339"/>
      <c r="AC958" s="339"/>
      <c r="AD958" s="339"/>
      <c r="AE958" s="339"/>
      <c r="AF958" s="339"/>
      <c r="AG958" s="339"/>
      <c r="AH958" s="339"/>
      <c r="AI958" s="339"/>
      <c r="AJ958" s="339"/>
      <c r="AK958" s="339"/>
      <c r="AL958" s="339"/>
      <c r="AM958" s="339"/>
      <c r="AN958" s="339"/>
      <c r="AO958" s="339"/>
      <c r="AP958" s="339"/>
      <c r="AQ958" s="339"/>
      <c r="AR958" s="339"/>
      <c r="AS958" s="339"/>
      <c r="AT958" s="339"/>
      <c r="AU958" s="339"/>
      <c r="AV958" s="339"/>
      <c r="AW958" s="339"/>
      <c r="AX958" s="339"/>
      <c r="AY958" s="339"/>
      <c r="AZ958" s="339"/>
      <c r="BA958" s="339"/>
      <c r="BB958" s="339"/>
      <c r="BC958" s="339"/>
      <c r="BD958" s="339"/>
    </row>
    <row r="959" spans="3:56">
      <c r="C959" s="339"/>
      <c r="D959" s="339"/>
      <c r="E959" s="339"/>
      <c r="F959" s="339"/>
      <c r="G959" s="339"/>
      <c r="H959" s="339"/>
      <c r="I959" s="339"/>
      <c r="J959" s="339"/>
      <c r="K959" s="339"/>
      <c r="L959" s="339"/>
      <c r="M959" s="339"/>
      <c r="N959" s="339"/>
      <c r="O959" s="339"/>
      <c r="P959" s="339"/>
      <c r="Q959" s="339"/>
      <c r="R959" s="339"/>
      <c r="S959" s="339"/>
      <c r="T959" s="339"/>
      <c r="U959" s="339"/>
      <c r="V959" s="339"/>
      <c r="W959" s="339"/>
      <c r="X959" s="339"/>
      <c r="Y959" s="339"/>
      <c r="Z959" s="339"/>
      <c r="AA959" s="339"/>
      <c r="AB959" s="339"/>
      <c r="AC959" s="339"/>
      <c r="AD959" s="339"/>
      <c r="AE959" s="339"/>
      <c r="AF959" s="339"/>
      <c r="AG959" s="339"/>
      <c r="AH959" s="339"/>
      <c r="AI959" s="339"/>
      <c r="AJ959" s="339"/>
      <c r="AK959" s="339"/>
      <c r="AL959" s="339"/>
      <c r="AM959" s="339"/>
      <c r="AN959" s="339"/>
      <c r="AO959" s="339"/>
      <c r="AP959" s="339"/>
      <c r="AQ959" s="339"/>
      <c r="AR959" s="339"/>
      <c r="AS959" s="339"/>
      <c r="AT959" s="339"/>
      <c r="AU959" s="339"/>
      <c r="AV959" s="339"/>
      <c r="AW959" s="339"/>
      <c r="AX959" s="339"/>
      <c r="AY959" s="339"/>
      <c r="AZ959" s="339"/>
      <c r="BA959" s="339"/>
      <c r="BB959" s="339"/>
      <c r="BC959" s="339"/>
      <c r="BD959" s="339"/>
    </row>
    <row r="960" spans="3:56">
      <c r="C960" s="339"/>
      <c r="D960" s="339"/>
      <c r="E960" s="339"/>
      <c r="F960" s="339"/>
      <c r="G960" s="339"/>
      <c r="H960" s="339"/>
      <c r="I960" s="339"/>
      <c r="J960" s="339"/>
      <c r="K960" s="339"/>
      <c r="L960" s="339"/>
      <c r="M960" s="339"/>
      <c r="N960" s="339"/>
      <c r="O960" s="339"/>
      <c r="P960" s="339"/>
      <c r="Q960" s="339"/>
      <c r="R960" s="339"/>
      <c r="S960" s="339"/>
      <c r="T960" s="339"/>
      <c r="U960" s="339"/>
      <c r="V960" s="339"/>
      <c r="W960" s="339"/>
      <c r="X960" s="339"/>
      <c r="Y960" s="339"/>
      <c r="Z960" s="339"/>
      <c r="AA960" s="339"/>
      <c r="AB960" s="339"/>
      <c r="AC960" s="339"/>
      <c r="AD960" s="339"/>
      <c r="AE960" s="339"/>
      <c r="AF960" s="339"/>
      <c r="AG960" s="339"/>
      <c r="AH960" s="339"/>
      <c r="AI960" s="339"/>
      <c r="AJ960" s="339"/>
      <c r="AK960" s="339"/>
      <c r="AL960" s="339"/>
      <c r="AM960" s="339"/>
      <c r="AN960" s="339"/>
      <c r="AO960" s="339"/>
      <c r="AP960" s="339"/>
      <c r="AQ960" s="339"/>
      <c r="AR960" s="339"/>
      <c r="AS960" s="339"/>
      <c r="AT960" s="339"/>
      <c r="AU960" s="339"/>
      <c r="AV960" s="339"/>
      <c r="AW960" s="339"/>
      <c r="AX960" s="339"/>
      <c r="AY960" s="339"/>
      <c r="AZ960" s="339"/>
      <c r="BA960" s="339"/>
      <c r="BB960" s="339"/>
      <c r="BC960" s="339"/>
      <c r="BD960" s="339"/>
    </row>
    <row r="961" spans="3:56">
      <c r="C961" s="339"/>
      <c r="D961" s="339"/>
      <c r="E961" s="339"/>
      <c r="F961" s="339"/>
      <c r="G961" s="339"/>
      <c r="H961" s="339"/>
      <c r="I961" s="339"/>
      <c r="J961" s="339"/>
      <c r="K961" s="339"/>
      <c r="L961" s="339"/>
      <c r="M961" s="339"/>
      <c r="N961" s="339"/>
      <c r="O961" s="339"/>
      <c r="P961" s="339"/>
      <c r="Q961" s="339"/>
      <c r="R961" s="339"/>
      <c r="S961" s="339"/>
      <c r="T961" s="339"/>
      <c r="U961" s="339"/>
      <c r="V961" s="339"/>
      <c r="W961" s="339"/>
      <c r="X961" s="339"/>
      <c r="Y961" s="339"/>
      <c r="Z961" s="339"/>
      <c r="AA961" s="339"/>
      <c r="AB961" s="339"/>
      <c r="AC961" s="339"/>
      <c r="AD961" s="339"/>
      <c r="AE961" s="339"/>
      <c r="AF961" s="339"/>
      <c r="AG961" s="339"/>
      <c r="AH961" s="339"/>
      <c r="AI961" s="339"/>
      <c r="AJ961" s="339"/>
      <c r="AK961" s="339"/>
      <c r="AL961" s="339"/>
      <c r="AM961" s="339"/>
      <c r="AN961" s="339"/>
      <c r="AO961" s="339"/>
      <c r="AP961" s="339"/>
      <c r="AQ961" s="339"/>
      <c r="AR961" s="339"/>
      <c r="AS961" s="339"/>
      <c r="AT961" s="339"/>
      <c r="AU961" s="339"/>
      <c r="AV961" s="339"/>
      <c r="AW961" s="339"/>
      <c r="AX961" s="339"/>
      <c r="AY961" s="339"/>
      <c r="AZ961" s="339"/>
      <c r="BA961" s="339"/>
      <c r="BB961" s="339"/>
      <c r="BC961" s="339"/>
      <c r="BD961" s="339"/>
    </row>
    <row r="962" spans="3:56">
      <c r="C962" s="339"/>
      <c r="D962" s="339"/>
      <c r="E962" s="339"/>
      <c r="F962" s="339"/>
      <c r="G962" s="339"/>
      <c r="H962" s="339"/>
      <c r="I962" s="339"/>
      <c r="J962" s="339"/>
      <c r="K962" s="339"/>
      <c r="L962" s="339"/>
      <c r="M962" s="339"/>
      <c r="N962" s="339"/>
      <c r="O962" s="339"/>
      <c r="P962" s="339"/>
      <c r="Q962" s="339"/>
      <c r="R962" s="339"/>
      <c r="S962" s="339"/>
      <c r="T962" s="339"/>
      <c r="U962" s="339"/>
      <c r="V962" s="339"/>
      <c r="W962" s="339"/>
      <c r="X962" s="339"/>
      <c r="Y962" s="339"/>
      <c r="Z962" s="339"/>
      <c r="AA962" s="339"/>
      <c r="AB962" s="339"/>
      <c r="AC962" s="339"/>
      <c r="AD962" s="339"/>
      <c r="AE962" s="339"/>
      <c r="AF962" s="339"/>
      <c r="AG962" s="339"/>
      <c r="AH962" s="339"/>
      <c r="AI962" s="339"/>
      <c r="AJ962" s="339"/>
      <c r="AK962" s="339"/>
      <c r="AL962" s="339"/>
      <c r="AM962" s="339"/>
      <c r="AN962" s="339"/>
      <c r="AO962" s="339"/>
      <c r="AP962" s="339"/>
      <c r="AQ962" s="339"/>
      <c r="AR962" s="339"/>
      <c r="AS962" s="339"/>
      <c r="AT962" s="339"/>
      <c r="AU962" s="339"/>
      <c r="AV962" s="339"/>
      <c r="AW962" s="339"/>
      <c r="AX962" s="339"/>
      <c r="AY962" s="339"/>
      <c r="AZ962" s="339"/>
      <c r="BA962" s="339"/>
      <c r="BB962" s="339"/>
      <c r="BC962" s="339"/>
      <c r="BD962" s="339"/>
    </row>
    <row r="963" spans="3:56">
      <c r="C963" s="339"/>
      <c r="D963" s="339"/>
      <c r="E963" s="339"/>
      <c r="F963" s="339"/>
      <c r="G963" s="339"/>
      <c r="H963" s="339"/>
      <c r="I963" s="339"/>
      <c r="J963" s="339"/>
      <c r="K963" s="339"/>
      <c r="L963" s="339"/>
      <c r="M963" s="339"/>
      <c r="N963" s="339"/>
      <c r="O963" s="339"/>
      <c r="P963" s="339"/>
      <c r="Q963" s="339"/>
      <c r="R963" s="339"/>
      <c r="S963" s="339"/>
      <c r="T963" s="339"/>
      <c r="U963" s="339"/>
      <c r="V963" s="339"/>
      <c r="W963" s="339"/>
      <c r="X963" s="339"/>
      <c r="Y963" s="339"/>
      <c r="Z963" s="339"/>
      <c r="AA963" s="339"/>
      <c r="AB963" s="339"/>
      <c r="AC963" s="339"/>
      <c r="AD963" s="339"/>
      <c r="AE963" s="339"/>
      <c r="AF963" s="339"/>
      <c r="AG963" s="339"/>
      <c r="AH963" s="339"/>
      <c r="AI963" s="339"/>
      <c r="AJ963" s="339"/>
      <c r="AK963" s="339"/>
      <c r="AL963" s="339"/>
      <c r="AM963" s="339"/>
      <c r="AN963" s="339"/>
      <c r="AO963" s="339"/>
      <c r="AP963" s="339"/>
      <c r="AQ963" s="339"/>
      <c r="AR963" s="339"/>
      <c r="AS963" s="339"/>
      <c r="AT963" s="339"/>
      <c r="AU963" s="339"/>
      <c r="AV963" s="339"/>
      <c r="AW963" s="339"/>
      <c r="AX963" s="339"/>
      <c r="AY963" s="339"/>
      <c r="AZ963" s="339"/>
      <c r="BA963" s="339"/>
      <c r="BB963" s="339"/>
      <c r="BC963" s="339"/>
      <c r="BD963" s="339"/>
    </row>
    <row r="964" spans="3:56">
      <c r="C964" s="339"/>
      <c r="D964" s="339"/>
      <c r="E964" s="339"/>
      <c r="F964" s="339"/>
      <c r="G964" s="339"/>
      <c r="H964" s="339"/>
      <c r="I964" s="339"/>
      <c r="J964" s="339"/>
      <c r="K964" s="339"/>
      <c r="L964" s="339"/>
      <c r="M964" s="339"/>
      <c r="N964" s="339"/>
      <c r="O964" s="339"/>
      <c r="P964" s="339"/>
      <c r="Q964" s="339"/>
      <c r="R964" s="339"/>
      <c r="S964" s="339"/>
      <c r="T964" s="339"/>
      <c r="U964" s="339"/>
      <c r="V964" s="339"/>
      <c r="W964" s="339"/>
      <c r="X964" s="339"/>
      <c r="Y964" s="339"/>
      <c r="Z964" s="339"/>
      <c r="AA964" s="339"/>
      <c r="AB964" s="339"/>
      <c r="AC964" s="339"/>
      <c r="AD964" s="339"/>
      <c r="AE964" s="339"/>
      <c r="AF964" s="339"/>
      <c r="AG964" s="339"/>
      <c r="AH964" s="339"/>
      <c r="AI964" s="339"/>
      <c r="AJ964" s="339"/>
      <c r="AK964" s="339"/>
      <c r="AL964" s="339"/>
      <c r="AM964" s="339"/>
      <c r="AN964" s="339"/>
      <c r="AO964" s="339"/>
      <c r="AP964" s="339"/>
      <c r="AQ964" s="339"/>
      <c r="AR964" s="339"/>
      <c r="AS964" s="339"/>
      <c r="AT964" s="339"/>
      <c r="AU964" s="339"/>
      <c r="AV964" s="339"/>
      <c r="AW964" s="339"/>
      <c r="AX964" s="339"/>
      <c r="AY964" s="339"/>
      <c r="AZ964" s="339"/>
      <c r="BA964" s="339"/>
      <c r="BB964" s="339"/>
      <c r="BC964" s="339"/>
      <c r="BD964" s="339"/>
    </row>
    <row r="965" spans="3:56">
      <c r="C965" s="339"/>
      <c r="D965" s="339"/>
      <c r="E965" s="339"/>
      <c r="F965" s="339"/>
      <c r="G965" s="339"/>
      <c r="H965" s="339"/>
      <c r="I965" s="339"/>
      <c r="J965" s="339"/>
      <c r="K965" s="339"/>
      <c r="L965" s="339"/>
      <c r="M965" s="339"/>
      <c r="N965" s="339"/>
      <c r="O965" s="339"/>
      <c r="P965" s="339"/>
      <c r="Q965" s="339"/>
      <c r="R965" s="339"/>
      <c r="S965" s="339"/>
      <c r="T965" s="339"/>
      <c r="U965" s="339"/>
      <c r="V965" s="339"/>
      <c r="W965" s="339"/>
      <c r="X965" s="339"/>
      <c r="Y965" s="339"/>
      <c r="Z965" s="339"/>
      <c r="AA965" s="339"/>
      <c r="AB965" s="339"/>
      <c r="AC965" s="339"/>
      <c r="AD965" s="339"/>
      <c r="AE965" s="339"/>
      <c r="AF965" s="339"/>
      <c r="AG965" s="339"/>
      <c r="AH965" s="339"/>
      <c r="AI965" s="339"/>
      <c r="AJ965" s="339"/>
      <c r="AK965" s="339"/>
      <c r="AL965" s="339"/>
      <c r="AM965" s="339"/>
      <c r="AN965" s="339"/>
      <c r="AO965" s="339"/>
      <c r="AP965" s="339"/>
      <c r="AQ965" s="339"/>
      <c r="AR965" s="339"/>
      <c r="AS965" s="339"/>
      <c r="AT965" s="339"/>
      <c r="AU965" s="339"/>
      <c r="AV965" s="339"/>
      <c r="AW965" s="339"/>
      <c r="AX965" s="339"/>
      <c r="AY965" s="339"/>
      <c r="AZ965" s="339"/>
      <c r="BA965" s="339"/>
      <c r="BB965" s="339"/>
      <c r="BC965" s="339"/>
      <c r="BD965" s="339"/>
    </row>
    <row r="966" spans="3:56">
      <c r="C966" s="339"/>
      <c r="D966" s="339"/>
      <c r="E966" s="339"/>
      <c r="F966" s="339"/>
      <c r="G966" s="339"/>
      <c r="H966" s="339"/>
      <c r="I966" s="339"/>
      <c r="J966" s="339"/>
      <c r="K966" s="339"/>
      <c r="L966" s="339"/>
      <c r="M966" s="339"/>
      <c r="N966" s="339"/>
      <c r="O966" s="339"/>
      <c r="P966" s="339"/>
      <c r="Q966" s="339"/>
      <c r="R966" s="339"/>
      <c r="S966" s="339"/>
      <c r="T966" s="339"/>
      <c r="U966" s="339"/>
      <c r="V966" s="339"/>
      <c r="W966" s="339"/>
      <c r="X966" s="339"/>
      <c r="Y966" s="339"/>
      <c r="Z966" s="339"/>
      <c r="AA966" s="339"/>
      <c r="AB966" s="339"/>
      <c r="AC966" s="339"/>
      <c r="AD966" s="339"/>
      <c r="AE966" s="339"/>
      <c r="AF966" s="339"/>
      <c r="AG966" s="339"/>
      <c r="AH966" s="339"/>
      <c r="AI966" s="339"/>
      <c r="AJ966" s="339"/>
      <c r="AK966" s="339"/>
      <c r="AL966" s="339"/>
      <c r="AM966" s="339"/>
      <c r="AN966" s="339"/>
      <c r="AO966" s="339"/>
      <c r="AP966" s="339"/>
      <c r="AQ966" s="339"/>
      <c r="AR966" s="339"/>
      <c r="AS966" s="339"/>
      <c r="AT966" s="339"/>
      <c r="AU966" s="339"/>
      <c r="AV966" s="339"/>
      <c r="AW966" s="339"/>
      <c r="AX966" s="339"/>
      <c r="AY966" s="339"/>
      <c r="AZ966" s="339"/>
      <c r="BA966" s="339"/>
      <c r="BB966" s="339"/>
      <c r="BC966" s="339"/>
      <c r="BD966" s="339"/>
    </row>
    <row r="967" spans="3:56">
      <c r="C967" s="339"/>
      <c r="D967" s="339"/>
      <c r="E967" s="339"/>
      <c r="F967" s="339"/>
      <c r="G967" s="339"/>
      <c r="H967" s="339"/>
      <c r="I967" s="339"/>
      <c r="J967" s="339"/>
      <c r="K967" s="339"/>
      <c r="L967" s="339"/>
      <c r="M967" s="339"/>
      <c r="N967" s="339"/>
      <c r="O967" s="339"/>
      <c r="P967" s="339"/>
      <c r="Q967" s="339"/>
      <c r="R967" s="339"/>
      <c r="S967" s="339"/>
      <c r="T967" s="339"/>
      <c r="U967" s="339"/>
      <c r="V967" s="339"/>
      <c r="W967" s="339"/>
      <c r="X967" s="339"/>
      <c r="Y967" s="339"/>
      <c r="Z967" s="339"/>
      <c r="AA967" s="339"/>
      <c r="AB967" s="339"/>
      <c r="AC967" s="339"/>
      <c r="AD967" s="339"/>
      <c r="AE967" s="339"/>
      <c r="AF967" s="339"/>
      <c r="AG967" s="339"/>
      <c r="AH967" s="339"/>
      <c r="AI967" s="339"/>
      <c r="AJ967" s="339"/>
      <c r="AK967" s="339"/>
      <c r="AL967" s="339"/>
      <c r="AM967" s="339"/>
      <c r="AN967" s="339"/>
      <c r="AO967" s="339"/>
      <c r="AP967" s="339"/>
      <c r="AQ967" s="339"/>
      <c r="AR967" s="339"/>
      <c r="AS967" s="339"/>
      <c r="AT967" s="339"/>
      <c r="AU967" s="339"/>
      <c r="AV967" s="339"/>
      <c r="AW967" s="339"/>
      <c r="AX967" s="339"/>
      <c r="AY967" s="339"/>
      <c r="AZ967" s="339"/>
      <c r="BA967" s="339"/>
      <c r="BB967" s="339"/>
      <c r="BC967" s="339"/>
      <c r="BD967" s="339"/>
    </row>
    <row r="968" spans="3:56">
      <c r="C968" s="339"/>
      <c r="D968" s="339"/>
      <c r="E968" s="339"/>
      <c r="F968" s="339"/>
      <c r="G968" s="339"/>
      <c r="H968" s="339"/>
      <c r="I968" s="339"/>
      <c r="J968" s="339"/>
      <c r="K968" s="339"/>
      <c r="L968" s="339"/>
      <c r="M968" s="339"/>
      <c r="N968" s="339"/>
      <c r="O968" s="339"/>
      <c r="P968" s="339"/>
      <c r="Q968" s="339"/>
      <c r="R968" s="339"/>
      <c r="S968" s="339"/>
      <c r="T968" s="339"/>
      <c r="U968" s="339"/>
      <c r="V968" s="339"/>
      <c r="W968" s="339"/>
      <c r="X968" s="339"/>
      <c r="Y968" s="339"/>
      <c r="Z968" s="339"/>
      <c r="AA968" s="339"/>
      <c r="AB968" s="339"/>
      <c r="AC968" s="339"/>
      <c r="AD968" s="339"/>
      <c r="AE968" s="339"/>
      <c r="AF968" s="339"/>
      <c r="AG968" s="339"/>
      <c r="AH968" s="339"/>
      <c r="AI968" s="339"/>
      <c r="AJ968" s="339"/>
      <c r="AK968" s="339"/>
      <c r="AL968" s="339"/>
      <c r="AM968" s="339"/>
      <c r="AN968" s="339"/>
      <c r="AO968" s="339"/>
      <c r="AP968" s="339"/>
      <c r="AQ968" s="339"/>
      <c r="AR968" s="339"/>
      <c r="AS968" s="339"/>
      <c r="AT968" s="339"/>
      <c r="AU968" s="339"/>
      <c r="AV968" s="339"/>
      <c r="AW968" s="339"/>
      <c r="AX968" s="339"/>
      <c r="AY968" s="339"/>
      <c r="AZ968" s="339"/>
      <c r="BA968" s="339"/>
      <c r="BB968" s="339"/>
      <c r="BC968" s="339"/>
      <c r="BD968" s="339"/>
    </row>
    <row r="969" spans="3:56">
      <c r="C969" s="339"/>
      <c r="D969" s="339"/>
      <c r="E969" s="339"/>
      <c r="F969" s="339"/>
      <c r="G969" s="339"/>
      <c r="H969" s="339"/>
      <c r="I969" s="339"/>
      <c r="J969" s="339"/>
      <c r="K969" s="339"/>
      <c r="L969" s="339"/>
      <c r="M969" s="339"/>
      <c r="N969" s="339"/>
      <c r="O969" s="339"/>
      <c r="P969" s="339"/>
      <c r="Q969" s="339"/>
      <c r="R969" s="339"/>
      <c r="S969" s="339"/>
      <c r="T969" s="339"/>
      <c r="U969" s="339"/>
      <c r="V969" s="339"/>
      <c r="W969" s="339"/>
      <c r="X969" s="339"/>
      <c r="Y969" s="339"/>
      <c r="Z969" s="339"/>
      <c r="AA969" s="339"/>
      <c r="AB969" s="339"/>
      <c r="AC969" s="339"/>
      <c r="AD969" s="339"/>
      <c r="AE969" s="339"/>
      <c r="AF969" s="339"/>
      <c r="AG969" s="339"/>
      <c r="AH969" s="339"/>
      <c r="AI969" s="339"/>
      <c r="AJ969" s="339"/>
      <c r="AK969" s="339"/>
      <c r="AL969" s="339"/>
      <c r="AM969" s="339"/>
      <c r="AN969" s="339"/>
      <c r="AO969" s="339"/>
      <c r="AP969" s="339"/>
      <c r="AQ969" s="339"/>
      <c r="AR969" s="339"/>
      <c r="AS969" s="339"/>
      <c r="AT969" s="339"/>
      <c r="AU969" s="339"/>
      <c r="AV969" s="339"/>
      <c r="AW969" s="339"/>
      <c r="AX969" s="339"/>
      <c r="AY969" s="339"/>
      <c r="AZ969" s="339"/>
      <c r="BA969" s="339"/>
      <c r="BB969" s="339"/>
      <c r="BC969" s="339"/>
      <c r="BD969" s="339"/>
    </row>
    <row r="970" spans="3:56">
      <c r="C970" s="339"/>
      <c r="D970" s="339"/>
      <c r="E970" s="339"/>
      <c r="F970" s="339"/>
      <c r="G970" s="339"/>
      <c r="H970" s="339"/>
      <c r="I970" s="339"/>
      <c r="J970" s="339"/>
      <c r="K970" s="339"/>
      <c r="L970" s="339"/>
      <c r="M970" s="339"/>
      <c r="N970" s="339"/>
      <c r="O970" s="339"/>
      <c r="P970" s="339"/>
      <c r="Q970" s="339"/>
      <c r="R970" s="339"/>
      <c r="S970" s="339"/>
      <c r="T970" s="339"/>
      <c r="U970" s="339"/>
      <c r="V970" s="339"/>
      <c r="W970" s="339"/>
      <c r="X970" s="339"/>
      <c r="Y970" s="339"/>
      <c r="Z970" s="339"/>
      <c r="AA970" s="339"/>
      <c r="AB970" s="339"/>
      <c r="AC970" s="339"/>
      <c r="AD970" s="339"/>
      <c r="AE970" s="339"/>
      <c r="AF970" s="339"/>
      <c r="AG970" s="339"/>
      <c r="AH970" s="339"/>
      <c r="AI970" s="339"/>
      <c r="AJ970" s="339"/>
      <c r="AK970" s="339"/>
      <c r="AL970" s="339"/>
      <c r="AM970" s="339"/>
      <c r="AN970" s="339"/>
      <c r="AO970" s="339"/>
      <c r="AP970" s="339"/>
      <c r="AQ970" s="339"/>
      <c r="AR970" s="339"/>
      <c r="AS970" s="339"/>
      <c r="AT970" s="339"/>
      <c r="AU970" s="339"/>
      <c r="AV970" s="339"/>
      <c r="AW970" s="339"/>
      <c r="AX970" s="339"/>
      <c r="AY970" s="339"/>
      <c r="AZ970" s="339"/>
      <c r="BA970" s="339"/>
      <c r="BB970" s="339"/>
      <c r="BC970" s="339"/>
      <c r="BD970" s="339"/>
    </row>
    <row r="971" spans="3:56">
      <c r="C971" s="339"/>
      <c r="D971" s="339"/>
      <c r="E971" s="339"/>
      <c r="F971" s="339"/>
      <c r="G971" s="339"/>
      <c r="H971" s="339"/>
      <c r="I971" s="339"/>
      <c r="J971" s="339"/>
      <c r="K971" s="339"/>
      <c r="L971" s="339"/>
      <c r="M971" s="339"/>
      <c r="N971" s="339"/>
      <c r="O971" s="339"/>
      <c r="P971" s="339"/>
      <c r="Q971" s="339"/>
      <c r="R971" s="339"/>
      <c r="S971" s="339"/>
      <c r="T971" s="339"/>
      <c r="U971" s="339"/>
      <c r="V971" s="339"/>
      <c r="W971" s="339"/>
      <c r="X971" s="339"/>
      <c r="Y971" s="339"/>
      <c r="Z971" s="339"/>
      <c r="AA971" s="339"/>
      <c r="AB971" s="339"/>
      <c r="AC971" s="339"/>
      <c r="AD971" s="339"/>
      <c r="AE971" s="339"/>
      <c r="AF971" s="339"/>
      <c r="AG971" s="339"/>
      <c r="AH971" s="339"/>
      <c r="AI971" s="339"/>
      <c r="AJ971" s="339"/>
      <c r="AK971" s="339"/>
      <c r="AL971" s="339"/>
      <c r="AM971" s="339"/>
      <c r="AN971" s="339"/>
      <c r="AO971" s="339"/>
      <c r="AP971" s="339"/>
      <c r="AQ971" s="339"/>
      <c r="AR971" s="339"/>
      <c r="AS971" s="339"/>
      <c r="AT971" s="339"/>
      <c r="AU971" s="339"/>
      <c r="AV971" s="339"/>
      <c r="AW971" s="339"/>
      <c r="AX971" s="339"/>
      <c r="AY971" s="339"/>
      <c r="AZ971" s="339"/>
      <c r="BA971" s="339"/>
      <c r="BB971" s="339"/>
      <c r="BC971" s="339"/>
      <c r="BD971" s="339"/>
    </row>
    <row r="972" spans="3:56">
      <c r="C972" s="339"/>
      <c r="D972" s="339"/>
      <c r="E972" s="339"/>
      <c r="F972" s="339"/>
      <c r="G972" s="339"/>
      <c r="H972" s="339"/>
      <c r="I972" s="339"/>
      <c r="J972" s="339"/>
      <c r="K972" s="339"/>
      <c r="L972" s="339"/>
      <c r="M972" s="339"/>
      <c r="N972" s="339"/>
      <c r="O972" s="339"/>
      <c r="P972" s="339"/>
      <c r="Q972" s="339"/>
      <c r="R972" s="339"/>
      <c r="S972" s="339"/>
      <c r="T972" s="339"/>
      <c r="U972" s="339"/>
      <c r="V972" s="339"/>
      <c r="W972" s="339"/>
      <c r="X972" s="339"/>
      <c r="Y972" s="339"/>
      <c r="Z972" s="339"/>
      <c r="AA972" s="339"/>
      <c r="AB972" s="339"/>
      <c r="AC972" s="339"/>
      <c r="AD972" s="339"/>
      <c r="AE972" s="339"/>
      <c r="AF972" s="339"/>
      <c r="AG972" s="339"/>
      <c r="AH972" s="339"/>
      <c r="AI972" s="339"/>
      <c r="AJ972" s="339"/>
      <c r="AK972" s="339"/>
      <c r="AL972" s="339"/>
      <c r="AM972" s="339"/>
      <c r="AN972" s="339"/>
      <c r="AO972" s="339"/>
      <c r="AP972" s="339"/>
      <c r="AQ972" s="339"/>
      <c r="AR972" s="339"/>
      <c r="AS972" s="339"/>
      <c r="AT972" s="339"/>
      <c r="AU972" s="339"/>
      <c r="AV972" s="339"/>
      <c r="AW972" s="339"/>
      <c r="AX972" s="339"/>
      <c r="AY972" s="339"/>
      <c r="AZ972" s="339"/>
      <c r="BA972" s="339"/>
      <c r="BB972" s="339"/>
      <c r="BC972" s="339"/>
      <c r="BD972" s="339"/>
    </row>
    <row r="973" spans="3:56">
      <c r="C973" s="339"/>
      <c r="D973" s="339"/>
      <c r="E973" s="339"/>
      <c r="F973" s="339"/>
      <c r="G973" s="339"/>
      <c r="H973" s="339"/>
      <c r="I973" s="339"/>
      <c r="J973" s="339"/>
      <c r="K973" s="339"/>
      <c r="L973" s="339"/>
      <c r="M973" s="339"/>
      <c r="N973" s="339"/>
      <c r="O973" s="339"/>
      <c r="P973" s="339"/>
      <c r="Q973" s="339"/>
      <c r="R973" s="339"/>
      <c r="S973" s="339"/>
      <c r="T973" s="339"/>
      <c r="U973" s="339"/>
      <c r="V973" s="339"/>
      <c r="W973" s="339"/>
      <c r="X973" s="339"/>
      <c r="Y973" s="339"/>
      <c r="Z973" s="339"/>
      <c r="AA973" s="339"/>
      <c r="AB973" s="339"/>
      <c r="AC973" s="339"/>
      <c r="AD973" s="339"/>
      <c r="AE973" s="339"/>
      <c r="AF973" s="339"/>
      <c r="AG973" s="339"/>
      <c r="AH973" s="339"/>
      <c r="AI973" s="339"/>
      <c r="AJ973" s="339"/>
      <c r="AK973" s="339"/>
      <c r="AL973" s="339"/>
      <c r="AM973" s="339"/>
      <c r="AN973" s="339"/>
      <c r="AO973" s="339"/>
      <c r="AP973" s="339"/>
      <c r="AQ973" s="339"/>
      <c r="AR973" s="339"/>
      <c r="AS973" s="339"/>
      <c r="AT973" s="339"/>
      <c r="AU973" s="339"/>
      <c r="AV973" s="339"/>
      <c r="AW973" s="339"/>
      <c r="AX973" s="339"/>
      <c r="AY973" s="339"/>
      <c r="AZ973" s="339"/>
      <c r="BA973" s="339"/>
      <c r="BB973" s="339"/>
      <c r="BC973" s="339"/>
      <c r="BD973" s="339"/>
    </row>
    <row r="974" spans="3:56">
      <c r="C974" s="339"/>
      <c r="D974" s="339"/>
      <c r="E974" s="339"/>
      <c r="F974" s="339"/>
      <c r="G974" s="339"/>
      <c r="H974" s="339"/>
      <c r="I974" s="339"/>
      <c r="J974" s="339"/>
      <c r="K974" s="339"/>
      <c r="L974" s="339"/>
      <c r="M974" s="339"/>
      <c r="N974" s="339"/>
      <c r="O974" s="339"/>
      <c r="P974" s="339"/>
      <c r="Q974" s="339"/>
      <c r="R974" s="339"/>
      <c r="S974" s="339"/>
      <c r="T974" s="339"/>
      <c r="U974" s="339"/>
      <c r="V974" s="339"/>
      <c r="W974" s="339"/>
      <c r="X974" s="339"/>
      <c r="Y974" s="339"/>
      <c r="Z974" s="339"/>
      <c r="AA974" s="339"/>
      <c r="AB974" s="339"/>
      <c r="AC974" s="339"/>
      <c r="AD974" s="339"/>
      <c r="AE974" s="339"/>
      <c r="AF974" s="339"/>
      <c r="AG974" s="339"/>
      <c r="AH974" s="339"/>
      <c r="AI974" s="339"/>
      <c r="AJ974" s="339"/>
      <c r="AK974" s="339"/>
      <c r="AL974" s="339"/>
      <c r="AM974" s="339"/>
      <c r="AN974" s="339"/>
      <c r="AO974" s="339"/>
      <c r="AP974" s="339"/>
      <c r="AQ974" s="339"/>
      <c r="AR974" s="339"/>
      <c r="AS974" s="339"/>
      <c r="AT974" s="339"/>
      <c r="AU974" s="339"/>
      <c r="AV974" s="339"/>
      <c r="AW974" s="339"/>
      <c r="AX974" s="339"/>
      <c r="AY974" s="339"/>
      <c r="AZ974" s="339"/>
      <c r="BA974" s="339"/>
      <c r="BB974" s="339"/>
      <c r="BC974" s="339"/>
      <c r="BD974" s="339"/>
    </row>
    <row r="975" spans="3:56">
      <c r="C975" s="339"/>
      <c r="D975" s="339"/>
      <c r="E975" s="339"/>
      <c r="F975" s="339"/>
      <c r="G975" s="339"/>
      <c r="H975" s="339"/>
      <c r="I975" s="339"/>
      <c r="J975" s="339"/>
      <c r="K975" s="339"/>
      <c r="L975" s="339"/>
      <c r="M975" s="339"/>
      <c r="N975" s="339"/>
      <c r="O975" s="339"/>
      <c r="P975" s="339"/>
      <c r="Q975" s="339"/>
      <c r="R975" s="339"/>
      <c r="S975" s="339"/>
      <c r="T975" s="339"/>
      <c r="U975" s="339"/>
      <c r="V975" s="339"/>
      <c r="W975" s="339"/>
      <c r="X975" s="339"/>
      <c r="Y975" s="339"/>
      <c r="Z975" s="339"/>
      <c r="AA975" s="339"/>
      <c r="AB975" s="339"/>
      <c r="AC975" s="339"/>
      <c r="AD975" s="339"/>
      <c r="AE975" s="339"/>
      <c r="AF975" s="339"/>
      <c r="AG975" s="339"/>
      <c r="AH975" s="339"/>
      <c r="AI975" s="339"/>
      <c r="AJ975" s="339"/>
      <c r="AK975" s="339"/>
      <c r="AL975" s="339"/>
      <c r="AM975" s="339"/>
      <c r="AN975" s="339"/>
      <c r="AO975" s="339"/>
      <c r="AP975" s="339"/>
      <c r="AQ975" s="339"/>
      <c r="AR975" s="339"/>
      <c r="AS975" s="339"/>
      <c r="AT975" s="339"/>
      <c r="AU975" s="339"/>
      <c r="AV975" s="339"/>
      <c r="AW975" s="339"/>
      <c r="AX975" s="339"/>
      <c r="AY975" s="339"/>
      <c r="AZ975" s="339"/>
      <c r="BA975" s="339"/>
      <c r="BB975" s="339"/>
      <c r="BC975" s="339"/>
      <c r="BD975" s="339"/>
    </row>
    <row r="976" spans="3:56">
      <c r="C976" s="339"/>
      <c r="D976" s="339"/>
      <c r="E976" s="339"/>
      <c r="F976" s="339"/>
      <c r="G976" s="339"/>
      <c r="H976" s="339"/>
      <c r="I976" s="339"/>
      <c r="J976" s="339"/>
      <c r="K976" s="339"/>
      <c r="L976" s="339"/>
      <c r="M976" s="339"/>
      <c r="N976" s="339"/>
      <c r="O976" s="339"/>
      <c r="P976" s="339"/>
      <c r="Q976" s="339"/>
      <c r="R976" s="339"/>
      <c r="S976" s="339"/>
      <c r="T976" s="339"/>
      <c r="U976" s="339"/>
      <c r="V976" s="339"/>
      <c r="W976" s="339"/>
      <c r="X976" s="339"/>
      <c r="Y976" s="339"/>
      <c r="Z976" s="339"/>
      <c r="AA976" s="339"/>
      <c r="AB976" s="339"/>
      <c r="AC976" s="339"/>
      <c r="AD976" s="339"/>
      <c r="AE976" s="339"/>
      <c r="AF976" s="339"/>
      <c r="AG976" s="339"/>
      <c r="AH976" s="339"/>
      <c r="AI976" s="339"/>
      <c r="AJ976" s="339"/>
      <c r="AK976" s="339"/>
      <c r="AL976" s="339"/>
      <c r="AM976" s="339"/>
      <c r="AN976" s="339"/>
      <c r="AO976" s="339"/>
      <c r="AP976" s="339"/>
      <c r="AQ976" s="339"/>
      <c r="AR976" s="339"/>
      <c r="AS976" s="339"/>
      <c r="AT976" s="339"/>
      <c r="AU976" s="339"/>
      <c r="AV976" s="339"/>
      <c r="AW976" s="339"/>
      <c r="AX976" s="339"/>
      <c r="AY976" s="339"/>
      <c r="AZ976" s="339"/>
      <c r="BA976" s="339"/>
      <c r="BB976" s="339"/>
      <c r="BC976" s="339"/>
      <c r="BD976" s="339"/>
    </row>
    <row r="977" spans="3:56">
      <c r="C977" s="339"/>
      <c r="D977" s="339"/>
      <c r="E977" s="339"/>
      <c r="F977" s="339"/>
      <c r="G977" s="339"/>
      <c r="H977" s="339"/>
      <c r="I977" s="339"/>
      <c r="J977" s="339"/>
      <c r="K977" s="339"/>
      <c r="L977" s="339"/>
      <c r="M977" s="339"/>
      <c r="N977" s="339"/>
      <c r="O977" s="339"/>
      <c r="P977" s="339"/>
      <c r="Q977" s="339"/>
      <c r="R977" s="339"/>
      <c r="S977" s="339"/>
      <c r="T977" s="339"/>
      <c r="U977" s="339"/>
      <c r="V977" s="339"/>
      <c r="W977" s="339"/>
      <c r="X977" s="339"/>
      <c r="Y977" s="339"/>
      <c r="Z977" s="339"/>
      <c r="AA977" s="339"/>
      <c r="AB977" s="339"/>
      <c r="AC977" s="339"/>
      <c r="AD977" s="339"/>
      <c r="AE977" s="339"/>
      <c r="AF977" s="339"/>
      <c r="AG977" s="339"/>
      <c r="AH977" s="339"/>
      <c r="AI977" s="339"/>
      <c r="AJ977" s="339"/>
      <c r="AK977" s="339"/>
      <c r="AL977" s="339"/>
      <c r="AM977" s="339"/>
      <c r="AN977" s="339"/>
      <c r="AO977" s="339"/>
      <c r="AP977" s="339"/>
      <c r="AQ977" s="339"/>
      <c r="AR977" s="339"/>
      <c r="AS977" s="339"/>
      <c r="AT977" s="339"/>
      <c r="AU977" s="339"/>
      <c r="AV977" s="339"/>
      <c r="AW977" s="339"/>
      <c r="AX977" s="339"/>
      <c r="AY977" s="339"/>
      <c r="AZ977" s="339"/>
      <c r="BA977" s="339"/>
      <c r="BB977" s="339"/>
      <c r="BC977" s="339"/>
      <c r="BD977" s="339"/>
    </row>
    <row r="978" spans="3:56">
      <c r="C978" s="339"/>
      <c r="D978" s="339"/>
      <c r="E978" s="339"/>
      <c r="F978" s="339"/>
      <c r="G978" s="339"/>
      <c r="H978" s="339"/>
      <c r="I978" s="339"/>
      <c r="J978" s="339"/>
      <c r="K978" s="339"/>
      <c r="L978" s="339"/>
      <c r="M978" s="339"/>
      <c r="N978" s="339"/>
      <c r="O978" s="339"/>
      <c r="P978" s="339"/>
      <c r="Q978" s="339"/>
      <c r="R978" s="339"/>
      <c r="S978" s="339"/>
      <c r="T978" s="339"/>
      <c r="U978" s="339"/>
      <c r="V978" s="339"/>
      <c r="W978" s="339"/>
      <c r="X978" s="339"/>
      <c r="Y978" s="339"/>
      <c r="Z978" s="339"/>
      <c r="AA978" s="339"/>
      <c r="AB978" s="339"/>
      <c r="AC978" s="339"/>
      <c r="AD978" s="339"/>
      <c r="AE978" s="339"/>
      <c r="AF978" s="339"/>
      <c r="AG978" s="339"/>
      <c r="AH978" s="339"/>
      <c r="AI978" s="339"/>
      <c r="AJ978" s="339"/>
      <c r="AK978" s="339"/>
      <c r="AL978" s="339"/>
      <c r="AM978" s="339"/>
      <c r="AN978" s="339"/>
      <c r="AO978" s="339"/>
      <c r="AP978" s="339"/>
      <c r="AQ978" s="339"/>
      <c r="AR978" s="339"/>
      <c r="AS978" s="339"/>
      <c r="AT978" s="339"/>
      <c r="AU978" s="339"/>
      <c r="AV978" s="339"/>
      <c r="AW978" s="339"/>
      <c r="AX978" s="339"/>
      <c r="AY978" s="339"/>
      <c r="AZ978" s="339"/>
      <c r="BA978" s="339"/>
      <c r="BB978" s="339"/>
      <c r="BC978" s="339"/>
      <c r="BD978" s="339"/>
    </row>
    <row r="979" spans="3:56">
      <c r="C979" s="339"/>
      <c r="D979" s="339"/>
      <c r="E979" s="339"/>
      <c r="F979" s="339"/>
      <c r="G979" s="339"/>
      <c r="H979" s="339"/>
      <c r="I979" s="339"/>
      <c r="J979" s="339"/>
      <c r="K979" s="339"/>
      <c r="L979" s="339"/>
      <c r="M979" s="339"/>
      <c r="N979" s="339"/>
      <c r="O979" s="339"/>
      <c r="P979" s="339"/>
      <c r="Q979" s="339"/>
      <c r="R979" s="339"/>
      <c r="S979" s="339"/>
      <c r="T979" s="339"/>
      <c r="U979" s="339"/>
      <c r="V979" s="339"/>
      <c r="W979" s="339"/>
      <c r="X979" s="339"/>
      <c r="Y979" s="339"/>
      <c r="Z979" s="339"/>
      <c r="AA979" s="339"/>
      <c r="AB979" s="339"/>
      <c r="AC979" s="339"/>
      <c r="AD979" s="339"/>
      <c r="AE979" s="339"/>
      <c r="AF979" s="339"/>
      <c r="AG979" s="339"/>
      <c r="AH979" s="339"/>
      <c r="AI979" s="339"/>
      <c r="AJ979" s="339"/>
      <c r="AK979" s="339"/>
      <c r="AL979" s="339"/>
      <c r="AM979" s="339"/>
      <c r="AN979" s="339"/>
      <c r="AO979" s="339"/>
      <c r="AP979" s="339"/>
      <c r="AQ979" s="339"/>
      <c r="AR979" s="339"/>
      <c r="AS979" s="339"/>
      <c r="AT979" s="339"/>
      <c r="AU979" s="339"/>
      <c r="AV979" s="339"/>
      <c r="AW979" s="339"/>
      <c r="AX979" s="339"/>
      <c r="AY979" s="339"/>
      <c r="AZ979" s="339"/>
      <c r="BA979" s="339"/>
      <c r="BB979" s="339"/>
      <c r="BC979" s="339"/>
      <c r="BD979" s="339"/>
    </row>
    <row r="980" spans="3:56">
      <c r="C980" s="339"/>
      <c r="D980" s="339"/>
      <c r="E980" s="339"/>
      <c r="F980" s="339"/>
      <c r="G980" s="339"/>
      <c r="H980" s="339"/>
      <c r="I980" s="339"/>
      <c r="J980" s="339"/>
      <c r="K980" s="339"/>
      <c r="L980" s="339"/>
      <c r="M980" s="339"/>
      <c r="N980" s="339"/>
      <c r="O980" s="339"/>
      <c r="P980" s="339"/>
      <c r="Q980" s="339"/>
      <c r="R980" s="339"/>
      <c r="S980" s="339"/>
      <c r="T980" s="339"/>
      <c r="U980" s="339"/>
      <c r="V980" s="339"/>
      <c r="W980" s="339"/>
      <c r="X980" s="339"/>
      <c r="Y980" s="339"/>
      <c r="Z980" s="339"/>
      <c r="AA980" s="339"/>
      <c r="AB980" s="339"/>
      <c r="AC980" s="339"/>
      <c r="AD980" s="339"/>
      <c r="AE980" s="339"/>
      <c r="AF980" s="339"/>
      <c r="AG980" s="339"/>
      <c r="AH980" s="339"/>
      <c r="AI980" s="339"/>
      <c r="AJ980" s="339"/>
      <c r="AK980" s="339"/>
      <c r="AL980" s="339"/>
      <c r="AM980" s="339"/>
      <c r="AN980" s="339"/>
      <c r="AO980" s="339"/>
      <c r="AP980" s="339"/>
      <c r="AQ980" s="339"/>
      <c r="AR980" s="339"/>
      <c r="AS980" s="339"/>
      <c r="AT980" s="339"/>
      <c r="AU980" s="339"/>
      <c r="AV980" s="339"/>
      <c r="AW980" s="339"/>
      <c r="AX980" s="339"/>
      <c r="AY980" s="339"/>
      <c r="AZ980" s="339"/>
      <c r="BA980" s="339"/>
      <c r="BB980" s="339"/>
      <c r="BC980" s="339"/>
      <c r="BD980" s="339"/>
    </row>
    <row r="981" spans="3:56">
      <c r="C981" s="339"/>
      <c r="D981" s="339"/>
      <c r="E981" s="339"/>
      <c r="F981" s="339"/>
      <c r="G981" s="339"/>
      <c r="H981" s="339"/>
      <c r="I981" s="339"/>
      <c r="J981" s="339"/>
      <c r="K981" s="339"/>
      <c r="L981" s="339"/>
      <c r="M981" s="339"/>
      <c r="N981" s="339"/>
      <c r="O981" s="339"/>
      <c r="P981" s="339"/>
      <c r="Q981" s="339"/>
      <c r="R981" s="339"/>
      <c r="S981" s="339"/>
      <c r="T981" s="339"/>
      <c r="U981" s="339"/>
      <c r="V981" s="339"/>
      <c r="W981" s="339"/>
      <c r="X981" s="339"/>
      <c r="Y981" s="339"/>
      <c r="Z981" s="339"/>
      <c r="AA981" s="339"/>
      <c r="AB981" s="339"/>
      <c r="AC981" s="339"/>
      <c r="AD981" s="339"/>
      <c r="AE981" s="339"/>
      <c r="AF981" s="339"/>
      <c r="AG981" s="339"/>
      <c r="AH981" s="339"/>
      <c r="AI981" s="339"/>
      <c r="AJ981" s="339"/>
      <c r="AK981" s="339"/>
      <c r="AL981" s="339"/>
      <c r="AM981" s="339"/>
      <c r="AN981" s="339"/>
      <c r="AO981" s="339"/>
      <c r="AP981" s="339"/>
      <c r="AQ981" s="339"/>
      <c r="AR981" s="339"/>
      <c r="AS981" s="339"/>
      <c r="AT981" s="339"/>
      <c r="AU981" s="339"/>
      <c r="AV981" s="339"/>
      <c r="AW981" s="339"/>
      <c r="AX981" s="339"/>
      <c r="AY981" s="339"/>
      <c r="AZ981" s="339"/>
      <c r="BA981" s="339"/>
      <c r="BB981" s="339"/>
      <c r="BC981" s="339"/>
      <c r="BD981" s="339"/>
    </row>
    <row r="982" spans="3:56">
      <c r="C982" s="339"/>
      <c r="D982" s="339"/>
      <c r="E982" s="339"/>
      <c r="F982" s="339"/>
      <c r="G982" s="339"/>
      <c r="H982" s="339"/>
      <c r="I982" s="339"/>
      <c r="J982" s="339"/>
      <c r="K982" s="339"/>
      <c r="L982" s="339"/>
      <c r="M982" s="339"/>
      <c r="N982" s="339"/>
      <c r="O982" s="339"/>
      <c r="P982" s="339"/>
      <c r="Q982" s="339"/>
      <c r="R982" s="339"/>
      <c r="S982" s="339"/>
      <c r="T982" s="339"/>
      <c r="U982" s="339"/>
      <c r="V982" s="339"/>
      <c r="W982" s="339"/>
      <c r="X982" s="339"/>
      <c r="Y982" s="339"/>
      <c r="Z982" s="339"/>
      <c r="AA982" s="339"/>
      <c r="AB982" s="339"/>
      <c r="AC982" s="339"/>
      <c r="AD982" s="339"/>
      <c r="AE982" s="339"/>
      <c r="AF982" s="339"/>
      <c r="AG982" s="339"/>
      <c r="AH982" s="339"/>
      <c r="AI982" s="339"/>
      <c r="AJ982" s="339"/>
      <c r="AK982" s="339"/>
      <c r="AL982" s="339"/>
      <c r="AM982" s="339"/>
      <c r="AN982" s="339"/>
      <c r="AO982" s="339"/>
      <c r="AP982" s="339"/>
      <c r="AQ982" s="339"/>
      <c r="AR982" s="339"/>
      <c r="AS982" s="339"/>
      <c r="AT982" s="339"/>
      <c r="AU982" s="339"/>
      <c r="AV982" s="339"/>
      <c r="AW982" s="339"/>
      <c r="AX982" s="339"/>
      <c r="AY982" s="339"/>
      <c r="AZ982" s="339"/>
      <c r="BA982" s="339"/>
      <c r="BB982" s="339"/>
      <c r="BC982" s="339"/>
      <c r="BD982" s="339"/>
    </row>
    <row r="983" spans="3:56">
      <c r="C983" s="339"/>
      <c r="D983" s="339"/>
      <c r="E983" s="339"/>
      <c r="F983" s="339"/>
      <c r="G983" s="339"/>
      <c r="H983" s="339"/>
      <c r="I983" s="339"/>
      <c r="J983" s="339"/>
      <c r="K983" s="339"/>
      <c r="L983" s="339"/>
      <c r="M983" s="339"/>
      <c r="N983" s="339"/>
      <c r="O983" s="339"/>
      <c r="P983" s="339"/>
      <c r="Q983" s="339"/>
      <c r="R983" s="339"/>
      <c r="S983" s="339"/>
      <c r="T983" s="339"/>
      <c r="U983" s="339"/>
      <c r="V983" s="339"/>
      <c r="W983" s="339"/>
      <c r="X983" s="339"/>
      <c r="Y983" s="339"/>
      <c r="Z983" s="339"/>
      <c r="AA983" s="339"/>
      <c r="AB983" s="339"/>
      <c r="AC983" s="339"/>
      <c r="AD983" s="339"/>
      <c r="AE983" s="339"/>
      <c r="AF983" s="339"/>
      <c r="AG983" s="339"/>
      <c r="AH983" s="339"/>
      <c r="AI983" s="339"/>
      <c r="AJ983" s="339"/>
      <c r="AK983" s="339"/>
      <c r="AL983" s="339"/>
      <c r="AM983" s="339"/>
      <c r="AN983" s="339"/>
      <c r="AO983" s="339"/>
      <c r="AP983" s="339"/>
      <c r="AQ983" s="339"/>
      <c r="AR983" s="339"/>
      <c r="AS983" s="339"/>
      <c r="AT983" s="339"/>
      <c r="AU983" s="339"/>
      <c r="AV983" s="339"/>
      <c r="AW983" s="339"/>
      <c r="AX983" s="339"/>
      <c r="AY983" s="339"/>
      <c r="AZ983" s="339"/>
      <c r="BA983" s="339"/>
      <c r="BB983" s="339"/>
      <c r="BC983" s="339"/>
      <c r="BD983" s="339"/>
    </row>
    <row r="984" spans="3:56">
      <c r="C984" s="339"/>
      <c r="D984" s="339"/>
      <c r="E984" s="339"/>
      <c r="F984" s="339"/>
      <c r="G984" s="339"/>
      <c r="H984" s="339"/>
      <c r="I984" s="339"/>
      <c r="J984" s="339"/>
      <c r="K984" s="339"/>
      <c r="L984" s="339"/>
      <c r="M984" s="339"/>
      <c r="N984" s="339"/>
      <c r="O984" s="339"/>
      <c r="P984" s="339"/>
      <c r="Q984" s="339"/>
      <c r="R984" s="339"/>
      <c r="S984" s="339"/>
      <c r="T984" s="339"/>
      <c r="U984" s="339"/>
      <c r="V984" s="339"/>
      <c r="W984" s="339"/>
      <c r="X984" s="339"/>
      <c r="Y984" s="339"/>
      <c r="Z984" s="339"/>
      <c r="AA984" s="339"/>
      <c r="AB984" s="339"/>
      <c r="AC984" s="339"/>
      <c r="AD984" s="339"/>
      <c r="AE984" s="339"/>
      <c r="AF984" s="339"/>
      <c r="AG984" s="339"/>
      <c r="AH984" s="339"/>
      <c r="AI984" s="339"/>
      <c r="AJ984" s="339"/>
      <c r="AK984" s="339"/>
      <c r="AL984" s="339"/>
      <c r="AM984" s="339"/>
      <c r="AN984" s="339"/>
      <c r="AO984" s="339"/>
      <c r="AP984" s="339"/>
      <c r="AQ984" s="339"/>
      <c r="AR984" s="339"/>
      <c r="AS984" s="339"/>
      <c r="AT984" s="339"/>
      <c r="AU984" s="339"/>
      <c r="AV984" s="339"/>
      <c r="AW984" s="339"/>
      <c r="AX984" s="339"/>
      <c r="AY984" s="339"/>
      <c r="AZ984" s="339"/>
      <c r="BA984" s="339"/>
      <c r="BB984" s="339"/>
      <c r="BC984" s="339"/>
      <c r="BD984" s="339"/>
    </row>
    <row r="985" spans="3:56">
      <c r="C985" s="339"/>
      <c r="D985" s="339"/>
      <c r="E985" s="339"/>
      <c r="F985" s="339"/>
      <c r="G985" s="339"/>
      <c r="H985" s="339"/>
      <c r="I985" s="339"/>
      <c r="J985" s="339"/>
      <c r="K985" s="339"/>
      <c r="L985" s="339"/>
      <c r="M985" s="339"/>
      <c r="N985" s="339"/>
      <c r="O985" s="339"/>
      <c r="P985" s="339"/>
      <c r="Q985" s="339"/>
      <c r="R985" s="339"/>
      <c r="S985" s="339"/>
      <c r="T985" s="339"/>
      <c r="U985" s="339"/>
      <c r="V985" s="339"/>
      <c r="W985" s="339"/>
      <c r="X985" s="339"/>
      <c r="Y985" s="339"/>
      <c r="Z985" s="339"/>
      <c r="AA985" s="339"/>
      <c r="AB985" s="339"/>
      <c r="AC985" s="339"/>
      <c r="AD985" s="339"/>
      <c r="AE985" s="339"/>
      <c r="AF985" s="339"/>
      <c r="AG985" s="339"/>
      <c r="AH985" s="339"/>
      <c r="AI985" s="339"/>
      <c r="AJ985" s="339"/>
      <c r="AK985" s="339"/>
      <c r="AL985" s="339"/>
      <c r="AM985" s="339"/>
      <c r="AN985" s="339"/>
      <c r="AO985" s="339"/>
      <c r="AP985" s="339"/>
      <c r="AQ985" s="339"/>
      <c r="AR985" s="339"/>
      <c r="AS985" s="339"/>
      <c r="AT985" s="339"/>
      <c r="AU985" s="339"/>
      <c r="AV985" s="339"/>
      <c r="AW985" s="339"/>
      <c r="AX985" s="339"/>
      <c r="AY985" s="339"/>
      <c r="AZ985" s="339"/>
      <c r="BA985" s="339"/>
      <c r="BB985" s="339"/>
      <c r="BC985" s="339"/>
      <c r="BD985" s="339"/>
    </row>
    <row r="986" spans="3:56">
      <c r="C986" s="339"/>
      <c r="D986" s="339"/>
      <c r="E986" s="339"/>
      <c r="F986" s="339"/>
      <c r="G986" s="339"/>
      <c r="H986" s="339"/>
      <c r="I986" s="339"/>
      <c r="J986" s="339"/>
      <c r="K986" s="339"/>
      <c r="L986" s="339"/>
      <c r="M986" s="339"/>
      <c r="N986" s="339"/>
      <c r="O986" s="339"/>
      <c r="P986" s="339"/>
      <c r="Q986" s="339"/>
      <c r="R986" s="339"/>
      <c r="S986" s="339"/>
      <c r="T986" s="339"/>
      <c r="U986" s="339"/>
      <c r="V986" s="339"/>
      <c r="W986" s="339"/>
      <c r="X986" s="339"/>
      <c r="Y986" s="339"/>
      <c r="Z986" s="339"/>
      <c r="AA986" s="339"/>
      <c r="AB986" s="339"/>
      <c r="AC986" s="339"/>
      <c r="AD986" s="339"/>
      <c r="AE986" s="339"/>
      <c r="AF986" s="339"/>
      <c r="AG986" s="339"/>
      <c r="AH986" s="339"/>
      <c r="AI986" s="339"/>
      <c r="AJ986" s="339"/>
      <c r="AK986" s="339"/>
      <c r="AL986" s="339"/>
      <c r="AM986" s="339"/>
      <c r="AN986" s="339"/>
      <c r="AO986" s="339"/>
      <c r="AP986" s="339"/>
      <c r="AQ986" s="339"/>
      <c r="AR986" s="339"/>
      <c r="AS986" s="339"/>
      <c r="AT986" s="339"/>
      <c r="AU986" s="339"/>
      <c r="AV986" s="339"/>
      <c r="AW986" s="339"/>
      <c r="AX986" s="339"/>
      <c r="AY986" s="339"/>
      <c r="AZ986" s="339"/>
      <c r="BA986" s="339"/>
      <c r="BB986" s="339"/>
      <c r="BC986" s="339"/>
      <c r="BD986" s="339"/>
    </row>
    <row r="987" spans="3:56">
      <c r="C987" s="339"/>
      <c r="D987" s="339"/>
      <c r="E987" s="339"/>
      <c r="F987" s="339"/>
      <c r="G987" s="339"/>
      <c r="H987" s="339"/>
      <c r="I987" s="339"/>
      <c r="J987" s="339"/>
      <c r="K987" s="339"/>
      <c r="L987" s="339"/>
      <c r="M987" s="339"/>
      <c r="N987" s="339"/>
      <c r="O987" s="339"/>
      <c r="P987" s="339"/>
      <c r="Q987" s="339"/>
      <c r="R987" s="339"/>
      <c r="S987" s="339"/>
      <c r="T987" s="339"/>
      <c r="U987" s="339"/>
      <c r="V987" s="339"/>
      <c r="W987" s="339"/>
      <c r="X987" s="339"/>
      <c r="Y987" s="339"/>
      <c r="Z987" s="339"/>
      <c r="AA987" s="339"/>
      <c r="AB987" s="339"/>
      <c r="AC987" s="339"/>
      <c r="AD987" s="339"/>
      <c r="AE987" s="339"/>
      <c r="AF987" s="339"/>
      <c r="AG987" s="339"/>
      <c r="AH987" s="339"/>
      <c r="AI987" s="339"/>
      <c r="AJ987" s="339"/>
      <c r="AK987" s="339"/>
      <c r="AL987" s="339"/>
      <c r="AM987" s="339"/>
      <c r="AN987" s="339"/>
      <c r="AO987" s="339"/>
      <c r="AP987" s="339"/>
      <c r="AQ987" s="339"/>
      <c r="AR987" s="339"/>
      <c r="AS987" s="339"/>
      <c r="AT987" s="339"/>
      <c r="AU987" s="339"/>
      <c r="AV987" s="339"/>
      <c r="AW987" s="339"/>
      <c r="AX987" s="339"/>
      <c r="AY987" s="339"/>
      <c r="AZ987" s="339"/>
      <c r="BA987" s="339"/>
      <c r="BB987" s="339"/>
      <c r="BC987" s="339"/>
      <c r="BD987" s="339"/>
    </row>
    <row r="988" spans="3:56">
      <c r="C988" s="339"/>
      <c r="D988" s="339"/>
      <c r="E988" s="339"/>
      <c r="F988" s="339"/>
      <c r="G988" s="339"/>
      <c r="H988" s="339"/>
      <c r="I988" s="339"/>
      <c r="J988" s="339"/>
      <c r="K988" s="339"/>
      <c r="L988" s="339"/>
      <c r="M988" s="339"/>
      <c r="N988" s="339"/>
      <c r="O988" s="339"/>
      <c r="P988" s="339"/>
      <c r="Q988" s="339"/>
      <c r="R988" s="339"/>
      <c r="S988" s="339"/>
      <c r="T988" s="339"/>
      <c r="U988" s="339"/>
      <c r="V988" s="339"/>
      <c r="W988" s="339"/>
      <c r="X988" s="339"/>
      <c r="Y988" s="339"/>
      <c r="Z988" s="339"/>
      <c r="AA988" s="339"/>
      <c r="AB988" s="339"/>
      <c r="AC988" s="339"/>
      <c r="AD988" s="339"/>
      <c r="AE988" s="339"/>
      <c r="AF988" s="339"/>
      <c r="AG988" s="339"/>
      <c r="AH988" s="339"/>
      <c r="AI988" s="339"/>
      <c r="AJ988" s="339"/>
      <c r="AK988" s="339"/>
      <c r="AL988" s="339"/>
      <c r="AM988" s="339"/>
      <c r="AN988" s="339"/>
      <c r="AO988" s="339"/>
      <c r="AP988" s="339"/>
      <c r="AQ988" s="339"/>
      <c r="AR988" s="339"/>
      <c r="AS988" s="339"/>
      <c r="AT988" s="339"/>
      <c r="AU988" s="339"/>
      <c r="AV988" s="339"/>
      <c r="AW988" s="339"/>
      <c r="AX988" s="339"/>
      <c r="AY988" s="339"/>
      <c r="AZ988" s="339"/>
      <c r="BA988" s="339"/>
      <c r="BB988" s="339"/>
      <c r="BC988" s="339"/>
      <c r="BD988" s="339"/>
    </row>
    <row r="989" spans="3:56">
      <c r="C989" s="339"/>
      <c r="D989" s="339"/>
      <c r="E989" s="339"/>
      <c r="F989" s="339"/>
      <c r="G989" s="339"/>
      <c r="H989" s="339"/>
      <c r="I989" s="339"/>
      <c r="J989" s="339"/>
      <c r="K989" s="339"/>
      <c r="L989" s="339"/>
      <c r="M989" s="339"/>
      <c r="N989" s="339"/>
      <c r="O989" s="339"/>
      <c r="P989" s="339"/>
      <c r="Q989" s="339"/>
      <c r="R989" s="339"/>
      <c r="S989" s="339"/>
      <c r="T989" s="339"/>
      <c r="U989" s="339"/>
      <c r="V989" s="339"/>
      <c r="W989" s="339"/>
      <c r="X989" s="339"/>
      <c r="Y989" s="339"/>
      <c r="Z989" s="339"/>
      <c r="AA989" s="339"/>
      <c r="AB989" s="339"/>
      <c r="AC989" s="339"/>
      <c r="AD989" s="339"/>
      <c r="AE989" s="339"/>
      <c r="AF989" s="339"/>
      <c r="AG989" s="339"/>
      <c r="AH989" s="339"/>
      <c r="AI989" s="339"/>
      <c r="AJ989" s="339"/>
      <c r="AK989" s="339"/>
      <c r="AL989" s="339"/>
      <c r="AM989" s="339"/>
      <c r="AN989" s="339"/>
      <c r="AO989" s="339"/>
      <c r="AP989" s="339"/>
      <c r="AQ989" s="339"/>
      <c r="AR989" s="339"/>
      <c r="AS989" s="339"/>
      <c r="AT989" s="339"/>
      <c r="AU989" s="339"/>
      <c r="AV989" s="339"/>
      <c r="AW989" s="339"/>
      <c r="AX989" s="339"/>
      <c r="AY989" s="339"/>
      <c r="AZ989" s="339"/>
      <c r="BA989" s="339"/>
      <c r="BB989" s="339"/>
      <c r="BC989" s="339"/>
      <c r="BD989" s="339"/>
    </row>
    <row r="990" spans="3:56">
      <c r="C990" s="339"/>
      <c r="D990" s="339"/>
      <c r="E990" s="339"/>
      <c r="F990" s="339"/>
      <c r="G990" s="339"/>
      <c r="H990" s="339"/>
      <c r="I990" s="339"/>
      <c r="J990" s="339"/>
      <c r="K990" s="339"/>
      <c r="L990" s="339"/>
      <c r="M990" s="339"/>
      <c r="N990" s="339"/>
      <c r="O990" s="339"/>
      <c r="P990" s="339"/>
      <c r="Q990" s="339"/>
      <c r="R990" s="339"/>
      <c r="S990" s="339"/>
      <c r="T990" s="339"/>
      <c r="U990" s="339"/>
      <c r="V990" s="339"/>
      <c r="W990" s="339"/>
      <c r="X990" s="339"/>
      <c r="Y990" s="339"/>
      <c r="Z990" s="339"/>
      <c r="AA990" s="339"/>
      <c r="AB990" s="339"/>
      <c r="AC990" s="339"/>
      <c r="AD990" s="339"/>
      <c r="AE990" s="339"/>
      <c r="AF990" s="339"/>
      <c r="AG990" s="339"/>
      <c r="AH990" s="339"/>
      <c r="AI990" s="339"/>
      <c r="AJ990" s="339"/>
      <c r="AK990" s="339"/>
      <c r="AL990" s="339"/>
      <c r="AM990" s="339"/>
      <c r="AN990" s="339"/>
      <c r="AO990" s="339"/>
      <c r="AP990" s="339"/>
      <c r="AQ990" s="339"/>
      <c r="AR990" s="339"/>
      <c r="AS990" s="339"/>
      <c r="AT990" s="339"/>
      <c r="AU990" s="339"/>
      <c r="AV990" s="339"/>
      <c r="AW990" s="339"/>
      <c r="AX990" s="339"/>
      <c r="AY990" s="339"/>
      <c r="AZ990" s="339"/>
      <c r="BA990" s="339"/>
      <c r="BB990" s="339"/>
      <c r="BC990" s="339"/>
      <c r="BD990" s="339"/>
    </row>
    <row r="991" spans="3:56">
      <c r="C991" s="339"/>
      <c r="D991" s="339"/>
      <c r="E991" s="339"/>
      <c r="F991" s="339"/>
      <c r="G991" s="339"/>
      <c r="H991" s="339"/>
      <c r="I991" s="339"/>
      <c r="J991" s="339"/>
      <c r="K991" s="339"/>
      <c r="L991" s="339"/>
      <c r="M991" s="339"/>
      <c r="N991" s="339"/>
      <c r="O991" s="339"/>
      <c r="P991" s="339"/>
      <c r="Q991" s="339"/>
      <c r="R991" s="339"/>
      <c r="S991" s="339"/>
      <c r="T991" s="339"/>
      <c r="U991" s="339"/>
      <c r="V991" s="339"/>
      <c r="W991" s="339"/>
      <c r="X991" s="339"/>
      <c r="Y991" s="339"/>
      <c r="Z991" s="339"/>
      <c r="AA991" s="339"/>
      <c r="AB991" s="339"/>
      <c r="AC991" s="339"/>
      <c r="AD991" s="339"/>
      <c r="AE991" s="339"/>
      <c r="AF991" s="339"/>
      <c r="AG991" s="339"/>
      <c r="AH991" s="339"/>
      <c r="AI991" s="339"/>
      <c r="AJ991" s="339"/>
      <c r="AK991" s="339"/>
      <c r="AL991" s="339"/>
      <c r="AM991" s="339"/>
      <c r="AN991" s="339"/>
      <c r="AO991" s="339"/>
      <c r="AP991" s="339"/>
      <c r="AQ991" s="339"/>
      <c r="AR991" s="339"/>
      <c r="AS991" s="339"/>
      <c r="AT991" s="339"/>
      <c r="AU991" s="339"/>
      <c r="AV991" s="339"/>
      <c r="AW991" s="339"/>
      <c r="AX991" s="339"/>
      <c r="AY991" s="339"/>
      <c r="AZ991" s="339"/>
      <c r="BA991" s="339"/>
      <c r="BB991" s="339"/>
      <c r="BC991" s="339"/>
      <c r="BD991" s="339"/>
    </row>
    <row r="992" spans="3:56">
      <c r="C992" s="339"/>
      <c r="D992" s="339"/>
      <c r="E992" s="339"/>
      <c r="F992" s="339"/>
      <c r="G992" s="339"/>
      <c r="H992" s="339"/>
      <c r="I992" s="339"/>
      <c r="J992" s="339"/>
      <c r="K992" s="339"/>
      <c r="L992" s="339"/>
      <c r="M992" s="339"/>
      <c r="N992" s="339"/>
      <c r="O992" s="339"/>
      <c r="P992" s="339"/>
      <c r="Q992" s="339"/>
      <c r="R992" s="339"/>
      <c r="S992" s="339"/>
      <c r="T992" s="339"/>
      <c r="U992" s="339"/>
      <c r="V992" s="339"/>
      <c r="W992" s="339"/>
      <c r="X992" s="339"/>
      <c r="Y992" s="339"/>
      <c r="Z992" s="339"/>
      <c r="AA992" s="339"/>
      <c r="AB992" s="339"/>
      <c r="AC992" s="339"/>
      <c r="AD992" s="339"/>
      <c r="AE992" s="339"/>
      <c r="AF992" s="339"/>
      <c r="AG992" s="339"/>
      <c r="AH992" s="339"/>
      <c r="AI992" s="339"/>
      <c r="AJ992" s="339"/>
      <c r="AK992" s="339"/>
      <c r="AL992" s="339"/>
      <c r="AM992" s="339"/>
      <c r="AN992" s="339"/>
      <c r="AO992" s="339"/>
      <c r="AP992" s="339"/>
      <c r="AQ992" s="339"/>
      <c r="AR992" s="339"/>
      <c r="AS992" s="339"/>
      <c r="AT992" s="339"/>
      <c r="AU992" s="339"/>
      <c r="AV992" s="339"/>
      <c r="AW992" s="339"/>
      <c r="AX992" s="339"/>
      <c r="AY992" s="339"/>
      <c r="AZ992" s="339"/>
      <c r="BA992" s="339"/>
      <c r="BB992" s="339"/>
      <c r="BC992" s="339"/>
      <c r="BD992" s="339"/>
    </row>
    <row r="993" spans="3:56">
      <c r="C993" s="339"/>
      <c r="D993" s="339"/>
      <c r="E993" s="339"/>
      <c r="F993" s="339"/>
      <c r="G993" s="339"/>
      <c r="H993" s="339"/>
      <c r="I993" s="339"/>
      <c r="J993" s="339"/>
      <c r="K993" s="339"/>
      <c r="L993" s="339"/>
      <c r="M993" s="339"/>
      <c r="N993" s="339"/>
      <c r="O993" s="339"/>
      <c r="P993" s="339"/>
      <c r="Q993" s="339"/>
      <c r="R993" s="339"/>
      <c r="S993" s="339"/>
      <c r="T993" s="339"/>
      <c r="U993" s="339"/>
      <c r="V993" s="339"/>
      <c r="W993" s="339"/>
      <c r="X993" s="339"/>
      <c r="Y993" s="339"/>
      <c r="Z993" s="339"/>
      <c r="AA993" s="339"/>
      <c r="AB993" s="339"/>
      <c r="AC993" s="339"/>
      <c r="AD993" s="339"/>
      <c r="AE993" s="339"/>
      <c r="AF993" s="339"/>
      <c r="AG993" s="339"/>
      <c r="AH993" s="339"/>
      <c r="AI993" s="339"/>
      <c r="AJ993" s="339"/>
      <c r="AK993" s="339"/>
      <c r="AL993" s="339"/>
      <c r="AM993" s="339"/>
      <c r="AN993" s="339"/>
      <c r="AO993" s="339"/>
      <c r="AP993" s="339"/>
      <c r="AQ993" s="339"/>
      <c r="AR993" s="339"/>
      <c r="AS993" s="339"/>
      <c r="AT993" s="339"/>
      <c r="AU993" s="339"/>
      <c r="AV993" s="339"/>
      <c r="AW993" s="339"/>
      <c r="AX993" s="339"/>
      <c r="AY993" s="339"/>
      <c r="AZ993" s="339"/>
      <c r="BA993" s="339"/>
      <c r="BB993" s="339"/>
      <c r="BC993" s="339"/>
      <c r="BD993" s="339"/>
    </row>
    <row r="994" spans="3:56">
      <c r="C994" s="339"/>
      <c r="D994" s="339"/>
      <c r="E994" s="339"/>
      <c r="F994" s="339"/>
      <c r="G994" s="339"/>
      <c r="H994" s="339"/>
      <c r="I994" s="339"/>
      <c r="J994" s="339"/>
      <c r="K994" s="339"/>
      <c r="L994" s="339"/>
      <c r="M994" s="339"/>
      <c r="N994" s="339"/>
      <c r="O994" s="339"/>
      <c r="P994" s="339"/>
      <c r="Q994" s="339"/>
      <c r="R994" s="339"/>
      <c r="S994" s="339"/>
      <c r="T994" s="339"/>
      <c r="U994" s="339"/>
      <c r="V994" s="339"/>
      <c r="W994" s="339"/>
      <c r="X994" s="339"/>
      <c r="Y994" s="339"/>
      <c r="Z994" s="339"/>
      <c r="AA994" s="339"/>
      <c r="AB994" s="339"/>
      <c r="AC994" s="339"/>
      <c r="AD994" s="339"/>
      <c r="AE994" s="339"/>
      <c r="AF994" s="339"/>
      <c r="AG994" s="339"/>
      <c r="AH994" s="339"/>
      <c r="AI994" s="339"/>
      <c r="AJ994" s="339"/>
      <c r="AK994" s="339"/>
      <c r="AL994" s="339"/>
      <c r="AM994" s="339"/>
      <c r="AN994" s="339"/>
      <c r="AO994" s="339"/>
      <c r="AP994" s="339"/>
      <c r="AQ994" s="339"/>
      <c r="AR994" s="339"/>
      <c r="AS994" s="339"/>
      <c r="AT994" s="339"/>
      <c r="AU994" s="339"/>
      <c r="AV994" s="339"/>
      <c r="AW994" s="339"/>
      <c r="AX994" s="339"/>
      <c r="AY994" s="339"/>
      <c r="AZ994" s="339"/>
      <c r="BA994" s="339"/>
      <c r="BB994" s="339"/>
      <c r="BC994" s="339"/>
      <c r="BD994" s="339"/>
    </row>
    <row r="995" spans="3:56">
      <c r="C995" s="339"/>
      <c r="D995" s="339"/>
      <c r="E995" s="339"/>
      <c r="F995" s="339"/>
      <c r="G995" s="339"/>
      <c r="H995" s="339"/>
      <c r="I995" s="339"/>
      <c r="J995" s="339"/>
      <c r="K995" s="339"/>
      <c r="L995" s="339"/>
      <c r="M995" s="339"/>
      <c r="N995" s="339"/>
      <c r="O995" s="339"/>
      <c r="P995" s="339"/>
      <c r="Q995" s="339"/>
      <c r="R995" s="339"/>
      <c r="S995" s="339"/>
      <c r="T995" s="339"/>
      <c r="U995" s="339"/>
      <c r="V995" s="339"/>
      <c r="W995" s="339"/>
      <c r="X995" s="339"/>
      <c r="Y995" s="339"/>
      <c r="Z995" s="339"/>
      <c r="AA995" s="339"/>
      <c r="AB995" s="339"/>
      <c r="AC995" s="339"/>
      <c r="AD995" s="339"/>
      <c r="AE995" s="339"/>
      <c r="AF995" s="339"/>
      <c r="AG995" s="339"/>
      <c r="AH995" s="339"/>
      <c r="AI995" s="339"/>
      <c r="AJ995" s="339"/>
      <c r="AK995" s="339"/>
      <c r="AL995" s="339"/>
      <c r="AM995" s="339"/>
      <c r="AN995" s="339"/>
      <c r="AO995" s="339"/>
      <c r="AP995" s="339"/>
      <c r="AQ995" s="339"/>
      <c r="AR995" s="339"/>
      <c r="AS995" s="339"/>
      <c r="AT995" s="339"/>
      <c r="AU995" s="339"/>
      <c r="AV995" s="339"/>
      <c r="AW995" s="339"/>
      <c r="AX995" s="339"/>
      <c r="AY995" s="339"/>
      <c r="AZ995" s="339"/>
      <c r="BA995" s="339"/>
      <c r="BB995" s="339"/>
      <c r="BC995" s="339"/>
      <c r="BD995" s="339"/>
    </row>
    <row r="996" spans="3:56">
      <c r="C996" s="339"/>
      <c r="D996" s="339"/>
      <c r="E996" s="339"/>
      <c r="F996" s="339"/>
      <c r="G996" s="339"/>
      <c r="H996" s="339"/>
      <c r="I996" s="339"/>
      <c r="J996" s="339"/>
      <c r="K996" s="339"/>
      <c r="L996" s="339"/>
      <c r="M996" s="339"/>
      <c r="N996" s="339"/>
      <c r="O996" s="339"/>
      <c r="P996" s="339"/>
      <c r="Q996" s="339"/>
      <c r="R996" s="339"/>
      <c r="S996" s="339"/>
      <c r="T996" s="339"/>
      <c r="U996" s="339"/>
      <c r="V996" s="339"/>
      <c r="W996" s="339"/>
      <c r="X996" s="339"/>
      <c r="Y996" s="339"/>
      <c r="Z996" s="339"/>
      <c r="AA996" s="339"/>
      <c r="AB996" s="339"/>
      <c r="AC996" s="339"/>
      <c r="AD996" s="339"/>
      <c r="AE996" s="339"/>
      <c r="AF996" s="339"/>
      <c r="AG996" s="339"/>
      <c r="AH996" s="339"/>
      <c r="AI996" s="339"/>
      <c r="AJ996" s="339"/>
      <c r="AK996" s="339"/>
      <c r="AL996" s="339"/>
      <c r="AM996" s="339"/>
      <c r="AN996" s="339"/>
      <c r="AO996" s="339"/>
      <c r="AP996" s="339"/>
      <c r="AQ996" s="339"/>
      <c r="AR996" s="339"/>
      <c r="AS996" s="339"/>
      <c r="AT996" s="339"/>
      <c r="AU996" s="339"/>
      <c r="AV996" s="339"/>
      <c r="AW996" s="339"/>
      <c r="AX996" s="339"/>
      <c r="AY996" s="339"/>
      <c r="AZ996" s="339"/>
      <c r="BA996" s="339"/>
      <c r="BB996" s="339"/>
      <c r="BC996" s="339"/>
      <c r="BD996" s="339"/>
    </row>
    <row r="997" spans="3:56">
      <c r="C997" s="339"/>
      <c r="D997" s="339"/>
      <c r="E997" s="339"/>
      <c r="F997" s="339"/>
      <c r="G997" s="339"/>
      <c r="H997" s="339"/>
      <c r="I997" s="339"/>
      <c r="J997" s="339"/>
      <c r="K997" s="339"/>
      <c r="L997" s="339"/>
      <c r="M997" s="339"/>
      <c r="N997" s="339"/>
      <c r="O997" s="339"/>
      <c r="P997" s="339"/>
      <c r="Q997" s="339"/>
      <c r="R997" s="339"/>
      <c r="S997" s="339"/>
      <c r="T997" s="339"/>
      <c r="U997" s="339"/>
      <c r="V997" s="339"/>
      <c r="W997" s="339"/>
      <c r="X997" s="339"/>
      <c r="Y997" s="339"/>
      <c r="Z997" s="339"/>
      <c r="AA997" s="339"/>
      <c r="AB997" s="339"/>
      <c r="AC997" s="339"/>
      <c r="AD997" s="339"/>
      <c r="AE997" s="339"/>
      <c r="AF997" s="339"/>
      <c r="AG997" s="339"/>
      <c r="AH997" s="339"/>
      <c r="AI997" s="339"/>
      <c r="AJ997" s="339"/>
      <c r="AK997" s="339"/>
      <c r="AL997" s="339"/>
      <c r="AM997" s="339"/>
      <c r="AN997" s="339"/>
      <c r="AO997" s="339"/>
      <c r="AP997" s="339"/>
      <c r="AQ997" s="339"/>
      <c r="AR997" s="339"/>
      <c r="AS997" s="339"/>
      <c r="AT997" s="339"/>
      <c r="AU997" s="339"/>
      <c r="AV997" s="339"/>
      <c r="AW997" s="339"/>
      <c r="AX997" s="339"/>
      <c r="AY997" s="339"/>
      <c r="AZ997" s="339"/>
      <c r="BA997" s="339"/>
      <c r="BB997" s="339"/>
      <c r="BC997" s="339"/>
      <c r="BD997" s="339"/>
    </row>
    <row r="998" spans="3:56">
      <c r="C998" s="339"/>
      <c r="D998" s="339"/>
      <c r="E998" s="339"/>
      <c r="F998" s="339"/>
      <c r="G998" s="339"/>
      <c r="H998" s="339"/>
      <c r="I998" s="339"/>
      <c r="J998" s="339"/>
      <c r="K998" s="339"/>
      <c r="L998" s="339"/>
      <c r="M998" s="339"/>
      <c r="N998" s="339"/>
      <c r="O998" s="339"/>
      <c r="P998" s="339"/>
      <c r="Q998" s="339"/>
      <c r="R998" s="339"/>
      <c r="S998" s="339"/>
      <c r="T998" s="339"/>
      <c r="U998" s="339"/>
      <c r="V998" s="339"/>
      <c r="W998" s="339"/>
      <c r="X998" s="339"/>
      <c r="Y998" s="339"/>
      <c r="Z998" s="339"/>
      <c r="AA998" s="339"/>
      <c r="AB998" s="339"/>
      <c r="AC998" s="339"/>
      <c r="AD998" s="339"/>
      <c r="AE998" s="339"/>
      <c r="AF998" s="339"/>
      <c r="AG998" s="339"/>
      <c r="AH998" s="339"/>
      <c r="AI998" s="339"/>
      <c r="AJ998" s="339"/>
      <c r="AK998" s="339"/>
      <c r="AL998" s="339"/>
      <c r="AM998" s="339"/>
      <c r="AN998" s="339"/>
      <c r="AO998" s="339"/>
      <c r="AP998" s="339"/>
      <c r="AQ998" s="339"/>
      <c r="AR998" s="339"/>
      <c r="AS998" s="339"/>
      <c r="AT998" s="339"/>
      <c r="AU998" s="339"/>
      <c r="AV998" s="339"/>
      <c r="AW998" s="339"/>
      <c r="AX998" s="339"/>
      <c r="AY998" s="339"/>
      <c r="AZ998" s="339"/>
      <c r="BA998" s="339"/>
      <c r="BB998" s="339"/>
      <c r="BC998" s="339"/>
      <c r="BD998" s="339"/>
    </row>
    <row r="999" spans="3:56">
      <c r="C999" s="339"/>
      <c r="D999" s="339"/>
      <c r="E999" s="339"/>
      <c r="F999" s="339"/>
      <c r="G999" s="339"/>
      <c r="H999" s="339"/>
      <c r="I999" s="339"/>
      <c r="J999" s="339"/>
      <c r="K999" s="339"/>
      <c r="L999" s="339"/>
      <c r="M999" s="339"/>
      <c r="N999" s="339"/>
      <c r="O999" s="339"/>
      <c r="P999" s="339"/>
      <c r="Q999" s="339"/>
      <c r="R999" s="339"/>
      <c r="S999" s="339"/>
      <c r="T999" s="339"/>
      <c r="U999" s="339"/>
      <c r="V999" s="339"/>
      <c r="W999" s="339"/>
      <c r="X999" s="339"/>
      <c r="Y999" s="339"/>
      <c r="Z999" s="339"/>
      <c r="AA999" s="339"/>
      <c r="AB999" s="339"/>
      <c r="AC999" s="339"/>
      <c r="AD999" s="339"/>
      <c r="AE999" s="339"/>
      <c r="AF999" s="339"/>
      <c r="AG999" s="339"/>
      <c r="AH999" s="339"/>
      <c r="AI999" s="339"/>
      <c r="AJ999" s="339"/>
      <c r="AK999" s="339"/>
      <c r="AL999" s="339"/>
      <c r="AM999" s="339"/>
      <c r="AN999" s="339"/>
      <c r="AO999" s="339"/>
      <c r="AP999" s="339"/>
      <c r="AQ999" s="339"/>
      <c r="AR999" s="339"/>
      <c r="AS999" s="339"/>
      <c r="AT999" s="339"/>
      <c r="AU999" s="339"/>
      <c r="AV999" s="339"/>
      <c r="AW999" s="339"/>
      <c r="AX999" s="339"/>
      <c r="AY999" s="339"/>
      <c r="AZ999" s="339"/>
      <c r="BA999" s="339"/>
      <c r="BB999" s="339"/>
      <c r="BC999" s="339"/>
      <c r="BD999" s="339"/>
    </row>
    <row r="1000" spans="3:56">
      <c r="C1000" s="339"/>
      <c r="D1000" s="339"/>
      <c r="E1000" s="339"/>
      <c r="F1000" s="339"/>
      <c r="G1000" s="339"/>
      <c r="H1000" s="339"/>
      <c r="I1000" s="339"/>
      <c r="J1000" s="339"/>
      <c r="K1000" s="339"/>
      <c r="L1000" s="339"/>
      <c r="M1000" s="339"/>
      <c r="N1000" s="339"/>
      <c r="O1000" s="339"/>
      <c r="P1000" s="339"/>
      <c r="Q1000" s="339"/>
      <c r="R1000" s="339"/>
      <c r="S1000" s="339"/>
      <c r="T1000" s="339"/>
      <c r="U1000" s="339"/>
      <c r="V1000" s="339"/>
      <c r="W1000" s="339"/>
      <c r="X1000" s="339"/>
      <c r="Y1000" s="339"/>
      <c r="Z1000" s="339"/>
      <c r="AA1000" s="339"/>
      <c r="AB1000" s="339"/>
      <c r="AC1000" s="339"/>
      <c r="AD1000" s="339"/>
      <c r="AE1000" s="339"/>
      <c r="AF1000" s="339"/>
      <c r="AG1000" s="339"/>
      <c r="AH1000" s="339"/>
      <c r="AI1000" s="339"/>
      <c r="AJ1000" s="339"/>
      <c r="AK1000" s="339"/>
      <c r="AL1000" s="339"/>
      <c r="AM1000" s="339"/>
      <c r="AN1000" s="339"/>
      <c r="AO1000" s="339"/>
      <c r="AP1000" s="339"/>
      <c r="AQ1000" s="339"/>
      <c r="AR1000" s="339"/>
      <c r="AS1000" s="339"/>
      <c r="AT1000" s="339"/>
      <c r="AU1000" s="339"/>
      <c r="AV1000" s="339"/>
      <c r="AW1000" s="339"/>
      <c r="AX1000" s="339"/>
      <c r="AY1000" s="339"/>
      <c r="AZ1000" s="339"/>
      <c r="BA1000" s="339"/>
      <c r="BB1000" s="339"/>
      <c r="BC1000" s="339"/>
      <c r="BD1000" s="339"/>
    </row>
    <row r="1001" spans="3:56">
      <c r="C1001" s="339"/>
      <c r="D1001" s="339"/>
      <c r="E1001" s="339"/>
      <c r="F1001" s="339"/>
      <c r="G1001" s="339"/>
      <c r="H1001" s="339"/>
      <c r="I1001" s="339"/>
      <c r="J1001" s="339"/>
      <c r="K1001" s="339"/>
      <c r="L1001" s="339"/>
      <c r="M1001" s="339"/>
      <c r="N1001" s="339"/>
      <c r="O1001" s="339"/>
      <c r="P1001" s="339"/>
      <c r="Q1001" s="339"/>
      <c r="R1001" s="339"/>
      <c r="S1001" s="339"/>
      <c r="T1001" s="339"/>
      <c r="U1001" s="339"/>
      <c r="V1001" s="339"/>
      <c r="W1001" s="339"/>
      <c r="X1001" s="339"/>
      <c r="Y1001" s="339"/>
      <c r="Z1001" s="339"/>
      <c r="AA1001" s="339"/>
      <c r="AB1001" s="339"/>
      <c r="AC1001" s="339"/>
      <c r="AD1001" s="339"/>
      <c r="AE1001" s="339"/>
      <c r="AF1001" s="339"/>
      <c r="AG1001" s="339"/>
      <c r="AH1001" s="339"/>
      <c r="AI1001" s="339"/>
      <c r="AJ1001" s="339"/>
      <c r="AK1001" s="339"/>
      <c r="AL1001" s="339"/>
      <c r="AM1001" s="339"/>
      <c r="AN1001" s="339"/>
      <c r="AO1001" s="339"/>
      <c r="AP1001" s="339"/>
      <c r="AQ1001" s="339"/>
      <c r="AR1001" s="339"/>
      <c r="AS1001" s="339"/>
      <c r="AT1001" s="339"/>
      <c r="AU1001" s="339"/>
      <c r="AV1001" s="339"/>
      <c r="AW1001" s="339"/>
      <c r="AX1001" s="339"/>
      <c r="AY1001" s="339"/>
      <c r="AZ1001" s="339"/>
      <c r="BA1001" s="339"/>
      <c r="BB1001" s="339"/>
      <c r="BC1001" s="339"/>
      <c r="BD1001" s="339"/>
    </row>
    <row r="1002" spans="3:56">
      <c r="C1002" s="339"/>
      <c r="D1002" s="339"/>
      <c r="E1002" s="339"/>
      <c r="F1002" s="339"/>
      <c r="G1002" s="339"/>
      <c r="H1002" s="339"/>
      <c r="I1002" s="339"/>
      <c r="J1002" s="339"/>
      <c r="K1002" s="339"/>
      <c r="L1002" s="339"/>
      <c r="M1002" s="339"/>
      <c r="N1002" s="339"/>
      <c r="O1002" s="339"/>
      <c r="P1002" s="339"/>
      <c r="Q1002" s="339"/>
      <c r="R1002" s="339"/>
      <c r="S1002" s="339"/>
      <c r="T1002" s="339"/>
      <c r="U1002" s="339"/>
      <c r="V1002" s="339"/>
      <c r="W1002" s="339"/>
      <c r="X1002" s="339"/>
      <c r="Y1002" s="339"/>
      <c r="Z1002" s="339"/>
      <c r="AA1002" s="339"/>
      <c r="AB1002" s="339"/>
      <c r="AC1002" s="339"/>
      <c r="AD1002" s="339"/>
      <c r="AE1002" s="339"/>
      <c r="AF1002" s="339"/>
      <c r="AG1002" s="339"/>
      <c r="AH1002" s="339"/>
      <c r="AI1002" s="339"/>
      <c r="AJ1002" s="339"/>
      <c r="AK1002" s="339"/>
      <c r="AL1002" s="339"/>
      <c r="AM1002" s="339"/>
      <c r="AN1002" s="339"/>
      <c r="AO1002" s="339"/>
      <c r="AP1002" s="339"/>
      <c r="AQ1002" s="339"/>
      <c r="AR1002" s="339"/>
      <c r="AS1002" s="339"/>
      <c r="AT1002" s="339"/>
      <c r="AU1002" s="339"/>
      <c r="AV1002" s="339"/>
      <c r="AW1002" s="339"/>
      <c r="AX1002" s="339"/>
      <c r="AY1002" s="339"/>
      <c r="AZ1002" s="339"/>
      <c r="BA1002" s="339"/>
      <c r="BB1002" s="339"/>
      <c r="BC1002" s="339"/>
      <c r="BD1002" s="339"/>
    </row>
    <row r="1003" spans="3:56">
      <c r="C1003" s="339"/>
      <c r="D1003" s="339"/>
      <c r="E1003" s="339"/>
      <c r="F1003" s="339"/>
      <c r="G1003" s="339"/>
      <c r="H1003" s="339"/>
      <c r="I1003" s="339"/>
      <c r="J1003" s="339"/>
      <c r="K1003" s="339"/>
      <c r="L1003" s="339"/>
      <c r="M1003" s="339"/>
      <c r="N1003" s="339"/>
      <c r="O1003" s="339"/>
      <c r="P1003" s="339"/>
      <c r="Q1003" s="339"/>
      <c r="R1003" s="339"/>
      <c r="S1003" s="339"/>
      <c r="T1003" s="339"/>
      <c r="U1003" s="339"/>
      <c r="V1003" s="339"/>
      <c r="W1003" s="339"/>
      <c r="X1003" s="339"/>
      <c r="Y1003" s="339"/>
      <c r="Z1003" s="339"/>
      <c r="AA1003" s="339"/>
      <c r="AB1003" s="339"/>
      <c r="AC1003" s="339"/>
      <c r="AD1003" s="339"/>
      <c r="AE1003" s="339"/>
      <c r="AF1003" s="339"/>
      <c r="AG1003" s="339"/>
      <c r="AH1003" s="339"/>
      <c r="AI1003" s="339"/>
      <c r="AJ1003" s="339"/>
      <c r="AK1003" s="339"/>
      <c r="AL1003" s="339"/>
      <c r="AM1003" s="339"/>
      <c r="AN1003" s="339"/>
      <c r="AO1003" s="339"/>
      <c r="AP1003" s="339"/>
      <c r="AQ1003" s="339"/>
      <c r="AR1003" s="339"/>
      <c r="AS1003" s="339"/>
      <c r="AT1003" s="339"/>
      <c r="AU1003" s="339"/>
      <c r="AV1003" s="339"/>
      <c r="AW1003" s="339"/>
      <c r="AX1003" s="339"/>
      <c r="AY1003" s="339"/>
      <c r="AZ1003" s="339"/>
      <c r="BA1003" s="339"/>
      <c r="BB1003" s="339"/>
      <c r="BC1003" s="339"/>
      <c r="BD1003" s="339"/>
    </row>
    <row r="1004" spans="3:56">
      <c r="C1004" s="339"/>
      <c r="D1004" s="339"/>
      <c r="E1004" s="339"/>
      <c r="F1004" s="339"/>
      <c r="G1004" s="339"/>
      <c r="H1004" s="339"/>
      <c r="I1004" s="339"/>
      <c r="J1004" s="339"/>
      <c r="K1004" s="339"/>
      <c r="L1004" s="339"/>
      <c r="M1004" s="339"/>
      <c r="N1004" s="339"/>
      <c r="O1004" s="339"/>
      <c r="P1004" s="339"/>
      <c r="Q1004" s="339"/>
      <c r="R1004" s="339"/>
      <c r="S1004" s="339"/>
      <c r="T1004" s="339"/>
      <c r="U1004" s="339"/>
      <c r="V1004" s="339"/>
      <c r="W1004" s="339"/>
      <c r="X1004" s="339"/>
      <c r="Y1004" s="339"/>
      <c r="Z1004" s="339"/>
      <c r="AA1004" s="339"/>
      <c r="AB1004" s="339"/>
      <c r="AC1004" s="339"/>
      <c r="AD1004" s="339"/>
      <c r="AE1004" s="339"/>
      <c r="AF1004" s="339"/>
      <c r="AG1004" s="339"/>
      <c r="AH1004" s="339"/>
      <c r="AI1004" s="339"/>
      <c r="AJ1004" s="339"/>
      <c r="AK1004" s="339"/>
      <c r="AL1004" s="339"/>
      <c r="AM1004" s="339"/>
      <c r="AN1004" s="339"/>
      <c r="AO1004" s="339"/>
      <c r="AP1004" s="339"/>
      <c r="AQ1004" s="339"/>
      <c r="AR1004" s="339"/>
      <c r="AS1004" s="339"/>
      <c r="AT1004" s="339"/>
      <c r="AU1004" s="339"/>
      <c r="AV1004" s="339"/>
      <c r="AW1004" s="339"/>
      <c r="AX1004" s="339"/>
      <c r="AY1004" s="339"/>
      <c r="AZ1004" s="339"/>
      <c r="BA1004" s="339"/>
      <c r="BB1004" s="339"/>
      <c r="BC1004" s="339"/>
      <c r="BD1004" s="339"/>
    </row>
    <row r="1005" spans="3:56">
      <c r="C1005" s="339"/>
      <c r="D1005" s="339"/>
      <c r="E1005" s="339"/>
      <c r="F1005" s="339"/>
      <c r="G1005" s="339"/>
      <c r="H1005" s="339"/>
      <c r="I1005" s="339"/>
      <c r="J1005" s="339"/>
      <c r="K1005" s="339"/>
      <c r="L1005" s="339"/>
      <c r="M1005" s="339"/>
      <c r="N1005" s="339"/>
      <c r="O1005" s="339"/>
      <c r="P1005" s="339"/>
      <c r="Q1005" s="339"/>
      <c r="R1005" s="339"/>
      <c r="S1005" s="339"/>
      <c r="T1005" s="339"/>
      <c r="U1005" s="339"/>
      <c r="V1005" s="339"/>
      <c r="W1005" s="339"/>
      <c r="X1005" s="339"/>
      <c r="Y1005" s="339"/>
      <c r="Z1005" s="339"/>
      <c r="AA1005" s="339"/>
      <c r="AB1005" s="339"/>
      <c r="AC1005" s="339"/>
      <c r="AD1005" s="339"/>
      <c r="AE1005" s="339"/>
      <c r="AF1005" s="339"/>
      <c r="AG1005" s="339"/>
      <c r="AH1005" s="339"/>
      <c r="AI1005" s="339"/>
      <c r="AJ1005" s="339"/>
      <c r="AK1005" s="339"/>
      <c r="AL1005" s="339"/>
      <c r="AM1005" s="339"/>
      <c r="AN1005" s="339"/>
      <c r="AO1005" s="339"/>
      <c r="AP1005" s="339"/>
      <c r="AQ1005" s="339"/>
      <c r="AR1005" s="339"/>
      <c r="AS1005" s="339"/>
      <c r="AT1005" s="339"/>
      <c r="AU1005" s="339"/>
      <c r="AV1005" s="339"/>
      <c r="AW1005" s="339"/>
      <c r="AX1005" s="339"/>
      <c r="AY1005" s="339"/>
      <c r="AZ1005" s="339"/>
      <c r="BA1005" s="339"/>
      <c r="BB1005" s="339"/>
      <c r="BC1005" s="339"/>
      <c r="BD1005" s="339"/>
    </row>
    <row r="1006" spans="3:56">
      <c r="C1006" s="339"/>
      <c r="D1006" s="339"/>
      <c r="E1006" s="339"/>
      <c r="F1006" s="339"/>
      <c r="G1006" s="339"/>
      <c r="H1006" s="339"/>
      <c r="I1006" s="339"/>
      <c r="J1006" s="339"/>
      <c r="K1006" s="339"/>
      <c r="L1006" s="339"/>
      <c r="M1006" s="339"/>
      <c r="N1006" s="339"/>
      <c r="O1006" s="339"/>
      <c r="P1006" s="339"/>
      <c r="Q1006" s="339"/>
      <c r="R1006" s="339"/>
      <c r="S1006" s="339"/>
      <c r="T1006" s="339"/>
      <c r="U1006" s="339"/>
      <c r="V1006" s="339"/>
      <c r="W1006" s="339"/>
      <c r="X1006" s="339"/>
      <c r="Y1006" s="339"/>
      <c r="Z1006" s="339"/>
      <c r="AA1006" s="339"/>
      <c r="AB1006" s="339"/>
      <c r="AC1006" s="339"/>
      <c r="AD1006" s="339"/>
      <c r="AE1006" s="339"/>
      <c r="AF1006" s="339"/>
      <c r="AG1006" s="339"/>
      <c r="AH1006" s="339"/>
      <c r="AI1006" s="339"/>
      <c r="AJ1006" s="339"/>
      <c r="AK1006" s="339"/>
      <c r="AL1006" s="339"/>
      <c r="AM1006" s="339"/>
      <c r="AN1006" s="339"/>
      <c r="AO1006" s="339"/>
      <c r="AP1006" s="339"/>
      <c r="AQ1006" s="339"/>
      <c r="AR1006" s="339"/>
      <c r="AS1006" s="339"/>
      <c r="AT1006" s="339"/>
      <c r="AU1006" s="339"/>
      <c r="AV1006" s="339"/>
      <c r="AW1006" s="339"/>
      <c r="AX1006" s="339"/>
      <c r="AY1006" s="339"/>
      <c r="AZ1006" s="339"/>
      <c r="BA1006" s="339"/>
      <c r="BB1006" s="339"/>
      <c r="BC1006" s="339"/>
      <c r="BD1006" s="339"/>
    </row>
    <row r="1007" spans="3:56">
      <c r="C1007" s="339"/>
      <c r="D1007" s="339"/>
      <c r="E1007" s="339"/>
      <c r="F1007" s="339"/>
      <c r="G1007" s="339"/>
      <c r="H1007" s="339"/>
      <c r="I1007" s="339"/>
      <c r="J1007" s="339"/>
      <c r="K1007" s="339"/>
      <c r="L1007" s="339"/>
      <c r="M1007" s="339"/>
      <c r="N1007" s="339"/>
      <c r="O1007" s="339"/>
      <c r="P1007" s="339"/>
      <c r="Q1007" s="339"/>
      <c r="R1007" s="339"/>
      <c r="S1007" s="339"/>
      <c r="T1007" s="339"/>
      <c r="U1007" s="339"/>
      <c r="V1007" s="339"/>
      <c r="W1007" s="339"/>
      <c r="X1007" s="339"/>
      <c r="Y1007" s="339"/>
      <c r="Z1007" s="339"/>
      <c r="AA1007" s="339"/>
      <c r="AB1007" s="339"/>
      <c r="AC1007" s="339"/>
      <c r="AD1007" s="339"/>
      <c r="AE1007" s="339"/>
      <c r="AF1007" s="339"/>
      <c r="AG1007" s="339"/>
      <c r="AH1007" s="339"/>
      <c r="AI1007" s="339"/>
      <c r="AJ1007" s="339"/>
      <c r="AK1007" s="339"/>
      <c r="AL1007" s="339"/>
      <c r="AM1007" s="339"/>
      <c r="AN1007" s="339"/>
      <c r="AO1007" s="339"/>
      <c r="AP1007" s="339"/>
      <c r="AQ1007" s="339"/>
      <c r="AR1007" s="339"/>
      <c r="AS1007" s="339"/>
      <c r="AT1007" s="339"/>
      <c r="AU1007" s="339"/>
      <c r="AV1007" s="339"/>
      <c r="AW1007" s="339"/>
      <c r="AX1007" s="339"/>
      <c r="AY1007" s="339"/>
      <c r="AZ1007" s="339"/>
      <c r="BA1007" s="339"/>
      <c r="BB1007" s="339"/>
      <c r="BC1007" s="339"/>
      <c r="BD1007" s="339"/>
    </row>
    <row r="1008" spans="3:56">
      <c r="C1008" s="339"/>
      <c r="D1008" s="339"/>
      <c r="E1008" s="339"/>
      <c r="F1008" s="339"/>
      <c r="G1008" s="339"/>
      <c r="H1008" s="339"/>
      <c r="I1008" s="339"/>
      <c r="J1008" s="339"/>
      <c r="K1008" s="339"/>
      <c r="L1008" s="339"/>
      <c r="M1008" s="339"/>
      <c r="N1008" s="339"/>
      <c r="O1008" s="339"/>
      <c r="P1008" s="339"/>
      <c r="Q1008" s="339"/>
      <c r="R1008" s="339"/>
      <c r="S1008" s="339"/>
      <c r="T1008" s="339"/>
      <c r="U1008" s="339"/>
      <c r="V1008" s="339"/>
      <c r="W1008" s="339"/>
      <c r="X1008" s="339"/>
      <c r="Y1008" s="339"/>
      <c r="Z1008" s="339"/>
      <c r="AA1008" s="339"/>
      <c r="AB1008" s="339"/>
      <c r="AC1008" s="339"/>
      <c r="AD1008" s="339"/>
      <c r="AE1008" s="339"/>
      <c r="AF1008" s="339"/>
      <c r="AG1008" s="339"/>
      <c r="AH1008" s="339"/>
      <c r="AI1008" s="339"/>
      <c r="AJ1008" s="339"/>
      <c r="AK1008" s="339"/>
      <c r="AL1008" s="339"/>
      <c r="AM1008" s="339"/>
      <c r="AN1008" s="339"/>
      <c r="AO1008" s="339"/>
      <c r="AP1008" s="339"/>
      <c r="AQ1008" s="339"/>
      <c r="AR1008" s="339"/>
      <c r="AS1008" s="339"/>
      <c r="AT1008" s="339"/>
      <c r="AU1008" s="339"/>
      <c r="AV1008" s="339"/>
      <c r="AW1008" s="339"/>
      <c r="AX1008" s="339"/>
      <c r="AY1008" s="339"/>
      <c r="AZ1008" s="339"/>
      <c r="BA1008" s="339"/>
      <c r="BB1008" s="339"/>
      <c r="BC1008" s="339"/>
      <c r="BD1008" s="339"/>
    </row>
    <row r="1009" spans="3:56">
      <c r="C1009" s="339"/>
      <c r="D1009" s="339"/>
      <c r="E1009" s="339"/>
      <c r="F1009" s="339"/>
      <c r="G1009" s="339"/>
      <c r="H1009" s="339"/>
      <c r="I1009" s="339"/>
      <c r="J1009" s="339"/>
      <c r="K1009" s="339"/>
      <c r="L1009" s="339"/>
      <c r="M1009" s="339"/>
      <c r="N1009" s="339"/>
      <c r="O1009" s="339"/>
      <c r="P1009" s="339"/>
      <c r="Q1009" s="339"/>
      <c r="R1009" s="339"/>
      <c r="S1009" s="339"/>
      <c r="T1009" s="339"/>
      <c r="U1009" s="339"/>
      <c r="V1009" s="339"/>
      <c r="W1009" s="339"/>
      <c r="X1009" s="339"/>
      <c r="Y1009" s="339"/>
      <c r="Z1009" s="339"/>
      <c r="AA1009" s="339"/>
      <c r="AB1009" s="339"/>
      <c r="AC1009" s="339"/>
      <c r="AD1009" s="339"/>
      <c r="AE1009" s="339"/>
      <c r="AF1009" s="339"/>
      <c r="AG1009" s="339"/>
      <c r="AH1009" s="339"/>
      <c r="AI1009" s="339"/>
      <c r="AJ1009" s="339"/>
      <c r="AK1009" s="339"/>
      <c r="AL1009" s="339"/>
      <c r="AM1009" s="339"/>
      <c r="AN1009" s="339"/>
      <c r="AO1009" s="339"/>
      <c r="AP1009" s="339"/>
      <c r="AQ1009" s="339"/>
      <c r="AR1009" s="339"/>
      <c r="AS1009" s="339"/>
      <c r="AT1009" s="339"/>
      <c r="AU1009" s="339"/>
      <c r="AV1009" s="339"/>
      <c r="AW1009" s="339"/>
      <c r="AX1009" s="339"/>
      <c r="AY1009" s="339"/>
      <c r="AZ1009" s="339"/>
      <c r="BA1009" s="339"/>
      <c r="BB1009" s="339"/>
      <c r="BC1009" s="339"/>
      <c r="BD1009" s="339"/>
    </row>
    <row r="1010" spans="3:56">
      <c r="C1010" s="339"/>
      <c r="D1010" s="339"/>
      <c r="E1010" s="339"/>
      <c r="F1010" s="339"/>
      <c r="G1010" s="339"/>
      <c r="H1010" s="339"/>
      <c r="I1010" s="339"/>
      <c r="J1010" s="339"/>
      <c r="K1010" s="339"/>
      <c r="L1010" s="339"/>
      <c r="M1010" s="339"/>
      <c r="N1010" s="339"/>
      <c r="O1010" s="339"/>
      <c r="P1010" s="339"/>
      <c r="Q1010" s="339"/>
      <c r="R1010" s="339"/>
      <c r="S1010" s="339"/>
      <c r="T1010" s="339"/>
      <c r="U1010" s="339"/>
      <c r="V1010" s="339"/>
      <c r="W1010" s="339"/>
      <c r="X1010" s="339"/>
      <c r="Y1010" s="339"/>
      <c r="Z1010" s="339"/>
      <c r="AA1010" s="339"/>
      <c r="AB1010" s="339"/>
      <c r="AC1010" s="339"/>
      <c r="AD1010" s="339"/>
      <c r="AE1010" s="339"/>
      <c r="AF1010" s="339"/>
      <c r="AG1010" s="339"/>
      <c r="AH1010" s="339"/>
      <c r="AI1010" s="339"/>
      <c r="AJ1010" s="339"/>
      <c r="AK1010" s="339"/>
      <c r="AL1010" s="339"/>
      <c r="AM1010" s="339"/>
      <c r="AN1010" s="339"/>
      <c r="AO1010" s="339"/>
      <c r="AP1010" s="339"/>
      <c r="AQ1010" s="339"/>
      <c r="AR1010" s="339"/>
      <c r="AS1010" s="339"/>
      <c r="AT1010" s="339"/>
      <c r="AU1010" s="339"/>
      <c r="AV1010" s="339"/>
      <c r="AW1010" s="339"/>
      <c r="AX1010" s="339"/>
      <c r="AY1010" s="339"/>
      <c r="AZ1010" s="339"/>
      <c r="BA1010" s="339"/>
      <c r="BB1010" s="339"/>
      <c r="BC1010" s="339"/>
      <c r="BD1010" s="339"/>
    </row>
    <row r="1011" spans="3:56">
      <c r="C1011" s="339"/>
      <c r="D1011" s="339"/>
      <c r="E1011" s="339"/>
      <c r="F1011" s="339"/>
      <c r="G1011" s="339"/>
      <c r="H1011" s="339"/>
      <c r="I1011" s="339"/>
      <c r="J1011" s="339"/>
      <c r="K1011" s="339"/>
      <c r="L1011" s="339"/>
      <c r="M1011" s="339"/>
      <c r="N1011" s="339"/>
      <c r="O1011" s="339"/>
      <c r="P1011" s="339"/>
      <c r="Q1011" s="339"/>
      <c r="R1011" s="339"/>
      <c r="S1011" s="339"/>
      <c r="T1011" s="339"/>
      <c r="U1011" s="339"/>
      <c r="V1011" s="339"/>
      <c r="W1011" s="339"/>
      <c r="X1011" s="339"/>
      <c r="Y1011" s="339"/>
      <c r="Z1011" s="339"/>
      <c r="AA1011" s="339"/>
      <c r="AB1011" s="339"/>
      <c r="AC1011" s="339"/>
      <c r="AD1011" s="339"/>
      <c r="AE1011" s="339"/>
      <c r="AF1011" s="339"/>
      <c r="AG1011" s="339"/>
      <c r="AH1011" s="339"/>
      <c r="AI1011" s="339"/>
      <c r="AJ1011" s="339"/>
      <c r="AK1011" s="339"/>
      <c r="AL1011" s="339"/>
      <c r="AM1011" s="339"/>
      <c r="AN1011" s="339"/>
      <c r="AO1011" s="339"/>
      <c r="AP1011" s="339"/>
      <c r="AQ1011" s="339"/>
      <c r="AR1011" s="339"/>
      <c r="AS1011" s="339"/>
      <c r="AT1011" s="339"/>
      <c r="AU1011" s="339"/>
      <c r="AV1011" s="339"/>
      <c r="AW1011" s="339"/>
      <c r="AX1011" s="339"/>
      <c r="AY1011" s="339"/>
      <c r="AZ1011" s="339"/>
      <c r="BA1011" s="339"/>
      <c r="BB1011" s="339"/>
      <c r="BC1011" s="339"/>
      <c r="BD1011" s="339"/>
    </row>
    <row r="1012" spans="3:56">
      <c r="C1012" s="339"/>
      <c r="D1012" s="339"/>
      <c r="E1012" s="339"/>
      <c r="F1012" s="339"/>
      <c r="G1012" s="339"/>
      <c r="H1012" s="339"/>
      <c r="I1012" s="339"/>
      <c r="J1012" s="339"/>
      <c r="K1012" s="339"/>
      <c r="L1012" s="339"/>
      <c r="M1012" s="339"/>
      <c r="N1012" s="339"/>
      <c r="O1012" s="339"/>
      <c r="P1012" s="339"/>
      <c r="Q1012" s="339"/>
      <c r="R1012" s="339"/>
      <c r="S1012" s="339"/>
      <c r="T1012" s="339"/>
      <c r="U1012" s="339"/>
      <c r="V1012" s="339"/>
      <c r="W1012" s="339"/>
      <c r="X1012" s="339"/>
      <c r="Y1012" s="339"/>
      <c r="Z1012" s="339"/>
      <c r="AA1012" s="339"/>
      <c r="AB1012" s="339"/>
      <c r="AC1012" s="339"/>
      <c r="AD1012" s="339"/>
      <c r="AE1012" s="339"/>
      <c r="AF1012" s="339"/>
      <c r="AG1012" s="339"/>
      <c r="AH1012" s="339"/>
      <c r="AI1012" s="339"/>
      <c r="AJ1012" s="339"/>
      <c r="AK1012" s="339"/>
      <c r="AL1012" s="339"/>
      <c r="AM1012" s="339"/>
      <c r="AN1012" s="339"/>
      <c r="AO1012" s="339"/>
      <c r="AP1012" s="339"/>
      <c r="AQ1012" s="339"/>
      <c r="AR1012" s="339"/>
      <c r="AS1012" s="339"/>
      <c r="AT1012" s="339"/>
      <c r="AU1012" s="339"/>
      <c r="AV1012" s="339"/>
      <c r="AW1012" s="339"/>
      <c r="AX1012" s="339"/>
      <c r="AY1012" s="339"/>
      <c r="AZ1012" s="339"/>
      <c r="BA1012" s="339"/>
      <c r="BB1012" s="339"/>
      <c r="BC1012" s="339"/>
      <c r="BD1012" s="339"/>
    </row>
  </sheetData>
  <mergeCells count="6">
    <mergeCell ref="B26:G27"/>
    <mergeCell ref="B28:G29"/>
    <mergeCell ref="A4:G4"/>
    <mergeCell ref="A5:G5"/>
    <mergeCell ref="C7:D7"/>
    <mergeCell ref="F7:G7"/>
  </mergeCells>
  <printOptions horizontalCentered="1"/>
  <pageMargins left="1" right="1" top="1" bottom="1" header="0.5" footer="0.5"/>
  <pageSetup scale="96" orientation="landscape" r:id="rId1"/>
  <headerFooter>
    <oddHeader>&amp;RDocket No. ER20-2878-000, et al.- Annual Update RY2024
&amp;F</oddHeader>
  </headerFooter>
  <rowBreaks count="1" manualBreakCount="1">
    <brk id="29" max="16383" man="1"/>
  </rowBreaks>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97179-1BB0-41B7-9A41-5192C70E42E6}">
  <sheetPr>
    <tabColor rgb="FF92D050"/>
    <pageSetUpPr fitToPage="1"/>
  </sheetPr>
  <dimension ref="A1:J109"/>
  <sheetViews>
    <sheetView view="pageBreakPreview" zoomScale="40" zoomScaleNormal="85" zoomScaleSheetLayoutView="40" workbookViewId="0">
      <selection activeCell="W98" sqref="W98"/>
    </sheetView>
  </sheetViews>
  <sheetFormatPr defaultColWidth="9.1796875" defaultRowHeight="14.5"/>
  <cols>
    <col min="1" max="1" width="6.7265625" style="8" bestFit="1" customWidth="1"/>
    <col min="2" max="2" width="60" style="8" customWidth="1"/>
    <col min="3" max="3" width="8.453125" style="8" customWidth="1"/>
    <col min="4" max="4" width="22.7265625" style="8" customWidth="1"/>
    <col min="5" max="5" width="21.453125" style="8" customWidth="1"/>
    <col min="6" max="6" width="83.7265625" style="8" customWidth="1"/>
    <col min="7" max="7" width="7" style="8" bestFit="1" customWidth="1"/>
    <col min="8" max="9" width="9.1796875" style="8"/>
    <col min="10" max="10" width="13.7265625" style="8" bestFit="1" customWidth="1"/>
    <col min="11" max="16384" width="9.1796875" style="8"/>
  </cols>
  <sheetData>
    <row r="1" spans="1:7">
      <c r="B1" s="105" t="s">
        <v>173</v>
      </c>
      <c r="F1" s="6" t="str">
        <f>CONCATENATE("Prior Year: ",'1-DRR Corrected'!$K$2)</f>
        <v>Prior Year: 2021</v>
      </c>
    </row>
    <row r="2" spans="1:7">
      <c r="B2" s="78" t="s">
        <v>120</v>
      </c>
      <c r="F2" s="90"/>
    </row>
    <row r="3" spans="1:7">
      <c r="B3" s="105"/>
      <c r="F3" s="90"/>
    </row>
    <row r="4" spans="1:7" ht="15" customHeight="1">
      <c r="B4" s="742" t="s">
        <v>1300</v>
      </c>
      <c r="C4" s="742"/>
      <c r="D4" s="742"/>
      <c r="E4" s="742"/>
      <c r="F4" s="742"/>
    </row>
    <row r="5" spans="1:7" ht="15" customHeight="1">
      <c r="B5" s="742"/>
      <c r="C5" s="742"/>
      <c r="D5" s="742"/>
      <c r="E5" s="742"/>
      <c r="F5" s="742"/>
    </row>
    <row r="6" spans="1:7" ht="15" customHeight="1">
      <c r="B6" s="742"/>
      <c r="C6" s="742"/>
      <c r="D6" s="742"/>
      <c r="E6" s="742"/>
      <c r="F6" s="742"/>
    </row>
    <row r="7" spans="1:7" ht="15" customHeight="1">
      <c r="B7" s="742"/>
      <c r="C7" s="742"/>
      <c r="D7" s="742"/>
      <c r="E7" s="742"/>
      <c r="F7" s="742"/>
    </row>
    <row r="8" spans="1:7" ht="15" customHeight="1">
      <c r="B8" s="742"/>
      <c r="C8" s="742"/>
      <c r="D8" s="742"/>
      <c r="E8" s="742"/>
      <c r="F8" s="742"/>
    </row>
    <row r="9" spans="1:7" ht="15" customHeight="1">
      <c r="B9" s="742"/>
      <c r="C9" s="742"/>
      <c r="D9" s="742"/>
      <c r="E9" s="742"/>
      <c r="F9" s="742"/>
    </row>
    <row r="10" spans="1:7" ht="15" customHeight="1">
      <c r="B10" s="105"/>
      <c r="D10" s="91"/>
      <c r="E10" s="91" t="s">
        <v>123</v>
      </c>
      <c r="F10" s="80" t="s">
        <v>126</v>
      </c>
    </row>
    <row r="11" spans="1:7">
      <c r="A11" s="80" t="s">
        <v>90</v>
      </c>
      <c r="B11" s="79" t="s">
        <v>1301</v>
      </c>
      <c r="C11" s="103"/>
      <c r="D11" s="103"/>
      <c r="E11" s="103"/>
      <c r="F11" s="103"/>
      <c r="G11" s="80" t="str">
        <f>A11</f>
        <v>Line</v>
      </c>
    </row>
    <row r="12" spans="1:7">
      <c r="A12" s="91">
        <v>100</v>
      </c>
      <c r="B12" s="106" t="s">
        <v>1302</v>
      </c>
      <c r="E12" s="688">
        <f>E19+E47+E72</f>
        <v>-161043499.78506362</v>
      </c>
      <c r="F12" s="689" t="s">
        <v>1908</v>
      </c>
      <c r="G12" s="91">
        <f>A12</f>
        <v>100</v>
      </c>
    </row>
    <row r="13" spans="1:7">
      <c r="A13" s="91">
        <f>A12+1</f>
        <v>101</v>
      </c>
      <c r="B13" s="106" t="s">
        <v>1304</v>
      </c>
      <c r="E13" s="688">
        <f>D19+D47+D72</f>
        <v>-171092108.53659499</v>
      </c>
      <c r="F13" s="689" t="s">
        <v>1909</v>
      </c>
      <c r="G13" s="91">
        <f>A13</f>
        <v>101</v>
      </c>
    </row>
    <row r="14" spans="1:7">
      <c r="B14" s="105"/>
    </row>
    <row r="15" spans="1:7">
      <c r="B15" s="79" t="s">
        <v>1306</v>
      </c>
      <c r="C15" s="103"/>
      <c r="D15" s="103"/>
      <c r="E15" s="103"/>
      <c r="F15" s="103"/>
    </row>
    <row r="16" spans="1:7">
      <c r="B16" s="105" t="s">
        <v>1307</v>
      </c>
    </row>
    <row r="17" spans="1:10">
      <c r="D17" s="80" t="s">
        <v>122</v>
      </c>
      <c r="E17" s="80" t="s">
        <v>123</v>
      </c>
      <c r="F17" s="18"/>
    </row>
    <row r="18" spans="1:10">
      <c r="D18" s="80" t="s">
        <v>1308</v>
      </c>
      <c r="E18" s="80" t="s">
        <v>813</v>
      </c>
      <c r="F18" s="18"/>
    </row>
    <row r="19" spans="1:10">
      <c r="A19" s="91">
        <v>200</v>
      </c>
      <c r="B19" s="105" t="s">
        <v>1309</v>
      </c>
      <c r="D19" s="584">
        <f>D40</f>
        <v>-106670888.0435195</v>
      </c>
      <c r="E19" s="583">
        <f>E40</f>
        <v>-109947478</v>
      </c>
      <c r="F19" s="106" t="str">
        <f>CONCATENATE(" Line ",A40)</f>
        <v xml:space="preserve"> Line 219</v>
      </c>
      <c r="G19" s="91">
        <f>A19</f>
        <v>200</v>
      </c>
    </row>
    <row r="20" spans="1:10">
      <c r="A20" s="91"/>
      <c r="B20" s="105"/>
      <c r="D20" s="584"/>
      <c r="E20" s="583"/>
      <c r="F20" s="106"/>
      <c r="G20" s="91"/>
    </row>
    <row r="21" spans="1:10" ht="24" customHeight="1">
      <c r="A21" s="80" t="s">
        <v>90</v>
      </c>
      <c r="B21" s="80" t="s">
        <v>1311</v>
      </c>
      <c r="C21" s="80"/>
      <c r="D21" s="138" t="s">
        <v>1312</v>
      </c>
      <c r="E21" s="80" t="s">
        <v>813</v>
      </c>
      <c r="F21" s="80" t="s">
        <v>126</v>
      </c>
      <c r="G21" s="80" t="str">
        <f t="shared" ref="G21:G40" si="0">A21</f>
        <v>Line</v>
      </c>
    </row>
    <row r="22" spans="1:10" ht="18" customHeight="1">
      <c r="A22" s="91">
        <f>A19+1</f>
        <v>201</v>
      </c>
      <c r="B22" s="8" t="s">
        <v>520</v>
      </c>
      <c r="C22" s="80"/>
      <c r="D22" s="585">
        <v>-337183744.5</v>
      </c>
      <c r="E22" s="80"/>
      <c r="F22" s="80"/>
      <c r="G22" s="91">
        <f t="shared" si="0"/>
        <v>201</v>
      </c>
      <c r="J22" s="242"/>
    </row>
    <row r="23" spans="1:10" ht="18" customHeight="1">
      <c r="A23" s="91">
        <f>A22+1</f>
        <v>202</v>
      </c>
      <c r="B23" s="8" t="s">
        <v>522</v>
      </c>
      <c r="C23" s="80"/>
      <c r="D23" s="585">
        <v>-378373007.83999997</v>
      </c>
      <c r="E23" s="80"/>
      <c r="F23" s="80"/>
      <c r="G23" s="91">
        <f t="shared" si="0"/>
        <v>202</v>
      </c>
      <c r="J23" s="242"/>
    </row>
    <row r="24" spans="1:10" ht="18" customHeight="1">
      <c r="A24" s="91">
        <f t="shared" ref="A24:A40" si="1">A23+1</f>
        <v>203</v>
      </c>
      <c r="B24" s="8" t="s">
        <v>523</v>
      </c>
      <c r="C24" s="80"/>
      <c r="D24" s="585">
        <v>-368992607.38</v>
      </c>
      <c r="E24" s="80"/>
      <c r="F24" s="80"/>
      <c r="G24" s="91">
        <f t="shared" si="0"/>
        <v>203</v>
      </c>
      <c r="J24" s="242"/>
    </row>
    <row r="25" spans="1:10" ht="18" customHeight="1">
      <c r="A25" s="91">
        <f t="shared" si="1"/>
        <v>204</v>
      </c>
      <c r="B25" s="8" t="s">
        <v>524</v>
      </c>
      <c r="C25" s="80"/>
      <c r="D25" s="585">
        <v>-382342760.67000002</v>
      </c>
      <c r="E25" s="80"/>
      <c r="F25" s="80"/>
      <c r="G25" s="91">
        <f t="shared" si="0"/>
        <v>204</v>
      </c>
      <c r="J25" s="242"/>
    </row>
    <row r="26" spans="1:10" ht="18" customHeight="1">
      <c r="A26" s="91">
        <f t="shared" si="1"/>
        <v>205</v>
      </c>
      <c r="B26" s="8" t="s">
        <v>525</v>
      </c>
      <c r="C26" s="80"/>
      <c r="D26" s="585">
        <v>-383291814.51999998</v>
      </c>
      <c r="E26" s="80"/>
      <c r="F26" s="80"/>
      <c r="G26" s="91">
        <f t="shared" si="0"/>
        <v>205</v>
      </c>
      <c r="J26" s="242"/>
    </row>
    <row r="27" spans="1:10" ht="18" customHeight="1">
      <c r="A27" s="91">
        <f t="shared" si="1"/>
        <v>206</v>
      </c>
      <c r="B27" s="8" t="s">
        <v>526</v>
      </c>
      <c r="C27" s="80"/>
      <c r="D27" s="585">
        <v>-387523992.58999997</v>
      </c>
      <c r="E27" s="80"/>
      <c r="F27" s="80"/>
      <c r="G27" s="91">
        <f t="shared" si="0"/>
        <v>206</v>
      </c>
      <c r="J27" s="242"/>
    </row>
    <row r="28" spans="1:10" ht="18" customHeight="1">
      <c r="A28" s="91">
        <f t="shared" si="1"/>
        <v>207</v>
      </c>
      <c r="B28" s="8" t="s">
        <v>812</v>
      </c>
      <c r="C28" s="80"/>
      <c r="D28" s="585">
        <v>-384578075.75</v>
      </c>
      <c r="E28" s="80"/>
      <c r="F28" s="80"/>
      <c r="G28" s="91">
        <f t="shared" si="0"/>
        <v>207</v>
      </c>
      <c r="J28" s="242"/>
    </row>
    <row r="29" spans="1:10" ht="18" customHeight="1">
      <c r="A29" s="91">
        <f t="shared" si="1"/>
        <v>208</v>
      </c>
      <c r="B29" s="8" t="s">
        <v>528</v>
      </c>
      <c r="C29" s="80"/>
      <c r="D29" s="585">
        <v>-378121086.11000001</v>
      </c>
      <c r="E29" s="80"/>
      <c r="F29" s="80"/>
      <c r="G29" s="91">
        <f t="shared" si="0"/>
        <v>208</v>
      </c>
      <c r="J29" s="242"/>
    </row>
    <row r="30" spans="1:10" ht="18" customHeight="1">
      <c r="A30" s="91">
        <f t="shared" si="1"/>
        <v>209</v>
      </c>
      <c r="B30" s="8" t="s">
        <v>529</v>
      </c>
      <c r="C30" s="80"/>
      <c r="D30" s="585">
        <v>-372201538.99000001</v>
      </c>
      <c r="E30" s="80"/>
      <c r="F30" s="80"/>
      <c r="G30" s="91">
        <f t="shared" si="0"/>
        <v>209</v>
      </c>
      <c r="J30" s="242"/>
    </row>
    <row r="31" spans="1:10" ht="18" customHeight="1">
      <c r="A31" s="91">
        <f t="shared" si="1"/>
        <v>210</v>
      </c>
      <c r="B31" s="8" t="s">
        <v>530</v>
      </c>
      <c r="C31" s="80"/>
      <c r="D31" s="585">
        <v>-369904606.11000001</v>
      </c>
      <c r="E31" s="80"/>
      <c r="F31" s="80"/>
      <c r="G31" s="91">
        <f t="shared" si="0"/>
        <v>210</v>
      </c>
      <c r="J31" s="242"/>
    </row>
    <row r="32" spans="1:10" ht="18" customHeight="1">
      <c r="A32" s="91">
        <f t="shared" si="1"/>
        <v>211</v>
      </c>
      <c r="B32" s="8" t="s">
        <v>531</v>
      </c>
      <c r="C32" s="80"/>
      <c r="D32" s="585">
        <v>-366690046.22000003</v>
      </c>
      <c r="E32" s="80"/>
      <c r="F32" s="80"/>
      <c r="G32" s="91">
        <f t="shared" si="0"/>
        <v>211</v>
      </c>
      <c r="J32" s="242"/>
    </row>
    <row r="33" spans="1:10" ht="18" customHeight="1">
      <c r="A33" s="91">
        <f t="shared" si="1"/>
        <v>212</v>
      </c>
      <c r="B33" s="8" t="s">
        <v>532</v>
      </c>
      <c r="C33" s="80"/>
      <c r="D33" s="585">
        <v>-366397701.58999997</v>
      </c>
      <c r="E33" s="80"/>
      <c r="F33" s="80"/>
      <c r="G33" s="91">
        <f t="shared" si="0"/>
        <v>212</v>
      </c>
      <c r="J33" s="242"/>
    </row>
    <row r="34" spans="1:10" ht="18" customHeight="1">
      <c r="A34" s="91">
        <f t="shared" si="1"/>
        <v>213</v>
      </c>
      <c r="B34" s="8" t="s">
        <v>520</v>
      </c>
      <c r="C34" s="80"/>
      <c r="D34" s="585">
        <v>-361396927.81</v>
      </c>
      <c r="E34" s="80"/>
      <c r="F34" s="80"/>
      <c r="G34" s="91">
        <f t="shared" si="0"/>
        <v>213</v>
      </c>
      <c r="J34" s="242"/>
    </row>
    <row r="35" spans="1:10" ht="18" customHeight="1">
      <c r="A35" s="91">
        <f t="shared" si="1"/>
        <v>214</v>
      </c>
      <c r="B35" s="8" t="s">
        <v>1313</v>
      </c>
      <c r="E35" s="264">
        <f>AVERAGE(D22:D34)</f>
        <v>-372076762.31384623</v>
      </c>
      <c r="F35" s="106" t="s">
        <v>101</v>
      </c>
      <c r="G35" s="91">
        <f t="shared" si="0"/>
        <v>214</v>
      </c>
      <c r="J35" s="242"/>
    </row>
    <row r="36" spans="1:10" ht="18" customHeight="1">
      <c r="A36" s="91">
        <f t="shared" si="1"/>
        <v>215</v>
      </c>
      <c r="B36" s="8" t="s">
        <v>1314</v>
      </c>
      <c r="D36" s="586">
        <f>45700000*0.3</f>
        <v>13710000</v>
      </c>
      <c r="E36" s="586">
        <f>45700000*0.3</f>
        <v>13710000</v>
      </c>
      <c r="F36" s="106" t="s">
        <v>496</v>
      </c>
      <c r="G36" s="91">
        <f t="shared" si="0"/>
        <v>215</v>
      </c>
    </row>
    <row r="37" spans="1:10" ht="18" customHeight="1">
      <c r="A37" s="91">
        <f t="shared" si="1"/>
        <v>216</v>
      </c>
      <c r="B37" s="8" t="s">
        <v>1315</v>
      </c>
      <c r="D37" s="242"/>
      <c r="E37" s="264">
        <f>+E36+E35</f>
        <v>-358366762.31384623</v>
      </c>
      <c r="F37" s="106" t="str">
        <f>"Line "&amp;A35&amp;" + Line "&amp;A36&amp;""</f>
        <v>Line 214 + Line 215</v>
      </c>
      <c r="G37" s="91">
        <f t="shared" si="0"/>
        <v>216</v>
      </c>
    </row>
    <row r="38" spans="1:10" ht="18" customHeight="1">
      <c r="A38" s="91">
        <f t="shared" si="1"/>
        <v>217</v>
      </c>
      <c r="B38" s="8" t="s">
        <v>1317</v>
      </c>
      <c r="D38" s="242">
        <f>D36+D34</f>
        <v>-347686927.81</v>
      </c>
      <c r="E38" s="264"/>
      <c r="F38" s="106" t="str">
        <f>"Line "&amp;A34&amp;" + Line "&amp;A36&amp;""</f>
        <v>Line 213 + Line 215</v>
      </c>
      <c r="G38" s="91"/>
    </row>
    <row r="39" spans="1:10" ht="18" customHeight="1">
      <c r="A39" s="91">
        <f t="shared" si="1"/>
        <v>218</v>
      </c>
      <c r="B39" s="8" t="s">
        <v>1319</v>
      </c>
      <c r="D39" s="558">
        <f>E39</f>
        <v>0.30680154907006396</v>
      </c>
      <c r="E39" s="558">
        <f>'24-Allocators'!C24</f>
        <v>0.30680154907006396</v>
      </c>
      <c r="F39" s="106" t="s">
        <v>898</v>
      </c>
      <c r="G39" s="91">
        <f t="shared" si="0"/>
        <v>218</v>
      </c>
    </row>
    <row r="40" spans="1:10" ht="18" customHeight="1">
      <c r="A40" s="91">
        <f t="shared" si="1"/>
        <v>219</v>
      </c>
      <c r="B40" s="105" t="s">
        <v>1309</v>
      </c>
      <c r="C40" s="230" t="s">
        <v>1320</v>
      </c>
      <c r="D40" s="562">
        <f>D38*D39</f>
        <v>-106670888.0435195</v>
      </c>
      <c r="E40" s="583">
        <f>ROUND(E37*E39,0)</f>
        <v>-109947478</v>
      </c>
      <c r="F40" s="106" t="str">
        <f>"Line "&amp;A37&amp;" * Line "&amp;A39&amp;""</f>
        <v>Line 216 * Line 218</v>
      </c>
      <c r="G40" s="91">
        <f t="shared" si="0"/>
        <v>219</v>
      </c>
    </row>
    <row r="41" spans="1:10" ht="18" customHeight="1">
      <c r="A41" s="91"/>
      <c r="D41" s="265"/>
      <c r="E41" s="265"/>
      <c r="F41" s="106"/>
      <c r="G41" s="91"/>
    </row>
    <row r="42" spans="1:10" ht="18" customHeight="1">
      <c r="A42" s="91"/>
      <c r="D42" s="90"/>
      <c r="E42" s="270"/>
      <c r="F42" s="18"/>
      <c r="G42" s="91"/>
    </row>
    <row r="43" spans="1:10" ht="18" customHeight="1">
      <c r="B43" s="79" t="s">
        <v>1322</v>
      </c>
      <c r="C43" s="103"/>
      <c r="D43" s="103"/>
      <c r="E43" s="103"/>
      <c r="F43" s="102"/>
    </row>
    <row r="44" spans="1:10">
      <c r="B44" s="105" t="s">
        <v>1307</v>
      </c>
    </row>
    <row r="45" spans="1:10" ht="18" customHeight="1">
      <c r="B45" s="105"/>
      <c r="D45" s="91" t="s">
        <v>122</v>
      </c>
      <c r="E45" s="91" t="s">
        <v>123</v>
      </c>
      <c r="F45" s="18"/>
    </row>
    <row r="46" spans="1:10" ht="18" customHeight="1">
      <c r="B46" s="105"/>
      <c r="D46" s="80" t="s">
        <v>1308</v>
      </c>
      <c r="E46" s="80" t="s">
        <v>813</v>
      </c>
      <c r="F46" s="18"/>
    </row>
    <row r="47" spans="1:10" ht="18" customHeight="1">
      <c r="A47" s="91">
        <v>300</v>
      </c>
      <c r="B47" s="105" t="s">
        <v>1323</v>
      </c>
      <c r="D47" s="584">
        <f>D65</f>
        <v>-16904150.581795499</v>
      </c>
      <c r="E47" s="583">
        <f>E65</f>
        <v>-14086792.15149625</v>
      </c>
      <c r="F47" s="106" t="str">
        <f>CONCATENATE("Line ",A65)</f>
        <v>Line 316</v>
      </c>
      <c r="G47" s="91">
        <f t="shared" ref="G47" si="2">A47</f>
        <v>300</v>
      </c>
    </row>
    <row r="48" spans="1:10" ht="18" customHeight="1">
      <c r="B48" s="105"/>
      <c r="D48" s="91"/>
      <c r="E48" s="91"/>
      <c r="F48" s="18"/>
    </row>
    <row r="49" spans="1:7" ht="18" customHeight="1">
      <c r="A49" s="80" t="s">
        <v>90</v>
      </c>
      <c r="B49" s="80" t="s">
        <v>1311</v>
      </c>
      <c r="C49" s="80"/>
      <c r="D49" s="138" t="s">
        <v>1312</v>
      </c>
      <c r="E49" s="80" t="s">
        <v>813</v>
      </c>
      <c r="F49" s="80" t="s">
        <v>126</v>
      </c>
      <c r="G49" s="80" t="str">
        <f t="shared" ref="G49:G65" si="3">A49</f>
        <v>Line</v>
      </c>
    </row>
    <row r="50" spans="1:7" ht="18" customHeight="1">
      <c r="A50" s="91">
        <f>A47+1</f>
        <v>301</v>
      </c>
      <c r="B50" s="8" t="s">
        <v>520</v>
      </c>
      <c r="C50" s="80"/>
      <c r="D50" s="585">
        <f>-13916317.265*2</f>
        <v>-27832634.530000001</v>
      </c>
      <c r="E50" s="80"/>
      <c r="F50" s="80"/>
      <c r="G50" s="91">
        <f t="shared" si="3"/>
        <v>301</v>
      </c>
    </row>
    <row r="51" spans="1:7" ht="18" customHeight="1">
      <c r="A51" s="91">
        <f>A50+1</f>
        <v>302</v>
      </c>
      <c r="B51" s="8" t="s">
        <v>522</v>
      </c>
      <c r="C51" s="80"/>
      <c r="D51" s="585">
        <f>-13916317.265*(2+((A51-A$50)/12))</f>
        <v>-28992327.635416672</v>
      </c>
      <c r="E51" s="80"/>
      <c r="F51" s="639"/>
      <c r="G51" s="91">
        <f t="shared" si="3"/>
        <v>302</v>
      </c>
    </row>
    <row r="52" spans="1:7" ht="18" customHeight="1">
      <c r="A52" s="91">
        <f t="shared" ref="A52:A65" si="4">A51+1</f>
        <v>303</v>
      </c>
      <c r="B52" s="8" t="s">
        <v>523</v>
      </c>
      <c r="C52" s="80"/>
      <c r="D52" s="585">
        <f t="shared" ref="D52:D61" si="5">-13916317.265*(2+((A52-A$50)/12))</f>
        <v>-30152020.740833331</v>
      </c>
      <c r="E52" s="80"/>
      <c r="F52" s="639"/>
      <c r="G52" s="91">
        <f t="shared" si="3"/>
        <v>303</v>
      </c>
    </row>
    <row r="53" spans="1:7" ht="18" customHeight="1">
      <c r="A53" s="91">
        <f t="shared" si="4"/>
        <v>304</v>
      </c>
      <c r="B53" s="8" t="s">
        <v>524</v>
      </c>
      <c r="C53" s="80"/>
      <c r="D53" s="585">
        <f t="shared" si="5"/>
        <v>-31311713.846250001</v>
      </c>
      <c r="E53" s="80"/>
      <c r="F53" s="639"/>
      <c r="G53" s="91">
        <f t="shared" si="3"/>
        <v>304</v>
      </c>
    </row>
    <row r="54" spans="1:7" ht="18" customHeight="1">
      <c r="A54" s="91">
        <f t="shared" si="4"/>
        <v>305</v>
      </c>
      <c r="B54" s="8" t="s">
        <v>525</v>
      </c>
      <c r="C54" s="80"/>
      <c r="D54" s="585">
        <f t="shared" si="5"/>
        <v>-32471406.951666672</v>
      </c>
      <c r="E54" s="80"/>
      <c r="F54" s="639"/>
      <c r="G54" s="91">
        <f t="shared" si="3"/>
        <v>305</v>
      </c>
    </row>
    <row r="55" spans="1:7" ht="18" customHeight="1">
      <c r="A55" s="91">
        <f t="shared" si="4"/>
        <v>306</v>
      </c>
      <c r="B55" s="8" t="s">
        <v>526</v>
      </c>
      <c r="C55" s="80"/>
      <c r="D55" s="585">
        <f t="shared" si="5"/>
        <v>-33631100.057083331</v>
      </c>
      <c r="E55" s="80"/>
      <c r="F55" s="639"/>
      <c r="G55" s="91">
        <f t="shared" si="3"/>
        <v>306</v>
      </c>
    </row>
    <row r="56" spans="1:7" ht="18" customHeight="1">
      <c r="A56" s="91">
        <f t="shared" si="4"/>
        <v>307</v>
      </c>
      <c r="B56" s="8" t="s">
        <v>812</v>
      </c>
      <c r="C56" s="80"/>
      <c r="D56" s="585">
        <f t="shared" si="5"/>
        <v>-34790793.162500001</v>
      </c>
      <c r="E56" s="80"/>
      <c r="F56" s="639"/>
      <c r="G56" s="91">
        <f t="shared" si="3"/>
        <v>307</v>
      </c>
    </row>
    <row r="57" spans="1:7" ht="18" customHeight="1">
      <c r="A57" s="91">
        <f t="shared" si="4"/>
        <v>308</v>
      </c>
      <c r="B57" s="8" t="s">
        <v>528</v>
      </c>
      <c r="C57" s="80"/>
      <c r="D57" s="585">
        <f t="shared" si="5"/>
        <v>-35950486.267916672</v>
      </c>
      <c r="E57" s="80"/>
      <c r="F57" s="639"/>
      <c r="G57" s="91">
        <f t="shared" si="3"/>
        <v>308</v>
      </c>
    </row>
    <row r="58" spans="1:7" ht="18" customHeight="1">
      <c r="A58" s="91">
        <f t="shared" si="4"/>
        <v>309</v>
      </c>
      <c r="B58" s="8" t="s">
        <v>529</v>
      </c>
      <c r="C58" s="80"/>
      <c r="D58" s="585">
        <f t="shared" si="5"/>
        <v>-37110179.373333335</v>
      </c>
      <c r="E58" s="80"/>
      <c r="F58" s="639"/>
      <c r="G58" s="91">
        <f t="shared" si="3"/>
        <v>309</v>
      </c>
    </row>
    <row r="59" spans="1:7" ht="18" customHeight="1">
      <c r="A59" s="91">
        <f t="shared" si="4"/>
        <v>310</v>
      </c>
      <c r="B59" s="8" t="s">
        <v>530</v>
      </c>
      <c r="C59" s="80"/>
      <c r="D59" s="585">
        <f t="shared" si="5"/>
        <v>-38269872.478750005</v>
      </c>
      <c r="E59" s="80"/>
      <c r="F59" s="639"/>
      <c r="G59" s="91">
        <f t="shared" si="3"/>
        <v>310</v>
      </c>
    </row>
    <row r="60" spans="1:7" ht="18" customHeight="1">
      <c r="A60" s="91">
        <f t="shared" si="4"/>
        <v>311</v>
      </c>
      <c r="B60" s="8" t="s">
        <v>531</v>
      </c>
      <c r="C60" s="80"/>
      <c r="D60" s="585">
        <f t="shared" si="5"/>
        <v>-39429565.584166668</v>
      </c>
      <c r="E60" s="80"/>
      <c r="F60" s="639"/>
      <c r="G60" s="91">
        <f t="shared" si="3"/>
        <v>311</v>
      </c>
    </row>
    <row r="61" spans="1:7" ht="18" customHeight="1">
      <c r="A61" s="91">
        <f t="shared" si="4"/>
        <v>312</v>
      </c>
      <c r="B61" s="8" t="s">
        <v>532</v>
      </c>
      <c r="C61" s="80"/>
      <c r="D61" s="585">
        <f t="shared" si="5"/>
        <v>-40589258.689583331</v>
      </c>
      <c r="E61" s="80"/>
      <c r="F61" s="639"/>
      <c r="G61" s="91">
        <f t="shared" si="3"/>
        <v>312</v>
      </c>
    </row>
    <row r="62" spans="1:7" ht="18" customHeight="1">
      <c r="A62" s="91">
        <f t="shared" si="4"/>
        <v>313</v>
      </c>
      <c r="B62" s="8" t="s">
        <v>520</v>
      </c>
      <c r="C62" s="80"/>
      <c r="D62" s="585">
        <f>-13916317.265*3</f>
        <v>-41748951.795000002</v>
      </c>
      <c r="E62" s="80"/>
      <c r="F62" s="639"/>
      <c r="G62" s="91">
        <f t="shared" si="3"/>
        <v>313</v>
      </c>
    </row>
    <row r="63" spans="1:7" ht="18" customHeight="1">
      <c r="A63" s="91">
        <f t="shared" si="4"/>
        <v>314</v>
      </c>
      <c r="B63" s="8" t="s">
        <v>1325</v>
      </c>
      <c r="E63" s="264">
        <f>AVERAGE(D50:D62)</f>
        <v>-34790793.162500001</v>
      </c>
      <c r="F63" s="587" t="s">
        <v>497</v>
      </c>
      <c r="G63" s="91">
        <f t="shared" si="3"/>
        <v>314</v>
      </c>
    </row>
    <row r="64" spans="1:7" ht="18" customHeight="1">
      <c r="A64" s="91">
        <f t="shared" si="4"/>
        <v>315</v>
      </c>
      <c r="B64" s="8" t="s">
        <v>1326</v>
      </c>
      <c r="D64" s="558">
        <f>E64</f>
        <v>0.40489999999999998</v>
      </c>
      <c r="E64" s="588">
        <v>0.40489999999999998</v>
      </c>
      <c r="F64" s="106" t="s">
        <v>1327</v>
      </c>
      <c r="G64" s="91">
        <f t="shared" si="3"/>
        <v>315</v>
      </c>
    </row>
    <row r="65" spans="1:7" ht="18" customHeight="1">
      <c r="A65" s="91">
        <f t="shared" si="4"/>
        <v>316</v>
      </c>
      <c r="B65" s="105" t="s">
        <v>1323</v>
      </c>
      <c r="C65" s="230" t="s">
        <v>1320</v>
      </c>
      <c r="D65" s="562">
        <f>D62*D64</f>
        <v>-16904150.581795499</v>
      </c>
      <c r="E65" s="589">
        <f>+E64*E63</f>
        <v>-14086792.15149625</v>
      </c>
      <c r="F65" s="106" t="str">
        <f>"Line "&amp;A63&amp;" * Line "&amp;A64&amp;" (see Note 3)"</f>
        <v>Line 314 * Line 315 (see Note 3)</v>
      </c>
      <c r="G65" s="91">
        <f t="shared" si="3"/>
        <v>316</v>
      </c>
    </row>
    <row r="66" spans="1:7" ht="18" customHeight="1">
      <c r="A66" s="91"/>
      <c r="E66" s="105"/>
      <c r="F66" s="106"/>
    </row>
    <row r="67" spans="1:7" ht="18" customHeight="1">
      <c r="B67" s="79" t="s">
        <v>1329</v>
      </c>
      <c r="C67" s="103"/>
      <c r="D67" s="103"/>
      <c r="E67" s="103"/>
      <c r="F67" s="102"/>
    </row>
    <row r="68" spans="1:7" ht="18" customHeight="1">
      <c r="B68" s="105" t="s">
        <v>1330</v>
      </c>
      <c r="F68" s="18"/>
    </row>
    <row r="69" spans="1:7" ht="18" customHeight="1">
      <c r="F69" s="18"/>
    </row>
    <row r="70" spans="1:7" ht="18" customHeight="1">
      <c r="B70" s="105"/>
      <c r="D70" s="91" t="s">
        <v>122</v>
      </c>
      <c r="E70" s="91" t="s">
        <v>123</v>
      </c>
      <c r="F70" s="18"/>
    </row>
    <row r="71" spans="1:7" ht="18" customHeight="1">
      <c r="B71" s="105"/>
      <c r="D71" s="80" t="s">
        <v>1308</v>
      </c>
      <c r="E71" s="80" t="s">
        <v>813</v>
      </c>
      <c r="F71" s="18"/>
    </row>
    <row r="72" spans="1:7" ht="18" customHeight="1">
      <c r="A72" s="91">
        <v>400</v>
      </c>
      <c r="B72" s="690" t="s">
        <v>1910</v>
      </c>
      <c r="D72" s="584">
        <f>D92</f>
        <v>-47517069.911279991</v>
      </c>
      <c r="E72" s="583">
        <f>E92</f>
        <v>-37009229.633567378</v>
      </c>
      <c r="F72" s="106" t="str">
        <f>CONCATENATE("Line ",A92)</f>
        <v>Line 417</v>
      </c>
      <c r="G72" s="91">
        <f t="shared" ref="G72" si="6">A72</f>
        <v>400</v>
      </c>
    </row>
    <row r="73" spans="1:7" ht="18" customHeight="1">
      <c r="B73" s="105"/>
      <c r="D73" s="91"/>
      <c r="E73" s="91"/>
      <c r="F73" s="18"/>
    </row>
    <row r="74" spans="1:7" ht="18" customHeight="1">
      <c r="A74" s="80" t="s">
        <v>90</v>
      </c>
      <c r="B74" s="80" t="s">
        <v>1311</v>
      </c>
      <c r="C74" s="80"/>
      <c r="D74" s="138" t="s">
        <v>1312</v>
      </c>
      <c r="E74" s="80" t="s">
        <v>813</v>
      </c>
      <c r="F74" s="80" t="s">
        <v>126</v>
      </c>
      <c r="G74" s="80" t="str">
        <f t="shared" ref="G74:G92" si="7">A74</f>
        <v>Line</v>
      </c>
    </row>
    <row r="75" spans="1:7" ht="18" customHeight="1">
      <c r="A75" s="591">
        <f>A72+1</f>
        <v>401</v>
      </c>
      <c r="B75" s="691" t="s">
        <v>520</v>
      </c>
      <c r="C75" s="530"/>
      <c r="D75" s="692">
        <v>-173000616.80000001</v>
      </c>
      <c r="E75" s="693"/>
      <c r="F75" s="694" t="s">
        <v>1906</v>
      </c>
      <c r="G75" s="91">
        <f t="shared" si="7"/>
        <v>401</v>
      </c>
    </row>
    <row r="76" spans="1:7" ht="18" customHeight="1">
      <c r="A76" s="591">
        <f>A75+1</f>
        <v>402</v>
      </c>
      <c r="B76" s="691" t="s">
        <v>522</v>
      </c>
      <c r="C76" s="530"/>
      <c r="D76" s="692">
        <v>-190829886.5</v>
      </c>
      <c r="E76" s="693"/>
      <c r="F76" s="695" t="s">
        <v>1907</v>
      </c>
      <c r="G76" s="91">
        <f t="shared" si="7"/>
        <v>402</v>
      </c>
    </row>
    <row r="77" spans="1:7" ht="18" customHeight="1">
      <c r="A77" s="591">
        <f t="shared" ref="A77:A90" si="8">A76+1</f>
        <v>403</v>
      </c>
      <c r="B77" s="691" t="s">
        <v>523</v>
      </c>
      <c r="C77" s="530"/>
      <c r="D77" s="692">
        <v>-204878529.30000001</v>
      </c>
      <c r="E77" s="693"/>
      <c r="F77" s="695" t="s">
        <v>1337</v>
      </c>
      <c r="G77" s="91">
        <f t="shared" si="7"/>
        <v>403</v>
      </c>
    </row>
    <row r="78" spans="1:7" ht="18" customHeight="1">
      <c r="A78" s="591">
        <f t="shared" si="8"/>
        <v>404</v>
      </c>
      <c r="B78" s="691" t="s">
        <v>524</v>
      </c>
      <c r="C78" s="530"/>
      <c r="D78" s="692">
        <v>-175754161.59999999</v>
      </c>
      <c r="E78" s="693"/>
      <c r="F78" s="693"/>
      <c r="G78" s="91">
        <f t="shared" si="7"/>
        <v>404</v>
      </c>
    </row>
    <row r="79" spans="1:7" ht="18" customHeight="1">
      <c r="A79" s="591">
        <f t="shared" si="8"/>
        <v>405</v>
      </c>
      <c r="B79" s="691" t="s">
        <v>525</v>
      </c>
      <c r="C79" s="530"/>
      <c r="D79" s="692">
        <v>-69150859.200000003</v>
      </c>
      <c r="E79" s="693"/>
      <c r="F79" s="693"/>
      <c r="G79" s="91">
        <f t="shared" si="7"/>
        <v>405</v>
      </c>
    </row>
    <row r="80" spans="1:7" ht="18" customHeight="1">
      <c r="A80" s="591">
        <f t="shared" si="8"/>
        <v>406</v>
      </c>
      <c r="B80" s="691" t="s">
        <v>526</v>
      </c>
      <c r="C80" s="530"/>
      <c r="D80" s="692">
        <v>-77724361.969999999</v>
      </c>
      <c r="E80" s="693"/>
      <c r="F80" s="693"/>
      <c r="G80" s="91">
        <f t="shared" si="7"/>
        <v>406</v>
      </c>
    </row>
    <row r="81" spans="1:7" ht="18" customHeight="1">
      <c r="A81" s="591">
        <f t="shared" si="8"/>
        <v>407</v>
      </c>
      <c r="B81" s="691" t="s">
        <v>812</v>
      </c>
      <c r="C81" s="530"/>
      <c r="D81" s="692">
        <v>-93363863.549999997</v>
      </c>
      <c r="E81" s="693"/>
      <c r="F81" s="693"/>
      <c r="G81" s="91">
        <f t="shared" si="7"/>
        <v>407</v>
      </c>
    </row>
    <row r="82" spans="1:7" ht="18" customHeight="1">
      <c r="A82" s="591">
        <f t="shared" si="8"/>
        <v>408</v>
      </c>
      <c r="B82" s="691" t="s">
        <v>528</v>
      </c>
      <c r="C82" s="530"/>
      <c r="D82" s="692">
        <v>-111244461.59999999</v>
      </c>
      <c r="E82" s="693"/>
      <c r="F82" s="693"/>
      <c r="G82" s="91">
        <f t="shared" si="7"/>
        <v>408</v>
      </c>
    </row>
    <row r="83" spans="1:7" ht="18" customHeight="1">
      <c r="A83" s="591">
        <f t="shared" si="8"/>
        <v>409</v>
      </c>
      <c r="B83" s="691" t="s">
        <v>529</v>
      </c>
      <c r="C83" s="530"/>
      <c r="D83" s="692">
        <v>-123472673.5</v>
      </c>
      <c r="E83" s="693"/>
      <c r="F83" s="693"/>
      <c r="G83" s="91">
        <f t="shared" si="7"/>
        <v>409</v>
      </c>
    </row>
    <row r="84" spans="1:7" ht="18" customHeight="1">
      <c r="A84" s="591">
        <f t="shared" si="8"/>
        <v>410</v>
      </c>
      <c r="B84" s="691" t="s">
        <v>530</v>
      </c>
      <c r="C84" s="530"/>
      <c r="D84" s="692">
        <v>-139265864.59999999</v>
      </c>
      <c r="E84" s="693"/>
      <c r="F84" s="693"/>
      <c r="G84" s="91">
        <f t="shared" si="7"/>
        <v>410</v>
      </c>
    </row>
    <row r="85" spans="1:7" ht="18" customHeight="1">
      <c r="A85" s="591">
        <f t="shared" si="8"/>
        <v>411</v>
      </c>
      <c r="B85" s="691" t="s">
        <v>531</v>
      </c>
      <c r="C85" s="530"/>
      <c r="D85" s="692">
        <v>-153700175.30000001</v>
      </c>
      <c r="E85" s="693"/>
      <c r="F85" s="693"/>
      <c r="G85" s="91">
        <f t="shared" si="7"/>
        <v>411</v>
      </c>
    </row>
    <row r="86" spans="1:7" ht="18" customHeight="1">
      <c r="A86" s="591">
        <f t="shared" si="8"/>
        <v>412</v>
      </c>
      <c r="B86" s="691" t="s">
        <v>532</v>
      </c>
      <c r="C86" s="530"/>
      <c r="D86" s="692">
        <v>-163050849.5</v>
      </c>
      <c r="E86" s="693"/>
      <c r="F86" s="693"/>
      <c r="G86" s="91">
        <f t="shared" si="7"/>
        <v>412</v>
      </c>
    </row>
    <row r="87" spans="1:7" ht="18" customHeight="1">
      <c r="A87" s="591">
        <f t="shared" si="8"/>
        <v>413</v>
      </c>
      <c r="B87" s="691" t="s">
        <v>520</v>
      </c>
      <c r="C87" s="530"/>
      <c r="D87" s="692">
        <v>-183605370.59999999</v>
      </c>
      <c r="E87" s="693"/>
      <c r="F87" s="693"/>
      <c r="G87" s="91">
        <f t="shared" si="7"/>
        <v>413</v>
      </c>
    </row>
    <row r="88" spans="1:7" ht="18" customHeight="1">
      <c r="A88" s="591">
        <f t="shared" si="8"/>
        <v>414</v>
      </c>
      <c r="B88" s="691" t="s">
        <v>813</v>
      </c>
      <c r="C88" s="86"/>
      <c r="D88" s="691"/>
      <c r="E88" s="692">
        <f>AVERAGE(D75:D87)</f>
        <v>-143003205.69384614</v>
      </c>
      <c r="F88" s="696"/>
      <c r="G88" s="91">
        <f t="shared" si="7"/>
        <v>414</v>
      </c>
    </row>
    <row r="89" spans="1:7" ht="18" customHeight="1">
      <c r="A89" s="591">
        <f t="shared" si="8"/>
        <v>415</v>
      </c>
      <c r="B89" s="691" t="s">
        <v>687</v>
      </c>
      <c r="C89" s="86"/>
      <c r="D89" s="692">
        <v>0</v>
      </c>
      <c r="E89" s="692">
        <v>0</v>
      </c>
      <c r="F89" s="696"/>
      <c r="G89" s="91">
        <f t="shared" si="7"/>
        <v>415</v>
      </c>
    </row>
    <row r="90" spans="1:7" ht="18" customHeight="1">
      <c r="A90" s="591">
        <f t="shared" si="8"/>
        <v>416</v>
      </c>
      <c r="B90" s="691" t="s">
        <v>1333</v>
      </c>
      <c r="C90" s="86"/>
      <c r="D90" s="697">
        <v>0.25879999999999997</v>
      </c>
      <c r="E90" s="698">
        <f>D90</f>
        <v>0.25879999999999997</v>
      </c>
      <c r="F90" s="699" t="s">
        <v>1905</v>
      </c>
      <c r="G90" s="91">
        <f t="shared" si="7"/>
        <v>416</v>
      </c>
    </row>
    <row r="91" spans="1:7" ht="18" customHeight="1">
      <c r="A91" s="591"/>
      <c r="B91" s="592"/>
      <c r="D91" s="598"/>
      <c r="E91" s="599"/>
      <c r="F91" s="597"/>
      <c r="G91" s="91"/>
    </row>
    <row r="92" spans="1:7" ht="18" customHeight="1">
      <c r="A92" s="591">
        <f>A90+1</f>
        <v>417</v>
      </c>
      <c r="B92" s="590" t="s">
        <v>534</v>
      </c>
      <c r="C92" s="230" t="s">
        <v>1320</v>
      </c>
      <c r="D92" s="700">
        <f>(D87+D89)*D90</f>
        <v>-47517069.911279991</v>
      </c>
      <c r="E92" s="700">
        <f>(E88+E89)*E90</f>
        <v>-37009229.633567378</v>
      </c>
      <c r="F92" s="699" t="str">
        <f>"(Line "&amp;A88&amp;" + "&amp;A89&amp;" ) * Line "&amp;A90&amp;" "</f>
        <v xml:space="preserve">(Line 414 + 415 ) * Line 416 </v>
      </c>
      <c r="G92" s="91">
        <f t="shared" si="7"/>
        <v>417</v>
      </c>
    </row>
    <row r="93" spans="1:7" ht="18" customHeight="1">
      <c r="F93" s="18"/>
    </row>
    <row r="94" spans="1:7" ht="18" customHeight="1">
      <c r="B94" s="590" t="s">
        <v>117</v>
      </c>
      <c r="F94" s="18"/>
    </row>
    <row r="95" spans="1:7" ht="18" customHeight="1">
      <c r="F95" s="18"/>
    </row>
    <row r="96" spans="1:7" ht="18" customHeight="1">
      <c r="A96" s="80" t="s">
        <v>90</v>
      </c>
      <c r="B96" s="80" t="s">
        <v>1311</v>
      </c>
      <c r="C96" s="80"/>
      <c r="D96" s="138" t="s">
        <v>1312</v>
      </c>
      <c r="E96" s="80" t="s">
        <v>813</v>
      </c>
      <c r="F96" s="80" t="s">
        <v>126</v>
      </c>
      <c r="G96" s="80" t="str">
        <f t="shared" ref="G96:G97" si="9">A96</f>
        <v>Line</v>
      </c>
    </row>
    <row r="97" spans="1:7" ht="18" customHeight="1">
      <c r="A97" s="591" t="s">
        <v>117</v>
      </c>
      <c r="B97" s="592" t="s">
        <v>117</v>
      </c>
      <c r="C97" s="80"/>
      <c r="D97" s="585" t="s">
        <v>117</v>
      </c>
      <c r="E97" s="593" t="s">
        <v>117</v>
      </c>
      <c r="F97" s="593" t="s">
        <v>117</v>
      </c>
      <c r="G97" s="91" t="str">
        <f t="shared" si="9"/>
        <v>…</v>
      </c>
    </row>
    <row r="98" spans="1:7" ht="18" customHeight="1">
      <c r="F98" s="18"/>
    </row>
    <row r="99" spans="1:7">
      <c r="A99" s="91"/>
      <c r="D99" s="90"/>
      <c r="E99" s="560"/>
      <c r="F99" s="106"/>
      <c r="G99" s="91"/>
    </row>
    <row r="100" spans="1:7" ht="15" customHeight="1">
      <c r="B100" s="754" t="s">
        <v>1334</v>
      </c>
      <c r="C100" s="754"/>
      <c r="D100" s="754"/>
      <c r="E100" s="754"/>
      <c r="F100" s="754"/>
    </row>
    <row r="101" spans="1:7">
      <c r="B101" s="754"/>
      <c r="C101" s="754"/>
      <c r="D101" s="754"/>
      <c r="E101" s="754"/>
      <c r="F101" s="754"/>
    </row>
    <row r="102" spans="1:7" ht="15" customHeight="1">
      <c r="B102" s="739" t="s">
        <v>1335</v>
      </c>
      <c r="C102" s="739"/>
      <c r="D102" s="739"/>
      <c r="E102" s="739"/>
      <c r="F102" s="739"/>
    </row>
    <row r="103" spans="1:7">
      <c r="B103" s="739"/>
      <c r="C103" s="739"/>
      <c r="D103" s="739"/>
      <c r="E103" s="739"/>
      <c r="F103" s="739"/>
    </row>
    <row r="104" spans="1:7">
      <c r="B104" s="739"/>
      <c r="C104" s="739"/>
      <c r="D104" s="739"/>
      <c r="E104" s="739"/>
      <c r="F104" s="739"/>
    </row>
    <row r="105" spans="1:7">
      <c r="B105" s="739"/>
      <c r="C105" s="739"/>
      <c r="D105" s="739"/>
      <c r="E105" s="739"/>
      <c r="F105" s="739"/>
    </row>
    <row r="106" spans="1:7" ht="15" customHeight="1">
      <c r="B106" s="755" t="s">
        <v>1336</v>
      </c>
      <c r="C106" s="755"/>
      <c r="D106" s="755"/>
      <c r="E106" s="755"/>
      <c r="F106" s="755"/>
    </row>
    <row r="107" spans="1:7">
      <c r="B107" s="755"/>
      <c r="C107" s="755"/>
      <c r="D107" s="755"/>
      <c r="E107" s="755"/>
      <c r="F107" s="755"/>
    </row>
    <row r="108" spans="1:7">
      <c r="B108" s="522"/>
      <c r="C108" s="522"/>
      <c r="D108" s="522"/>
      <c r="E108" s="522"/>
      <c r="F108" s="522"/>
    </row>
    <row r="109" spans="1:7">
      <c r="B109" s="522"/>
      <c r="C109" s="522"/>
      <c r="D109" s="522"/>
      <c r="E109" s="522"/>
      <c r="F109" s="522"/>
    </row>
  </sheetData>
  <mergeCells count="4">
    <mergeCell ref="B100:F101"/>
    <mergeCell ref="B106:F107"/>
    <mergeCell ref="B4:F9"/>
    <mergeCell ref="B102:F105"/>
  </mergeCells>
  <printOptions horizontalCentered="1"/>
  <pageMargins left="1" right="1" top="1" bottom="1" header="0.5" footer="0.5"/>
  <pageSetup scale="25" orientation="landscape" r:id="rId1"/>
  <headerFooter>
    <oddHeader>&amp;RDocket No. ER20-2878-000, et al.- Annual Update RY2024
&amp;F</oddHeader>
  </headerFooter>
  <rowBreaks count="1" manualBreakCount="1">
    <brk id="66" max="7" man="1"/>
  </rowBreaks>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7973-A727-42F1-928D-072877A3F90E}">
  <sheetPr>
    <tabColor rgb="FFFF0000"/>
    <pageSetUpPr fitToPage="1"/>
  </sheetPr>
  <dimension ref="A1:J109"/>
  <sheetViews>
    <sheetView view="pageBreakPreview" topLeftCell="A37" zoomScale="25" zoomScaleNormal="85" zoomScaleSheetLayoutView="25" workbookViewId="0">
      <selection activeCell="W98" sqref="W98"/>
    </sheetView>
  </sheetViews>
  <sheetFormatPr defaultColWidth="9.1796875" defaultRowHeight="14.5"/>
  <cols>
    <col min="1" max="1" width="6.7265625" style="8" bestFit="1" customWidth="1"/>
    <col min="2" max="2" width="47.1796875" style="8" customWidth="1"/>
    <col min="3" max="3" width="7" style="8" bestFit="1" customWidth="1"/>
    <col min="4" max="4" width="22.7265625" style="8" customWidth="1"/>
    <col min="5" max="5" width="21.453125" style="8" customWidth="1"/>
    <col min="6" max="6" width="57.26953125" style="8" bestFit="1" customWidth="1"/>
    <col min="7" max="7" width="7" style="8" bestFit="1" customWidth="1"/>
    <col min="8" max="9" width="9.1796875" style="8"/>
    <col min="10" max="10" width="13.7265625" style="8" bestFit="1" customWidth="1"/>
    <col min="11" max="16384" width="9.1796875" style="8"/>
  </cols>
  <sheetData>
    <row r="1" spans="1:7">
      <c r="B1" s="105" t="s">
        <v>173</v>
      </c>
      <c r="F1" s="6" t="s">
        <v>384</v>
      </c>
    </row>
    <row r="2" spans="1:7">
      <c r="B2" s="78" t="s">
        <v>120</v>
      </c>
      <c r="F2" s="90"/>
    </row>
    <row r="3" spans="1:7">
      <c r="B3" s="105"/>
      <c r="F3" s="90"/>
    </row>
    <row r="4" spans="1:7" ht="15" customHeight="1">
      <c r="B4" s="742" t="s">
        <v>1300</v>
      </c>
      <c r="C4" s="742"/>
      <c r="D4" s="742"/>
      <c r="E4" s="742"/>
      <c r="F4" s="742"/>
    </row>
    <row r="5" spans="1:7" ht="15" customHeight="1">
      <c r="B5" s="742"/>
      <c r="C5" s="742"/>
      <c r="D5" s="742"/>
      <c r="E5" s="742"/>
      <c r="F5" s="742"/>
    </row>
    <row r="6" spans="1:7" ht="15" customHeight="1">
      <c r="B6" s="742"/>
      <c r="C6" s="742"/>
      <c r="D6" s="742"/>
      <c r="E6" s="742"/>
      <c r="F6" s="742"/>
    </row>
    <row r="7" spans="1:7" ht="15" customHeight="1">
      <c r="B7" s="742"/>
      <c r="C7" s="742"/>
      <c r="D7" s="742"/>
      <c r="E7" s="742"/>
      <c r="F7" s="742"/>
    </row>
    <row r="8" spans="1:7" ht="15" customHeight="1">
      <c r="B8" s="742"/>
      <c r="C8" s="742"/>
      <c r="D8" s="742"/>
      <c r="E8" s="742"/>
      <c r="F8" s="742"/>
    </row>
    <row r="9" spans="1:7" ht="15" customHeight="1">
      <c r="B9" s="742"/>
      <c r="C9" s="742"/>
      <c r="D9" s="742"/>
      <c r="E9" s="742"/>
      <c r="F9" s="742"/>
    </row>
    <row r="10" spans="1:7" ht="15" customHeight="1">
      <c r="B10" s="105"/>
      <c r="D10" s="91"/>
      <c r="E10" s="91" t="s">
        <v>123</v>
      </c>
      <c r="F10" s="80" t="s">
        <v>126</v>
      </c>
    </row>
    <row r="11" spans="1:7">
      <c r="A11" s="80" t="s">
        <v>90</v>
      </c>
      <c r="B11" s="79" t="s">
        <v>1301</v>
      </c>
      <c r="C11" s="103"/>
      <c r="D11" s="103"/>
      <c r="E11" s="103"/>
      <c r="F11" s="103"/>
      <c r="G11" s="80" t="s">
        <v>90</v>
      </c>
    </row>
    <row r="12" spans="1:7">
      <c r="A12" s="91">
        <v>100</v>
      </c>
      <c r="B12" s="106" t="s">
        <v>1302</v>
      </c>
      <c r="E12" s="583">
        <v>-124034270.15149625</v>
      </c>
      <c r="F12" s="646" t="s">
        <v>1303</v>
      </c>
      <c r="G12" s="91">
        <v>100</v>
      </c>
    </row>
    <row r="13" spans="1:7">
      <c r="A13" s="91">
        <v>101</v>
      </c>
      <c r="B13" s="106" t="s">
        <v>1304</v>
      </c>
      <c r="E13" s="583">
        <v>-123575038.625315</v>
      </c>
      <c r="F13" s="646" t="s">
        <v>1305</v>
      </c>
      <c r="G13" s="91">
        <v>101</v>
      </c>
    </row>
    <row r="14" spans="1:7">
      <c r="B14" s="105"/>
    </row>
    <row r="15" spans="1:7">
      <c r="B15" s="79" t="s">
        <v>1306</v>
      </c>
      <c r="C15" s="103"/>
      <c r="D15" s="103"/>
      <c r="E15" s="103"/>
      <c r="F15" s="103"/>
    </row>
    <row r="16" spans="1:7">
      <c r="B16" s="105" t="s">
        <v>1307</v>
      </c>
    </row>
    <row r="17" spans="1:10">
      <c r="D17" s="80" t="s">
        <v>122</v>
      </c>
      <c r="E17" s="80" t="s">
        <v>123</v>
      </c>
      <c r="F17" s="18"/>
    </row>
    <row r="18" spans="1:10">
      <c r="D18" s="80" t="s">
        <v>1308</v>
      </c>
      <c r="E18" s="80" t="s">
        <v>813</v>
      </c>
      <c r="F18" s="18"/>
    </row>
    <row r="19" spans="1:10">
      <c r="A19" s="91">
        <v>200</v>
      </c>
      <c r="B19" s="105" t="s">
        <v>1309</v>
      </c>
      <c r="D19" s="584">
        <v>-106670888.0435195</v>
      </c>
      <c r="E19" s="583">
        <v>-109947478</v>
      </c>
      <c r="F19" s="106" t="s">
        <v>1310</v>
      </c>
      <c r="G19" s="91">
        <v>200</v>
      </c>
    </row>
    <row r="20" spans="1:10">
      <c r="A20" s="91"/>
      <c r="B20" s="105"/>
      <c r="D20" s="584"/>
      <c r="E20" s="583"/>
      <c r="F20" s="106"/>
      <c r="G20" s="91"/>
    </row>
    <row r="21" spans="1:10" ht="24" customHeight="1">
      <c r="A21" s="80" t="s">
        <v>90</v>
      </c>
      <c r="B21" s="80" t="s">
        <v>1311</v>
      </c>
      <c r="C21" s="80"/>
      <c r="D21" s="138" t="s">
        <v>1312</v>
      </c>
      <c r="E21" s="80" t="s">
        <v>813</v>
      </c>
      <c r="F21" s="80" t="s">
        <v>126</v>
      </c>
      <c r="G21" s="80" t="s">
        <v>90</v>
      </c>
    </row>
    <row r="22" spans="1:10" ht="18" customHeight="1">
      <c r="A22" s="91">
        <v>201</v>
      </c>
      <c r="B22" s="8" t="s">
        <v>520</v>
      </c>
      <c r="C22" s="80"/>
      <c r="D22" s="585">
        <v>-337183744.5</v>
      </c>
      <c r="E22" s="80"/>
      <c r="F22" s="80"/>
      <c r="G22" s="91">
        <v>201</v>
      </c>
      <c r="J22" s="242"/>
    </row>
    <row r="23" spans="1:10" ht="18" customHeight="1">
      <c r="A23" s="91">
        <v>202</v>
      </c>
      <c r="B23" s="8" t="s">
        <v>522</v>
      </c>
      <c r="C23" s="80"/>
      <c r="D23" s="585">
        <v>-378373007.83999997</v>
      </c>
      <c r="E23" s="80"/>
      <c r="F23" s="80"/>
      <c r="G23" s="91">
        <v>202</v>
      </c>
      <c r="J23" s="242"/>
    </row>
    <row r="24" spans="1:10" ht="18" customHeight="1">
      <c r="A24" s="91">
        <v>203</v>
      </c>
      <c r="B24" s="8" t="s">
        <v>523</v>
      </c>
      <c r="C24" s="80"/>
      <c r="D24" s="585">
        <v>-368992607.38</v>
      </c>
      <c r="E24" s="80"/>
      <c r="F24" s="80"/>
      <c r="G24" s="91">
        <v>203</v>
      </c>
      <c r="J24" s="242"/>
    </row>
    <row r="25" spans="1:10" ht="18" customHeight="1">
      <c r="A25" s="91">
        <v>204</v>
      </c>
      <c r="B25" s="8" t="s">
        <v>524</v>
      </c>
      <c r="C25" s="80"/>
      <c r="D25" s="585">
        <v>-382342760.67000002</v>
      </c>
      <c r="E25" s="80"/>
      <c r="F25" s="80"/>
      <c r="G25" s="91">
        <v>204</v>
      </c>
      <c r="J25" s="242"/>
    </row>
    <row r="26" spans="1:10" ht="18" customHeight="1">
      <c r="A26" s="91">
        <v>205</v>
      </c>
      <c r="B26" s="8" t="s">
        <v>525</v>
      </c>
      <c r="C26" s="80"/>
      <c r="D26" s="585">
        <v>-383291814.51999998</v>
      </c>
      <c r="E26" s="80"/>
      <c r="F26" s="80"/>
      <c r="G26" s="91">
        <v>205</v>
      </c>
      <c r="J26" s="242"/>
    </row>
    <row r="27" spans="1:10" ht="18" customHeight="1">
      <c r="A27" s="91">
        <v>206</v>
      </c>
      <c r="B27" s="8" t="s">
        <v>526</v>
      </c>
      <c r="C27" s="80"/>
      <c r="D27" s="585">
        <v>-387523992.58999997</v>
      </c>
      <c r="E27" s="80"/>
      <c r="F27" s="80"/>
      <c r="G27" s="91">
        <v>206</v>
      </c>
      <c r="J27" s="242"/>
    </row>
    <row r="28" spans="1:10" ht="18" customHeight="1">
      <c r="A28" s="91">
        <v>207</v>
      </c>
      <c r="B28" s="8" t="s">
        <v>812</v>
      </c>
      <c r="C28" s="80"/>
      <c r="D28" s="585">
        <v>-384578075.75</v>
      </c>
      <c r="E28" s="80"/>
      <c r="F28" s="80"/>
      <c r="G28" s="91">
        <v>207</v>
      </c>
      <c r="J28" s="242"/>
    </row>
    <row r="29" spans="1:10" ht="18" customHeight="1">
      <c r="A29" s="91">
        <v>208</v>
      </c>
      <c r="B29" s="8" t="s">
        <v>528</v>
      </c>
      <c r="C29" s="80"/>
      <c r="D29" s="585">
        <v>-378121086.11000001</v>
      </c>
      <c r="E29" s="80"/>
      <c r="F29" s="80"/>
      <c r="G29" s="91">
        <v>208</v>
      </c>
      <c r="J29" s="242"/>
    </row>
    <row r="30" spans="1:10" ht="18" customHeight="1">
      <c r="A30" s="91">
        <v>209</v>
      </c>
      <c r="B30" s="8" t="s">
        <v>529</v>
      </c>
      <c r="C30" s="80"/>
      <c r="D30" s="585">
        <v>-372201538.99000001</v>
      </c>
      <c r="E30" s="80"/>
      <c r="F30" s="80"/>
      <c r="G30" s="91">
        <v>209</v>
      </c>
      <c r="J30" s="242"/>
    </row>
    <row r="31" spans="1:10" ht="18" customHeight="1">
      <c r="A31" s="91">
        <v>210</v>
      </c>
      <c r="B31" s="8" t="s">
        <v>530</v>
      </c>
      <c r="C31" s="80"/>
      <c r="D31" s="585">
        <v>-369904606.11000001</v>
      </c>
      <c r="E31" s="80"/>
      <c r="F31" s="80"/>
      <c r="G31" s="91">
        <v>210</v>
      </c>
      <c r="J31" s="242"/>
    </row>
    <row r="32" spans="1:10" ht="18" customHeight="1">
      <c r="A32" s="91">
        <v>211</v>
      </c>
      <c r="B32" s="8" t="s">
        <v>531</v>
      </c>
      <c r="C32" s="80"/>
      <c r="D32" s="585">
        <v>-366690046.22000003</v>
      </c>
      <c r="E32" s="80"/>
      <c r="F32" s="80"/>
      <c r="G32" s="91">
        <v>211</v>
      </c>
      <c r="J32" s="242"/>
    </row>
    <row r="33" spans="1:10" ht="18" customHeight="1">
      <c r="A33" s="91">
        <v>212</v>
      </c>
      <c r="B33" s="8" t="s">
        <v>532</v>
      </c>
      <c r="C33" s="80"/>
      <c r="D33" s="585">
        <v>-366397701.58999997</v>
      </c>
      <c r="E33" s="80"/>
      <c r="F33" s="80"/>
      <c r="G33" s="91">
        <v>212</v>
      </c>
      <c r="J33" s="242"/>
    </row>
    <row r="34" spans="1:10" ht="18" customHeight="1">
      <c r="A34" s="91">
        <v>213</v>
      </c>
      <c r="B34" s="8" t="s">
        <v>520</v>
      </c>
      <c r="C34" s="80"/>
      <c r="D34" s="585">
        <v>-361396927.81</v>
      </c>
      <c r="E34" s="80"/>
      <c r="F34" s="80"/>
      <c r="G34" s="91">
        <v>213</v>
      </c>
      <c r="J34" s="242"/>
    </row>
    <row r="35" spans="1:10" ht="18" customHeight="1">
      <c r="A35" s="91">
        <v>214</v>
      </c>
      <c r="B35" s="8" t="s">
        <v>1313</v>
      </c>
      <c r="E35" s="264">
        <v>-372076762.31384623</v>
      </c>
      <c r="F35" s="106" t="s">
        <v>101</v>
      </c>
      <c r="G35" s="91">
        <v>214</v>
      </c>
      <c r="J35" s="242"/>
    </row>
    <row r="36" spans="1:10" ht="18" customHeight="1">
      <c r="A36" s="91">
        <v>215</v>
      </c>
      <c r="B36" s="8" t="s">
        <v>1314</v>
      </c>
      <c r="D36" s="586">
        <v>13710000</v>
      </c>
      <c r="E36" s="586">
        <v>13710000</v>
      </c>
      <c r="F36" s="106" t="s">
        <v>496</v>
      </c>
      <c r="G36" s="91">
        <v>215</v>
      </c>
    </row>
    <row r="37" spans="1:10" ht="18" customHeight="1">
      <c r="A37" s="91">
        <v>216</v>
      </c>
      <c r="B37" s="8" t="s">
        <v>1315</v>
      </c>
      <c r="D37" s="242"/>
      <c r="E37" s="264">
        <v>-358366762.31384623</v>
      </c>
      <c r="F37" s="106" t="s">
        <v>1316</v>
      </c>
      <c r="G37" s="91">
        <v>216</v>
      </c>
    </row>
    <row r="38" spans="1:10" ht="18" customHeight="1">
      <c r="A38" s="91">
        <v>217</v>
      </c>
      <c r="B38" s="8" t="s">
        <v>1317</v>
      </c>
      <c r="D38" s="242">
        <v>-347686927.81</v>
      </c>
      <c r="E38" s="264"/>
      <c r="F38" s="106" t="s">
        <v>1318</v>
      </c>
      <c r="G38" s="91"/>
    </row>
    <row r="39" spans="1:10" ht="18" customHeight="1">
      <c r="A39" s="91">
        <v>218</v>
      </c>
      <c r="B39" s="8" t="s">
        <v>1319</v>
      </c>
      <c r="D39" s="558">
        <v>0.30680154907006396</v>
      </c>
      <c r="E39" s="558">
        <v>0.30680154907006396</v>
      </c>
      <c r="F39" s="106" t="s">
        <v>898</v>
      </c>
      <c r="G39" s="91">
        <v>218</v>
      </c>
    </row>
    <row r="40" spans="1:10" ht="18" customHeight="1">
      <c r="A40" s="91">
        <v>219</v>
      </c>
      <c r="B40" s="105" t="s">
        <v>1309</v>
      </c>
      <c r="C40" s="230" t="s">
        <v>1320</v>
      </c>
      <c r="D40" s="562">
        <v>-106670888.0435195</v>
      </c>
      <c r="E40" s="583">
        <v>-109947478</v>
      </c>
      <c r="F40" s="106" t="s">
        <v>1321</v>
      </c>
      <c r="G40" s="91">
        <v>219</v>
      </c>
    </row>
    <row r="41" spans="1:10" ht="18" customHeight="1">
      <c r="A41" s="91"/>
      <c r="D41" s="265"/>
      <c r="E41" s="265"/>
      <c r="F41" s="106"/>
      <c r="G41" s="91"/>
    </row>
    <row r="42" spans="1:10" ht="18" customHeight="1">
      <c r="A42" s="91"/>
      <c r="D42" s="90"/>
      <c r="E42" s="270"/>
      <c r="F42" s="18"/>
      <c r="G42" s="91"/>
    </row>
    <row r="43" spans="1:10" ht="18" customHeight="1">
      <c r="B43" s="79" t="s">
        <v>1322</v>
      </c>
      <c r="C43" s="103"/>
      <c r="D43" s="103"/>
      <c r="E43" s="103"/>
      <c r="F43" s="102"/>
    </row>
    <row r="44" spans="1:10">
      <c r="B44" s="105" t="s">
        <v>1307</v>
      </c>
    </row>
    <row r="45" spans="1:10" ht="18" customHeight="1">
      <c r="B45" s="105"/>
      <c r="D45" s="91" t="s">
        <v>122</v>
      </c>
      <c r="E45" s="91" t="s">
        <v>123</v>
      </c>
      <c r="F45" s="18"/>
    </row>
    <row r="46" spans="1:10" ht="18" customHeight="1">
      <c r="B46" s="105"/>
      <c r="D46" s="80" t="s">
        <v>1308</v>
      </c>
      <c r="E46" s="80" t="s">
        <v>813</v>
      </c>
      <c r="F46" s="18"/>
    </row>
    <row r="47" spans="1:10" ht="18" customHeight="1">
      <c r="A47" s="91">
        <v>300</v>
      </c>
      <c r="B47" s="105" t="s">
        <v>1323</v>
      </c>
      <c r="D47" s="584">
        <v>-16904150.581795499</v>
      </c>
      <c r="E47" s="583">
        <v>-14086792.15149625</v>
      </c>
      <c r="F47" s="106" t="s">
        <v>1324</v>
      </c>
      <c r="G47" s="91">
        <v>300</v>
      </c>
    </row>
    <row r="48" spans="1:10" ht="18" customHeight="1">
      <c r="B48" s="105"/>
      <c r="D48" s="91"/>
      <c r="E48" s="91"/>
      <c r="F48" s="18"/>
    </row>
    <row r="49" spans="1:7" ht="18" customHeight="1">
      <c r="A49" s="80" t="s">
        <v>90</v>
      </c>
      <c r="B49" s="80" t="s">
        <v>1311</v>
      </c>
      <c r="C49" s="80"/>
      <c r="D49" s="138" t="s">
        <v>1312</v>
      </c>
      <c r="E49" s="80" t="s">
        <v>813</v>
      </c>
      <c r="F49" s="80" t="s">
        <v>126</v>
      </c>
      <c r="G49" s="80" t="s">
        <v>90</v>
      </c>
    </row>
    <row r="50" spans="1:7" ht="18" customHeight="1">
      <c r="A50" s="91">
        <v>301</v>
      </c>
      <c r="B50" s="8" t="s">
        <v>520</v>
      </c>
      <c r="C50" s="80"/>
      <c r="D50" s="585">
        <v>-27832634.530000001</v>
      </c>
      <c r="E50" s="80"/>
      <c r="F50" s="80"/>
      <c r="G50" s="91">
        <v>301</v>
      </c>
    </row>
    <row r="51" spans="1:7" ht="18" customHeight="1">
      <c r="A51" s="91">
        <v>302</v>
      </c>
      <c r="B51" s="8" t="s">
        <v>522</v>
      </c>
      <c r="C51" s="80"/>
      <c r="D51" s="585">
        <v>-28992327.635416672</v>
      </c>
      <c r="E51" s="80"/>
      <c r="F51" s="639"/>
      <c r="G51" s="91">
        <v>302</v>
      </c>
    </row>
    <row r="52" spans="1:7" ht="18" customHeight="1">
      <c r="A52" s="91">
        <v>303</v>
      </c>
      <c r="B52" s="8" t="s">
        <v>523</v>
      </c>
      <c r="C52" s="80"/>
      <c r="D52" s="585">
        <v>-30152020.740833331</v>
      </c>
      <c r="E52" s="80"/>
      <c r="F52" s="639"/>
      <c r="G52" s="91">
        <v>303</v>
      </c>
    </row>
    <row r="53" spans="1:7" ht="18" customHeight="1">
      <c r="A53" s="91">
        <v>304</v>
      </c>
      <c r="B53" s="8" t="s">
        <v>524</v>
      </c>
      <c r="C53" s="80"/>
      <c r="D53" s="585">
        <v>-31311713.846250001</v>
      </c>
      <c r="E53" s="80"/>
      <c r="F53" s="639"/>
      <c r="G53" s="91">
        <v>304</v>
      </c>
    </row>
    <row r="54" spans="1:7" ht="18" customHeight="1">
      <c r="A54" s="91">
        <v>305</v>
      </c>
      <c r="B54" s="8" t="s">
        <v>525</v>
      </c>
      <c r="C54" s="80"/>
      <c r="D54" s="585">
        <v>-32471406.951666672</v>
      </c>
      <c r="E54" s="80"/>
      <c r="F54" s="639"/>
      <c r="G54" s="91">
        <v>305</v>
      </c>
    </row>
    <row r="55" spans="1:7" ht="18" customHeight="1">
      <c r="A55" s="91">
        <v>306</v>
      </c>
      <c r="B55" s="8" t="s">
        <v>526</v>
      </c>
      <c r="C55" s="80"/>
      <c r="D55" s="585">
        <v>-33631100.057083331</v>
      </c>
      <c r="E55" s="80"/>
      <c r="F55" s="639"/>
      <c r="G55" s="91">
        <v>306</v>
      </c>
    </row>
    <row r="56" spans="1:7" ht="18" customHeight="1">
      <c r="A56" s="91">
        <v>307</v>
      </c>
      <c r="B56" s="8" t="s">
        <v>812</v>
      </c>
      <c r="C56" s="80"/>
      <c r="D56" s="585">
        <v>-34790793.162500001</v>
      </c>
      <c r="E56" s="80"/>
      <c r="F56" s="639"/>
      <c r="G56" s="91">
        <v>307</v>
      </c>
    </row>
    <row r="57" spans="1:7" ht="18" customHeight="1">
      <c r="A57" s="91">
        <v>308</v>
      </c>
      <c r="B57" s="8" t="s">
        <v>528</v>
      </c>
      <c r="C57" s="80"/>
      <c r="D57" s="585">
        <v>-35950486.267916672</v>
      </c>
      <c r="E57" s="80"/>
      <c r="F57" s="639"/>
      <c r="G57" s="91">
        <v>308</v>
      </c>
    </row>
    <row r="58" spans="1:7" ht="18" customHeight="1">
      <c r="A58" s="91">
        <v>309</v>
      </c>
      <c r="B58" s="8" t="s">
        <v>529</v>
      </c>
      <c r="C58" s="80"/>
      <c r="D58" s="585">
        <v>-37110179.373333335</v>
      </c>
      <c r="E58" s="80"/>
      <c r="F58" s="639"/>
      <c r="G58" s="91">
        <v>309</v>
      </c>
    </row>
    <row r="59" spans="1:7" ht="18" customHeight="1">
      <c r="A59" s="91">
        <v>310</v>
      </c>
      <c r="B59" s="8" t="s">
        <v>530</v>
      </c>
      <c r="C59" s="80"/>
      <c r="D59" s="585">
        <v>-38269872.478750005</v>
      </c>
      <c r="E59" s="80"/>
      <c r="F59" s="639"/>
      <c r="G59" s="91">
        <v>310</v>
      </c>
    </row>
    <row r="60" spans="1:7" ht="18" customHeight="1">
      <c r="A60" s="91">
        <v>311</v>
      </c>
      <c r="B60" s="8" t="s">
        <v>531</v>
      </c>
      <c r="C60" s="80"/>
      <c r="D60" s="585">
        <v>-39429565.584166668</v>
      </c>
      <c r="E60" s="80"/>
      <c r="F60" s="639"/>
      <c r="G60" s="91">
        <v>311</v>
      </c>
    </row>
    <row r="61" spans="1:7" ht="18" customHeight="1">
      <c r="A61" s="91">
        <v>312</v>
      </c>
      <c r="B61" s="8" t="s">
        <v>532</v>
      </c>
      <c r="C61" s="80"/>
      <c r="D61" s="585">
        <v>-40589258.689583331</v>
      </c>
      <c r="E61" s="80"/>
      <c r="F61" s="639"/>
      <c r="G61" s="91">
        <v>312</v>
      </c>
    </row>
    <row r="62" spans="1:7" ht="18" customHeight="1">
      <c r="A62" s="91">
        <v>313</v>
      </c>
      <c r="B62" s="8" t="s">
        <v>520</v>
      </c>
      <c r="C62" s="80"/>
      <c r="D62" s="585">
        <v>-41748951.795000002</v>
      </c>
      <c r="E62" s="80"/>
      <c r="F62" s="639"/>
      <c r="G62" s="91">
        <v>313</v>
      </c>
    </row>
    <row r="63" spans="1:7" ht="18" customHeight="1">
      <c r="A63" s="91">
        <v>314</v>
      </c>
      <c r="B63" s="8" t="s">
        <v>1325</v>
      </c>
      <c r="E63" s="264">
        <v>-34790793.162500001</v>
      </c>
      <c r="F63" s="587" t="s">
        <v>497</v>
      </c>
      <c r="G63" s="91">
        <v>314</v>
      </c>
    </row>
    <row r="64" spans="1:7" ht="18" customHeight="1">
      <c r="A64" s="91">
        <v>315</v>
      </c>
      <c r="B64" s="8" t="s">
        <v>1326</v>
      </c>
      <c r="D64" s="558">
        <v>0.40489999999999998</v>
      </c>
      <c r="E64" s="588">
        <v>0.40489999999999998</v>
      </c>
      <c r="F64" s="106" t="s">
        <v>1327</v>
      </c>
      <c r="G64" s="91">
        <v>315</v>
      </c>
    </row>
    <row r="65" spans="1:7" ht="18" customHeight="1">
      <c r="A65" s="91">
        <v>316</v>
      </c>
      <c r="B65" s="105" t="s">
        <v>1323</v>
      </c>
      <c r="C65" s="230" t="s">
        <v>1320</v>
      </c>
      <c r="D65" s="562">
        <v>-16904150.581795499</v>
      </c>
      <c r="E65" s="589">
        <v>-14086792.15149625</v>
      </c>
      <c r="F65" s="106" t="s">
        <v>1328</v>
      </c>
      <c r="G65" s="91">
        <v>316</v>
      </c>
    </row>
    <row r="66" spans="1:7" ht="18" customHeight="1">
      <c r="A66" s="91"/>
      <c r="E66" s="105"/>
      <c r="F66" s="106"/>
    </row>
    <row r="67" spans="1:7" ht="18" customHeight="1">
      <c r="B67" s="79" t="s">
        <v>1329</v>
      </c>
      <c r="C67" s="103"/>
      <c r="D67" s="103"/>
      <c r="E67" s="103"/>
      <c r="F67" s="102"/>
    </row>
    <row r="68" spans="1:7" ht="18" customHeight="1">
      <c r="B68" s="105" t="s">
        <v>1330</v>
      </c>
      <c r="F68" s="18"/>
    </row>
    <row r="69" spans="1:7" ht="18" customHeight="1">
      <c r="F69" s="18"/>
    </row>
    <row r="70" spans="1:7" ht="18" customHeight="1">
      <c r="B70" s="105"/>
      <c r="D70" s="91" t="s">
        <v>122</v>
      </c>
      <c r="E70" s="91" t="s">
        <v>123</v>
      </c>
      <c r="F70" s="18"/>
    </row>
    <row r="71" spans="1:7" ht="18" customHeight="1">
      <c r="B71" s="105"/>
      <c r="D71" s="80" t="s">
        <v>1308</v>
      </c>
      <c r="E71" s="80" t="s">
        <v>813</v>
      </c>
      <c r="F71" s="18"/>
    </row>
    <row r="72" spans="1:7" ht="18" customHeight="1">
      <c r="A72" s="91">
        <v>400</v>
      </c>
      <c r="B72" s="590" t="s">
        <v>1331</v>
      </c>
      <c r="D72" s="584">
        <v>0</v>
      </c>
      <c r="E72" s="583">
        <v>0</v>
      </c>
      <c r="F72" s="106" t="s">
        <v>1332</v>
      </c>
      <c r="G72" s="91">
        <v>400</v>
      </c>
    </row>
    <row r="73" spans="1:7" ht="18" customHeight="1">
      <c r="B73" s="105"/>
      <c r="D73" s="91"/>
      <c r="E73" s="91"/>
      <c r="F73" s="18"/>
    </row>
    <row r="74" spans="1:7" ht="18" customHeight="1">
      <c r="A74" s="80" t="s">
        <v>90</v>
      </c>
      <c r="B74" s="80" t="s">
        <v>1311</v>
      </c>
      <c r="C74" s="80"/>
      <c r="D74" s="138" t="s">
        <v>1312</v>
      </c>
      <c r="E74" s="80" t="s">
        <v>813</v>
      </c>
      <c r="F74" s="80" t="s">
        <v>126</v>
      </c>
      <c r="G74" s="80" t="s">
        <v>90</v>
      </c>
    </row>
    <row r="75" spans="1:7" ht="18" customHeight="1">
      <c r="A75" s="591">
        <v>401</v>
      </c>
      <c r="B75" s="592" t="s">
        <v>520</v>
      </c>
      <c r="C75" s="80"/>
      <c r="D75" s="585"/>
      <c r="E75" s="593"/>
      <c r="F75" s="593"/>
      <c r="G75" s="91">
        <v>401</v>
      </c>
    </row>
    <row r="76" spans="1:7" ht="18" customHeight="1">
      <c r="A76" s="591">
        <v>402</v>
      </c>
      <c r="B76" s="592" t="s">
        <v>522</v>
      </c>
      <c r="C76" s="80"/>
      <c r="D76" s="585"/>
      <c r="E76" s="593"/>
      <c r="F76" s="593"/>
      <c r="G76" s="91">
        <v>402</v>
      </c>
    </row>
    <row r="77" spans="1:7" ht="18" customHeight="1">
      <c r="A77" s="591">
        <v>403</v>
      </c>
      <c r="B77" s="592" t="s">
        <v>523</v>
      </c>
      <c r="C77" s="80"/>
      <c r="D77" s="585"/>
      <c r="E77" s="593"/>
      <c r="F77" s="593"/>
      <c r="G77" s="91">
        <v>403</v>
      </c>
    </row>
    <row r="78" spans="1:7" ht="18" customHeight="1">
      <c r="A78" s="591">
        <v>404</v>
      </c>
      <c r="B78" s="592" t="s">
        <v>524</v>
      </c>
      <c r="C78" s="80"/>
      <c r="D78" s="585"/>
      <c r="E78" s="593"/>
      <c r="F78" s="593"/>
      <c r="G78" s="91">
        <v>404</v>
      </c>
    </row>
    <row r="79" spans="1:7" ht="18" customHeight="1">
      <c r="A79" s="591">
        <v>405</v>
      </c>
      <c r="B79" s="592" t="s">
        <v>525</v>
      </c>
      <c r="C79" s="80"/>
      <c r="D79" s="585"/>
      <c r="E79" s="593"/>
      <c r="F79" s="593"/>
      <c r="G79" s="91">
        <v>405</v>
      </c>
    </row>
    <row r="80" spans="1:7" ht="18" customHeight="1">
      <c r="A80" s="591">
        <v>406</v>
      </c>
      <c r="B80" s="592" t="s">
        <v>526</v>
      </c>
      <c r="C80" s="80"/>
      <c r="D80" s="585"/>
      <c r="E80" s="593"/>
      <c r="F80" s="593"/>
      <c r="G80" s="91">
        <v>406</v>
      </c>
    </row>
    <row r="81" spans="1:7" ht="18" customHeight="1">
      <c r="A81" s="591">
        <v>407</v>
      </c>
      <c r="B81" s="592" t="s">
        <v>812</v>
      </c>
      <c r="C81" s="80"/>
      <c r="D81" s="585"/>
      <c r="E81" s="593"/>
      <c r="F81" s="593"/>
      <c r="G81" s="91">
        <v>407</v>
      </c>
    </row>
    <row r="82" spans="1:7" ht="18" customHeight="1">
      <c r="A82" s="591">
        <v>408</v>
      </c>
      <c r="B82" s="592" t="s">
        <v>528</v>
      </c>
      <c r="C82" s="80"/>
      <c r="D82" s="585"/>
      <c r="E82" s="593"/>
      <c r="F82" s="593"/>
      <c r="G82" s="91">
        <v>408</v>
      </c>
    </row>
    <row r="83" spans="1:7" ht="18" customHeight="1">
      <c r="A83" s="591">
        <v>409</v>
      </c>
      <c r="B83" s="592" t="s">
        <v>529</v>
      </c>
      <c r="C83" s="80"/>
      <c r="D83" s="585"/>
      <c r="E83" s="593"/>
      <c r="F83" s="593"/>
      <c r="G83" s="91">
        <v>409</v>
      </c>
    </row>
    <row r="84" spans="1:7" ht="18" customHeight="1">
      <c r="A84" s="591">
        <v>410</v>
      </c>
      <c r="B84" s="592" t="s">
        <v>530</v>
      </c>
      <c r="C84" s="80"/>
      <c r="D84" s="585"/>
      <c r="E84" s="593"/>
      <c r="F84" s="593"/>
      <c r="G84" s="91">
        <v>410</v>
      </c>
    </row>
    <row r="85" spans="1:7" ht="18" customHeight="1">
      <c r="A85" s="591">
        <v>411</v>
      </c>
      <c r="B85" s="592" t="s">
        <v>531</v>
      </c>
      <c r="C85" s="80"/>
      <c r="D85" s="585"/>
      <c r="E85" s="593"/>
      <c r="F85" s="593"/>
      <c r="G85" s="91">
        <v>411</v>
      </c>
    </row>
    <row r="86" spans="1:7" ht="18" customHeight="1">
      <c r="A86" s="591">
        <v>412</v>
      </c>
      <c r="B86" s="592" t="s">
        <v>532</v>
      </c>
      <c r="C86" s="80"/>
      <c r="D86" s="585"/>
      <c r="E86" s="593"/>
      <c r="F86" s="593"/>
      <c r="G86" s="91">
        <v>412</v>
      </c>
    </row>
    <row r="87" spans="1:7" ht="18" customHeight="1">
      <c r="A87" s="591">
        <v>413</v>
      </c>
      <c r="B87" s="592" t="s">
        <v>520</v>
      </c>
      <c r="C87" s="80"/>
      <c r="D87" s="585"/>
      <c r="E87" s="593"/>
      <c r="F87" s="593"/>
      <c r="G87" s="91">
        <v>413</v>
      </c>
    </row>
    <row r="88" spans="1:7" ht="18" customHeight="1">
      <c r="A88" s="591">
        <v>414</v>
      </c>
      <c r="B88" s="592" t="s">
        <v>813</v>
      </c>
      <c r="D88" s="592"/>
      <c r="E88" s="585"/>
      <c r="F88" s="594"/>
      <c r="G88" s="91">
        <v>414</v>
      </c>
    </row>
    <row r="89" spans="1:7" ht="18" customHeight="1">
      <c r="A89" s="591">
        <v>415</v>
      </c>
      <c r="B89" s="592" t="s">
        <v>687</v>
      </c>
      <c r="D89" s="592"/>
      <c r="E89" s="585"/>
      <c r="F89" s="594"/>
      <c r="G89" s="91">
        <v>415</v>
      </c>
    </row>
    <row r="90" spans="1:7" ht="18" customHeight="1">
      <c r="A90" s="591">
        <v>416</v>
      </c>
      <c r="B90" s="592" t="s">
        <v>1333</v>
      </c>
      <c r="D90" s="595"/>
      <c r="E90" s="596"/>
      <c r="F90" s="597"/>
      <c r="G90" s="91">
        <v>416</v>
      </c>
    </row>
    <row r="91" spans="1:7" ht="18" customHeight="1">
      <c r="A91" s="591"/>
      <c r="B91" s="592"/>
      <c r="D91" s="598"/>
      <c r="E91" s="599"/>
      <c r="F91" s="597"/>
      <c r="G91" s="91"/>
    </row>
    <row r="92" spans="1:7" ht="18" customHeight="1">
      <c r="A92" s="591">
        <v>417</v>
      </c>
      <c r="B92" s="590" t="s">
        <v>534</v>
      </c>
      <c r="C92" s="230" t="s">
        <v>1320</v>
      </c>
      <c r="D92" s="600"/>
      <c r="E92" s="601"/>
      <c r="F92" s="597"/>
      <c r="G92" s="91">
        <v>417</v>
      </c>
    </row>
    <row r="93" spans="1:7" ht="18" customHeight="1">
      <c r="F93" s="18"/>
    </row>
    <row r="94" spans="1:7" ht="18" customHeight="1">
      <c r="B94" s="590" t="s">
        <v>117</v>
      </c>
      <c r="F94" s="18"/>
    </row>
    <row r="95" spans="1:7" ht="18" customHeight="1">
      <c r="F95" s="18"/>
    </row>
    <row r="96" spans="1:7" ht="18" customHeight="1">
      <c r="A96" s="80" t="s">
        <v>90</v>
      </c>
      <c r="B96" s="80" t="s">
        <v>1311</v>
      </c>
      <c r="C96" s="80"/>
      <c r="D96" s="138" t="s">
        <v>1312</v>
      </c>
      <c r="E96" s="80" t="s">
        <v>813</v>
      </c>
      <c r="F96" s="80" t="s">
        <v>126</v>
      </c>
      <c r="G96" s="80" t="s">
        <v>90</v>
      </c>
    </row>
    <row r="97" spans="1:7" ht="18" customHeight="1">
      <c r="A97" s="591" t="s">
        <v>117</v>
      </c>
      <c r="B97" s="592" t="s">
        <v>117</v>
      </c>
      <c r="C97" s="80"/>
      <c r="D97" s="585" t="s">
        <v>117</v>
      </c>
      <c r="E97" s="593" t="s">
        <v>117</v>
      </c>
      <c r="F97" s="593" t="s">
        <v>117</v>
      </c>
      <c r="G97" s="91" t="s">
        <v>117</v>
      </c>
    </row>
    <row r="98" spans="1:7" ht="18" customHeight="1">
      <c r="F98" s="18"/>
    </row>
    <row r="99" spans="1:7">
      <c r="A99" s="91"/>
      <c r="D99" s="90"/>
      <c r="E99" s="560"/>
      <c r="F99" s="106"/>
      <c r="G99" s="91"/>
    </row>
    <row r="100" spans="1:7" ht="15" customHeight="1">
      <c r="B100" s="754" t="s">
        <v>1334</v>
      </c>
      <c r="C100" s="754"/>
      <c r="D100" s="754"/>
      <c r="E100" s="754"/>
      <c r="F100" s="754"/>
    </row>
    <row r="101" spans="1:7">
      <c r="B101" s="754"/>
      <c r="C101" s="754"/>
      <c r="D101" s="754"/>
      <c r="E101" s="754"/>
      <c r="F101" s="754"/>
    </row>
    <row r="102" spans="1:7" ht="15" customHeight="1">
      <c r="B102" s="739" t="s">
        <v>1335</v>
      </c>
      <c r="C102" s="739"/>
      <c r="D102" s="739"/>
      <c r="E102" s="739"/>
      <c r="F102" s="739"/>
    </row>
    <row r="103" spans="1:7">
      <c r="B103" s="739"/>
      <c r="C103" s="739"/>
      <c r="D103" s="739"/>
      <c r="E103" s="739"/>
      <c r="F103" s="739"/>
    </row>
    <row r="104" spans="1:7">
      <c r="B104" s="739"/>
      <c r="C104" s="739"/>
      <c r="D104" s="739"/>
      <c r="E104" s="739"/>
      <c r="F104" s="739"/>
    </row>
    <row r="105" spans="1:7">
      <c r="B105" s="739"/>
      <c r="C105" s="739"/>
      <c r="D105" s="739"/>
      <c r="E105" s="739"/>
      <c r="F105" s="739"/>
    </row>
    <row r="106" spans="1:7" ht="15" customHeight="1">
      <c r="B106" s="755" t="s">
        <v>1336</v>
      </c>
      <c r="C106" s="755"/>
      <c r="D106" s="755"/>
      <c r="E106" s="755"/>
      <c r="F106" s="755"/>
    </row>
    <row r="107" spans="1:7">
      <c r="B107" s="755"/>
      <c r="C107" s="755"/>
      <c r="D107" s="755"/>
      <c r="E107" s="755"/>
      <c r="F107" s="755"/>
    </row>
    <row r="108" spans="1:7">
      <c r="B108" s="522"/>
      <c r="C108" s="522"/>
      <c r="D108" s="522"/>
      <c r="E108" s="522"/>
      <c r="F108" s="522"/>
    </row>
    <row r="109" spans="1:7">
      <c r="B109" s="522"/>
      <c r="C109" s="522"/>
      <c r="D109" s="522"/>
      <c r="E109" s="522"/>
      <c r="F109" s="522"/>
    </row>
  </sheetData>
  <mergeCells count="4">
    <mergeCell ref="B4:F9"/>
    <mergeCell ref="B100:F101"/>
    <mergeCell ref="B102:F105"/>
    <mergeCell ref="B106:F107"/>
  </mergeCells>
  <printOptions horizontalCentered="1"/>
  <pageMargins left="1" right="1" top="1" bottom="1" header="0.5" footer="0.5"/>
  <pageSetup scale="25" orientation="landscape" r:id="rId1"/>
  <headerFooter>
    <oddHeader>&amp;RDocket No. ER20-2878-000, et al.- Annual Update RY2024
&amp;F</oddHeader>
  </headerFooter>
  <rowBreaks count="1" manualBreakCount="1">
    <brk id="66" max="1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pageSetUpPr fitToPage="1"/>
  </sheetPr>
  <dimension ref="A1:T72"/>
  <sheetViews>
    <sheetView view="pageBreakPreview" zoomScale="25" zoomScaleNormal="85" zoomScaleSheetLayoutView="25" zoomScalePageLayoutView="70" workbookViewId="0">
      <selection activeCell="W98" sqref="W98"/>
    </sheetView>
  </sheetViews>
  <sheetFormatPr defaultColWidth="9.1796875" defaultRowHeight="14.5"/>
  <cols>
    <col min="1" max="1" width="5.54296875" customWidth="1"/>
    <col min="2" max="2" width="54.26953125" customWidth="1"/>
    <col min="3" max="3" width="24.453125" customWidth="1"/>
    <col min="4" max="4" width="19" customWidth="1"/>
    <col min="5" max="5" width="18.81640625" bestFit="1" customWidth="1"/>
    <col min="6" max="6" width="24.54296875" customWidth="1"/>
    <col min="7" max="7" width="24.81640625" customWidth="1"/>
    <col min="8" max="8" width="15.1796875" bestFit="1" customWidth="1"/>
    <col min="9" max="9" width="16.54296875" customWidth="1"/>
    <col min="10" max="10" width="23" bestFit="1" customWidth="1"/>
    <col min="11" max="11" width="6.7265625" bestFit="1" customWidth="1"/>
  </cols>
  <sheetData>
    <row r="1" spans="1:20">
      <c r="B1" s="206" t="s">
        <v>47</v>
      </c>
      <c r="C1" s="195"/>
      <c r="D1" s="195"/>
      <c r="E1" s="6"/>
      <c r="G1" s="6"/>
      <c r="J1" s="6" t="str">
        <f>CONCATENATE("Prior Year: ",'1-DRR Corrected'!$K$2)</f>
        <v>Prior Year: 2021</v>
      </c>
    </row>
    <row r="2" spans="1:20">
      <c r="B2" s="78" t="s">
        <v>120</v>
      </c>
      <c r="C2" s="195"/>
      <c r="D2" s="195"/>
      <c r="E2" s="6"/>
      <c r="F2" s="6"/>
      <c r="G2" s="6"/>
    </row>
    <row r="3" spans="1:20">
      <c r="B3" s="195"/>
      <c r="C3" s="195"/>
      <c r="D3" s="195"/>
      <c r="E3" s="195"/>
      <c r="F3" s="195"/>
      <c r="G3" s="195"/>
    </row>
    <row r="4" spans="1:20" ht="15.75" customHeight="1">
      <c r="A4" s="196"/>
      <c r="B4" s="195" t="s">
        <v>1338</v>
      </c>
      <c r="C4" s="195"/>
      <c r="D4" s="195"/>
      <c r="E4" s="195"/>
      <c r="F4" s="195"/>
      <c r="G4" s="195"/>
      <c r="N4" s="756"/>
      <c r="O4" s="757"/>
      <c r="P4" s="757"/>
      <c r="Q4" s="757"/>
      <c r="R4" s="757"/>
      <c r="S4" s="757"/>
      <c r="T4" s="757"/>
    </row>
    <row r="5" spans="1:20">
      <c r="A5" s="196"/>
      <c r="B5" s="195" t="s">
        <v>1339</v>
      </c>
      <c r="C5" s="195"/>
      <c r="D5" s="195"/>
      <c r="E5" s="195"/>
      <c r="F5" s="195"/>
      <c r="G5" s="195"/>
    </row>
    <row r="6" spans="1:20">
      <c r="A6" s="196"/>
      <c r="B6" s="195" t="s">
        <v>1340</v>
      </c>
      <c r="C6" s="195"/>
      <c r="D6" s="195"/>
      <c r="E6" s="195"/>
      <c r="F6" s="195"/>
      <c r="G6" s="195"/>
    </row>
    <row r="7" spans="1:20">
      <c r="A7" s="196"/>
      <c r="B7" s="195"/>
      <c r="C7" s="195"/>
      <c r="D7" s="195"/>
      <c r="E7" s="195"/>
      <c r="F7" s="195"/>
      <c r="G7" s="195"/>
    </row>
    <row r="8" spans="1:20">
      <c r="A8" s="196"/>
      <c r="B8" s="195" t="s">
        <v>1341</v>
      </c>
      <c r="C8" s="195"/>
      <c r="D8" s="195"/>
      <c r="E8" s="195"/>
      <c r="F8" s="195"/>
      <c r="G8" s="195"/>
    </row>
    <row r="9" spans="1:20">
      <c r="A9" s="196"/>
      <c r="B9" s="195" t="s">
        <v>1342</v>
      </c>
      <c r="C9" s="195"/>
      <c r="D9" s="195"/>
      <c r="E9" s="195"/>
      <c r="F9" s="195"/>
      <c r="G9" s="195"/>
    </row>
    <row r="10" spans="1:20">
      <c r="A10" s="196"/>
      <c r="B10" s="195"/>
      <c r="C10" s="195"/>
      <c r="D10" s="195"/>
      <c r="E10" s="195"/>
      <c r="F10" s="195"/>
      <c r="G10" s="195"/>
    </row>
    <row r="11" spans="1:20">
      <c r="A11" s="196"/>
      <c r="B11" s="195" t="s">
        <v>1343</v>
      </c>
      <c r="C11" s="195"/>
      <c r="D11" s="195"/>
      <c r="E11" s="195"/>
      <c r="F11" s="195"/>
      <c r="G11" s="195"/>
    </row>
    <row r="12" spans="1:20">
      <c r="A12" s="196"/>
      <c r="B12" s="195" t="s">
        <v>1344</v>
      </c>
      <c r="C12" s="195"/>
      <c r="D12" s="195"/>
      <c r="E12" s="195"/>
      <c r="F12" s="195"/>
      <c r="G12" s="195"/>
    </row>
    <row r="13" spans="1:20">
      <c r="A13" s="196"/>
      <c r="B13" s="195" t="s">
        <v>1345</v>
      </c>
      <c r="C13" s="195"/>
      <c r="D13" s="195"/>
      <c r="E13" s="195"/>
      <c r="F13" s="195"/>
      <c r="G13" s="195"/>
    </row>
    <row r="14" spans="1:20">
      <c r="A14" s="196"/>
      <c r="B14" s="195"/>
      <c r="C14" s="195"/>
      <c r="D14" s="195"/>
      <c r="E14" s="195"/>
      <c r="F14" s="195"/>
      <c r="G14" s="195"/>
    </row>
    <row r="15" spans="1:20">
      <c r="A15" s="196"/>
      <c r="B15" s="45" t="s">
        <v>1346</v>
      </c>
      <c r="C15" s="43"/>
      <c r="D15" s="43"/>
      <c r="E15" s="43"/>
      <c r="F15" s="43"/>
      <c r="G15" s="43"/>
    </row>
    <row r="16" spans="1:20">
      <c r="A16" s="196"/>
      <c r="B16" s="206" t="s">
        <v>361</v>
      </c>
      <c r="C16" s="195"/>
      <c r="D16" s="195"/>
      <c r="E16" s="195"/>
      <c r="F16" s="195"/>
      <c r="G16" s="195"/>
    </row>
    <row r="17" spans="1:11">
      <c r="A17" s="196"/>
      <c r="B17" s="195" t="s">
        <v>1347</v>
      </c>
      <c r="C17" s="195"/>
      <c r="D17" s="195"/>
      <c r="E17" s="195"/>
      <c r="F17" s="195"/>
      <c r="G17" s="195"/>
    </row>
    <row r="18" spans="1:11">
      <c r="A18" s="196"/>
      <c r="B18" s="195" t="s">
        <v>1348</v>
      </c>
    </row>
    <row r="19" spans="1:11">
      <c r="A19" s="196"/>
      <c r="B19" s="209" t="s">
        <v>1349</v>
      </c>
    </row>
    <row r="20" spans="1:11">
      <c r="A20" s="196"/>
      <c r="B20" s="209" t="s">
        <v>1350</v>
      </c>
      <c r="E20" s="8"/>
    </row>
    <row r="21" spans="1:11">
      <c r="A21" s="196"/>
      <c r="B21" s="195" t="s">
        <v>1351</v>
      </c>
    </row>
    <row r="22" spans="1:11">
      <c r="A22" s="196"/>
      <c r="B22" s="195"/>
    </row>
    <row r="23" spans="1:11">
      <c r="A23" s="196"/>
      <c r="B23" s="195"/>
      <c r="C23" s="195"/>
      <c r="D23" s="195"/>
      <c r="E23" s="196" t="s">
        <v>503</v>
      </c>
      <c r="F23" s="195"/>
      <c r="G23" s="195"/>
    </row>
    <row r="24" spans="1:11">
      <c r="A24" s="201" t="s">
        <v>90</v>
      </c>
      <c r="B24" s="195"/>
      <c r="C24" s="195"/>
      <c r="D24" s="195"/>
      <c r="E24" s="201" t="s">
        <v>630</v>
      </c>
      <c r="F24" s="208" t="s">
        <v>1352</v>
      </c>
      <c r="G24" s="208"/>
      <c r="K24" s="201" t="str">
        <f>A24</f>
        <v>Line</v>
      </c>
    </row>
    <row r="25" spans="1:11">
      <c r="A25" s="196">
        <v>100</v>
      </c>
      <c r="B25" s="195" t="s">
        <v>1353</v>
      </c>
      <c r="C25" s="195"/>
      <c r="D25" s="195"/>
      <c r="E25" s="324">
        <f>+D34</f>
        <v>0</v>
      </c>
      <c r="F25" s="195" t="s">
        <v>1354</v>
      </c>
      <c r="G25" s="195"/>
      <c r="K25" s="196">
        <f>A25</f>
        <v>100</v>
      </c>
    </row>
    <row r="26" spans="1:11">
      <c r="A26" s="196">
        <f>A25+1</f>
        <v>101</v>
      </c>
      <c r="B26" s="195" t="s">
        <v>1355</v>
      </c>
      <c r="C26" s="195"/>
      <c r="D26" s="195"/>
      <c r="E26" s="324">
        <f>AVERAGE(C34:D34)</f>
        <v>0</v>
      </c>
      <c r="F26" s="195" t="s">
        <v>1356</v>
      </c>
      <c r="G26" s="195"/>
      <c r="K26" s="196">
        <f>A26</f>
        <v>101</v>
      </c>
    </row>
    <row r="27" spans="1:11">
      <c r="A27" s="196">
        <f>A26+1</f>
        <v>102</v>
      </c>
      <c r="B27" s="195" t="s">
        <v>1357</v>
      </c>
      <c r="C27" s="195"/>
      <c r="D27" s="195"/>
      <c r="E27" s="324">
        <f>+E34</f>
        <v>0</v>
      </c>
      <c r="F27" s="195" t="s">
        <v>1358</v>
      </c>
      <c r="G27" s="195"/>
      <c r="K27" s="196">
        <f>A27</f>
        <v>102</v>
      </c>
    </row>
    <row r="28" spans="1:11">
      <c r="A28" s="196"/>
      <c r="B28" s="195"/>
      <c r="C28" s="195"/>
      <c r="D28" s="195"/>
      <c r="E28" s="202"/>
      <c r="F28" s="195"/>
      <c r="G28" s="195"/>
      <c r="K28" s="196"/>
    </row>
    <row r="29" spans="1:11">
      <c r="A29" s="196"/>
      <c r="B29" s="195"/>
      <c r="C29" s="207" t="s">
        <v>1359</v>
      </c>
      <c r="D29" s="207" t="s">
        <v>1360</v>
      </c>
      <c r="E29" s="207" t="s">
        <v>1361</v>
      </c>
      <c r="F29" s="195"/>
      <c r="G29" s="195"/>
      <c r="K29" s="196"/>
    </row>
    <row r="30" spans="1:11">
      <c r="A30" s="196"/>
      <c r="B30" s="195"/>
      <c r="C30" s="196" t="s">
        <v>503</v>
      </c>
      <c r="D30" s="196" t="s">
        <v>503</v>
      </c>
      <c r="E30" s="196" t="s">
        <v>503</v>
      </c>
      <c r="F30" s="195"/>
      <c r="G30" s="195"/>
      <c r="K30" s="196"/>
    </row>
    <row r="31" spans="1:11">
      <c r="A31" s="196"/>
      <c r="B31" s="196" t="s">
        <v>1362</v>
      </c>
      <c r="C31" s="196" t="s">
        <v>1363</v>
      </c>
      <c r="D31" s="196" t="s">
        <v>1308</v>
      </c>
      <c r="E31" s="2" t="s">
        <v>1364</v>
      </c>
      <c r="F31" s="206" t="s">
        <v>1365</v>
      </c>
      <c r="G31" s="206"/>
      <c r="K31" s="196"/>
    </row>
    <row r="32" spans="1:11">
      <c r="A32" s="201"/>
      <c r="B32" s="196" t="s">
        <v>1366</v>
      </c>
      <c r="C32" s="196" t="s">
        <v>1367</v>
      </c>
      <c r="D32" s="196" t="s">
        <v>1367</v>
      </c>
      <c r="E32" s="196" t="s">
        <v>1368</v>
      </c>
      <c r="F32" s="206" t="s">
        <v>1369</v>
      </c>
      <c r="G32" s="206"/>
      <c r="K32" s="196"/>
    </row>
    <row r="33" spans="1:11">
      <c r="A33" s="201" t="s">
        <v>90</v>
      </c>
      <c r="B33" s="201" t="s">
        <v>1370</v>
      </c>
      <c r="C33" s="201" t="s">
        <v>1370</v>
      </c>
      <c r="D33" s="201" t="s">
        <v>1370</v>
      </c>
      <c r="E33" s="201" t="s">
        <v>1371</v>
      </c>
      <c r="F33" s="205" t="s">
        <v>1372</v>
      </c>
      <c r="G33" s="201" t="s">
        <v>126</v>
      </c>
      <c r="K33" s="201" t="str">
        <f>A33</f>
        <v>Line</v>
      </c>
    </row>
    <row r="34" spans="1:11" ht="15" thickBot="1">
      <c r="A34" s="204">
        <f>A27+1</f>
        <v>103</v>
      </c>
      <c r="B34" s="203" t="s">
        <v>1373</v>
      </c>
      <c r="C34" s="602">
        <f>SUM(C36:C39)</f>
        <v>0</v>
      </c>
      <c r="D34" s="602">
        <f>SUM(D36:D39)</f>
        <v>0</v>
      </c>
      <c r="E34" s="603">
        <f>SUM(E36:E39)</f>
        <v>0</v>
      </c>
      <c r="F34" s="203"/>
      <c r="G34" s="203"/>
      <c r="K34" s="196">
        <f>A34</f>
        <v>103</v>
      </c>
    </row>
    <row r="35" spans="1:11" ht="15" thickTop="1">
      <c r="A35" s="196"/>
      <c r="B35" s="195"/>
      <c r="C35" s="202"/>
      <c r="D35" s="202"/>
      <c r="E35" s="202"/>
      <c r="F35" s="195"/>
      <c r="G35" s="195"/>
      <c r="K35" s="201"/>
    </row>
    <row r="36" spans="1:11">
      <c r="A36" s="196">
        <f>A34+1</f>
        <v>104</v>
      </c>
      <c r="B36" s="197" t="s">
        <v>1374</v>
      </c>
      <c r="C36" s="322"/>
      <c r="D36" s="322"/>
      <c r="E36" s="199"/>
      <c r="F36" s="197"/>
      <c r="G36" s="197"/>
      <c r="K36" s="196">
        <f>A36</f>
        <v>104</v>
      </c>
    </row>
    <row r="37" spans="1:11">
      <c r="A37" s="196">
        <f>A36+1</f>
        <v>105</v>
      </c>
      <c r="B37" s="197" t="s">
        <v>1375</v>
      </c>
      <c r="C37" s="322"/>
      <c r="D37" s="322"/>
      <c r="E37" s="199"/>
      <c r="F37" s="197"/>
      <c r="G37" s="197"/>
      <c r="K37" s="196">
        <f>A37</f>
        <v>105</v>
      </c>
    </row>
    <row r="38" spans="1:11">
      <c r="A38" s="196">
        <f t="shared" ref="A38:A39" si="0">A37+1</f>
        <v>106</v>
      </c>
      <c r="B38" s="197" t="s">
        <v>1376</v>
      </c>
      <c r="C38" s="323"/>
      <c r="D38" s="322"/>
      <c r="E38" s="198"/>
      <c r="F38" s="197"/>
      <c r="G38" s="197"/>
      <c r="K38" s="196">
        <f>A38</f>
        <v>106</v>
      </c>
    </row>
    <row r="39" spans="1:11">
      <c r="A39" s="196">
        <f t="shared" si="0"/>
        <v>107</v>
      </c>
      <c r="B39" s="200" t="s">
        <v>672</v>
      </c>
      <c r="C39" s="323"/>
      <c r="D39" s="322"/>
      <c r="E39" s="198"/>
      <c r="F39" s="197"/>
      <c r="G39" s="197"/>
      <c r="K39" s="196">
        <f>A39</f>
        <v>107</v>
      </c>
    </row>
    <row r="40" spans="1:11">
      <c r="A40" s="196"/>
      <c r="B40" s="195"/>
      <c r="C40" s="195"/>
      <c r="D40" s="195"/>
      <c r="E40" s="195"/>
      <c r="F40" s="195"/>
      <c r="G40" s="195"/>
      <c r="H40" s="196"/>
    </row>
    <row r="41" spans="1:11">
      <c r="A41" s="196"/>
    </row>
    <row r="42" spans="1:11">
      <c r="A42" s="196"/>
      <c r="B42" s="195"/>
    </row>
    <row r="43" spans="1:11">
      <c r="A43" s="91"/>
      <c r="B43" s="79" t="s">
        <v>1377</v>
      </c>
      <c r="C43" s="117"/>
      <c r="D43" s="185"/>
      <c r="E43" s="185"/>
      <c r="F43" s="181"/>
      <c r="G43" s="181"/>
      <c r="H43" s="181"/>
      <c r="I43" s="186"/>
      <c r="J43" s="103"/>
    </row>
    <row r="44" spans="1:11">
      <c r="A44" s="91"/>
      <c r="B44" s="105"/>
      <c r="C44" s="114"/>
      <c r="D44" s="223"/>
      <c r="E44" s="223"/>
      <c r="F44" s="170"/>
      <c r="G44" s="170"/>
      <c r="H44" s="170"/>
      <c r="I44" s="9"/>
      <c r="J44" s="8"/>
    </row>
    <row r="45" spans="1:11">
      <c r="A45" s="80" t="s">
        <v>90</v>
      </c>
      <c r="B45" s="3" t="s">
        <v>7</v>
      </c>
      <c r="C45" s="3" t="s">
        <v>583</v>
      </c>
      <c r="D45" s="118" t="s">
        <v>126</v>
      </c>
      <c r="E45" s="223"/>
      <c r="F45" s="170"/>
      <c r="G45" s="170"/>
      <c r="H45" s="170"/>
      <c r="I45" s="9"/>
      <c r="J45" s="8"/>
      <c r="K45" s="80" t="s">
        <v>90</v>
      </c>
    </row>
    <row r="46" spans="1:11" ht="43.5">
      <c r="A46" s="91">
        <v>200</v>
      </c>
      <c r="B46" s="327" t="s">
        <v>1378</v>
      </c>
      <c r="C46" s="251">
        <f>'17-RegAssets-2'!AP22</f>
        <v>-1476888347.1662529</v>
      </c>
      <c r="D46" s="328" t="s">
        <v>1379</v>
      </c>
      <c r="E46" s="223"/>
      <c r="F46" s="170"/>
      <c r="G46" s="170"/>
      <c r="H46" s="170"/>
      <c r="I46" s="9"/>
      <c r="J46" s="8"/>
      <c r="K46" s="91">
        <f>A46</f>
        <v>200</v>
      </c>
    </row>
    <row r="47" spans="1:11" ht="29">
      <c r="A47" s="91">
        <f>A46+1</f>
        <v>201</v>
      </c>
      <c r="B47" s="327" t="s">
        <v>1380</v>
      </c>
      <c r="C47" s="252">
        <f>'17-RegAssets-2'!BD22</f>
        <v>-1442593783.1057572</v>
      </c>
      <c r="D47" s="328" t="s">
        <v>1381</v>
      </c>
      <c r="E47" s="223"/>
      <c r="F47" s="170"/>
      <c r="G47" s="170"/>
      <c r="H47" s="170"/>
      <c r="I47" s="9"/>
      <c r="J47" s="8"/>
      <c r="K47" s="91">
        <f t="shared" ref="K47:K48" si="1">A47</f>
        <v>201</v>
      </c>
    </row>
    <row r="48" spans="1:11">
      <c r="A48" s="91">
        <f>A47+1</f>
        <v>202</v>
      </c>
      <c r="B48" s="230" t="s">
        <v>1382</v>
      </c>
      <c r="C48" s="325">
        <f>J69</f>
        <v>-1461001664.4085484</v>
      </c>
      <c r="D48" s="326" t="s">
        <v>1383</v>
      </c>
      <c r="E48" s="223"/>
      <c r="F48" s="170"/>
      <c r="G48" s="170"/>
      <c r="H48" s="170"/>
      <c r="I48" s="9"/>
      <c r="J48" s="8"/>
      <c r="K48" s="91">
        <f t="shared" si="1"/>
        <v>202</v>
      </c>
    </row>
    <row r="49" spans="1:11">
      <c r="A49" s="91"/>
      <c r="B49" s="105"/>
      <c r="C49" s="114"/>
      <c r="D49" s="223"/>
      <c r="E49" s="223"/>
      <c r="F49" s="170"/>
      <c r="G49" s="170"/>
      <c r="H49" s="170"/>
      <c r="I49" s="9"/>
      <c r="J49" s="8"/>
      <c r="K49" s="91"/>
    </row>
    <row r="50" spans="1:11">
      <c r="A50" s="91"/>
      <c r="B50" s="8"/>
      <c r="C50" s="83" t="s">
        <v>122</v>
      </c>
      <c r="D50" s="83" t="s">
        <v>123</v>
      </c>
      <c r="E50" s="83" t="s">
        <v>124</v>
      </c>
      <c r="F50" s="83" t="s">
        <v>125</v>
      </c>
      <c r="G50" s="83" t="s">
        <v>490</v>
      </c>
      <c r="H50" s="83" t="s">
        <v>491</v>
      </c>
      <c r="I50" s="83" t="s">
        <v>492</v>
      </c>
      <c r="J50" s="83" t="s">
        <v>493</v>
      </c>
      <c r="K50" s="91"/>
    </row>
    <row r="51" spans="1:11">
      <c r="A51" s="91"/>
      <c r="B51" s="8"/>
      <c r="C51" s="114"/>
      <c r="D51" s="187" t="s">
        <v>1257</v>
      </c>
      <c r="E51" s="187" t="s">
        <v>1258</v>
      </c>
      <c r="F51" s="171"/>
      <c r="G51" s="171"/>
      <c r="H51" s="187" t="s">
        <v>1259</v>
      </c>
      <c r="I51" s="84" t="s">
        <v>1260</v>
      </c>
      <c r="J51" s="187" t="s">
        <v>1261</v>
      </c>
      <c r="K51" s="91"/>
    </row>
    <row r="52" spans="1:11">
      <c r="A52" s="91"/>
      <c r="B52" s="8"/>
      <c r="C52" s="114"/>
      <c r="D52" s="175"/>
      <c r="E52" s="175"/>
      <c r="F52" s="171"/>
      <c r="G52" s="171"/>
      <c r="H52" s="171"/>
      <c r="I52" s="9"/>
      <c r="J52" s="8"/>
      <c r="K52" s="91"/>
    </row>
    <row r="53" spans="1:11">
      <c r="A53" s="91"/>
      <c r="B53" s="8"/>
      <c r="C53" s="118"/>
      <c r="D53" s="187" t="s">
        <v>1262</v>
      </c>
      <c r="E53" s="187" t="s">
        <v>1263</v>
      </c>
      <c r="F53" s="187"/>
      <c r="G53" s="187" t="s">
        <v>1264</v>
      </c>
      <c r="H53" s="187" t="s">
        <v>1265</v>
      </c>
      <c r="I53" s="91" t="s">
        <v>1266</v>
      </c>
      <c r="J53" s="91" t="s">
        <v>1267</v>
      </c>
      <c r="K53" s="91"/>
    </row>
    <row r="54" spans="1:11">
      <c r="A54" s="80" t="s">
        <v>90</v>
      </c>
      <c r="B54" s="80" t="s">
        <v>512</v>
      </c>
      <c r="C54" s="118" t="s">
        <v>1268</v>
      </c>
      <c r="D54" s="189" t="s">
        <v>1269</v>
      </c>
      <c r="E54" s="189" t="s">
        <v>1270</v>
      </c>
      <c r="F54" s="189" t="s">
        <v>1271</v>
      </c>
      <c r="G54" s="189" t="s">
        <v>1272</v>
      </c>
      <c r="H54" s="189" t="s">
        <v>1273</v>
      </c>
      <c r="I54" s="80" t="s">
        <v>1274</v>
      </c>
      <c r="J54" s="80" t="s">
        <v>1275</v>
      </c>
      <c r="K54" s="80" t="str">
        <f t="shared" ref="K54:K69" si="2">A54</f>
        <v>Line</v>
      </c>
    </row>
    <row r="55" spans="1:11" ht="29">
      <c r="A55" s="91">
        <f>A48+1</f>
        <v>203</v>
      </c>
      <c r="B55" s="8"/>
      <c r="C55" s="190" t="s">
        <v>1384</v>
      </c>
      <c r="D55" s="250"/>
      <c r="E55" s="124">
        <f>+C46</f>
        <v>-1476888347.1662529</v>
      </c>
      <c r="F55" s="171"/>
      <c r="G55" s="34">
        <f>+G56+F56-G67</f>
        <v>365</v>
      </c>
      <c r="H55" s="191">
        <f>1</f>
        <v>1</v>
      </c>
      <c r="I55" s="192"/>
      <c r="J55" s="252">
        <f>+E55</f>
        <v>-1476888347.1662529</v>
      </c>
      <c r="K55" s="91">
        <f t="shared" si="2"/>
        <v>203</v>
      </c>
    </row>
    <row r="56" spans="1:11">
      <c r="A56" s="91">
        <f t="shared" ref="A56:A69" si="3">A55+1</f>
        <v>204</v>
      </c>
      <c r="B56" s="18">
        <f>'1-DRR Corrected'!$K$2</f>
        <v>2021</v>
      </c>
      <c r="C56" s="190" t="s">
        <v>522</v>
      </c>
      <c r="D56" s="124">
        <f>(-$C$46+$C$47)/12</f>
        <v>2857880.3383746347</v>
      </c>
      <c r="E56" s="124">
        <f t="shared" ref="E56:E67" si="4">E55+D56</f>
        <v>-1474030466.8278782</v>
      </c>
      <c r="F56" s="34">
        <v>31</v>
      </c>
      <c r="G56" s="34">
        <f t="shared" ref="G56:G65" si="5">+G57+F57</f>
        <v>335</v>
      </c>
      <c r="H56" s="191">
        <f>G56/G55</f>
        <v>0.9178082191780822</v>
      </c>
      <c r="I56" s="251">
        <f t="shared" ref="I56:I67" si="6">D56*H56</f>
        <v>2622986.0639876784</v>
      </c>
      <c r="J56" s="128">
        <f t="shared" ref="J56:J67" si="7">J55+I56</f>
        <v>-1474265361.1022651</v>
      </c>
      <c r="K56" s="91">
        <f t="shared" si="2"/>
        <v>204</v>
      </c>
    </row>
    <row r="57" spans="1:11">
      <c r="A57" s="91">
        <f t="shared" si="3"/>
        <v>205</v>
      </c>
      <c r="B57" s="18">
        <f>'1-DRR Corrected'!$K$2</f>
        <v>2021</v>
      </c>
      <c r="C57" s="190" t="s">
        <v>523</v>
      </c>
      <c r="D57" s="124">
        <f t="shared" ref="D57:D67" si="8">(-$C$46+$C$47)/12</f>
        <v>2857880.3383746347</v>
      </c>
      <c r="E57" s="124">
        <f t="shared" si="4"/>
        <v>-1471172586.4895036</v>
      </c>
      <c r="F57" s="190">
        <f>IF(OR(MOD(RIGHT($J$1,4),400)=0,AND(MOD(RIGHT($J$1,4),4)=0,MOD(RIGHT($J$1,4),100)&lt;&gt;0)),29,28)</f>
        <v>28</v>
      </c>
      <c r="G57" s="34">
        <f t="shared" si="5"/>
        <v>307</v>
      </c>
      <c r="H57" s="191">
        <f>G57/G55</f>
        <v>0.84109589041095889</v>
      </c>
      <c r="I57" s="251">
        <f t="shared" si="6"/>
        <v>2403751.407893186</v>
      </c>
      <c r="J57" s="128">
        <f t="shared" si="7"/>
        <v>-1471861609.6943719</v>
      </c>
      <c r="K57" s="91">
        <f t="shared" si="2"/>
        <v>205</v>
      </c>
    </row>
    <row r="58" spans="1:11">
      <c r="A58" s="91">
        <f t="shared" si="3"/>
        <v>206</v>
      </c>
      <c r="B58" s="18">
        <f>'1-DRR Corrected'!$K$2</f>
        <v>2021</v>
      </c>
      <c r="C58" s="190" t="s">
        <v>524</v>
      </c>
      <c r="D58" s="124">
        <f t="shared" si="8"/>
        <v>2857880.3383746347</v>
      </c>
      <c r="E58" s="124">
        <f t="shared" si="4"/>
        <v>-1468314706.151129</v>
      </c>
      <c r="F58" s="34">
        <v>31</v>
      </c>
      <c r="G58" s="34">
        <f t="shared" si="5"/>
        <v>276</v>
      </c>
      <c r="H58" s="191">
        <f>G58/G55</f>
        <v>0.75616438356164384</v>
      </c>
      <c r="I58" s="251">
        <f t="shared" si="6"/>
        <v>2161027.3243599976</v>
      </c>
      <c r="J58" s="128">
        <f t="shared" si="7"/>
        <v>-1469700582.370012</v>
      </c>
      <c r="K58" s="91">
        <f t="shared" si="2"/>
        <v>206</v>
      </c>
    </row>
    <row r="59" spans="1:11">
      <c r="A59" s="91">
        <f t="shared" si="3"/>
        <v>207</v>
      </c>
      <c r="B59" s="18">
        <f>'1-DRR Corrected'!$K$2</f>
        <v>2021</v>
      </c>
      <c r="C59" s="190" t="s">
        <v>525</v>
      </c>
      <c r="D59" s="124">
        <f t="shared" si="8"/>
        <v>2857880.3383746347</v>
      </c>
      <c r="E59" s="124">
        <f t="shared" si="4"/>
        <v>-1465456825.8127544</v>
      </c>
      <c r="F59" s="34">
        <v>30</v>
      </c>
      <c r="G59" s="34">
        <f t="shared" si="5"/>
        <v>246</v>
      </c>
      <c r="H59" s="191">
        <f>G59/G55</f>
        <v>0.67397260273972603</v>
      </c>
      <c r="I59" s="251">
        <f t="shared" si="6"/>
        <v>1926133.0499730415</v>
      </c>
      <c r="J59" s="128">
        <f t="shared" si="7"/>
        <v>-1467774449.320039</v>
      </c>
      <c r="K59" s="91">
        <f t="shared" si="2"/>
        <v>207</v>
      </c>
    </row>
    <row r="60" spans="1:11">
      <c r="A60" s="91">
        <f t="shared" si="3"/>
        <v>208</v>
      </c>
      <c r="B60" s="18">
        <f>'1-DRR Corrected'!$K$2</f>
        <v>2021</v>
      </c>
      <c r="C60" s="190" t="s">
        <v>526</v>
      </c>
      <c r="D60" s="124">
        <f t="shared" si="8"/>
        <v>2857880.3383746347</v>
      </c>
      <c r="E60" s="124">
        <f t="shared" si="4"/>
        <v>-1462598945.4743798</v>
      </c>
      <c r="F60" s="34">
        <v>31</v>
      </c>
      <c r="G60" s="34">
        <f t="shared" si="5"/>
        <v>215</v>
      </c>
      <c r="H60" s="191">
        <f>G60/G55</f>
        <v>0.58904109589041098</v>
      </c>
      <c r="I60" s="251">
        <f t="shared" si="6"/>
        <v>1683408.9664398534</v>
      </c>
      <c r="J60" s="128">
        <f t="shared" si="7"/>
        <v>-1466091040.3535991</v>
      </c>
      <c r="K60" s="91">
        <f t="shared" si="2"/>
        <v>208</v>
      </c>
    </row>
    <row r="61" spans="1:11">
      <c r="A61" s="91">
        <f t="shared" si="3"/>
        <v>209</v>
      </c>
      <c r="B61" s="18">
        <f>'1-DRR Corrected'!$K$2</f>
        <v>2021</v>
      </c>
      <c r="C61" s="190" t="s">
        <v>812</v>
      </c>
      <c r="D61" s="124">
        <f t="shared" si="8"/>
        <v>2857880.3383746347</v>
      </c>
      <c r="E61" s="124">
        <f t="shared" si="4"/>
        <v>-1459741065.1360052</v>
      </c>
      <c r="F61" s="34">
        <v>30</v>
      </c>
      <c r="G61" s="34">
        <f t="shared" si="5"/>
        <v>185</v>
      </c>
      <c r="H61" s="191">
        <f>G61/G55</f>
        <v>0.50684931506849318</v>
      </c>
      <c r="I61" s="251">
        <f t="shared" si="6"/>
        <v>1448514.6920528971</v>
      </c>
      <c r="J61" s="128">
        <f t="shared" si="7"/>
        <v>-1464642525.6615462</v>
      </c>
      <c r="K61" s="91">
        <f t="shared" si="2"/>
        <v>209</v>
      </c>
    </row>
    <row r="62" spans="1:11">
      <c r="A62" s="91">
        <f t="shared" si="3"/>
        <v>210</v>
      </c>
      <c r="B62" s="18">
        <f>'1-DRR Corrected'!$K$2</f>
        <v>2021</v>
      </c>
      <c r="C62" s="190" t="s">
        <v>528</v>
      </c>
      <c r="D62" s="124">
        <f t="shared" si="8"/>
        <v>2857880.3383746347</v>
      </c>
      <c r="E62" s="124">
        <f t="shared" si="4"/>
        <v>-1456883184.7976305</v>
      </c>
      <c r="F62" s="34">
        <v>31</v>
      </c>
      <c r="G62" s="34">
        <f t="shared" si="5"/>
        <v>154</v>
      </c>
      <c r="H62" s="191">
        <f>G62/G55</f>
        <v>0.42191780821917807</v>
      </c>
      <c r="I62" s="251">
        <f t="shared" si="6"/>
        <v>1205790.608519709</v>
      </c>
      <c r="J62" s="128">
        <f t="shared" si="7"/>
        <v>-1463436735.0530264</v>
      </c>
      <c r="K62" s="91">
        <f t="shared" si="2"/>
        <v>210</v>
      </c>
    </row>
    <row r="63" spans="1:11">
      <c r="A63" s="91">
        <f t="shared" si="3"/>
        <v>211</v>
      </c>
      <c r="B63" s="18">
        <f>'1-DRR Corrected'!$K$2</f>
        <v>2021</v>
      </c>
      <c r="C63" s="190" t="s">
        <v>529</v>
      </c>
      <c r="D63" s="124">
        <f t="shared" si="8"/>
        <v>2857880.3383746347</v>
      </c>
      <c r="E63" s="124">
        <f t="shared" si="4"/>
        <v>-1454025304.4592559</v>
      </c>
      <c r="F63" s="34">
        <v>31</v>
      </c>
      <c r="G63" s="34">
        <f t="shared" si="5"/>
        <v>123</v>
      </c>
      <c r="H63" s="191">
        <f>G63/G55</f>
        <v>0.33698630136986302</v>
      </c>
      <c r="I63" s="251">
        <f t="shared" si="6"/>
        <v>963066.52498652076</v>
      </c>
      <c r="J63" s="128">
        <f t="shared" si="7"/>
        <v>-1462473668.5280399</v>
      </c>
      <c r="K63" s="91">
        <f t="shared" si="2"/>
        <v>211</v>
      </c>
    </row>
    <row r="64" spans="1:11">
      <c r="A64" s="91">
        <f t="shared" si="3"/>
        <v>212</v>
      </c>
      <c r="B64" s="18">
        <f>'1-DRR Corrected'!$K$2</f>
        <v>2021</v>
      </c>
      <c r="C64" s="190" t="s">
        <v>530</v>
      </c>
      <c r="D64" s="124">
        <f t="shared" si="8"/>
        <v>2857880.3383746347</v>
      </c>
      <c r="E64" s="124">
        <f t="shared" si="4"/>
        <v>-1451167424.1208813</v>
      </c>
      <c r="F64" s="34">
        <v>30</v>
      </c>
      <c r="G64" s="34">
        <f t="shared" si="5"/>
        <v>93</v>
      </c>
      <c r="H64" s="191">
        <f>G64/G55</f>
        <v>0.25479452054794521</v>
      </c>
      <c r="I64" s="251">
        <f t="shared" si="6"/>
        <v>728172.25059956452</v>
      </c>
      <c r="J64" s="128">
        <f t="shared" si="7"/>
        <v>-1461745496.2774403</v>
      </c>
      <c r="K64" s="91">
        <f t="shared" si="2"/>
        <v>212</v>
      </c>
    </row>
    <row r="65" spans="1:11">
      <c r="A65" s="91">
        <f t="shared" si="3"/>
        <v>213</v>
      </c>
      <c r="B65" s="18">
        <f>'1-DRR Corrected'!$K$2</f>
        <v>2021</v>
      </c>
      <c r="C65" s="190" t="s">
        <v>531</v>
      </c>
      <c r="D65" s="124">
        <f t="shared" si="8"/>
        <v>2857880.3383746347</v>
      </c>
      <c r="E65" s="124">
        <f t="shared" si="4"/>
        <v>-1448309543.7825067</v>
      </c>
      <c r="F65" s="34">
        <v>31</v>
      </c>
      <c r="G65" s="34">
        <f t="shared" si="5"/>
        <v>62</v>
      </c>
      <c r="H65" s="191">
        <f>G65/G55</f>
        <v>0.16986301369863013</v>
      </c>
      <c r="I65" s="251">
        <f t="shared" si="6"/>
        <v>485448.16706637631</v>
      </c>
      <c r="J65" s="128">
        <f t="shared" si="7"/>
        <v>-1461260048.110374</v>
      </c>
      <c r="K65" s="91">
        <f t="shared" si="2"/>
        <v>213</v>
      </c>
    </row>
    <row r="66" spans="1:11">
      <c r="A66" s="91">
        <f t="shared" si="3"/>
        <v>214</v>
      </c>
      <c r="B66" s="18">
        <f>'1-DRR Corrected'!$K$2</f>
        <v>2021</v>
      </c>
      <c r="C66" s="190" t="s">
        <v>532</v>
      </c>
      <c r="D66" s="124">
        <f t="shared" si="8"/>
        <v>2857880.3383746347</v>
      </c>
      <c r="E66" s="124">
        <f t="shared" si="4"/>
        <v>-1445451663.4441321</v>
      </c>
      <c r="F66" s="34">
        <v>30</v>
      </c>
      <c r="G66" s="34">
        <f>+G67+F67</f>
        <v>32</v>
      </c>
      <c r="H66" s="191">
        <f>G66/G55</f>
        <v>8.7671232876712329E-2</v>
      </c>
      <c r="I66" s="251">
        <f t="shared" si="6"/>
        <v>250553.89267942004</v>
      </c>
      <c r="J66" s="128">
        <f t="shared" si="7"/>
        <v>-1461009494.2176945</v>
      </c>
      <c r="K66" s="91">
        <f t="shared" si="2"/>
        <v>214</v>
      </c>
    </row>
    <row r="67" spans="1:11">
      <c r="A67" s="91">
        <f t="shared" si="3"/>
        <v>215</v>
      </c>
      <c r="B67" s="18">
        <f>'1-DRR Corrected'!$K$2</f>
        <v>2021</v>
      </c>
      <c r="C67" s="190" t="s">
        <v>520</v>
      </c>
      <c r="D67" s="124">
        <f t="shared" si="8"/>
        <v>2857880.3383746347</v>
      </c>
      <c r="E67" s="124">
        <f t="shared" si="4"/>
        <v>-1442593783.1057575</v>
      </c>
      <c r="F67" s="34">
        <v>31</v>
      </c>
      <c r="G67" s="193">
        <v>1</v>
      </c>
      <c r="H67" s="191">
        <f>G67/G55</f>
        <v>2.7397260273972603E-3</v>
      </c>
      <c r="I67" s="251">
        <f t="shared" si="6"/>
        <v>7829.8091462318762</v>
      </c>
      <c r="J67" s="321">
        <f t="shared" si="7"/>
        <v>-1461001664.4085484</v>
      </c>
      <c r="K67" s="91">
        <f t="shared" si="2"/>
        <v>215</v>
      </c>
    </row>
    <row r="68" spans="1:11">
      <c r="A68" s="91">
        <f t="shared" si="3"/>
        <v>216</v>
      </c>
      <c r="B68" s="8"/>
      <c r="C68" s="190" t="s">
        <v>1277</v>
      </c>
      <c r="D68" s="124"/>
      <c r="E68" s="124">
        <f>C47</f>
        <v>-1442593783.1057572</v>
      </c>
      <c r="F68" s="171"/>
      <c r="G68" s="171"/>
      <c r="H68" s="171"/>
      <c r="I68" s="9"/>
      <c r="J68" s="254"/>
      <c r="K68" s="91">
        <f t="shared" si="2"/>
        <v>216</v>
      </c>
    </row>
    <row r="69" spans="1:11">
      <c r="A69" s="91">
        <f t="shared" si="3"/>
        <v>217</v>
      </c>
      <c r="B69" s="8"/>
      <c r="C69" s="114"/>
      <c r="D69" s="175"/>
      <c r="E69" s="175"/>
      <c r="F69" s="171"/>
      <c r="G69" s="171"/>
      <c r="H69" s="171"/>
      <c r="I69" s="194" t="s">
        <v>1278</v>
      </c>
      <c r="J69" s="301">
        <f>+J67</f>
        <v>-1461001664.4085484</v>
      </c>
      <c r="K69" s="91">
        <f t="shared" si="2"/>
        <v>217</v>
      </c>
    </row>
    <row r="71" spans="1:11">
      <c r="B71" s="758" t="s">
        <v>1385</v>
      </c>
      <c r="C71" s="758"/>
      <c r="D71" s="758"/>
      <c r="E71" s="758"/>
      <c r="F71" s="758"/>
      <c r="G71" s="758"/>
      <c r="H71" s="758"/>
      <c r="I71" s="758"/>
      <c r="J71" s="758"/>
    </row>
    <row r="72" spans="1:11">
      <c r="B72" s="758" t="s">
        <v>1386</v>
      </c>
      <c r="C72" s="758"/>
      <c r="D72" s="758"/>
      <c r="E72" s="758"/>
      <c r="F72" s="758"/>
      <c r="G72" s="758"/>
      <c r="H72" s="758"/>
      <c r="I72" s="758"/>
      <c r="J72" s="758"/>
    </row>
  </sheetData>
  <mergeCells count="3">
    <mergeCell ref="N4:T4"/>
    <mergeCell ref="B71:J71"/>
    <mergeCell ref="B72:J72"/>
  </mergeCells>
  <printOptions horizontalCentered="1"/>
  <pageMargins left="1" right="1" top="1" bottom="1" header="0.5" footer="0.5"/>
  <pageSetup scale="42" orientation="landscape" r:id="rId1"/>
  <headerFooter>
    <oddHeader>&amp;RDocket No. ER20-2878-000, et al.- Annual Update RY2024
&amp;F</oddHeader>
  </headerFooter>
  <rowBreaks count="1" manualBreakCount="1">
    <brk id="41" max="10" man="1"/>
  </rowBreaks>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A87EB-A6F5-4805-A4A4-727D3171D47E}">
  <sheetPr>
    <tabColor rgb="FFFF0000"/>
    <pageSetUpPr fitToPage="1"/>
  </sheetPr>
  <dimension ref="A1:T72"/>
  <sheetViews>
    <sheetView view="pageBreakPreview" zoomScale="25" zoomScaleNormal="85" zoomScaleSheetLayoutView="25" zoomScalePageLayoutView="70" workbookViewId="0">
      <selection activeCell="W98" sqref="W98"/>
    </sheetView>
  </sheetViews>
  <sheetFormatPr defaultColWidth="9.1796875" defaultRowHeight="14.5"/>
  <cols>
    <col min="1" max="1" width="5.54296875" customWidth="1"/>
    <col min="2" max="2" width="54.26953125" customWidth="1"/>
    <col min="3" max="3" width="24.453125" customWidth="1"/>
    <col min="4" max="4" width="19" customWidth="1"/>
    <col min="5" max="5" width="18.81640625" bestFit="1" customWidth="1"/>
    <col min="6" max="6" width="24.54296875" customWidth="1"/>
    <col min="7" max="7" width="24.81640625" customWidth="1"/>
    <col min="8" max="8" width="15.1796875" bestFit="1" customWidth="1"/>
    <col min="9" max="9" width="16.54296875" customWidth="1"/>
    <col min="10" max="10" width="23" bestFit="1" customWidth="1"/>
    <col min="11" max="11" width="6.7265625" bestFit="1" customWidth="1"/>
  </cols>
  <sheetData>
    <row r="1" spans="1:20">
      <c r="B1" s="206" t="s">
        <v>47</v>
      </c>
      <c r="C1" s="195"/>
      <c r="D1" s="195"/>
      <c r="E1" s="6"/>
      <c r="G1" s="6"/>
      <c r="J1" s="6" t="s">
        <v>384</v>
      </c>
    </row>
    <row r="2" spans="1:20">
      <c r="B2" s="78" t="s">
        <v>120</v>
      </c>
      <c r="C2" s="195"/>
      <c r="D2" s="195"/>
      <c r="E2" s="6"/>
      <c r="F2" s="6"/>
      <c r="G2" s="6"/>
    </row>
    <row r="3" spans="1:20">
      <c r="B3" s="195"/>
      <c r="C3" s="195"/>
      <c r="D3" s="195"/>
      <c r="E3" s="195"/>
      <c r="F3" s="195"/>
      <c r="G3" s="195"/>
    </row>
    <row r="4" spans="1:20" ht="15.75" customHeight="1">
      <c r="A4" s="196"/>
      <c r="B4" s="195" t="s">
        <v>1338</v>
      </c>
      <c r="C4" s="195"/>
      <c r="D4" s="195"/>
      <c r="E4" s="195"/>
      <c r="F4" s="195"/>
      <c r="G4" s="195"/>
      <c r="N4" s="756"/>
      <c r="O4" s="757"/>
      <c r="P4" s="757"/>
      <c r="Q4" s="757"/>
      <c r="R4" s="757"/>
      <c r="S4" s="757"/>
      <c r="T4" s="757"/>
    </row>
    <row r="5" spans="1:20">
      <c r="A5" s="196"/>
      <c r="B5" s="195" t="s">
        <v>1339</v>
      </c>
      <c r="C5" s="195"/>
      <c r="D5" s="195"/>
      <c r="E5" s="195"/>
      <c r="F5" s="195"/>
      <c r="G5" s="195"/>
    </row>
    <row r="6" spans="1:20">
      <c r="A6" s="196"/>
      <c r="B6" s="195" t="s">
        <v>1340</v>
      </c>
      <c r="C6" s="195"/>
      <c r="D6" s="195"/>
      <c r="E6" s="195"/>
      <c r="F6" s="195"/>
      <c r="G6" s="195"/>
    </row>
    <row r="7" spans="1:20">
      <c r="A7" s="196"/>
      <c r="B7" s="195"/>
      <c r="C7" s="195"/>
      <c r="D7" s="195"/>
      <c r="E7" s="195"/>
      <c r="F7" s="195"/>
      <c r="G7" s="195"/>
    </row>
    <row r="8" spans="1:20">
      <c r="A8" s="196"/>
      <c r="B8" s="195" t="s">
        <v>1341</v>
      </c>
      <c r="C8" s="195"/>
      <c r="D8" s="195"/>
      <c r="E8" s="195"/>
      <c r="F8" s="195"/>
      <c r="G8" s="195"/>
    </row>
    <row r="9" spans="1:20">
      <c r="A9" s="196"/>
      <c r="B9" s="195" t="s">
        <v>1342</v>
      </c>
      <c r="C9" s="195"/>
      <c r="D9" s="195"/>
      <c r="E9" s="195"/>
      <c r="F9" s="195"/>
      <c r="G9" s="195"/>
    </row>
    <row r="10" spans="1:20">
      <c r="A10" s="196"/>
      <c r="B10" s="195"/>
      <c r="C10" s="195"/>
      <c r="D10" s="195"/>
      <c r="E10" s="195"/>
      <c r="F10" s="195"/>
      <c r="G10" s="195"/>
    </row>
    <row r="11" spans="1:20">
      <c r="A11" s="196"/>
      <c r="B11" s="195" t="s">
        <v>1343</v>
      </c>
      <c r="C11" s="195"/>
      <c r="D11" s="195"/>
      <c r="E11" s="195"/>
      <c r="F11" s="195"/>
      <c r="G11" s="195"/>
    </row>
    <row r="12" spans="1:20">
      <c r="A12" s="196"/>
      <c r="B12" s="195" t="s">
        <v>1344</v>
      </c>
      <c r="C12" s="195"/>
      <c r="D12" s="195"/>
      <c r="E12" s="195"/>
      <c r="F12" s="195"/>
      <c r="G12" s="195"/>
    </row>
    <row r="13" spans="1:20">
      <c r="A13" s="196"/>
      <c r="B13" s="195" t="s">
        <v>1345</v>
      </c>
      <c r="C13" s="195"/>
      <c r="D13" s="195"/>
      <c r="E13" s="195"/>
      <c r="F13" s="195"/>
      <c r="G13" s="195"/>
    </row>
    <row r="14" spans="1:20">
      <c r="A14" s="196"/>
      <c r="B14" s="195"/>
      <c r="C14" s="195"/>
      <c r="D14" s="195"/>
      <c r="E14" s="195"/>
      <c r="F14" s="195"/>
      <c r="G14" s="195"/>
    </row>
    <row r="15" spans="1:20">
      <c r="A15" s="196"/>
      <c r="B15" s="45" t="s">
        <v>1346</v>
      </c>
      <c r="C15" s="43"/>
      <c r="D15" s="43"/>
      <c r="E15" s="43"/>
      <c r="F15" s="43"/>
      <c r="G15" s="43"/>
    </row>
    <row r="16" spans="1:20">
      <c r="A16" s="196"/>
      <c r="B16" s="206" t="s">
        <v>361</v>
      </c>
      <c r="C16" s="195"/>
      <c r="D16" s="195"/>
      <c r="E16" s="195"/>
      <c r="F16" s="195"/>
      <c r="G16" s="195"/>
    </row>
    <row r="17" spans="1:11">
      <c r="A17" s="196"/>
      <c r="B17" s="195" t="s">
        <v>1347</v>
      </c>
      <c r="C17" s="195"/>
      <c r="D17" s="195"/>
      <c r="E17" s="195"/>
      <c r="F17" s="195"/>
      <c r="G17" s="195"/>
    </row>
    <row r="18" spans="1:11">
      <c r="A18" s="196"/>
      <c r="B18" s="195" t="s">
        <v>1348</v>
      </c>
    </row>
    <row r="19" spans="1:11">
      <c r="A19" s="196"/>
      <c r="B19" s="209" t="s">
        <v>1349</v>
      </c>
    </row>
    <row r="20" spans="1:11">
      <c r="A20" s="196"/>
      <c r="B20" s="209" t="s">
        <v>1350</v>
      </c>
      <c r="E20" s="8"/>
    </row>
    <row r="21" spans="1:11">
      <c r="A21" s="196"/>
      <c r="B21" s="195" t="s">
        <v>1351</v>
      </c>
    </row>
    <row r="22" spans="1:11">
      <c r="A22" s="196"/>
      <c r="B22" s="195"/>
    </row>
    <row r="23" spans="1:11">
      <c r="A23" s="196"/>
      <c r="B23" s="195"/>
      <c r="C23" s="195"/>
      <c r="D23" s="195"/>
      <c r="E23" s="196" t="s">
        <v>503</v>
      </c>
      <c r="F23" s="195"/>
      <c r="G23" s="195"/>
    </row>
    <row r="24" spans="1:11">
      <c r="A24" s="201" t="s">
        <v>90</v>
      </c>
      <c r="B24" s="195"/>
      <c r="C24" s="195"/>
      <c r="D24" s="195"/>
      <c r="E24" s="201" t="s">
        <v>630</v>
      </c>
      <c r="F24" s="208" t="s">
        <v>1352</v>
      </c>
      <c r="G24" s="208"/>
      <c r="K24" s="201" t="s">
        <v>90</v>
      </c>
    </row>
    <row r="25" spans="1:11">
      <c r="A25" s="196">
        <v>100</v>
      </c>
      <c r="B25" s="195" t="s">
        <v>1353</v>
      </c>
      <c r="C25" s="195"/>
      <c r="D25" s="195"/>
      <c r="E25" s="324">
        <v>0</v>
      </c>
      <c r="F25" s="195" t="s">
        <v>1354</v>
      </c>
      <c r="G25" s="195"/>
      <c r="K25" s="196">
        <v>100</v>
      </c>
    </row>
    <row r="26" spans="1:11">
      <c r="A26" s="196">
        <v>101</v>
      </c>
      <c r="B26" s="195" t="s">
        <v>1355</v>
      </c>
      <c r="C26" s="195"/>
      <c r="D26" s="195"/>
      <c r="E26" s="324">
        <v>0</v>
      </c>
      <c r="F26" s="195" t="s">
        <v>1356</v>
      </c>
      <c r="G26" s="195"/>
      <c r="K26" s="196">
        <v>101</v>
      </c>
    </row>
    <row r="27" spans="1:11">
      <c r="A27" s="196">
        <v>102</v>
      </c>
      <c r="B27" s="195" t="s">
        <v>1357</v>
      </c>
      <c r="C27" s="195"/>
      <c r="D27" s="195"/>
      <c r="E27" s="324">
        <v>0</v>
      </c>
      <c r="F27" s="195" t="s">
        <v>1358</v>
      </c>
      <c r="G27" s="195"/>
      <c r="K27" s="196">
        <v>102</v>
      </c>
    </row>
    <row r="28" spans="1:11">
      <c r="A28" s="196"/>
      <c r="B28" s="195"/>
      <c r="C28" s="195"/>
      <c r="D28" s="195"/>
      <c r="E28" s="202"/>
      <c r="F28" s="195"/>
      <c r="G28" s="195"/>
      <c r="K28" s="196"/>
    </row>
    <row r="29" spans="1:11">
      <c r="A29" s="196"/>
      <c r="B29" s="195"/>
      <c r="C29" s="207" t="s">
        <v>1359</v>
      </c>
      <c r="D29" s="207" t="s">
        <v>1360</v>
      </c>
      <c r="E29" s="207" t="s">
        <v>1361</v>
      </c>
      <c r="F29" s="195"/>
      <c r="G29" s="195"/>
      <c r="K29" s="196"/>
    </row>
    <row r="30" spans="1:11">
      <c r="A30" s="196"/>
      <c r="B30" s="195"/>
      <c r="C30" s="196" t="s">
        <v>503</v>
      </c>
      <c r="D30" s="196" t="s">
        <v>503</v>
      </c>
      <c r="E30" s="196" t="s">
        <v>503</v>
      </c>
      <c r="F30" s="195"/>
      <c r="G30" s="195"/>
      <c r="K30" s="196"/>
    </row>
    <row r="31" spans="1:11">
      <c r="A31" s="196"/>
      <c r="B31" s="196" t="s">
        <v>1362</v>
      </c>
      <c r="C31" s="196" t="s">
        <v>1363</v>
      </c>
      <c r="D31" s="196" t="s">
        <v>1308</v>
      </c>
      <c r="E31" s="2" t="s">
        <v>1364</v>
      </c>
      <c r="F31" s="206" t="s">
        <v>1365</v>
      </c>
      <c r="G31" s="206"/>
      <c r="K31" s="196"/>
    </row>
    <row r="32" spans="1:11">
      <c r="A32" s="201"/>
      <c r="B32" s="196" t="s">
        <v>1366</v>
      </c>
      <c r="C32" s="196" t="s">
        <v>1367</v>
      </c>
      <c r="D32" s="196" t="s">
        <v>1367</v>
      </c>
      <c r="E32" s="196" t="s">
        <v>1368</v>
      </c>
      <c r="F32" s="206" t="s">
        <v>1369</v>
      </c>
      <c r="G32" s="206"/>
      <c r="K32" s="196"/>
    </row>
    <row r="33" spans="1:11">
      <c r="A33" s="201" t="s">
        <v>90</v>
      </c>
      <c r="B33" s="201" t="s">
        <v>1370</v>
      </c>
      <c r="C33" s="201" t="s">
        <v>1370</v>
      </c>
      <c r="D33" s="201" t="s">
        <v>1370</v>
      </c>
      <c r="E33" s="201" t="s">
        <v>1371</v>
      </c>
      <c r="F33" s="205" t="s">
        <v>1372</v>
      </c>
      <c r="G33" s="201" t="s">
        <v>126</v>
      </c>
      <c r="K33" s="201" t="s">
        <v>90</v>
      </c>
    </row>
    <row r="34" spans="1:11" ht="15" thickBot="1">
      <c r="A34" s="204">
        <v>103</v>
      </c>
      <c r="B34" s="203" t="s">
        <v>1373</v>
      </c>
      <c r="C34" s="602">
        <v>0</v>
      </c>
      <c r="D34" s="602">
        <v>0</v>
      </c>
      <c r="E34" s="603">
        <v>0</v>
      </c>
      <c r="F34" s="203"/>
      <c r="G34" s="203"/>
      <c r="K34" s="196">
        <v>103</v>
      </c>
    </row>
    <row r="35" spans="1:11" ht="15" thickTop="1">
      <c r="A35" s="196"/>
      <c r="B35" s="195"/>
      <c r="C35" s="202"/>
      <c r="D35" s="202"/>
      <c r="E35" s="202"/>
      <c r="F35" s="195"/>
      <c r="G35" s="195"/>
      <c r="K35" s="201"/>
    </row>
    <row r="36" spans="1:11">
      <c r="A36" s="196">
        <v>104</v>
      </c>
      <c r="B36" s="197" t="s">
        <v>1374</v>
      </c>
      <c r="C36" s="322"/>
      <c r="D36" s="322"/>
      <c r="E36" s="199"/>
      <c r="F36" s="197"/>
      <c r="G36" s="197"/>
      <c r="K36" s="196">
        <v>104</v>
      </c>
    </row>
    <row r="37" spans="1:11">
      <c r="A37" s="196">
        <v>105</v>
      </c>
      <c r="B37" s="197" t="s">
        <v>1375</v>
      </c>
      <c r="C37" s="322"/>
      <c r="D37" s="322"/>
      <c r="E37" s="199"/>
      <c r="F37" s="197"/>
      <c r="G37" s="197"/>
      <c r="K37" s="196">
        <v>105</v>
      </c>
    </row>
    <row r="38" spans="1:11">
      <c r="A38" s="196">
        <v>106</v>
      </c>
      <c r="B38" s="197" t="s">
        <v>1376</v>
      </c>
      <c r="C38" s="323"/>
      <c r="D38" s="322"/>
      <c r="E38" s="198"/>
      <c r="F38" s="197"/>
      <c r="G38" s="197"/>
      <c r="K38" s="196">
        <v>106</v>
      </c>
    </row>
    <row r="39" spans="1:11">
      <c r="A39" s="196">
        <v>107</v>
      </c>
      <c r="B39" s="200" t="s">
        <v>672</v>
      </c>
      <c r="C39" s="323"/>
      <c r="D39" s="322"/>
      <c r="E39" s="198"/>
      <c r="F39" s="197"/>
      <c r="G39" s="197"/>
      <c r="K39" s="196">
        <v>107</v>
      </c>
    </row>
    <row r="40" spans="1:11">
      <c r="A40" s="196"/>
      <c r="B40" s="195"/>
      <c r="C40" s="195"/>
      <c r="D40" s="195"/>
      <c r="E40" s="195"/>
      <c r="F40" s="195"/>
      <c r="G40" s="195"/>
      <c r="H40" s="196"/>
    </row>
    <row r="41" spans="1:11">
      <c r="A41" s="196"/>
    </row>
    <row r="42" spans="1:11">
      <c r="A42" s="196"/>
      <c r="B42" s="195"/>
    </row>
    <row r="43" spans="1:11">
      <c r="A43" s="91"/>
      <c r="B43" s="79" t="s">
        <v>1377</v>
      </c>
      <c r="C43" s="117"/>
      <c r="D43" s="185"/>
      <c r="E43" s="185"/>
      <c r="F43" s="181"/>
      <c r="G43" s="181"/>
      <c r="H43" s="181"/>
      <c r="I43" s="186"/>
      <c r="J43" s="103"/>
    </row>
    <row r="44" spans="1:11">
      <c r="A44" s="91"/>
      <c r="B44" s="105"/>
      <c r="C44" s="114"/>
      <c r="D44" s="223"/>
      <c r="E44" s="223"/>
      <c r="F44" s="170"/>
      <c r="G44" s="170"/>
      <c r="H44" s="170"/>
      <c r="I44" s="9"/>
      <c r="J44" s="8"/>
    </row>
    <row r="45" spans="1:11">
      <c r="A45" s="80" t="s">
        <v>90</v>
      </c>
      <c r="B45" s="3" t="s">
        <v>7</v>
      </c>
      <c r="C45" s="3" t="s">
        <v>583</v>
      </c>
      <c r="D45" s="118" t="s">
        <v>126</v>
      </c>
      <c r="E45" s="223"/>
      <c r="F45" s="170"/>
      <c r="G45" s="170"/>
      <c r="H45" s="170"/>
      <c r="I45" s="9"/>
      <c r="J45" s="8"/>
      <c r="K45" s="80" t="s">
        <v>90</v>
      </c>
    </row>
    <row r="46" spans="1:11" ht="43.5">
      <c r="A46" s="91">
        <v>200</v>
      </c>
      <c r="B46" s="327" t="s">
        <v>1378</v>
      </c>
      <c r="C46" s="251">
        <v>-1476888347.1662529</v>
      </c>
      <c r="D46" s="328" t="s">
        <v>1379</v>
      </c>
      <c r="E46" s="223"/>
      <c r="F46" s="170"/>
      <c r="G46" s="170"/>
      <c r="H46" s="170"/>
      <c r="I46" s="9"/>
      <c r="J46" s="8"/>
      <c r="K46" s="91">
        <v>200</v>
      </c>
    </row>
    <row r="47" spans="1:11" ht="29">
      <c r="A47" s="91">
        <v>201</v>
      </c>
      <c r="B47" s="327" t="s">
        <v>1380</v>
      </c>
      <c r="C47" s="252">
        <v>-1442365131.1236477</v>
      </c>
      <c r="D47" s="328" t="s">
        <v>1381</v>
      </c>
      <c r="E47" s="223"/>
      <c r="F47" s="170"/>
      <c r="G47" s="170"/>
      <c r="H47" s="170"/>
      <c r="I47" s="9"/>
      <c r="J47" s="8"/>
      <c r="K47" s="91">
        <v>201</v>
      </c>
    </row>
    <row r="48" spans="1:11">
      <c r="A48" s="91">
        <v>202</v>
      </c>
      <c r="B48" s="230" t="s">
        <v>1382</v>
      </c>
      <c r="C48" s="325">
        <v>-1460895743.2049639</v>
      </c>
      <c r="D48" s="326" t="s">
        <v>1383</v>
      </c>
      <c r="E48" s="223"/>
      <c r="F48" s="170"/>
      <c r="G48" s="170"/>
      <c r="H48" s="170"/>
      <c r="I48" s="9"/>
      <c r="J48" s="8"/>
      <c r="K48" s="91">
        <v>202</v>
      </c>
    </row>
    <row r="49" spans="1:11">
      <c r="A49" s="91"/>
      <c r="B49" s="105"/>
      <c r="C49" s="114"/>
      <c r="D49" s="223"/>
      <c r="E49" s="223"/>
      <c r="F49" s="170"/>
      <c r="G49" s="170"/>
      <c r="H49" s="170"/>
      <c r="I49" s="9"/>
      <c r="J49" s="8"/>
      <c r="K49" s="91"/>
    </row>
    <row r="50" spans="1:11">
      <c r="A50" s="91"/>
      <c r="B50" s="8"/>
      <c r="C50" s="83" t="s">
        <v>122</v>
      </c>
      <c r="D50" s="83" t="s">
        <v>123</v>
      </c>
      <c r="E50" s="83" t="s">
        <v>124</v>
      </c>
      <c r="F50" s="83" t="s">
        <v>125</v>
      </c>
      <c r="G50" s="83" t="s">
        <v>490</v>
      </c>
      <c r="H50" s="83" t="s">
        <v>491</v>
      </c>
      <c r="I50" s="83" t="s">
        <v>492</v>
      </c>
      <c r="J50" s="83" t="s">
        <v>493</v>
      </c>
      <c r="K50" s="91"/>
    </row>
    <row r="51" spans="1:11">
      <c r="A51" s="91"/>
      <c r="B51" s="8"/>
      <c r="C51" s="114"/>
      <c r="D51" s="187" t="s">
        <v>1257</v>
      </c>
      <c r="E51" s="187" t="s">
        <v>1258</v>
      </c>
      <c r="F51" s="171"/>
      <c r="G51" s="171"/>
      <c r="H51" s="187" t="s">
        <v>1259</v>
      </c>
      <c r="I51" s="84" t="s">
        <v>1260</v>
      </c>
      <c r="J51" s="187" t="s">
        <v>1261</v>
      </c>
      <c r="K51" s="91"/>
    </row>
    <row r="52" spans="1:11">
      <c r="A52" s="91"/>
      <c r="B52" s="8"/>
      <c r="C52" s="114"/>
      <c r="D52" s="175"/>
      <c r="E52" s="175"/>
      <c r="F52" s="171"/>
      <c r="G52" s="171"/>
      <c r="H52" s="171"/>
      <c r="I52" s="9"/>
      <c r="J52" s="8"/>
      <c r="K52" s="91"/>
    </row>
    <row r="53" spans="1:11">
      <c r="A53" s="91"/>
      <c r="B53" s="8"/>
      <c r="C53" s="118"/>
      <c r="D53" s="187" t="s">
        <v>1262</v>
      </c>
      <c r="E53" s="187" t="s">
        <v>1263</v>
      </c>
      <c r="F53" s="187"/>
      <c r="G53" s="187" t="s">
        <v>1264</v>
      </c>
      <c r="H53" s="187" t="s">
        <v>1265</v>
      </c>
      <c r="I53" s="91" t="s">
        <v>1266</v>
      </c>
      <c r="J53" s="91" t="s">
        <v>1267</v>
      </c>
      <c r="K53" s="91"/>
    </row>
    <row r="54" spans="1:11">
      <c r="A54" s="80" t="s">
        <v>90</v>
      </c>
      <c r="B54" s="80" t="s">
        <v>512</v>
      </c>
      <c r="C54" s="118" t="s">
        <v>1268</v>
      </c>
      <c r="D54" s="189" t="s">
        <v>1269</v>
      </c>
      <c r="E54" s="189" t="s">
        <v>1270</v>
      </c>
      <c r="F54" s="189" t="s">
        <v>1271</v>
      </c>
      <c r="G54" s="189" t="s">
        <v>1272</v>
      </c>
      <c r="H54" s="189" t="s">
        <v>1273</v>
      </c>
      <c r="I54" s="80" t="s">
        <v>1274</v>
      </c>
      <c r="J54" s="80" t="s">
        <v>1275</v>
      </c>
      <c r="K54" s="80" t="s">
        <v>90</v>
      </c>
    </row>
    <row r="55" spans="1:11" ht="29">
      <c r="A55" s="91">
        <v>203</v>
      </c>
      <c r="B55" s="8"/>
      <c r="C55" s="190" t="s">
        <v>1384</v>
      </c>
      <c r="D55" s="250"/>
      <c r="E55" s="124">
        <v>-1476888347.1662529</v>
      </c>
      <c r="F55" s="171"/>
      <c r="G55" s="34">
        <v>365</v>
      </c>
      <c r="H55" s="191">
        <v>1</v>
      </c>
      <c r="I55" s="192"/>
      <c r="J55" s="252">
        <v>-1476888347.1662529</v>
      </c>
      <c r="K55" s="91">
        <v>203</v>
      </c>
    </row>
    <row r="56" spans="1:11">
      <c r="A56" s="91">
        <v>204</v>
      </c>
      <c r="B56" s="18">
        <v>2021</v>
      </c>
      <c r="C56" s="190" t="s">
        <v>522</v>
      </c>
      <c r="D56" s="124">
        <v>2876934.6702170968</v>
      </c>
      <c r="E56" s="124">
        <v>-1474011412.4960358</v>
      </c>
      <c r="F56" s="34">
        <v>31</v>
      </c>
      <c r="G56" s="34">
        <v>335</v>
      </c>
      <c r="H56" s="191">
        <v>0.9178082191780822</v>
      </c>
      <c r="I56" s="251">
        <v>2640474.2863636366</v>
      </c>
      <c r="J56" s="128">
        <v>-1474247872.8798892</v>
      </c>
      <c r="K56" s="91">
        <v>204</v>
      </c>
    </row>
    <row r="57" spans="1:11">
      <c r="A57" s="91">
        <v>205</v>
      </c>
      <c r="B57" s="18">
        <v>2021</v>
      </c>
      <c r="C57" s="190" t="s">
        <v>523</v>
      </c>
      <c r="D57" s="124">
        <v>2876934.6702170968</v>
      </c>
      <c r="E57" s="124">
        <v>-1471134477.8258188</v>
      </c>
      <c r="F57" s="190">
        <v>28</v>
      </c>
      <c r="G57" s="34">
        <v>307</v>
      </c>
      <c r="H57" s="191">
        <v>0.84109589041095889</v>
      </c>
      <c r="I57" s="251">
        <v>2419777.9281004076</v>
      </c>
      <c r="J57" s="128">
        <v>-1471828094.9517889</v>
      </c>
      <c r="K57" s="91">
        <v>205</v>
      </c>
    </row>
    <row r="58" spans="1:11">
      <c r="A58" s="91">
        <v>206</v>
      </c>
      <c r="B58" s="18">
        <v>2021</v>
      </c>
      <c r="C58" s="190" t="s">
        <v>524</v>
      </c>
      <c r="D58" s="124">
        <v>2876934.6702170968</v>
      </c>
      <c r="E58" s="124">
        <v>-1468257543.1556017</v>
      </c>
      <c r="F58" s="34">
        <v>31</v>
      </c>
      <c r="G58" s="34">
        <v>276</v>
      </c>
      <c r="H58" s="191">
        <v>0.75616438356164384</v>
      </c>
      <c r="I58" s="251">
        <v>2175435.531451832</v>
      </c>
      <c r="J58" s="128">
        <v>-1469652659.420337</v>
      </c>
      <c r="K58" s="91">
        <v>206</v>
      </c>
    </row>
    <row r="59" spans="1:11">
      <c r="A59" s="91">
        <v>207</v>
      </c>
      <c r="B59" s="18">
        <v>2021</v>
      </c>
      <c r="C59" s="190" t="s">
        <v>525</v>
      </c>
      <c r="D59" s="124">
        <v>2876934.6702170968</v>
      </c>
      <c r="E59" s="124">
        <v>-1465380608.4853847</v>
      </c>
      <c r="F59" s="34">
        <v>30</v>
      </c>
      <c r="G59" s="34">
        <v>246</v>
      </c>
      <c r="H59" s="191">
        <v>0.67397260273972603</v>
      </c>
      <c r="I59" s="251">
        <v>1938975.1475983721</v>
      </c>
      <c r="J59" s="128">
        <v>-1467713684.2727387</v>
      </c>
      <c r="K59" s="91">
        <v>207</v>
      </c>
    </row>
    <row r="60" spans="1:11">
      <c r="A60" s="91">
        <v>208</v>
      </c>
      <c r="B60" s="18">
        <v>2021</v>
      </c>
      <c r="C60" s="190" t="s">
        <v>526</v>
      </c>
      <c r="D60" s="124">
        <v>2876934.6702170968</v>
      </c>
      <c r="E60" s="124">
        <v>-1462503673.8151677</v>
      </c>
      <c r="F60" s="34">
        <v>31</v>
      </c>
      <c r="G60" s="34">
        <v>215</v>
      </c>
      <c r="H60" s="191">
        <v>0.58904109589041098</v>
      </c>
      <c r="I60" s="251">
        <v>1694632.7509497968</v>
      </c>
      <c r="J60" s="128">
        <v>-1466019051.5217888</v>
      </c>
      <c r="K60" s="91">
        <v>208</v>
      </c>
    </row>
    <row r="61" spans="1:11">
      <c r="A61" s="91">
        <v>209</v>
      </c>
      <c r="B61" s="18">
        <v>2021</v>
      </c>
      <c r="C61" s="190" t="s">
        <v>812</v>
      </c>
      <c r="D61" s="124">
        <v>2876934.6702170968</v>
      </c>
      <c r="E61" s="124">
        <v>-1459626739.1449506</v>
      </c>
      <c r="F61" s="34">
        <v>30</v>
      </c>
      <c r="G61" s="34">
        <v>185</v>
      </c>
      <c r="H61" s="191">
        <v>0.50684931506849318</v>
      </c>
      <c r="I61" s="251">
        <v>1458172.3670963368</v>
      </c>
      <c r="J61" s="128">
        <v>-1464560879.1546924</v>
      </c>
      <c r="K61" s="91">
        <v>209</v>
      </c>
    </row>
    <row r="62" spans="1:11">
      <c r="A62" s="91">
        <v>210</v>
      </c>
      <c r="B62" s="18">
        <v>2021</v>
      </c>
      <c r="C62" s="190" t="s">
        <v>528</v>
      </c>
      <c r="D62" s="124">
        <v>2876934.6702170968</v>
      </c>
      <c r="E62" s="124">
        <v>-1456749804.4747336</v>
      </c>
      <c r="F62" s="34">
        <v>31</v>
      </c>
      <c r="G62" s="34">
        <v>154</v>
      </c>
      <c r="H62" s="191">
        <v>0.42191780821917807</v>
      </c>
      <c r="I62" s="251">
        <v>1213829.9704477615</v>
      </c>
      <c r="J62" s="128">
        <v>-1463347049.1842446</v>
      </c>
      <c r="K62" s="91">
        <v>210</v>
      </c>
    </row>
    <row r="63" spans="1:11">
      <c r="A63" s="91">
        <v>211</v>
      </c>
      <c r="B63" s="18">
        <v>2021</v>
      </c>
      <c r="C63" s="190" t="s">
        <v>529</v>
      </c>
      <c r="D63" s="124">
        <v>2876934.6702170968</v>
      </c>
      <c r="E63" s="124">
        <v>-1453872869.8045166</v>
      </c>
      <c r="F63" s="34">
        <v>31</v>
      </c>
      <c r="G63" s="34">
        <v>123</v>
      </c>
      <c r="H63" s="191">
        <v>0.33698630136986302</v>
      </c>
      <c r="I63" s="251">
        <v>969487.57379918604</v>
      </c>
      <c r="J63" s="128">
        <v>-1462377561.6104455</v>
      </c>
      <c r="K63" s="91">
        <v>211</v>
      </c>
    </row>
    <row r="64" spans="1:11">
      <c r="A64" s="91">
        <v>212</v>
      </c>
      <c r="B64" s="18">
        <v>2021</v>
      </c>
      <c r="C64" s="190" t="s">
        <v>530</v>
      </c>
      <c r="D64" s="124">
        <v>2876934.6702170968</v>
      </c>
      <c r="E64" s="124">
        <v>-1450995935.1342995</v>
      </c>
      <c r="F64" s="34">
        <v>30</v>
      </c>
      <c r="G64" s="34">
        <v>93</v>
      </c>
      <c r="H64" s="191">
        <v>0.25479452054794521</v>
      </c>
      <c r="I64" s="251">
        <v>733027.18994572607</v>
      </c>
      <c r="J64" s="128">
        <v>-1461644534.4204998</v>
      </c>
      <c r="K64" s="91">
        <v>212</v>
      </c>
    </row>
    <row r="65" spans="1:11">
      <c r="A65" s="91">
        <v>213</v>
      </c>
      <c r="B65" s="18">
        <v>2021</v>
      </c>
      <c r="C65" s="190" t="s">
        <v>531</v>
      </c>
      <c r="D65" s="124">
        <v>2876934.6702170968</v>
      </c>
      <c r="E65" s="124">
        <v>-1448119000.4640825</v>
      </c>
      <c r="F65" s="34">
        <v>31</v>
      </c>
      <c r="G65" s="34">
        <v>62</v>
      </c>
      <c r="H65" s="191">
        <v>0.16986301369863013</v>
      </c>
      <c r="I65" s="251">
        <v>488684.7932971507</v>
      </c>
      <c r="J65" s="128">
        <v>-1461155849.6272027</v>
      </c>
      <c r="K65" s="91">
        <v>213</v>
      </c>
    </row>
    <row r="66" spans="1:11">
      <c r="A66" s="91">
        <v>214</v>
      </c>
      <c r="B66" s="18">
        <v>2021</v>
      </c>
      <c r="C66" s="190" t="s">
        <v>532</v>
      </c>
      <c r="D66" s="124">
        <v>2876934.6702170968</v>
      </c>
      <c r="E66" s="124">
        <v>-1445242065.7938654</v>
      </c>
      <c r="F66" s="34">
        <v>30</v>
      </c>
      <c r="G66" s="34">
        <v>32</v>
      </c>
      <c r="H66" s="191">
        <v>8.7671232876712329E-2</v>
      </c>
      <c r="I66" s="251">
        <v>252224.40944369067</v>
      </c>
      <c r="J66" s="128">
        <v>-1460903625.2177591</v>
      </c>
      <c r="K66" s="91">
        <v>214</v>
      </c>
    </row>
    <row r="67" spans="1:11">
      <c r="A67" s="91">
        <v>215</v>
      </c>
      <c r="B67" s="18">
        <v>2021</v>
      </c>
      <c r="C67" s="190" t="s">
        <v>520</v>
      </c>
      <c r="D67" s="124">
        <v>2876934.6702170968</v>
      </c>
      <c r="E67" s="124">
        <v>-1442365131.1236484</v>
      </c>
      <c r="F67" s="34">
        <v>31</v>
      </c>
      <c r="G67" s="193">
        <v>1</v>
      </c>
      <c r="H67" s="191">
        <v>2.7397260273972603E-3</v>
      </c>
      <c r="I67" s="251">
        <v>7882.0127951153336</v>
      </c>
      <c r="J67" s="321">
        <v>-1460895743.2049639</v>
      </c>
      <c r="K67" s="91">
        <v>215</v>
      </c>
    </row>
    <row r="68" spans="1:11">
      <c r="A68" s="91">
        <v>216</v>
      </c>
      <c r="B68" s="8"/>
      <c r="C68" s="190" t="s">
        <v>1277</v>
      </c>
      <c r="D68" s="124"/>
      <c r="E68" s="124">
        <v>-1442365131.1236477</v>
      </c>
      <c r="F68" s="171"/>
      <c r="G68" s="171"/>
      <c r="H68" s="171"/>
      <c r="I68" s="9"/>
      <c r="J68" s="254"/>
      <c r="K68" s="91">
        <v>216</v>
      </c>
    </row>
    <row r="69" spans="1:11">
      <c r="A69" s="91">
        <v>217</v>
      </c>
      <c r="B69" s="8"/>
      <c r="C69" s="114"/>
      <c r="D69" s="175"/>
      <c r="E69" s="175"/>
      <c r="F69" s="171"/>
      <c r="G69" s="171"/>
      <c r="H69" s="171"/>
      <c r="I69" s="194" t="s">
        <v>1278</v>
      </c>
      <c r="J69" s="301">
        <v>-1460895743.2049639</v>
      </c>
      <c r="K69" s="91">
        <v>217</v>
      </c>
    </row>
    <row r="71" spans="1:11">
      <c r="B71" s="758" t="s">
        <v>1385</v>
      </c>
      <c r="C71" s="758"/>
      <c r="D71" s="758"/>
      <c r="E71" s="758"/>
      <c r="F71" s="758"/>
      <c r="G71" s="758"/>
      <c r="H71" s="758"/>
      <c r="I71" s="758"/>
      <c r="J71" s="758"/>
    </row>
    <row r="72" spans="1:11">
      <c r="B72" s="758" t="s">
        <v>1386</v>
      </c>
      <c r="C72" s="758"/>
      <c r="D72" s="758"/>
      <c r="E72" s="758"/>
      <c r="F72" s="758"/>
      <c r="G72" s="758"/>
      <c r="H72" s="758"/>
      <c r="I72" s="758"/>
      <c r="J72" s="758"/>
    </row>
  </sheetData>
  <mergeCells count="3">
    <mergeCell ref="N4:T4"/>
    <mergeCell ref="B71:J71"/>
    <mergeCell ref="B72:J72"/>
  </mergeCells>
  <printOptions horizontalCentered="1"/>
  <pageMargins left="1" right="1" top="1" bottom="1" header="0.5" footer="0.5"/>
  <pageSetup scale="42" orientation="landscape" r:id="rId1"/>
  <headerFooter>
    <oddHeader>&amp;RDocket No. ER20-2878-000, et al.- Annual Update RY2024
&amp;F</oddHeader>
  </headerFooter>
  <rowBreaks count="1" manualBreakCount="1">
    <brk id="41" max="1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C3A94-3EF2-4A3A-BB2A-5F2601930B23}">
  <sheetPr>
    <tabColor rgb="FF92D050"/>
    <pageSetUpPr fitToPage="1"/>
  </sheetPr>
  <dimension ref="A1:BI133"/>
  <sheetViews>
    <sheetView view="pageBreakPreview" zoomScale="10" zoomScaleNormal="55" zoomScaleSheetLayoutView="10" zoomScalePageLayoutView="70" workbookViewId="0">
      <selection activeCell="W98" sqref="W98"/>
    </sheetView>
  </sheetViews>
  <sheetFormatPr defaultColWidth="9.1796875" defaultRowHeight="12.5"/>
  <cols>
    <col min="1" max="1" width="8.54296875" style="604" bestFit="1" customWidth="1"/>
    <col min="2" max="2" width="48" style="604" customWidth="1"/>
    <col min="3" max="3" width="29.81640625" style="604" customWidth="1"/>
    <col min="4" max="4" width="38.81640625" style="604" customWidth="1"/>
    <col min="5" max="5" width="1.7265625" style="604" customWidth="1"/>
    <col min="6" max="6" width="21" style="604" bestFit="1" customWidth="1"/>
    <col min="7" max="7" width="2.26953125" style="604" customWidth="1"/>
    <col min="8" max="8" width="17.54296875" style="604" bestFit="1" customWidth="1"/>
    <col min="9" max="9" width="1.81640625" style="604" customWidth="1"/>
    <col min="10" max="10" width="19.1796875" style="604" customWidth="1"/>
    <col min="11" max="11" width="1.7265625" style="604" customWidth="1"/>
    <col min="12" max="12" width="20.453125" style="604" bestFit="1" customWidth="1"/>
    <col min="13" max="13" width="1.7265625" style="604" customWidth="1"/>
    <col min="14" max="14" width="23.26953125" style="604" customWidth="1"/>
    <col min="15" max="15" width="1.7265625" style="604" customWidth="1"/>
    <col min="16" max="16" width="22.1796875" style="604" customWidth="1"/>
    <col min="17" max="17" width="1.7265625" style="604" customWidth="1"/>
    <col min="18" max="18" width="21" style="604" customWidth="1"/>
    <col min="19" max="19" width="1.7265625" style="604" customWidth="1"/>
    <col min="20" max="20" width="20.453125" style="604" customWidth="1"/>
    <col min="21" max="21" width="1.7265625" style="604" customWidth="1"/>
    <col min="22" max="22" width="21.26953125" style="604" customWidth="1"/>
    <col min="23" max="23" width="1.7265625" style="604" customWidth="1"/>
    <col min="24" max="24" width="22.453125" style="604" customWidth="1"/>
    <col min="25" max="25" width="1.7265625" style="604" customWidth="1"/>
    <col min="26" max="26" width="25.81640625" style="604" bestFit="1" customWidth="1"/>
    <col min="27" max="27" width="1.7265625" style="604" customWidth="1"/>
    <col min="28" max="28" width="17.26953125" style="604" customWidth="1"/>
    <col min="29" max="29" width="1.7265625" style="604" customWidth="1"/>
    <col min="30" max="30" width="17.26953125" style="604" customWidth="1"/>
    <col min="31" max="31" width="1.7265625" style="604" customWidth="1"/>
    <col min="32" max="32" width="17.26953125" style="604" customWidth="1"/>
    <col min="33" max="33" width="1.7265625" style="604" customWidth="1"/>
    <col min="34" max="34" width="21.81640625" style="604" bestFit="1" customWidth="1"/>
    <col min="35" max="35" width="1.7265625" style="604" customWidth="1"/>
    <col min="36" max="36" width="21.81640625" style="604" customWidth="1"/>
    <col min="37" max="37" width="1.7265625" style="604" customWidth="1"/>
    <col min="38" max="38" width="21.81640625" style="604" customWidth="1"/>
    <col min="39" max="39" width="1.7265625" style="604" customWidth="1"/>
    <col min="40" max="40" width="21.81640625" style="604" customWidth="1"/>
    <col min="41" max="41" width="1.7265625" style="604" customWidth="1"/>
    <col min="42" max="42" width="21.81640625" style="604" customWidth="1"/>
    <col min="43" max="43" width="1.7265625" style="604" customWidth="1"/>
    <col min="44" max="44" width="17.26953125" style="604" customWidth="1"/>
    <col min="45" max="45" width="1.7265625" style="604" customWidth="1"/>
    <col min="46" max="46" width="17.26953125" style="604" customWidth="1"/>
    <col min="47" max="47" width="1.7265625" style="604" customWidth="1"/>
    <col min="48" max="48" width="17.26953125" style="604" customWidth="1"/>
    <col min="49" max="49" width="1.7265625" style="604" customWidth="1"/>
    <col min="50" max="50" width="30.1796875" style="604" customWidth="1"/>
    <col min="51" max="51" width="1.7265625" style="604" customWidth="1"/>
    <col min="52" max="52" width="27.81640625" style="604" customWidth="1"/>
    <col min="53" max="53" width="1.7265625" style="604" customWidth="1"/>
    <col min="54" max="54" width="27.81640625" style="604" customWidth="1"/>
    <col min="55" max="55" width="1.7265625" style="604" customWidth="1"/>
    <col min="56" max="56" width="25.26953125" style="604" customWidth="1"/>
    <col min="57" max="57" width="1.7265625" style="604" customWidth="1"/>
    <col min="58" max="58" width="25.54296875" style="554" customWidth="1"/>
    <col min="59" max="59" width="1.7265625" style="604" customWidth="1"/>
    <col min="60" max="60" width="22.7265625" style="604" bestFit="1" customWidth="1"/>
    <col min="61" max="61" width="7.54296875" style="604" bestFit="1" customWidth="1"/>
    <col min="62" max="16384" width="9.1796875" style="604"/>
  </cols>
  <sheetData>
    <row r="1" spans="1:61" ht="14.5">
      <c r="B1" s="54" t="s">
        <v>1387</v>
      </c>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90" t="str">
        <f>CONCATENATE("Prior Year: ",'1-DRR Corrected'!$K$2)</f>
        <v>Prior Year: 2021</v>
      </c>
    </row>
    <row r="2" spans="1:61" ht="14.5">
      <c r="A2" s="54"/>
      <c r="B2" s="320" t="s">
        <v>120</v>
      </c>
      <c r="C2" s="320"/>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row>
    <row r="3" spans="1:61" ht="14.5">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641"/>
      <c r="AQ3" s="641"/>
      <c r="AR3" s="641"/>
      <c r="AS3" s="641"/>
      <c r="AT3" s="641"/>
      <c r="AU3" s="641"/>
      <c r="AV3" s="641"/>
      <c r="AW3" s="293"/>
      <c r="AX3" s="293"/>
      <c r="AY3" s="293"/>
      <c r="AZ3" s="293"/>
      <c r="BA3" s="293"/>
      <c r="BB3" s="293"/>
      <c r="BC3" s="293"/>
      <c r="BD3" s="293"/>
      <c r="BE3" s="293"/>
      <c r="BF3" s="293"/>
      <c r="BG3" s="293"/>
      <c r="BH3" s="293"/>
    </row>
    <row r="4" spans="1:61" ht="12" customHeight="1">
      <c r="J4" s="761" t="s">
        <v>1388</v>
      </c>
      <c r="K4" s="761"/>
      <c r="L4" s="761"/>
      <c r="M4" s="761"/>
      <c r="N4" s="761"/>
      <c r="O4" s="605"/>
      <c r="P4" s="606" t="s">
        <v>1389</v>
      </c>
      <c r="R4" s="761" t="s">
        <v>1390</v>
      </c>
      <c r="S4" s="761"/>
      <c r="T4" s="761"/>
      <c r="U4" s="761"/>
      <c r="V4" s="761"/>
      <c r="Z4" s="607" t="s">
        <v>1391</v>
      </c>
      <c r="AH4" s="606" t="s">
        <v>1392</v>
      </c>
      <c r="AI4" s="605"/>
      <c r="AJ4" s="761" t="s">
        <v>1390</v>
      </c>
      <c r="AK4" s="761"/>
      <c r="AL4" s="761"/>
      <c r="AM4" s="761"/>
      <c r="AN4" s="761"/>
      <c r="AO4" s="605"/>
      <c r="AP4" s="605"/>
      <c r="AX4" s="761" t="s">
        <v>1390</v>
      </c>
      <c r="AY4" s="761"/>
      <c r="AZ4" s="761"/>
      <c r="BA4" s="761"/>
      <c r="BB4" s="761"/>
      <c r="BC4" s="605"/>
      <c r="BD4" s="605"/>
      <c r="BF4" s="608"/>
    </row>
    <row r="5" spans="1:61" ht="21" customHeight="1">
      <c r="A5" s="609"/>
      <c r="B5" s="609"/>
      <c r="C5" s="609"/>
      <c r="D5" s="609"/>
      <c r="E5" s="609"/>
      <c r="F5" s="523"/>
      <c r="G5" s="609"/>
      <c r="H5" s="303" t="s">
        <v>1393</v>
      </c>
      <c r="I5" s="609"/>
      <c r="J5" s="303" t="s">
        <v>122</v>
      </c>
      <c r="K5" s="303"/>
      <c r="L5" s="303" t="s">
        <v>123</v>
      </c>
      <c r="M5" s="303"/>
      <c r="N5" s="303" t="s">
        <v>124</v>
      </c>
      <c r="O5" s="303"/>
      <c r="P5" s="303" t="s">
        <v>125</v>
      </c>
      <c r="Q5" s="303"/>
      <c r="R5" s="303" t="s">
        <v>490</v>
      </c>
      <c r="S5" s="303"/>
      <c r="T5" s="303" t="s">
        <v>491</v>
      </c>
      <c r="U5" s="303"/>
      <c r="V5" s="303" t="s">
        <v>492</v>
      </c>
      <c r="W5" s="303"/>
      <c r="X5" s="303" t="s">
        <v>493</v>
      </c>
      <c r="Y5" s="303"/>
      <c r="Z5" s="303" t="s">
        <v>494</v>
      </c>
      <c r="AA5" s="304"/>
      <c r="AB5" s="304" t="s">
        <v>768</v>
      </c>
      <c r="AC5" s="304"/>
      <c r="AD5" s="304" t="s">
        <v>769</v>
      </c>
      <c r="AE5" s="304"/>
      <c r="AF5" s="304" t="s">
        <v>770</v>
      </c>
      <c r="AG5" s="304"/>
      <c r="AH5" s="524" t="s">
        <v>771</v>
      </c>
      <c r="AI5" s="304"/>
      <c r="AJ5" s="304" t="s">
        <v>772</v>
      </c>
      <c r="AK5" s="304"/>
      <c r="AL5" s="304" t="s">
        <v>773</v>
      </c>
      <c r="AM5" s="304"/>
      <c r="AN5" s="304" t="s">
        <v>774</v>
      </c>
      <c r="AO5" s="304"/>
      <c r="AP5" s="304" t="s">
        <v>775</v>
      </c>
      <c r="AQ5" s="304"/>
      <c r="AR5" s="304" t="s">
        <v>776</v>
      </c>
      <c r="AS5" s="304"/>
      <c r="AT5" s="304" t="s">
        <v>777</v>
      </c>
      <c r="AU5" s="304"/>
      <c r="AV5" s="304" t="s">
        <v>778</v>
      </c>
      <c r="AW5" s="304"/>
      <c r="AX5" s="304" t="s">
        <v>779</v>
      </c>
      <c r="AY5" s="304"/>
      <c r="AZ5" s="304" t="s">
        <v>780</v>
      </c>
      <c r="BA5" s="304"/>
      <c r="BB5" s="304" t="s">
        <v>781</v>
      </c>
      <c r="BC5" s="304"/>
      <c r="BD5" s="304" t="s">
        <v>782</v>
      </c>
      <c r="BE5" s="304"/>
      <c r="BF5" s="303" t="s">
        <v>783</v>
      </c>
      <c r="BG5" s="304"/>
      <c r="BH5" s="609"/>
      <c r="BI5" s="609"/>
    </row>
    <row r="6" spans="1:61" ht="51.75" customHeight="1">
      <c r="A6" s="609"/>
      <c r="B6" s="609"/>
      <c r="C6" s="609"/>
      <c r="D6" s="609"/>
      <c r="E6" s="609"/>
      <c r="F6" s="523"/>
      <c r="G6" s="609"/>
      <c r="H6" s="304"/>
      <c r="I6" s="609"/>
      <c r="J6" s="304"/>
      <c r="K6" s="304"/>
      <c r="L6" s="304"/>
      <c r="M6" s="304"/>
      <c r="N6" s="304" t="s">
        <v>1394</v>
      </c>
      <c r="O6" s="304"/>
      <c r="P6" s="304"/>
      <c r="Q6" s="304"/>
      <c r="R6" s="303"/>
      <c r="S6" s="303"/>
      <c r="T6" s="303"/>
      <c r="U6" s="303"/>
      <c r="V6" s="303"/>
      <c r="W6" s="303"/>
      <c r="X6" s="303" t="s">
        <v>1395</v>
      </c>
      <c r="Y6" s="304"/>
      <c r="Z6" s="304"/>
      <c r="AA6" s="304"/>
      <c r="AB6" s="762" t="s">
        <v>1396</v>
      </c>
      <c r="AC6" s="762"/>
      <c r="AD6" s="762"/>
      <c r="AE6" s="762"/>
      <c r="AF6" s="762"/>
      <c r="AG6" s="304"/>
      <c r="AH6" s="304"/>
      <c r="AI6" s="304"/>
      <c r="AJ6" s="304" t="s">
        <v>1397</v>
      </c>
      <c r="AK6" s="304"/>
      <c r="AL6" s="304" t="s">
        <v>1398</v>
      </c>
      <c r="AM6" s="304"/>
      <c r="AN6" s="304" t="s">
        <v>1399</v>
      </c>
      <c r="AO6" s="304"/>
      <c r="AP6" s="304" t="s">
        <v>1400</v>
      </c>
      <c r="AQ6" s="304"/>
      <c r="AR6" s="762" t="s">
        <v>1401</v>
      </c>
      <c r="AS6" s="762"/>
      <c r="AT6" s="762"/>
      <c r="AU6" s="762"/>
      <c r="AV6" s="762"/>
      <c r="AW6" s="304"/>
      <c r="AX6" s="304" t="s">
        <v>1402</v>
      </c>
      <c r="AY6" s="304"/>
      <c r="AZ6" s="304" t="s">
        <v>1403</v>
      </c>
      <c r="BA6" s="304"/>
      <c r="BB6" s="304" t="s">
        <v>1404</v>
      </c>
      <c r="BC6" s="304"/>
      <c r="BD6" s="304" t="s">
        <v>1405</v>
      </c>
      <c r="BE6" s="304"/>
      <c r="BF6" s="525" t="s">
        <v>1406</v>
      </c>
      <c r="BG6" s="304"/>
      <c r="BH6" s="609"/>
      <c r="BI6" s="609"/>
    </row>
    <row r="7" spans="1:61" ht="31.5" customHeight="1">
      <c r="B7" s="305"/>
      <c r="C7" s="305"/>
      <c r="D7" s="305"/>
      <c r="E7" s="305"/>
      <c r="F7" s="307" t="s">
        <v>1407</v>
      </c>
      <c r="G7" s="305"/>
      <c r="H7" s="306" t="s">
        <v>1408</v>
      </c>
      <c r="I7" s="305"/>
      <c r="J7" s="306" t="s">
        <v>1409</v>
      </c>
      <c r="K7" s="305"/>
      <c r="L7" s="306" t="s">
        <v>1410</v>
      </c>
      <c r="M7" s="305"/>
      <c r="N7" s="525" t="s">
        <v>1411</v>
      </c>
      <c r="O7" s="307"/>
      <c r="P7" s="307" t="s">
        <v>684</v>
      </c>
      <c r="Q7" s="305"/>
      <c r="R7" s="760" t="s">
        <v>1412</v>
      </c>
      <c r="S7" s="760"/>
      <c r="T7" s="760"/>
      <c r="U7" s="760"/>
      <c r="V7" s="760"/>
      <c r="W7" s="760"/>
      <c r="X7" s="760"/>
      <c r="Y7" s="306"/>
      <c r="Z7" s="306"/>
      <c r="AA7" s="306"/>
      <c r="AB7" s="306" t="s">
        <v>1413</v>
      </c>
      <c r="AC7" s="306"/>
      <c r="AD7" s="306" t="s">
        <v>1413</v>
      </c>
      <c r="AE7" s="306"/>
      <c r="AF7" s="306" t="s">
        <v>1413</v>
      </c>
      <c r="AG7" s="306"/>
      <c r="AH7" s="306" t="s">
        <v>684</v>
      </c>
      <c r="AI7" s="306"/>
      <c r="AJ7" s="760" t="s">
        <v>1414</v>
      </c>
      <c r="AK7" s="760"/>
      <c r="AL7" s="760"/>
      <c r="AM7" s="760"/>
      <c r="AN7" s="760"/>
      <c r="AO7" s="760"/>
      <c r="AP7" s="760"/>
      <c r="AQ7" s="306"/>
      <c r="AR7" s="306" t="s">
        <v>1413</v>
      </c>
      <c r="AS7" s="306"/>
      <c r="AT7" s="306" t="s">
        <v>1413</v>
      </c>
      <c r="AU7" s="306"/>
      <c r="AV7" s="306" t="s">
        <v>1413</v>
      </c>
      <c r="AW7" s="306"/>
      <c r="AX7" s="760" t="s">
        <v>1415</v>
      </c>
      <c r="AY7" s="760"/>
      <c r="AZ7" s="760"/>
      <c r="BA7" s="760"/>
      <c r="BB7" s="760"/>
      <c r="BC7" s="760"/>
      <c r="BD7" s="760"/>
      <c r="BE7" s="306"/>
      <c r="BF7" s="525" t="s">
        <v>1411</v>
      </c>
      <c r="BG7" s="306"/>
      <c r="BH7" s="305"/>
    </row>
    <row r="8" spans="1:61" ht="12.75" customHeight="1">
      <c r="B8" s="305"/>
      <c r="C8" s="305"/>
      <c r="D8" s="305"/>
      <c r="E8" s="305"/>
      <c r="F8" s="307" t="s">
        <v>1416</v>
      </c>
      <c r="G8" s="305"/>
      <c r="H8" s="306" t="s">
        <v>1417</v>
      </c>
      <c r="I8" s="305"/>
      <c r="J8" s="306" t="s">
        <v>1418</v>
      </c>
      <c r="K8" s="305"/>
      <c r="L8" s="306" t="s">
        <v>1419</v>
      </c>
      <c r="M8" s="305"/>
      <c r="N8" s="307" t="s">
        <v>1420</v>
      </c>
      <c r="O8" s="307"/>
      <c r="P8" s="307" t="s">
        <v>1416</v>
      </c>
      <c r="Q8" s="305"/>
      <c r="R8" s="306" t="s">
        <v>1421</v>
      </c>
      <c r="S8" s="306"/>
      <c r="T8" s="306" t="s">
        <v>1421</v>
      </c>
      <c r="U8" s="306"/>
      <c r="V8" s="306" t="s">
        <v>1421</v>
      </c>
      <c r="W8" s="306"/>
      <c r="X8" s="306"/>
      <c r="Y8" s="306"/>
      <c r="Z8" s="306" t="s">
        <v>1413</v>
      </c>
      <c r="AA8" s="306"/>
      <c r="AB8" s="306" t="s">
        <v>1422</v>
      </c>
      <c r="AC8" s="306"/>
      <c r="AD8" s="306" t="s">
        <v>1422</v>
      </c>
      <c r="AE8" s="306"/>
      <c r="AF8" s="306" t="s">
        <v>1422</v>
      </c>
      <c r="AG8" s="306"/>
      <c r="AH8" s="306" t="s">
        <v>1423</v>
      </c>
      <c r="AI8" s="306"/>
      <c r="AJ8" s="306" t="s">
        <v>1424</v>
      </c>
      <c r="AK8" s="306"/>
      <c r="AL8" s="306" t="s">
        <v>1424</v>
      </c>
      <c r="AM8" s="306"/>
      <c r="AN8" s="306" t="s">
        <v>1424</v>
      </c>
      <c r="AO8" s="306"/>
      <c r="AP8" s="306"/>
      <c r="AQ8" s="306"/>
      <c r="AR8" s="306" t="s">
        <v>1422</v>
      </c>
      <c r="AS8" s="306"/>
      <c r="AT8" s="306" t="s">
        <v>1422</v>
      </c>
      <c r="AU8" s="306"/>
      <c r="AV8" s="306" t="s">
        <v>1422</v>
      </c>
      <c r="AW8" s="306"/>
      <c r="AX8" s="306" t="s">
        <v>1424</v>
      </c>
      <c r="AY8" s="306"/>
      <c r="AZ8" s="306" t="s">
        <v>1424</v>
      </c>
      <c r="BA8" s="306"/>
      <c r="BB8" s="306" t="s">
        <v>1424</v>
      </c>
      <c r="BC8" s="306"/>
      <c r="BD8" s="306"/>
      <c r="BE8" s="306"/>
      <c r="BF8" s="608" t="s">
        <v>1425</v>
      </c>
      <c r="BG8" s="306"/>
      <c r="BH8" s="305"/>
    </row>
    <row r="9" spans="1:61" ht="14.5">
      <c r="A9" s="304"/>
      <c r="B9" s="609"/>
      <c r="C9" s="609"/>
      <c r="D9" s="609"/>
      <c r="E9" s="609"/>
      <c r="F9" s="307" t="s">
        <v>1426</v>
      </c>
      <c r="G9" s="609"/>
      <c r="H9" s="306" t="s">
        <v>1427</v>
      </c>
      <c r="I9" s="609"/>
      <c r="J9" s="610" t="s">
        <v>1428</v>
      </c>
      <c r="K9" s="609"/>
      <c r="L9" s="610" t="s">
        <v>1429</v>
      </c>
      <c r="M9" s="609"/>
      <c r="N9" s="523" t="s">
        <v>738</v>
      </c>
      <c r="O9" s="523"/>
      <c r="P9" s="523" t="s">
        <v>1426</v>
      </c>
      <c r="Q9" s="609"/>
      <c r="R9" s="306" t="s">
        <v>1430</v>
      </c>
      <c r="S9" s="306"/>
      <c r="T9" s="304" t="s">
        <v>1431</v>
      </c>
      <c r="U9" s="304"/>
      <c r="V9" s="308" t="s">
        <v>1431</v>
      </c>
      <c r="W9" s="308"/>
      <c r="X9" s="308" t="s">
        <v>1421</v>
      </c>
      <c r="Y9" s="308"/>
      <c r="Z9" s="308" t="s">
        <v>1432</v>
      </c>
      <c r="AA9" s="308"/>
      <c r="AB9" s="306" t="s">
        <v>1430</v>
      </c>
      <c r="AC9" s="306"/>
      <c r="AD9" s="304" t="s">
        <v>1431</v>
      </c>
      <c r="AE9" s="304"/>
      <c r="AF9" s="308" t="s">
        <v>1431</v>
      </c>
      <c r="AG9" s="308"/>
      <c r="AH9" s="308" t="s">
        <v>1433</v>
      </c>
      <c r="AI9" s="308"/>
      <c r="AJ9" s="306" t="s">
        <v>1430</v>
      </c>
      <c r="AK9" s="306"/>
      <c r="AL9" s="304" t="s">
        <v>1431</v>
      </c>
      <c r="AM9" s="304"/>
      <c r="AN9" s="308" t="s">
        <v>1431</v>
      </c>
      <c r="AO9" s="308"/>
      <c r="AP9" s="308" t="s">
        <v>1424</v>
      </c>
      <c r="AQ9" s="308"/>
      <c r="AR9" s="306" t="s">
        <v>1430</v>
      </c>
      <c r="AS9" s="306"/>
      <c r="AT9" s="304" t="s">
        <v>1431</v>
      </c>
      <c r="AU9" s="304"/>
      <c r="AV9" s="308" t="s">
        <v>1431</v>
      </c>
      <c r="AW9" s="308"/>
      <c r="AX9" s="306" t="s">
        <v>1430</v>
      </c>
      <c r="AY9" s="306"/>
      <c r="AZ9" s="304" t="s">
        <v>1431</v>
      </c>
      <c r="BA9" s="304"/>
      <c r="BB9" s="308" t="s">
        <v>1431</v>
      </c>
      <c r="BC9" s="308"/>
      <c r="BD9" s="308" t="s">
        <v>1424</v>
      </c>
      <c r="BE9" s="308"/>
      <c r="BF9" s="611" t="s">
        <v>1434</v>
      </c>
      <c r="BG9" s="308"/>
      <c r="BH9" s="304"/>
      <c r="BI9" s="304"/>
    </row>
    <row r="10" spans="1:61" ht="15" thickBot="1">
      <c r="A10" s="201" t="s">
        <v>90</v>
      </c>
      <c r="B10" s="612" t="s">
        <v>1175</v>
      </c>
      <c r="C10" s="612"/>
      <c r="D10" s="612"/>
      <c r="E10" s="612"/>
      <c r="F10" s="312" t="s">
        <v>1156</v>
      </c>
      <c r="G10" s="612"/>
      <c r="H10" s="613">
        <v>43100</v>
      </c>
      <c r="I10" s="612"/>
      <c r="J10" s="613">
        <v>43100</v>
      </c>
      <c r="K10" s="612"/>
      <c r="L10" s="613">
        <v>43100</v>
      </c>
      <c r="M10" s="612"/>
      <c r="N10" s="613">
        <v>43100</v>
      </c>
      <c r="O10" s="613"/>
      <c r="P10" s="613" t="s">
        <v>1435</v>
      </c>
      <c r="Q10" s="612"/>
      <c r="R10" s="309" t="s">
        <v>1436</v>
      </c>
      <c r="S10" s="309"/>
      <c r="T10" s="310" t="s">
        <v>1436</v>
      </c>
      <c r="U10" s="310"/>
      <c r="V10" s="311" t="s">
        <v>1437</v>
      </c>
      <c r="W10" s="311"/>
      <c r="X10" s="311" t="s">
        <v>1438</v>
      </c>
      <c r="Y10" s="311"/>
      <c r="Z10" s="311" t="s">
        <v>1439</v>
      </c>
      <c r="AA10" s="311"/>
      <c r="AB10" s="309" t="s">
        <v>1436</v>
      </c>
      <c r="AC10" s="309"/>
      <c r="AD10" s="310" t="s">
        <v>1436</v>
      </c>
      <c r="AE10" s="310"/>
      <c r="AF10" s="311" t="s">
        <v>1437</v>
      </c>
      <c r="AG10" s="311"/>
      <c r="AH10" s="311" t="s">
        <v>1440</v>
      </c>
      <c r="AI10" s="311"/>
      <c r="AJ10" s="309" t="s">
        <v>1436</v>
      </c>
      <c r="AK10" s="309"/>
      <c r="AL10" s="310" t="s">
        <v>1436</v>
      </c>
      <c r="AM10" s="310"/>
      <c r="AN10" s="311" t="s">
        <v>1437</v>
      </c>
      <c r="AO10" s="311"/>
      <c r="AP10" s="311" t="s">
        <v>1438</v>
      </c>
      <c r="AQ10" s="311"/>
      <c r="AR10" s="309" t="s">
        <v>1436</v>
      </c>
      <c r="AS10" s="309"/>
      <c r="AT10" s="310" t="s">
        <v>1436</v>
      </c>
      <c r="AU10" s="310"/>
      <c r="AV10" s="311" t="s">
        <v>1437</v>
      </c>
      <c r="AW10" s="311"/>
      <c r="AX10" s="309" t="s">
        <v>1436</v>
      </c>
      <c r="AY10" s="309"/>
      <c r="AZ10" s="310" t="s">
        <v>1436</v>
      </c>
      <c r="BA10" s="310"/>
      <c r="BB10" s="311" t="s">
        <v>1437</v>
      </c>
      <c r="BC10" s="311"/>
      <c r="BD10" s="311" t="s">
        <v>1438</v>
      </c>
      <c r="BE10" s="311"/>
      <c r="BF10" s="614">
        <f>1/(1-(0.21+0.0884-(0.21*0.0884)))</f>
        <v>1.3885726029071155</v>
      </c>
      <c r="BG10" s="311"/>
      <c r="BH10" s="312" t="s">
        <v>631</v>
      </c>
      <c r="BI10" s="615" t="s">
        <v>90</v>
      </c>
    </row>
    <row r="11" spans="1:61" ht="14.5">
      <c r="A11" s="304"/>
      <c r="B11" s="609"/>
      <c r="C11" s="609"/>
      <c r="D11" s="609"/>
      <c r="E11" s="609"/>
      <c r="F11" s="523"/>
      <c r="G11" s="609"/>
      <c r="H11" s="609"/>
      <c r="I11" s="609"/>
      <c r="J11" s="609"/>
      <c r="K11" s="609"/>
      <c r="L11" s="609"/>
      <c r="M11" s="609"/>
      <c r="N11" s="609"/>
      <c r="O11" s="609"/>
      <c r="P11" s="609"/>
      <c r="Q11" s="609"/>
      <c r="R11" s="306"/>
      <c r="S11" s="306"/>
      <c r="T11" s="313"/>
      <c r="U11" s="313"/>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G11" s="314"/>
      <c r="BH11" s="304"/>
      <c r="BI11" s="304"/>
    </row>
    <row r="12" spans="1:61" ht="14.5">
      <c r="A12" s="304">
        <v>100</v>
      </c>
      <c r="B12" s="609" t="s">
        <v>1441</v>
      </c>
      <c r="C12" s="609"/>
      <c r="D12" s="609" t="s">
        <v>1442</v>
      </c>
      <c r="E12" s="609"/>
      <c r="F12" s="523" t="s">
        <v>1443</v>
      </c>
      <c r="G12" s="609"/>
      <c r="H12" s="315">
        <f>+H25</f>
        <v>-10466951654</v>
      </c>
      <c r="I12" s="609"/>
      <c r="J12" s="315">
        <f>+J25</f>
        <v>-3663433079</v>
      </c>
      <c r="K12" s="609"/>
      <c r="L12" s="315">
        <f>+L25</f>
        <v>-2361016151</v>
      </c>
      <c r="M12" s="609"/>
      <c r="N12" s="315">
        <f>+N25</f>
        <v>-1302433382</v>
      </c>
      <c r="O12" s="609"/>
      <c r="P12" s="523" t="s">
        <v>1444</v>
      </c>
      <c r="Q12" s="609"/>
      <c r="R12" s="315">
        <f>R25</f>
        <v>-1302433382</v>
      </c>
      <c r="S12" s="315"/>
      <c r="T12" s="315">
        <f>T25</f>
        <v>0</v>
      </c>
      <c r="U12" s="315"/>
      <c r="V12" s="315">
        <f>V25</f>
        <v>0</v>
      </c>
      <c r="W12" s="315"/>
      <c r="X12" s="315">
        <f>SUM(R12:V12)</f>
        <v>-1302433382</v>
      </c>
      <c r="Y12" s="315"/>
      <c r="Z12" s="316" t="s">
        <v>1445</v>
      </c>
      <c r="AA12" s="315"/>
      <c r="AB12" s="315">
        <f>AB25</f>
        <v>-96271801.571397573</v>
      </c>
      <c r="AC12" s="315"/>
      <c r="AD12" s="315">
        <f>AD25</f>
        <v>0</v>
      </c>
      <c r="AE12" s="315"/>
      <c r="AF12" s="315">
        <f>AF25</f>
        <v>0</v>
      </c>
      <c r="AG12" s="315"/>
      <c r="AH12" s="523" t="s">
        <v>1446</v>
      </c>
      <c r="AI12" s="315"/>
      <c r="AJ12" s="315">
        <f>AJ25</f>
        <v>-1206161579.9655685</v>
      </c>
      <c r="AK12" s="315"/>
      <c r="AL12" s="315">
        <f>AL25</f>
        <v>0</v>
      </c>
      <c r="AM12" s="315"/>
      <c r="AN12" s="315">
        <f>AN25</f>
        <v>0</v>
      </c>
      <c r="AO12" s="315"/>
      <c r="AP12" s="315">
        <f>SUM(AJ12:AN12)</f>
        <v>-1206161579.9655685</v>
      </c>
      <c r="AQ12" s="315"/>
      <c r="AR12" s="315">
        <f>AR25</f>
        <v>-35855912.429404818</v>
      </c>
      <c r="AS12" s="315"/>
      <c r="AT12" s="315">
        <f>AT25</f>
        <v>0</v>
      </c>
      <c r="AU12" s="315"/>
      <c r="AV12" s="315">
        <f>AV25</f>
        <v>0</v>
      </c>
      <c r="AW12" s="315"/>
      <c r="AX12" s="315">
        <f>AX25</f>
        <v>-1170305667.5361638</v>
      </c>
      <c r="AY12" s="315"/>
      <c r="AZ12" s="315">
        <f>AZ25</f>
        <v>0</v>
      </c>
      <c r="BA12" s="315"/>
      <c r="BB12" s="315">
        <f>BB25</f>
        <v>0</v>
      </c>
      <c r="BC12" s="315"/>
      <c r="BD12" s="315">
        <f>SUM(AX12:BB12)</f>
        <v>-1170305667.5361638</v>
      </c>
      <c r="BE12" s="315"/>
      <c r="BF12" s="315">
        <f>BF25</f>
        <v>-1625054387</v>
      </c>
      <c r="BG12" s="315"/>
      <c r="BH12" s="304"/>
      <c r="BI12" s="304">
        <f t="shared" ref="BI12:BI16" si="0">A12</f>
        <v>100</v>
      </c>
    </row>
    <row r="13" spans="1:61" ht="14.5">
      <c r="A13" s="304">
        <f>A12+1</f>
        <v>101</v>
      </c>
      <c r="B13" s="609" t="s">
        <v>1447</v>
      </c>
      <c r="C13" s="609"/>
      <c r="D13" s="609" t="s">
        <v>1448</v>
      </c>
      <c r="E13" s="609"/>
      <c r="F13" s="523" t="s">
        <v>1443</v>
      </c>
      <c r="G13" s="609"/>
      <c r="H13" s="315">
        <f>+H34</f>
        <v>-6537338076</v>
      </c>
      <c r="I13" s="609"/>
      <c r="J13" s="315">
        <f>+J34</f>
        <v>-967358790</v>
      </c>
      <c r="K13" s="609"/>
      <c r="L13" s="315">
        <f>+L34</f>
        <v>-577410203</v>
      </c>
      <c r="M13" s="609"/>
      <c r="N13" s="315">
        <f>+N34</f>
        <v>-389961967</v>
      </c>
      <c r="O13" s="609"/>
      <c r="P13" s="523" t="s">
        <v>1444</v>
      </c>
      <c r="Q13" s="609"/>
      <c r="R13" s="315">
        <f>R34</f>
        <v>143301951</v>
      </c>
      <c r="S13" s="315"/>
      <c r="T13" s="315">
        <f>T34</f>
        <v>-533263918</v>
      </c>
      <c r="U13" s="315"/>
      <c r="V13" s="315">
        <f>V34</f>
        <v>0</v>
      </c>
      <c r="W13" s="315"/>
      <c r="X13" s="315">
        <f t="shared" ref="X13:X15" si="1">SUM(R13:V13)</f>
        <v>-389961967</v>
      </c>
      <c r="Y13" s="315"/>
      <c r="Z13" s="316" t="s">
        <v>1449</v>
      </c>
      <c r="AA13" s="315"/>
      <c r="AB13" s="315">
        <f>AB34</f>
        <v>31542348.201684125</v>
      </c>
      <c r="AC13" s="315"/>
      <c r="AD13" s="315">
        <f>AD34</f>
        <v>-39417200.751207225</v>
      </c>
      <c r="AE13" s="315"/>
      <c r="AF13" s="315">
        <f>AF34</f>
        <v>0</v>
      </c>
      <c r="AG13" s="315"/>
      <c r="AH13" s="523" t="s">
        <v>1446</v>
      </c>
      <c r="AI13" s="315"/>
      <c r="AJ13" s="315">
        <f>AJ34</f>
        <v>111759602.79695471</v>
      </c>
      <c r="AK13" s="315"/>
      <c r="AL13" s="315">
        <f>AL34</f>
        <v>-493846716.89575255</v>
      </c>
      <c r="AM13" s="315"/>
      <c r="AN13" s="315">
        <f>AN34</f>
        <v>0</v>
      </c>
      <c r="AO13" s="315"/>
      <c r="AP13" s="315">
        <f t="shared" ref="AP13:AP15" si="2">SUM(AJ13:AN13)</f>
        <v>-382087114.09879786</v>
      </c>
      <c r="AQ13" s="315"/>
      <c r="AR13" s="315">
        <f>AR34</f>
        <v>13877289.495001504</v>
      </c>
      <c r="AS13" s="315"/>
      <c r="AT13" s="315">
        <f>AT34</f>
        <v>-14680723.495407661</v>
      </c>
      <c r="AU13" s="315"/>
      <c r="AV13" s="315">
        <f>AV34</f>
        <v>0</v>
      </c>
      <c r="AW13" s="315"/>
      <c r="AX13" s="315">
        <f>AX34</f>
        <v>97882313.301953197</v>
      </c>
      <c r="AY13" s="315"/>
      <c r="AZ13" s="315">
        <f>AZ34</f>
        <v>-479165993.40034485</v>
      </c>
      <c r="BA13" s="315"/>
      <c r="BB13" s="315">
        <f>BB34</f>
        <v>0</v>
      </c>
      <c r="BC13" s="315"/>
      <c r="BD13" s="315">
        <f t="shared" ref="BD13:BD15" si="3">SUM(AX13:BB13)</f>
        <v>-381283680.09839165</v>
      </c>
      <c r="BE13" s="315"/>
      <c r="BF13" s="315">
        <f>BF34</f>
        <v>-529440072</v>
      </c>
      <c r="BG13" s="315"/>
      <c r="BH13" s="304"/>
      <c r="BI13" s="304">
        <f t="shared" si="0"/>
        <v>101</v>
      </c>
    </row>
    <row r="14" spans="1:61" ht="14.5">
      <c r="A14" s="304">
        <f t="shared" ref="A14" si="4">+A13+1</f>
        <v>102</v>
      </c>
      <c r="B14" s="609" t="s">
        <v>1450</v>
      </c>
      <c r="C14" s="609"/>
      <c r="D14" s="609" t="s">
        <v>1451</v>
      </c>
      <c r="E14" s="609"/>
      <c r="F14" s="523" t="s">
        <v>1452</v>
      </c>
      <c r="G14" s="609"/>
      <c r="H14" s="315">
        <f>+H94</f>
        <v>93137648</v>
      </c>
      <c r="I14" s="609"/>
      <c r="J14" s="315">
        <f>+J94</f>
        <v>19293379</v>
      </c>
      <c r="K14" s="609"/>
      <c r="L14" s="315">
        <f>+L94</f>
        <v>11576713</v>
      </c>
      <c r="M14" s="609"/>
      <c r="N14" s="315">
        <f>+N94</f>
        <v>7716800</v>
      </c>
      <c r="O14" s="609"/>
      <c r="P14" s="523" t="s">
        <v>1453</v>
      </c>
      <c r="Q14" s="609"/>
      <c r="R14" s="315">
        <f>R94</f>
        <v>0</v>
      </c>
      <c r="S14" s="315"/>
      <c r="T14" s="315">
        <f>T94</f>
        <v>0</v>
      </c>
      <c r="U14" s="315"/>
      <c r="V14" s="315">
        <f>V94</f>
        <v>7716800</v>
      </c>
      <c r="W14" s="315"/>
      <c r="X14" s="315">
        <f>SUM(R14:V14)</f>
        <v>7716800</v>
      </c>
      <c r="Y14" s="315"/>
      <c r="Z14" s="316" t="s">
        <v>1449</v>
      </c>
      <c r="AA14" s="315"/>
      <c r="AB14" s="315">
        <f>AB94</f>
        <v>0</v>
      </c>
      <c r="AC14" s="315"/>
      <c r="AD14" s="315">
        <f>AD94</f>
        <v>0</v>
      </c>
      <c r="AE14" s="315"/>
      <c r="AF14" s="315">
        <f>AF94</f>
        <v>6015457.8759244867</v>
      </c>
      <c r="AG14" s="315"/>
      <c r="AH14" s="523" t="s">
        <v>1454</v>
      </c>
      <c r="AI14" s="315"/>
      <c r="AJ14" s="315">
        <f>AJ94</f>
        <v>0</v>
      </c>
      <c r="AK14" s="315"/>
      <c r="AL14" s="315">
        <f>AL94</f>
        <v>0</v>
      </c>
      <c r="AM14" s="315"/>
      <c r="AN14" s="315">
        <f>AN94</f>
        <v>1701342.2679340818</v>
      </c>
      <c r="AO14" s="315"/>
      <c r="AP14" s="315">
        <f t="shared" si="2"/>
        <v>1701342.2679340818</v>
      </c>
      <c r="AQ14" s="315"/>
      <c r="AR14" s="315">
        <f>AR94</f>
        <v>0</v>
      </c>
      <c r="AS14" s="315"/>
      <c r="AT14" s="315">
        <f>AT94</f>
        <v>0</v>
      </c>
      <c r="AU14" s="315"/>
      <c r="AV14" s="315">
        <f>AV94</f>
        <v>50576.291257127748</v>
      </c>
      <c r="AW14" s="315"/>
      <c r="AX14" s="315">
        <f>AX94</f>
        <v>0</v>
      </c>
      <c r="AY14" s="315"/>
      <c r="AZ14" s="315">
        <f>AZ94</f>
        <v>0</v>
      </c>
      <c r="BA14" s="315"/>
      <c r="BB14" s="315">
        <f>BB94</f>
        <v>1650765.9766769568</v>
      </c>
      <c r="BC14" s="315"/>
      <c r="BD14" s="315">
        <f t="shared" si="3"/>
        <v>1650765.9766769568</v>
      </c>
      <c r="BE14" s="315"/>
      <c r="BF14" s="315">
        <f>BF94</f>
        <v>2292208</v>
      </c>
      <c r="BG14" s="315"/>
      <c r="BH14" s="304"/>
      <c r="BI14" s="304">
        <f t="shared" si="0"/>
        <v>102</v>
      </c>
    </row>
    <row r="15" spans="1:61" ht="14.5">
      <c r="A15" s="304">
        <f>+A14+1</f>
        <v>103</v>
      </c>
      <c r="B15" s="609" t="s">
        <v>1455</v>
      </c>
      <c r="C15" s="609" t="s">
        <v>1456</v>
      </c>
      <c r="D15" s="609" t="s">
        <v>1457</v>
      </c>
      <c r="E15" s="609"/>
      <c r="F15" s="523" t="s">
        <v>1458</v>
      </c>
      <c r="G15" s="609"/>
      <c r="H15" s="317">
        <f>+H108</f>
        <v>-83282905</v>
      </c>
      <c r="I15" s="609"/>
      <c r="J15" s="317">
        <f>+J108</f>
        <v>434750466</v>
      </c>
      <c r="K15" s="609"/>
      <c r="L15" s="317">
        <f>+L108</f>
        <v>260850280</v>
      </c>
      <c r="M15" s="609"/>
      <c r="N15" s="317">
        <f>+N108</f>
        <v>173900186</v>
      </c>
      <c r="O15" s="609"/>
      <c r="P15" s="523" t="s">
        <v>1453</v>
      </c>
      <c r="Q15" s="609"/>
      <c r="R15" s="317">
        <f>R108</f>
        <v>173900186</v>
      </c>
      <c r="S15" s="317"/>
      <c r="T15" s="317">
        <f t="shared" ref="T15" si="5">T108</f>
        <v>0</v>
      </c>
      <c r="U15" s="317"/>
      <c r="V15" s="317">
        <f t="shared" ref="V15" si="6">V108</f>
        <v>0</v>
      </c>
      <c r="W15" s="317"/>
      <c r="X15" s="317">
        <f t="shared" si="1"/>
        <v>173900186</v>
      </c>
      <c r="Y15" s="315"/>
      <c r="Z15" s="316" t="s">
        <v>1445</v>
      </c>
      <c r="AA15" s="315"/>
      <c r="AB15" s="317">
        <f>AB108</f>
        <v>12326933.935202882</v>
      </c>
      <c r="AC15" s="317"/>
      <c r="AD15" s="317">
        <f t="shared" ref="AD15:AF15" si="7">AD108</f>
        <v>0</v>
      </c>
      <c r="AE15" s="317"/>
      <c r="AF15" s="317">
        <f t="shared" si="7"/>
        <v>0</v>
      </c>
      <c r="AG15" s="315"/>
      <c r="AH15" s="523" t="s">
        <v>1454</v>
      </c>
      <c r="AI15" s="315"/>
      <c r="AJ15" s="317">
        <f>AJ108</f>
        <v>161573252.51337314</v>
      </c>
      <c r="AK15" s="317"/>
      <c r="AL15" s="317">
        <f t="shared" ref="AL15" si="8">AL108</f>
        <v>0</v>
      </c>
      <c r="AM15" s="317"/>
      <c r="AN15" s="317">
        <f t="shared" ref="AN15" si="9">AN108</f>
        <v>0</v>
      </c>
      <c r="AO15" s="317"/>
      <c r="AP15" s="317">
        <f t="shared" si="2"/>
        <v>161573252.51337314</v>
      </c>
      <c r="AQ15" s="315"/>
      <c r="AR15" s="317">
        <f>AR108</f>
        <v>3857475.86616717</v>
      </c>
      <c r="AS15" s="317"/>
      <c r="AT15" s="317">
        <f t="shared" ref="AT15:AV15" si="10">AT108</f>
        <v>0</v>
      </c>
      <c r="AU15" s="317"/>
      <c r="AV15" s="317">
        <f t="shared" si="10"/>
        <v>0</v>
      </c>
      <c r="AW15" s="315"/>
      <c r="AX15" s="317">
        <f>AX108</f>
        <v>157715776.64720598</v>
      </c>
      <c r="AY15" s="317"/>
      <c r="AZ15" s="317">
        <f t="shared" ref="AZ15" si="11">AZ108</f>
        <v>0</v>
      </c>
      <c r="BA15" s="317"/>
      <c r="BB15" s="317">
        <f t="shared" ref="BB15" si="12">BB108</f>
        <v>0</v>
      </c>
      <c r="BC15" s="317"/>
      <c r="BD15" s="317">
        <f t="shared" si="3"/>
        <v>157715776.64720598</v>
      </c>
      <c r="BE15" s="315"/>
      <c r="BF15" s="317">
        <f t="shared" ref="BF15" si="13">BF108</f>
        <v>218999806</v>
      </c>
      <c r="BG15" s="315"/>
      <c r="BH15" s="304"/>
      <c r="BI15" s="304">
        <f t="shared" si="0"/>
        <v>103</v>
      </c>
    </row>
    <row r="16" spans="1:61" ht="14.5">
      <c r="A16" s="304">
        <f>+A15+1</f>
        <v>104</v>
      </c>
      <c r="B16" s="609" t="s">
        <v>534</v>
      </c>
      <c r="C16" s="609"/>
      <c r="D16" s="304"/>
      <c r="E16" s="304"/>
      <c r="F16" s="304"/>
      <c r="G16" s="304"/>
      <c r="H16" s="616">
        <f>SUM(H12:H15)</f>
        <v>-16994434987</v>
      </c>
      <c r="I16" s="304"/>
      <c r="J16" s="616">
        <f>SUM(J12:J15)</f>
        <v>-4176748024</v>
      </c>
      <c r="K16" s="304"/>
      <c r="L16" s="616">
        <f>SUM(L12:L15)</f>
        <v>-2665999361</v>
      </c>
      <c r="M16" s="304"/>
      <c r="N16" s="616">
        <f>SUM(N12:N15)</f>
        <v>-1510778363</v>
      </c>
      <c r="O16" s="304"/>
      <c r="P16" s="523"/>
      <c r="Q16" s="304"/>
      <c r="R16" s="616">
        <f>SUM(R12:R15)</f>
        <v>-985231245</v>
      </c>
      <c r="S16" s="616"/>
      <c r="T16" s="616">
        <f>SUM(T12:T15)</f>
        <v>-533263918</v>
      </c>
      <c r="U16" s="616"/>
      <c r="V16" s="616">
        <f>SUM(V12:V15)</f>
        <v>7716800</v>
      </c>
      <c r="W16" s="616"/>
      <c r="X16" s="616">
        <f>SUM(X12:X15)</f>
        <v>-1510778363</v>
      </c>
      <c r="Y16" s="616"/>
      <c r="Z16" s="616"/>
      <c r="AA16" s="616"/>
      <c r="AB16" s="616">
        <f>SUM(AB12:AB15)</f>
        <v>-52402519.434510566</v>
      </c>
      <c r="AC16" s="616"/>
      <c r="AD16" s="616">
        <f>SUM(AD12:AD15)</f>
        <v>-39417200.751207225</v>
      </c>
      <c r="AE16" s="616"/>
      <c r="AF16" s="616">
        <f>SUM(AF12:AF15)</f>
        <v>6015457.8759244867</v>
      </c>
      <c r="AG16" s="616"/>
      <c r="AH16" s="304"/>
      <c r="AI16" s="616"/>
      <c r="AJ16" s="616">
        <f>SUM(AJ12:AJ15)</f>
        <v>-932828724.65524077</v>
      </c>
      <c r="AK16" s="616"/>
      <c r="AL16" s="616">
        <f>SUM(AL12:AL15)</f>
        <v>-493846716.89575255</v>
      </c>
      <c r="AM16" s="616"/>
      <c r="AN16" s="616">
        <f>SUM(AN12:AN15)</f>
        <v>1701342.2679340818</v>
      </c>
      <c r="AO16" s="616"/>
      <c r="AP16" s="616">
        <f>SUM(AP12:AP15)</f>
        <v>-1424974099.2830591</v>
      </c>
      <c r="AQ16" s="616"/>
      <c r="AR16" s="616">
        <f>SUM(AR12:AR15)</f>
        <v>-18121147.068236146</v>
      </c>
      <c r="AS16" s="616"/>
      <c r="AT16" s="616">
        <f>SUM(AT12:AT15)</f>
        <v>-14680723.495407661</v>
      </c>
      <c r="AU16" s="616"/>
      <c r="AV16" s="616">
        <f>SUM(AV12:AV15)</f>
        <v>50576.291257127748</v>
      </c>
      <c r="AW16" s="616"/>
      <c r="AX16" s="616">
        <f>SUM(AX12:AX15)</f>
        <v>-914707577.58700466</v>
      </c>
      <c r="AY16" s="616"/>
      <c r="AZ16" s="616">
        <f>SUM(AZ12:AZ15)</f>
        <v>-479165993.40034485</v>
      </c>
      <c r="BA16" s="616"/>
      <c r="BB16" s="616">
        <f>SUM(BB12:BB15)</f>
        <v>1650765.9766769568</v>
      </c>
      <c r="BC16" s="616"/>
      <c r="BD16" s="616">
        <f>SUM(BD12:BD15)</f>
        <v>-1392222805.0106723</v>
      </c>
      <c r="BE16" s="616"/>
      <c r="BF16" s="616">
        <f>SUM(BF12:BF15)</f>
        <v>-1933202445</v>
      </c>
      <c r="BG16" s="616"/>
      <c r="BH16" s="617"/>
      <c r="BI16" s="304">
        <f t="shared" si="0"/>
        <v>104</v>
      </c>
    </row>
    <row r="17" spans="1:61" ht="14.5">
      <c r="A17" s="304"/>
      <c r="B17" s="609"/>
      <c r="C17" s="609"/>
      <c r="D17" s="304"/>
      <c r="E17" s="304"/>
      <c r="F17" s="304"/>
      <c r="G17" s="304"/>
      <c r="H17" s="304"/>
      <c r="I17" s="304"/>
      <c r="J17" s="304"/>
      <c r="K17" s="304"/>
      <c r="L17" s="304"/>
      <c r="M17" s="304"/>
      <c r="N17" s="304"/>
      <c r="O17" s="304"/>
      <c r="P17" s="523"/>
      <c r="Q17" s="304"/>
      <c r="R17" s="609"/>
      <c r="S17" s="609"/>
      <c r="T17" s="609"/>
      <c r="U17" s="609"/>
      <c r="V17" s="609"/>
      <c r="W17" s="609"/>
      <c r="X17" s="609"/>
      <c r="Y17" s="609"/>
      <c r="Z17" s="609"/>
      <c r="AA17" s="609"/>
      <c r="AB17" s="609"/>
      <c r="AC17" s="609"/>
      <c r="AD17" s="609"/>
      <c r="AE17" s="609"/>
      <c r="AF17" s="609"/>
      <c r="AG17" s="609"/>
      <c r="AH17" s="304"/>
      <c r="AI17" s="609"/>
      <c r="AJ17" s="609"/>
      <c r="AK17" s="609"/>
      <c r="AL17" s="609"/>
      <c r="AM17" s="609"/>
      <c r="AN17" s="609"/>
      <c r="AO17" s="609"/>
      <c r="AP17" s="609"/>
      <c r="AQ17" s="609"/>
      <c r="AR17" s="609"/>
      <c r="AS17" s="609"/>
      <c r="AT17" s="609"/>
      <c r="AU17" s="609"/>
      <c r="AV17" s="609"/>
      <c r="AW17" s="609"/>
      <c r="AX17" s="609"/>
      <c r="AY17" s="609"/>
      <c r="AZ17" s="609"/>
      <c r="BA17" s="609"/>
      <c r="BB17" s="609"/>
      <c r="BC17" s="609"/>
      <c r="BD17" s="609"/>
      <c r="BE17" s="609"/>
      <c r="BF17" s="304"/>
      <c r="BG17" s="609"/>
      <c r="BH17" s="617"/>
      <c r="BI17" s="304"/>
    </row>
    <row r="18" spans="1:61" ht="14.5">
      <c r="A18" s="304">
        <f>+A16+1</f>
        <v>105</v>
      </c>
      <c r="B18" s="618" t="s">
        <v>1459</v>
      </c>
      <c r="C18" s="618"/>
      <c r="D18" s="303"/>
      <c r="E18" s="304"/>
      <c r="F18" s="304"/>
      <c r="G18" s="304"/>
      <c r="H18" s="304"/>
      <c r="I18" s="304"/>
      <c r="J18" s="304"/>
      <c r="K18" s="304"/>
      <c r="L18" s="304"/>
      <c r="M18" s="304"/>
      <c r="N18" s="304"/>
      <c r="O18" s="304"/>
      <c r="P18" s="523"/>
      <c r="Q18" s="304"/>
      <c r="R18" s="609"/>
      <c r="S18" s="609"/>
      <c r="T18" s="609"/>
      <c r="U18" s="609"/>
      <c r="V18" s="609"/>
      <c r="W18" s="609"/>
      <c r="X18" s="609"/>
      <c r="Y18" s="609"/>
      <c r="Z18" s="609"/>
      <c r="AA18" s="609"/>
      <c r="AB18" s="609"/>
      <c r="AC18" s="609"/>
      <c r="AD18" s="609"/>
      <c r="AE18" s="609"/>
      <c r="AF18" s="609"/>
      <c r="AG18" s="609"/>
      <c r="AH18" s="304"/>
      <c r="AI18" s="609"/>
      <c r="AJ18" s="609"/>
      <c r="AK18" s="609"/>
      <c r="AL18" s="609"/>
      <c r="AM18" s="609"/>
      <c r="AN18" s="609"/>
      <c r="AO18" s="609"/>
      <c r="AP18" s="609"/>
      <c r="AQ18" s="609"/>
      <c r="AR18" s="609"/>
      <c r="AS18" s="609"/>
      <c r="AT18" s="609"/>
      <c r="AU18" s="609"/>
      <c r="AV18" s="609"/>
      <c r="AW18" s="609"/>
      <c r="AX18" s="609"/>
      <c r="AY18" s="609"/>
      <c r="AZ18" s="609"/>
      <c r="BA18" s="609"/>
      <c r="BB18" s="609"/>
      <c r="BC18" s="609"/>
      <c r="BD18" s="609"/>
      <c r="BE18" s="609"/>
      <c r="BF18" s="304"/>
      <c r="BG18" s="609"/>
      <c r="BH18" s="318"/>
      <c r="BI18" s="304">
        <f>A18</f>
        <v>105</v>
      </c>
    </row>
    <row r="19" spans="1:61" ht="14.5">
      <c r="A19" s="304">
        <f>+A18+1</f>
        <v>106</v>
      </c>
      <c r="B19" s="523" t="s">
        <v>1460</v>
      </c>
      <c r="C19" s="609" t="s">
        <v>1461</v>
      </c>
      <c r="D19" s="304"/>
      <c r="E19" s="304"/>
      <c r="F19" s="523" t="s">
        <v>1443</v>
      </c>
      <c r="G19" s="304"/>
      <c r="H19" s="616">
        <f>+H116</f>
        <v>-400413354</v>
      </c>
      <c r="I19" s="304"/>
      <c r="J19" s="616">
        <f>+J116</f>
        <v>-140144673.792</v>
      </c>
      <c r="K19" s="616"/>
      <c r="L19" s="616">
        <f>+L116</f>
        <v>-84086803.483769998</v>
      </c>
      <c r="M19" s="616"/>
      <c r="N19" s="616">
        <f>+N116</f>
        <v>-56057870.308230013</v>
      </c>
      <c r="O19" s="616"/>
      <c r="P19" s="523" t="s">
        <v>1444</v>
      </c>
      <c r="Q19" s="304"/>
      <c r="R19" s="616">
        <f>R116</f>
        <v>0</v>
      </c>
      <c r="S19" s="616"/>
      <c r="T19" s="616">
        <f>+T116</f>
        <v>-56057870.308230013</v>
      </c>
      <c r="U19" s="616"/>
      <c r="V19" s="616">
        <f>+V116</f>
        <v>0</v>
      </c>
      <c r="W19" s="616"/>
      <c r="X19" s="616">
        <f>SUM(R19:V19)</f>
        <v>-56057870.308230013</v>
      </c>
      <c r="Y19" s="616"/>
      <c r="Z19" s="316" t="s">
        <v>1449</v>
      </c>
      <c r="AA19" s="616"/>
      <c r="AB19" s="616">
        <f>+AB116</f>
        <v>0</v>
      </c>
      <c r="AC19" s="616"/>
      <c r="AD19" s="616">
        <f>+AD116</f>
        <v>-4143622.4250362762</v>
      </c>
      <c r="AE19" s="616"/>
      <c r="AF19" s="616">
        <f>+AF116</f>
        <v>0</v>
      </c>
      <c r="AG19" s="616"/>
      <c r="AH19" s="523" t="s">
        <v>1446</v>
      </c>
      <c r="AI19" s="616"/>
      <c r="AJ19" s="616">
        <f>+AJ116</f>
        <v>0</v>
      </c>
      <c r="AK19" s="616"/>
      <c r="AL19" s="616">
        <f>+AL116</f>
        <v>-51914247.883193739</v>
      </c>
      <c r="AM19" s="616"/>
      <c r="AN19" s="616">
        <f>+AN116</f>
        <v>0</v>
      </c>
      <c r="AO19" s="616"/>
      <c r="AP19" s="616">
        <f t="shared" ref="AP19:AP21" si="14">SUM(AJ19:AN19)</f>
        <v>-51914247.883193739</v>
      </c>
      <c r="AQ19" s="616"/>
      <c r="AR19" s="616">
        <f>+AR116</f>
        <v>0</v>
      </c>
      <c r="AS19" s="616"/>
      <c r="AT19" s="616">
        <f>+AT116</f>
        <v>-1543269.7881087735</v>
      </c>
      <c r="AU19" s="616"/>
      <c r="AV19" s="616">
        <f>+AV116</f>
        <v>0</v>
      </c>
      <c r="AW19" s="616"/>
      <c r="AX19" s="616">
        <f>+AX116</f>
        <v>0</v>
      </c>
      <c r="AY19" s="616"/>
      <c r="AZ19" s="616">
        <f>+AZ116</f>
        <v>-50370978.095084973</v>
      </c>
      <c r="BA19" s="616"/>
      <c r="BB19" s="616">
        <f>+BB116</f>
        <v>0</v>
      </c>
      <c r="BC19" s="616"/>
      <c r="BD19" s="616">
        <f>SUM(AX19:BB19)</f>
        <v>-50370978.095084973</v>
      </c>
      <c r="BE19" s="616"/>
      <c r="BF19" s="616">
        <f>+BF116</f>
        <v>-69943760.164469436</v>
      </c>
      <c r="BG19" s="616"/>
      <c r="BH19" s="617"/>
      <c r="BI19" s="304">
        <f>A19</f>
        <v>106</v>
      </c>
    </row>
    <row r="20" spans="1:61" ht="14.5">
      <c r="A20" s="304">
        <f t="shared" ref="A20:A29" si="15">A19+1</f>
        <v>107</v>
      </c>
      <c r="B20" s="523" t="s">
        <v>117</v>
      </c>
      <c r="C20" s="609"/>
      <c r="D20" s="304"/>
      <c r="E20" s="304"/>
      <c r="F20" s="304"/>
      <c r="G20" s="304"/>
      <c r="H20" s="616">
        <v>0</v>
      </c>
      <c r="I20" s="304"/>
      <c r="J20" s="616">
        <v>0</v>
      </c>
      <c r="K20" s="616"/>
      <c r="L20" s="616">
        <v>0</v>
      </c>
      <c r="M20" s="616"/>
      <c r="N20" s="616">
        <v>0</v>
      </c>
      <c r="O20" s="616"/>
      <c r="P20" s="523"/>
      <c r="Q20" s="304"/>
      <c r="R20" s="616">
        <v>0</v>
      </c>
      <c r="S20" s="616"/>
      <c r="T20" s="616">
        <v>0</v>
      </c>
      <c r="U20" s="616"/>
      <c r="V20" s="616">
        <v>0</v>
      </c>
      <c r="W20" s="616"/>
      <c r="X20" s="616">
        <f t="shared" ref="X20:X21" si="16">SUM(R20:V20)</f>
        <v>0</v>
      </c>
      <c r="Y20" s="616"/>
      <c r="Z20" s="316"/>
      <c r="AA20" s="616"/>
      <c r="AB20" s="616">
        <v>0</v>
      </c>
      <c r="AC20" s="616"/>
      <c r="AD20" s="616">
        <v>0</v>
      </c>
      <c r="AE20" s="616"/>
      <c r="AF20" s="616">
        <v>0</v>
      </c>
      <c r="AG20" s="616"/>
      <c r="AH20" s="523"/>
      <c r="AI20" s="616"/>
      <c r="AJ20" s="616">
        <v>0</v>
      </c>
      <c r="AK20" s="616"/>
      <c r="AL20" s="616">
        <v>0</v>
      </c>
      <c r="AM20" s="616"/>
      <c r="AN20" s="616">
        <v>0</v>
      </c>
      <c r="AO20" s="616"/>
      <c r="AP20" s="616">
        <f t="shared" si="14"/>
        <v>0</v>
      </c>
      <c r="AQ20" s="616"/>
      <c r="AR20" s="616">
        <v>0</v>
      </c>
      <c r="AS20" s="616"/>
      <c r="AT20" s="616">
        <v>0</v>
      </c>
      <c r="AU20" s="616"/>
      <c r="AV20" s="616">
        <v>0</v>
      </c>
      <c r="AW20" s="616"/>
      <c r="AX20" s="616">
        <v>0</v>
      </c>
      <c r="AY20" s="616"/>
      <c r="AZ20" s="616">
        <v>0</v>
      </c>
      <c r="BA20" s="616"/>
      <c r="BB20" s="616">
        <v>0</v>
      </c>
      <c r="BC20" s="616"/>
      <c r="BD20" s="616">
        <f t="shared" ref="BD20:BD21" si="17">SUM(AX20:BB20)</f>
        <v>0</v>
      </c>
      <c r="BE20" s="616"/>
      <c r="BF20" s="616">
        <v>0</v>
      </c>
      <c r="BG20" s="616"/>
      <c r="BH20" s="318"/>
      <c r="BI20" s="304">
        <f>A20</f>
        <v>107</v>
      </c>
    </row>
    <row r="21" spans="1:61" ht="14.5">
      <c r="A21" s="304">
        <f t="shared" si="15"/>
        <v>108</v>
      </c>
      <c r="B21" s="523" t="s">
        <v>117</v>
      </c>
      <c r="C21" s="609"/>
      <c r="D21" s="304"/>
      <c r="E21" s="304"/>
      <c r="F21" s="304"/>
      <c r="G21" s="304"/>
      <c r="H21" s="619">
        <v>0</v>
      </c>
      <c r="I21" s="304"/>
      <c r="J21" s="619">
        <v>0</v>
      </c>
      <c r="K21" s="619"/>
      <c r="L21" s="619">
        <v>0</v>
      </c>
      <c r="M21" s="619"/>
      <c r="N21" s="619">
        <v>0</v>
      </c>
      <c r="O21" s="619"/>
      <c r="P21" s="523"/>
      <c r="Q21" s="304"/>
      <c r="R21" s="619">
        <v>0</v>
      </c>
      <c r="S21" s="619"/>
      <c r="T21" s="619">
        <v>0</v>
      </c>
      <c r="U21" s="619"/>
      <c r="V21" s="619">
        <v>0</v>
      </c>
      <c r="W21" s="619"/>
      <c r="X21" s="619">
        <f t="shared" si="16"/>
        <v>0</v>
      </c>
      <c r="Y21" s="616"/>
      <c r="Z21" s="316"/>
      <c r="AA21" s="616"/>
      <c r="AB21" s="619">
        <v>0</v>
      </c>
      <c r="AC21" s="619"/>
      <c r="AD21" s="619">
        <v>0</v>
      </c>
      <c r="AE21" s="619"/>
      <c r="AF21" s="619">
        <v>0</v>
      </c>
      <c r="AG21" s="616"/>
      <c r="AH21" s="523"/>
      <c r="AI21" s="616"/>
      <c r="AJ21" s="619">
        <v>0</v>
      </c>
      <c r="AK21" s="619"/>
      <c r="AL21" s="619">
        <v>0</v>
      </c>
      <c r="AM21" s="619"/>
      <c r="AN21" s="619">
        <v>0</v>
      </c>
      <c r="AO21" s="619"/>
      <c r="AP21" s="619">
        <f t="shared" si="14"/>
        <v>0</v>
      </c>
      <c r="AQ21" s="616"/>
      <c r="AR21" s="619">
        <v>0</v>
      </c>
      <c r="AS21" s="619"/>
      <c r="AT21" s="619">
        <v>0</v>
      </c>
      <c r="AU21" s="619"/>
      <c r="AV21" s="619">
        <v>0</v>
      </c>
      <c r="AW21" s="616"/>
      <c r="AX21" s="619">
        <v>0</v>
      </c>
      <c r="AY21" s="619"/>
      <c r="AZ21" s="619">
        <v>0</v>
      </c>
      <c r="BA21" s="619"/>
      <c r="BB21" s="619">
        <v>0</v>
      </c>
      <c r="BC21" s="619"/>
      <c r="BD21" s="619">
        <f t="shared" si="17"/>
        <v>0</v>
      </c>
      <c r="BE21" s="616"/>
      <c r="BF21" s="619">
        <v>0</v>
      </c>
      <c r="BG21" s="616"/>
      <c r="BH21" s="318"/>
      <c r="BI21" s="304">
        <f>A21</f>
        <v>108</v>
      </c>
    </row>
    <row r="22" spans="1:61" ht="14.5">
      <c r="A22" s="304">
        <f t="shared" si="15"/>
        <v>109</v>
      </c>
      <c r="B22" s="609" t="s">
        <v>1462</v>
      </c>
      <c r="C22" s="609"/>
      <c r="D22" s="304"/>
      <c r="E22" s="304"/>
      <c r="F22" s="304"/>
      <c r="G22" s="304"/>
      <c r="H22" s="616">
        <f>SUM(H16:H21)</f>
        <v>-17394848341</v>
      </c>
      <c r="I22" s="304"/>
      <c r="J22" s="616">
        <f>SUM(J16:J21)</f>
        <v>-4316892697.7919998</v>
      </c>
      <c r="K22" s="616"/>
      <c r="L22" s="616">
        <f t="shared" ref="L22" si="18">SUM(L16:L21)</f>
        <v>-2750086164.4837699</v>
      </c>
      <c r="M22" s="616"/>
      <c r="N22" s="616">
        <f t="shared" ref="N22" si="19">SUM(N16:N21)</f>
        <v>-1566836233.3082299</v>
      </c>
      <c r="O22" s="616"/>
      <c r="P22" s="316"/>
      <c r="Q22" s="304"/>
      <c r="R22" s="616">
        <f>SUM(R16:R21)</f>
        <v>-985231245</v>
      </c>
      <c r="S22" s="616"/>
      <c r="T22" s="616">
        <f t="shared" ref="T22" si="20">SUM(T16:T21)</f>
        <v>-589321788.30823004</v>
      </c>
      <c r="U22" s="616"/>
      <c r="V22" s="616">
        <f t="shared" ref="V22" si="21">SUM(V16:V21)</f>
        <v>7716800</v>
      </c>
      <c r="W22" s="616"/>
      <c r="X22" s="616">
        <f>SUM(X16:X21)</f>
        <v>-1566836233.3082299</v>
      </c>
      <c r="Y22" s="616"/>
      <c r="Z22" s="616"/>
      <c r="AA22" s="616"/>
      <c r="AB22" s="616">
        <f>SUM(AB16:AB21)</f>
        <v>-52402519.434510566</v>
      </c>
      <c r="AC22" s="616"/>
      <c r="AD22" s="616">
        <f t="shared" ref="AD22" si="22">SUM(AD16:AD21)</f>
        <v>-43560823.176243499</v>
      </c>
      <c r="AE22" s="616"/>
      <c r="AF22" s="616">
        <f t="shared" ref="AF22" si="23">SUM(AF16:AF21)</f>
        <v>6015457.8759244867</v>
      </c>
      <c r="AG22" s="616"/>
      <c r="AH22" s="316"/>
      <c r="AI22" s="616"/>
      <c r="AJ22" s="616">
        <f>SUM(AJ16:AJ21)</f>
        <v>-932828724.65524077</v>
      </c>
      <c r="AK22" s="616"/>
      <c r="AL22" s="616">
        <f t="shared" ref="AL22" si="24">SUM(AL16:AL21)</f>
        <v>-545760964.77894628</v>
      </c>
      <c r="AM22" s="616"/>
      <c r="AN22" s="616">
        <f t="shared" ref="AN22" si="25">SUM(AN16:AN21)</f>
        <v>1701342.2679340818</v>
      </c>
      <c r="AO22" s="616"/>
      <c r="AP22" s="616">
        <f t="shared" ref="AP22" si="26">SUM(AP16:AP21)</f>
        <v>-1476888347.1662529</v>
      </c>
      <c r="AQ22" s="616"/>
      <c r="AR22" s="616">
        <f>SUM(AR16:AR21)</f>
        <v>-18121147.068236146</v>
      </c>
      <c r="AS22" s="616"/>
      <c r="AT22" s="616">
        <f t="shared" ref="AT22" si="27">SUM(AT16:AT21)</f>
        <v>-16223993.283516435</v>
      </c>
      <c r="AU22" s="616"/>
      <c r="AV22" s="616">
        <f t="shared" ref="AV22" si="28">SUM(AV16:AV21)</f>
        <v>50576.291257127748</v>
      </c>
      <c r="AW22" s="616"/>
      <c r="AX22" s="616">
        <f>SUM(AX16:AX21)</f>
        <v>-914707577.58700466</v>
      </c>
      <c r="AY22" s="616"/>
      <c r="AZ22" s="616">
        <f t="shared" ref="AZ22" si="29">SUM(AZ16:AZ21)</f>
        <v>-529536971.49542981</v>
      </c>
      <c r="BA22" s="616"/>
      <c r="BB22" s="616">
        <f t="shared" ref="BB22" si="30">SUM(BB16:BB21)</f>
        <v>1650765.9766769568</v>
      </c>
      <c r="BC22" s="616"/>
      <c r="BD22" s="616">
        <f t="shared" ref="BD22" si="31">SUM(BD16:BD21)</f>
        <v>-1442593783.1057572</v>
      </c>
      <c r="BE22" s="616"/>
      <c r="BF22" s="616">
        <f>SUM(BF16:BF21)</f>
        <v>-2003146205.1644695</v>
      </c>
      <c r="BG22" s="616"/>
      <c r="BH22" s="318"/>
      <c r="BI22" s="304">
        <f>A22</f>
        <v>109</v>
      </c>
    </row>
    <row r="23" spans="1:61" ht="14.5">
      <c r="A23" s="304"/>
      <c r="B23" s="609"/>
      <c r="C23" s="609"/>
      <c r="D23" s="304"/>
      <c r="E23" s="304"/>
      <c r="F23" s="304"/>
      <c r="G23" s="304"/>
      <c r="H23" s="304"/>
      <c r="I23" s="304"/>
      <c r="J23" s="304"/>
      <c r="K23" s="304"/>
      <c r="L23" s="304"/>
      <c r="M23" s="304"/>
      <c r="N23" s="304"/>
      <c r="O23" s="304"/>
      <c r="P23" s="523"/>
      <c r="Q23" s="304"/>
      <c r="R23" s="616"/>
      <c r="S23" s="616"/>
      <c r="T23" s="616"/>
      <c r="U23" s="616"/>
      <c r="V23" s="616"/>
      <c r="W23" s="616"/>
      <c r="X23" s="616"/>
      <c r="Y23" s="616"/>
      <c r="Z23" s="616"/>
      <c r="AA23" s="616"/>
      <c r="AB23" s="616"/>
      <c r="AC23" s="616"/>
      <c r="AD23" s="616"/>
      <c r="AE23" s="616"/>
      <c r="AF23" s="616"/>
      <c r="AG23" s="616"/>
      <c r="AH23" s="316"/>
      <c r="AI23" s="616"/>
      <c r="AJ23" s="616"/>
      <c r="AK23" s="616"/>
      <c r="AL23" s="616"/>
      <c r="AM23" s="616"/>
      <c r="AN23" s="616"/>
      <c r="AO23" s="616"/>
      <c r="AP23" s="616"/>
      <c r="AQ23" s="616"/>
      <c r="AR23" s="616"/>
      <c r="AS23" s="616"/>
      <c r="AT23" s="616"/>
      <c r="AU23" s="616"/>
      <c r="AV23" s="616"/>
      <c r="AW23" s="616"/>
      <c r="AX23" s="616"/>
      <c r="AY23" s="616"/>
      <c r="AZ23" s="616"/>
      <c r="BA23" s="616"/>
      <c r="BB23" s="616"/>
      <c r="BC23" s="616"/>
      <c r="BD23" s="616"/>
      <c r="BE23" s="616"/>
      <c r="BF23" s="304"/>
      <c r="BG23" s="616"/>
      <c r="BH23" s="318"/>
      <c r="BI23" s="304"/>
    </row>
    <row r="24" spans="1:61" ht="14.5">
      <c r="A24" s="201" t="s">
        <v>90</v>
      </c>
      <c r="B24" s="618" t="s">
        <v>1463</v>
      </c>
      <c r="C24" s="319"/>
      <c r="D24" s="303"/>
      <c r="E24" s="304"/>
      <c r="F24" s="304"/>
      <c r="G24" s="304"/>
      <c r="H24" s="304"/>
      <c r="I24" s="304"/>
      <c r="J24" s="304"/>
      <c r="K24" s="304"/>
      <c r="L24" s="304"/>
      <c r="M24" s="304"/>
      <c r="N24" s="304"/>
      <c r="O24" s="304"/>
      <c r="P24" s="523"/>
      <c r="Q24" s="304"/>
      <c r="R24" s="616"/>
      <c r="S24" s="616"/>
      <c r="T24" s="616"/>
      <c r="U24" s="616"/>
      <c r="V24" s="609"/>
      <c r="W24" s="609"/>
      <c r="X24" s="609"/>
      <c r="Y24" s="609"/>
      <c r="Z24" s="609"/>
      <c r="AA24" s="609"/>
      <c r="AB24" s="609"/>
      <c r="AC24" s="609"/>
      <c r="AD24" s="609"/>
      <c r="AE24" s="609"/>
      <c r="AF24" s="609"/>
      <c r="AG24" s="609"/>
      <c r="AH24" s="523"/>
      <c r="AI24" s="609"/>
      <c r="AJ24" s="616"/>
      <c r="AK24" s="616"/>
      <c r="AL24" s="616"/>
      <c r="AM24" s="616"/>
      <c r="AN24" s="609"/>
      <c r="AO24" s="609"/>
      <c r="AP24" s="609"/>
      <c r="AQ24" s="609"/>
      <c r="AR24" s="609"/>
      <c r="AS24" s="609"/>
      <c r="AT24" s="609"/>
      <c r="AU24" s="609"/>
      <c r="AV24" s="609"/>
      <c r="AW24" s="609"/>
      <c r="AX24" s="616"/>
      <c r="AY24" s="616"/>
      <c r="AZ24" s="616"/>
      <c r="BA24" s="616"/>
      <c r="BB24" s="609"/>
      <c r="BC24" s="609"/>
      <c r="BD24" s="609"/>
      <c r="BE24" s="609"/>
      <c r="BF24" s="304"/>
      <c r="BG24" s="609"/>
      <c r="BH24" s="318"/>
      <c r="BI24" s="615" t="s">
        <v>90</v>
      </c>
    </row>
    <row r="25" spans="1:61" ht="14.5">
      <c r="A25" s="304">
        <v>200</v>
      </c>
      <c r="B25" s="609" t="s">
        <v>1464</v>
      </c>
      <c r="C25" s="609"/>
      <c r="D25" s="304"/>
      <c r="E25" s="304"/>
      <c r="F25" s="304"/>
      <c r="G25" s="304"/>
      <c r="H25" s="619">
        <f>ROUND(SUM(H26:H30),0)</f>
        <v>-10466951654</v>
      </c>
      <c r="I25" s="304"/>
      <c r="J25" s="619">
        <f>ROUND(SUM(J26:J30),0)</f>
        <v>-3663433079</v>
      </c>
      <c r="K25" s="616"/>
      <c r="L25" s="619">
        <f>ROUND(SUM(L26:L30),0)</f>
        <v>-2361016151</v>
      </c>
      <c r="M25" s="616"/>
      <c r="N25" s="619">
        <f>ROUND(SUM(N26:N30),0)</f>
        <v>-1302433382</v>
      </c>
      <c r="O25" s="304"/>
      <c r="P25" s="523"/>
      <c r="Q25" s="304"/>
      <c r="R25" s="619">
        <f>ROUND(SUM(R26:R30),0)</f>
        <v>-1302433382</v>
      </c>
      <c r="S25" s="616"/>
      <c r="T25" s="619">
        <f>ROUND(SUM(T26:T30),0)</f>
        <v>0</v>
      </c>
      <c r="U25" s="616"/>
      <c r="V25" s="619">
        <f>ROUND(SUM(V26:V30),0)</f>
        <v>0</v>
      </c>
      <c r="W25" s="616"/>
      <c r="X25" s="619">
        <f>ROUND(SUM(X26:X30),0)</f>
        <v>-1302433382</v>
      </c>
      <c r="Y25" s="616"/>
      <c r="Z25" s="616"/>
      <c r="AA25" s="616"/>
      <c r="AB25" s="619">
        <f>SUM(AB26:AB30)</f>
        <v>-96271801.571397573</v>
      </c>
      <c r="AC25" s="616"/>
      <c r="AD25" s="619">
        <f>SUM(AD26:AD30)</f>
        <v>0</v>
      </c>
      <c r="AE25" s="616"/>
      <c r="AF25" s="619">
        <f>SUM(AF26:AF30)</f>
        <v>0</v>
      </c>
      <c r="AG25" s="616"/>
      <c r="AH25" s="316"/>
      <c r="AI25" s="616"/>
      <c r="AJ25" s="619">
        <f>SUM(AJ26:AJ30)</f>
        <v>-1206161579.9655685</v>
      </c>
      <c r="AK25" s="616"/>
      <c r="AL25" s="619">
        <f>SUM(AL26:AL30)</f>
        <v>0</v>
      </c>
      <c r="AM25" s="616"/>
      <c r="AN25" s="619">
        <f>SUM(AN26:AN30)</f>
        <v>0</v>
      </c>
      <c r="AO25" s="616"/>
      <c r="AP25" s="619">
        <f>SUM(AP26:AP30)</f>
        <v>-1206161579.9655685</v>
      </c>
      <c r="AQ25" s="616"/>
      <c r="AR25" s="619">
        <f>SUM(AR26:AR30)</f>
        <v>-35855912.429404818</v>
      </c>
      <c r="AS25" s="616"/>
      <c r="AT25" s="619">
        <f>SUM(AT26:AT30)</f>
        <v>0</v>
      </c>
      <c r="AU25" s="616"/>
      <c r="AV25" s="619">
        <f>SUM(AV26:AV30)</f>
        <v>0</v>
      </c>
      <c r="AW25" s="616"/>
      <c r="AX25" s="619">
        <f>SUM(AX26:AX30)</f>
        <v>-1170305667.5361638</v>
      </c>
      <c r="AY25" s="616"/>
      <c r="AZ25" s="619">
        <f>SUM(AZ26:AZ30)</f>
        <v>0</v>
      </c>
      <c r="BA25" s="616"/>
      <c r="BB25" s="619">
        <f>SUM(BB26:BB30)</f>
        <v>0</v>
      </c>
      <c r="BC25" s="616"/>
      <c r="BD25" s="619">
        <f>SUM(BD26:BD30)</f>
        <v>-1170305667.5361638</v>
      </c>
      <c r="BE25" s="616"/>
      <c r="BF25" s="619">
        <f>ROUND(SUM(BF26:BF30),0)</f>
        <v>-1625054387</v>
      </c>
      <c r="BG25" s="616"/>
      <c r="BH25" s="617"/>
      <c r="BI25" s="304">
        <f t="shared" ref="BI25:BI30" si="32">A25</f>
        <v>200</v>
      </c>
    </row>
    <row r="26" spans="1:61" ht="14.5">
      <c r="A26" s="304">
        <f t="shared" si="15"/>
        <v>201</v>
      </c>
      <c r="B26" s="620" t="s">
        <v>1465</v>
      </c>
      <c r="C26" s="609"/>
      <c r="D26" s="609" t="s">
        <v>1466</v>
      </c>
      <c r="E26" s="304"/>
      <c r="F26" s="523" t="s">
        <v>1443</v>
      </c>
      <c r="G26" s="304"/>
      <c r="H26" s="621">
        <v>-1164217386.4685714</v>
      </c>
      <c r="I26" s="304"/>
      <c r="J26" s="621">
        <v>-407476085.264</v>
      </c>
      <c r="K26" s="616"/>
      <c r="L26" s="621">
        <v>-407476081.69378757</v>
      </c>
      <c r="M26" s="616"/>
      <c r="N26" s="621">
        <v>-0.79857784772084273</v>
      </c>
      <c r="O26" s="304"/>
      <c r="P26" s="523" t="s">
        <v>1444</v>
      </c>
      <c r="Q26" s="304"/>
      <c r="R26" s="616">
        <f>N26</f>
        <v>-0.79857784772084273</v>
      </c>
      <c r="S26" s="616"/>
      <c r="T26" s="616">
        <v>0</v>
      </c>
      <c r="U26" s="616"/>
      <c r="V26" s="616">
        <v>0</v>
      </c>
      <c r="W26" s="616"/>
      <c r="X26" s="616">
        <f t="shared" ref="X26:X30" si="33">SUM(R26:V26)</f>
        <v>-0.79857784772084273</v>
      </c>
      <c r="Y26" s="616"/>
      <c r="Z26" s="316" t="s">
        <v>1445</v>
      </c>
      <c r="AA26" s="616"/>
      <c r="AB26" s="621">
        <v>-5.8612009407430714E-2</v>
      </c>
      <c r="AC26" s="616"/>
      <c r="AD26" s="616">
        <v>0</v>
      </c>
      <c r="AE26" s="616"/>
      <c r="AF26" s="616">
        <v>0</v>
      </c>
      <c r="AG26" s="616"/>
      <c r="AH26" s="316" t="s">
        <v>1446</v>
      </c>
      <c r="AI26" s="616"/>
      <c r="AJ26" s="315">
        <f t="shared" ref="AJ26:AJ30" si="34">+R26-AB26</f>
        <v>-0.73996583831341201</v>
      </c>
      <c r="AK26" s="616"/>
      <c r="AL26" s="315">
        <f t="shared" ref="AL26:AL30" si="35">+T26-AD26</f>
        <v>0</v>
      </c>
      <c r="AM26" s="616"/>
      <c r="AN26" s="315">
        <f t="shared" ref="AN26:AN30" si="36">+V26-AF26</f>
        <v>0</v>
      </c>
      <c r="AO26" s="616"/>
      <c r="AP26" s="616">
        <f t="shared" ref="AP26:AP30" si="37">SUM(AJ26:AN26)</f>
        <v>-0.73996583831341201</v>
      </c>
      <c r="AQ26" s="616"/>
      <c r="AR26" s="621">
        <v>-2.1993377513120357E-2</v>
      </c>
      <c r="AS26" s="616"/>
      <c r="AT26" s="616">
        <v>0</v>
      </c>
      <c r="AU26" s="616"/>
      <c r="AV26" s="616">
        <v>0</v>
      </c>
      <c r="AW26" s="616"/>
      <c r="AX26" s="315">
        <f>+AJ26-AR26</f>
        <v>-0.71797246080029165</v>
      </c>
      <c r="AY26" s="616"/>
      <c r="AZ26" s="315">
        <f>+AL26-AT26</f>
        <v>0</v>
      </c>
      <c r="BA26" s="616"/>
      <c r="BB26" s="315">
        <f>+AN26-AV26</f>
        <v>0</v>
      </c>
      <c r="BC26" s="616"/>
      <c r="BD26" s="616">
        <f t="shared" ref="BD26:BD30" si="38">SUM(AX26:BB26)</f>
        <v>-0.71797246080029165</v>
      </c>
      <c r="BE26" s="616"/>
      <c r="BF26" s="616">
        <f>+BD26*$BF$10</f>
        <v>-0.99695688870908794</v>
      </c>
      <c r="BG26" s="616"/>
      <c r="BH26" s="617"/>
      <c r="BI26" s="304">
        <f t="shared" si="32"/>
        <v>201</v>
      </c>
    </row>
    <row r="27" spans="1:61" ht="14.5">
      <c r="A27" s="304">
        <f t="shared" si="15"/>
        <v>202</v>
      </c>
      <c r="B27" s="620" t="s">
        <v>1467</v>
      </c>
      <c r="C27" s="609"/>
      <c r="D27" s="609" t="s">
        <v>1466</v>
      </c>
      <c r="E27" s="304"/>
      <c r="F27" s="523" t="s">
        <v>1443</v>
      </c>
      <c r="G27" s="304"/>
      <c r="H27" s="621">
        <v>-9711400284.4914284</v>
      </c>
      <c r="I27" s="304"/>
      <c r="J27" s="621">
        <v>-3398990099.572</v>
      </c>
      <c r="K27" s="616"/>
      <c r="L27" s="621">
        <v>-2039091608.7690783</v>
      </c>
      <c r="M27" s="616"/>
      <c r="N27" s="621">
        <v>-1359898490.8029218</v>
      </c>
      <c r="O27" s="304"/>
      <c r="P27" s="523" t="s">
        <v>1444</v>
      </c>
      <c r="Q27" s="304"/>
      <c r="R27" s="616">
        <f t="shared" ref="R27:R28" si="39">N27</f>
        <v>-1359898490.8029218</v>
      </c>
      <c r="S27" s="616"/>
      <c r="T27" s="616">
        <v>0</v>
      </c>
      <c r="U27" s="616"/>
      <c r="V27" s="616">
        <v>0</v>
      </c>
      <c r="W27" s="616"/>
      <c r="X27" s="616">
        <f t="shared" si="33"/>
        <v>-1359898490.8029218</v>
      </c>
      <c r="Y27" s="616"/>
      <c r="Z27" s="316" t="s">
        <v>1445</v>
      </c>
      <c r="AA27" s="616"/>
      <c r="AB27" s="621">
        <v>-100519442.6987837</v>
      </c>
      <c r="AC27" s="616"/>
      <c r="AD27" s="616">
        <v>0</v>
      </c>
      <c r="AE27" s="616"/>
      <c r="AF27" s="616">
        <v>0</v>
      </c>
      <c r="AG27" s="616"/>
      <c r="AH27" s="316" t="s">
        <v>1446</v>
      </c>
      <c r="AI27" s="616"/>
      <c r="AJ27" s="315">
        <f t="shared" si="34"/>
        <v>-1259379048.1041381</v>
      </c>
      <c r="AK27" s="616"/>
      <c r="AL27" s="315">
        <f t="shared" si="35"/>
        <v>0</v>
      </c>
      <c r="AM27" s="616"/>
      <c r="AN27" s="315">
        <f t="shared" si="36"/>
        <v>0</v>
      </c>
      <c r="AO27" s="616"/>
      <c r="AP27" s="616">
        <f t="shared" si="37"/>
        <v>-1259379048.1041381</v>
      </c>
      <c r="AQ27" s="616"/>
      <c r="AR27" s="706">
        <v>-37437923.42112489</v>
      </c>
      <c r="AS27" s="616"/>
      <c r="AT27" s="616">
        <v>0</v>
      </c>
      <c r="AU27" s="616"/>
      <c r="AV27" s="616">
        <v>0</v>
      </c>
      <c r="AW27" s="616"/>
      <c r="AX27" s="315">
        <f>+AJ27-AR27</f>
        <v>-1221941124.6830132</v>
      </c>
      <c r="AY27" s="616"/>
      <c r="AZ27" s="315">
        <f>+AL27-AT27</f>
        <v>0</v>
      </c>
      <c r="BA27" s="616"/>
      <c r="BB27" s="315">
        <f>+AN27-AV27</f>
        <v>0</v>
      </c>
      <c r="BC27" s="616"/>
      <c r="BD27" s="616">
        <f t="shared" si="38"/>
        <v>-1221941124.6830132</v>
      </c>
      <c r="BE27" s="616"/>
      <c r="BF27" s="616">
        <f>+BD27*$BF$10</f>
        <v>-1696753968.1003399</v>
      </c>
      <c r="BG27" s="616"/>
      <c r="BH27" s="617"/>
      <c r="BI27" s="304">
        <f t="shared" si="32"/>
        <v>202</v>
      </c>
    </row>
    <row r="28" spans="1:61" ht="14.5">
      <c r="A28" s="304">
        <f t="shared" si="15"/>
        <v>203</v>
      </c>
      <c r="B28" s="620" t="s">
        <v>1468</v>
      </c>
      <c r="C28" s="609"/>
      <c r="D28" s="609" t="s">
        <v>1466</v>
      </c>
      <c r="E28" s="304"/>
      <c r="F28" s="523" t="s">
        <v>1443</v>
      </c>
      <c r="G28" s="304"/>
      <c r="H28" s="621">
        <v>408666016.86399996</v>
      </c>
      <c r="I28" s="304"/>
      <c r="J28" s="621">
        <v>143033105.90239999</v>
      </c>
      <c r="K28" s="616"/>
      <c r="L28" s="621">
        <v>85551539.890252292</v>
      </c>
      <c r="M28" s="616"/>
      <c r="N28" s="621">
        <v>57465110.064533599</v>
      </c>
      <c r="O28" s="304"/>
      <c r="P28" s="523" t="s">
        <v>1444</v>
      </c>
      <c r="Q28" s="304"/>
      <c r="R28" s="616">
        <f t="shared" si="39"/>
        <v>57465110.064533599</v>
      </c>
      <c r="S28" s="616"/>
      <c r="T28" s="616">
        <v>0</v>
      </c>
      <c r="U28" s="616"/>
      <c r="V28" s="616">
        <v>0</v>
      </c>
      <c r="W28" s="616"/>
      <c r="X28" s="616">
        <f t="shared" si="33"/>
        <v>57465110.064533599</v>
      </c>
      <c r="Y28" s="616"/>
      <c r="Z28" s="316" t="s">
        <v>1445</v>
      </c>
      <c r="AA28" s="616"/>
      <c r="AB28" s="621">
        <v>4247641.1859981259</v>
      </c>
      <c r="AC28" s="616"/>
      <c r="AD28" s="616">
        <v>0</v>
      </c>
      <c r="AE28" s="616"/>
      <c r="AF28" s="616">
        <v>0</v>
      </c>
      <c r="AG28" s="616"/>
      <c r="AH28" s="316" t="s">
        <v>1446</v>
      </c>
      <c r="AI28" s="616"/>
      <c r="AJ28" s="315">
        <f t="shared" si="34"/>
        <v>53217468.878535472</v>
      </c>
      <c r="AK28" s="616"/>
      <c r="AL28" s="315">
        <f t="shared" si="35"/>
        <v>0</v>
      </c>
      <c r="AM28" s="616"/>
      <c r="AN28" s="315">
        <f t="shared" si="36"/>
        <v>0</v>
      </c>
      <c r="AO28" s="616"/>
      <c r="AP28" s="616">
        <f t="shared" si="37"/>
        <v>53217468.878535472</v>
      </c>
      <c r="AQ28" s="616"/>
      <c r="AR28" s="706">
        <v>1582011.0137134506</v>
      </c>
      <c r="AS28" s="616"/>
      <c r="AT28" s="616">
        <v>0</v>
      </c>
      <c r="AU28" s="616"/>
      <c r="AV28" s="616">
        <v>0</v>
      </c>
      <c r="AW28" s="616"/>
      <c r="AX28" s="315">
        <f>+AJ28-AR28</f>
        <v>51635457.864822023</v>
      </c>
      <c r="AY28" s="616"/>
      <c r="AZ28" s="315">
        <f>+AL28-AT28</f>
        <v>0</v>
      </c>
      <c r="BA28" s="616"/>
      <c r="BB28" s="315">
        <f>+AN28-AV28</f>
        <v>0</v>
      </c>
      <c r="BC28" s="616"/>
      <c r="BD28" s="616">
        <f t="shared" si="38"/>
        <v>51635457.864822023</v>
      </c>
      <c r="BE28" s="616"/>
      <c r="BF28" s="616">
        <f>+BD28*$BF$10</f>
        <v>71699582.129656598</v>
      </c>
      <c r="BG28" s="616"/>
      <c r="BH28" s="617"/>
      <c r="BI28" s="304">
        <f t="shared" si="32"/>
        <v>203</v>
      </c>
    </row>
    <row r="29" spans="1:61" ht="14.5">
      <c r="A29" s="304">
        <f t="shared" si="15"/>
        <v>204</v>
      </c>
      <c r="B29" s="622" t="s">
        <v>117</v>
      </c>
      <c r="C29" s="609"/>
      <c r="D29" s="304"/>
      <c r="E29" s="304"/>
      <c r="F29" s="304"/>
      <c r="G29" s="304"/>
      <c r="H29" s="621">
        <v>0</v>
      </c>
      <c r="I29" s="304"/>
      <c r="J29" s="621"/>
      <c r="K29" s="616"/>
      <c r="L29" s="621"/>
      <c r="M29" s="616"/>
      <c r="N29" s="621">
        <v>0</v>
      </c>
      <c r="O29" s="304"/>
      <c r="P29" s="523"/>
      <c r="Q29" s="304"/>
      <c r="R29" s="616">
        <v>0</v>
      </c>
      <c r="S29" s="616"/>
      <c r="T29" s="616">
        <v>0</v>
      </c>
      <c r="U29" s="616"/>
      <c r="V29" s="616">
        <v>0</v>
      </c>
      <c r="W29" s="616"/>
      <c r="X29" s="616">
        <f t="shared" si="33"/>
        <v>0</v>
      </c>
      <c r="Y29" s="616"/>
      <c r="Z29" s="316"/>
      <c r="AA29" s="616"/>
      <c r="AB29" s="621">
        <v>0</v>
      </c>
      <c r="AC29" s="616"/>
      <c r="AD29" s="616">
        <v>0</v>
      </c>
      <c r="AE29" s="616"/>
      <c r="AF29" s="616">
        <v>0</v>
      </c>
      <c r="AG29" s="616"/>
      <c r="AH29" s="316"/>
      <c r="AI29" s="616"/>
      <c r="AJ29" s="315">
        <f t="shared" si="34"/>
        <v>0</v>
      </c>
      <c r="AK29" s="616"/>
      <c r="AL29" s="315">
        <f t="shared" si="35"/>
        <v>0</v>
      </c>
      <c r="AM29" s="616"/>
      <c r="AN29" s="315">
        <f t="shared" si="36"/>
        <v>0</v>
      </c>
      <c r="AO29" s="616"/>
      <c r="AP29" s="616">
        <f t="shared" si="37"/>
        <v>0</v>
      </c>
      <c r="AQ29" s="616"/>
      <c r="AR29" s="621"/>
      <c r="AS29" s="616"/>
      <c r="AT29" s="616">
        <v>0</v>
      </c>
      <c r="AU29" s="616"/>
      <c r="AV29" s="616">
        <v>0</v>
      </c>
      <c r="AW29" s="616"/>
      <c r="AX29" s="315">
        <f>+AJ29-AR29</f>
        <v>0</v>
      </c>
      <c r="AY29" s="616"/>
      <c r="AZ29" s="315">
        <f>+AL29-AT29</f>
        <v>0</v>
      </c>
      <c r="BA29" s="616"/>
      <c r="BB29" s="315">
        <f>+AN29-AV29</f>
        <v>0</v>
      </c>
      <c r="BC29" s="616"/>
      <c r="BD29" s="616">
        <f t="shared" si="38"/>
        <v>0</v>
      </c>
      <c r="BE29" s="616"/>
      <c r="BF29" s="616">
        <f>+BD29*$BF$10</f>
        <v>0</v>
      </c>
      <c r="BG29" s="616"/>
      <c r="BH29" s="617"/>
      <c r="BI29" s="304">
        <f t="shared" si="32"/>
        <v>204</v>
      </c>
    </row>
    <row r="30" spans="1:61" ht="14.5">
      <c r="A30" s="304">
        <f>+A29+1</f>
        <v>205</v>
      </c>
      <c r="B30" s="622" t="s">
        <v>117</v>
      </c>
      <c r="C30" s="623"/>
      <c r="D30" s="609"/>
      <c r="E30" s="609"/>
      <c r="F30" s="523"/>
      <c r="G30" s="609"/>
      <c r="H30" s="621">
        <v>0</v>
      </c>
      <c r="I30" s="609"/>
      <c r="J30" s="621"/>
      <c r="K30" s="616"/>
      <c r="L30" s="621"/>
      <c r="M30" s="616"/>
      <c r="N30" s="621"/>
      <c r="O30" s="609"/>
      <c r="P30" s="523"/>
      <c r="Q30" s="609"/>
      <c r="R30" s="616">
        <v>0</v>
      </c>
      <c r="S30" s="616"/>
      <c r="T30" s="616">
        <v>0</v>
      </c>
      <c r="U30" s="616"/>
      <c r="V30" s="616">
        <v>0</v>
      </c>
      <c r="W30" s="616"/>
      <c r="X30" s="616">
        <f t="shared" si="33"/>
        <v>0</v>
      </c>
      <c r="Y30" s="616"/>
      <c r="Z30" s="316"/>
      <c r="AA30" s="616"/>
      <c r="AB30" s="621"/>
      <c r="AC30" s="616"/>
      <c r="AD30" s="616">
        <v>0</v>
      </c>
      <c r="AE30" s="616"/>
      <c r="AF30" s="616">
        <v>0</v>
      </c>
      <c r="AG30" s="616"/>
      <c r="AH30" s="316"/>
      <c r="AI30" s="616"/>
      <c r="AJ30" s="315">
        <f t="shared" si="34"/>
        <v>0</v>
      </c>
      <c r="AK30" s="616"/>
      <c r="AL30" s="315">
        <f t="shared" si="35"/>
        <v>0</v>
      </c>
      <c r="AM30" s="616"/>
      <c r="AN30" s="315">
        <f t="shared" si="36"/>
        <v>0</v>
      </c>
      <c r="AO30" s="616"/>
      <c r="AP30" s="616">
        <f t="shared" si="37"/>
        <v>0</v>
      </c>
      <c r="AQ30" s="305"/>
      <c r="AR30" s="621"/>
      <c r="AS30" s="616"/>
      <c r="AT30" s="616">
        <v>0</v>
      </c>
      <c r="AU30" s="616"/>
      <c r="AV30" s="616">
        <v>0</v>
      </c>
      <c r="AW30" s="616"/>
      <c r="AX30" s="315">
        <f>+AJ30-AR30</f>
        <v>0</v>
      </c>
      <c r="AY30" s="616"/>
      <c r="AZ30" s="315">
        <f>+AL30-AT30</f>
        <v>0</v>
      </c>
      <c r="BA30" s="616"/>
      <c r="BB30" s="315">
        <f>+AN30-AV30</f>
        <v>0</v>
      </c>
      <c r="BC30" s="616"/>
      <c r="BD30" s="616">
        <f t="shared" si="38"/>
        <v>0</v>
      </c>
      <c r="BE30" s="305"/>
      <c r="BF30" s="616">
        <f>+BD30*$BF$10</f>
        <v>0</v>
      </c>
      <c r="BG30" s="305"/>
      <c r="BH30" s="609"/>
      <c r="BI30" s="304">
        <f t="shared" si="32"/>
        <v>205</v>
      </c>
    </row>
    <row r="31" spans="1:61" ht="14.5">
      <c r="A31" s="304"/>
      <c r="B31" s="523"/>
      <c r="C31" s="623"/>
      <c r="D31" s="609"/>
      <c r="E31" s="609"/>
      <c r="F31" s="523"/>
      <c r="G31" s="609"/>
      <c r="H31" s="616"/>
      <c r="I31" s="609"/>
      <c r="J31" s="616"/>
      <c r="K31" s="616"/>
      <c r="L31" s="616"/>
      <c r="M31" s="616"/>
      <c r="N31" s="616"/>
      <c r="O31" s="609"/>
      <c r="P31" s="523"/>
      <c r="Q31" s="609"/>
      <c r="R31" s="616"/>
      <c r="S31" s="616"/>
      <c r="T31" s="616"/>
      <c r="U31" s="616"/>
      <c r="V31" s="616"/>
      <c r="W31" s="616"/>
      <c r="X31" s="616"/>
      <c r="Y31" s="616"/>
      <c r="Z31" s="316"/>
      <c r="AA31" s="616"/>
      <c r="AB31" s="616"/>
      <c r="AC31" s="616"/>
      <c r="AD31" s="616"/>
      <c r="AE31" s="616"/>
      <c r="AF31" s="616"/>
      <c r="AG31" s="616"/>
      <c r="AH31" s="316"/>
      <c r="AI31" s="616"/>
      <c r="AJ31" s="616"/>
      <c r="AK31" s="616"/>
      <c r="AL31" s="616"/>
      <c r="AM31" s="616"/>
      <c r="AN31" s="616"/>
      <c r="AO31" s="616"/>
      <c r="AP31" s="616"/>
      <c r="AQ31" s="305"/>
      <c r="AR31" s="616"/>
      <c r="AS31" s="616"/>
      <c r="AT31" s="616"/>
      <c r="AU31" s="616"/>
      <c r="AV31" s="616"/>
      <c r="AW31" s="616"/>
      <c r="AX31" s="616"/>
      <c r="AY31" s="616"/>
      <c r="AZ31" s="616"/>
      <c r="BA31" s="616"/>
      <c r="BB31" s="616"/>
      <c r="BC31" s="616"/>
      <c r="BD31" s="616"/>
      <c r="BE31" s="305"/>
      <c r="BF31" s="616"/>
      <c r="BG31" s="305"/>
      <c r="BH31" s="609"/>
      <c r="BI31" s="304"/>
    </row>
    <row r="32" spans="1:61" ht="14.5">
      <c r="A32" s="304"/>
      <c r="B32" s="523"/>
      <c r="F32" s="624"/>
      <c r="H32" s="616"/>
      <c r="J32" s="616"/>
      <c r="K32" s="616"/>
      <c r="L32" s="616"/>
      <c r="M32" s="616"/>
      <c r="N32" s="616"/>
      <c r="P32" s="625"/>
      <c r="R32" s="616"/>
      <c r="S32" s="616"/>
      <c r="T32" s="616"/>
      <c r="U32" s="616"/>
      <c r="V32" s="616"/>
      <c r="W32" s="616"/>
      <c r="X32" s="616"/>
      <c r="Y32" s="616"/>
      <c r="Z32" s="316"/>
      <c r="AA32" s="616"/>
      <c r="AB32" s="616"/>
      <c r="AC32" s="616"/>
      <c r="AD32" s="616"/>
      <c r="AE32" s="616"/>
      <c r="AF32" s="616"/>
      <c r="AG32" s="616"/>
      <c r="AH32" s="316"/>
      <c r="AI32" s="616"/>
      <c r="AJ32" s="616"/>
      <c r="AK32" s="616"/>
      <c r="AL32" s="616"/>
      <c r="AM32" s="616"/>
      <c r="AN32" s="616"/>
      <c r="AO32" s="616"/>
      <c r="AP32" s="616"/>
      <c r="AR32" s="616"/>
      <c r="AS32" s="616"/>
      <c r="AT32" s="616"/>
      <c r="AU32" s="616"/>
      <c r="AV32" s="616"/>
      <c r="AW32" s="616"/>
      <c r="AX32" s="616"/>
      <c r="AY32" s="616"/>
      <c r="AZ32" s="616"/>
      <c r="BA32" s="616"/>
      <c r="BB32" s="616"/>
      <c r="BC32" s="616"/>
      <c r="BD32" s="616"/>
      <c r="BF32" s="616"/>
      <c r="BI32" s="304"/>
    </row>
    <row r="33" spans="1:61" ht="14.5">
      <c r="A33" s="201" t="s">
        <v>90</v>
      </c>
      <c r="F33" s="624"/>
      <c r="H33" s="554"/>
      <c r="P33" s="625"/>
      <c r="R33" s="616"/>
      <c r="S33" s="616"/>
      <c r="T33" s="616"/>
      <c r="U33" s="616"/>
      <c r="V33" s="616"/>
      <c r="W33" s="616"/>
      <c r="X33" s="616"/>
      <c r="Y33" s="616"/>
      <c r="Z33" s="316"/>
      <c r="AA33" s="616"/>
      <c r="AC33" s="616"/>
      <c r="AE33" s="616"/>
      <c r="AG33" s="616"/>
      <c r="AH33" s="316"/>
      <c r="AI33" s="616"/>
      <c r="AJ33" s="616"/>
      <c r="AK33" s="616"/>
      <c r="AL33" s="616"/>
      <c r="AM33" s="616"/>
      <c r="AN33" s="616"/>
      <c r="AO33" s="616"/>
      <c r="AP33" s="616"/>
      <c r="AS33" s="616"/>
      <c r="AU33" s="616"/>
      <c r="AW33" s="616"/>
      <c r="AX33" s="616"/>
      <c r="AY33" s="616"/>
      <c r="AZ33" s="616"/>
      <c r="BA33" s="616"/>
      <c r="BB33" s="616"/>
      <c r="BC33" s="616"/>
      <c r="BD33" s="616"/>
      <c r="BI33" s="201" t="s">
        <v>90</v>
      </c>
    </row>
    <row r="34" spans="1:61" ht="14.5">
      <c r="A34" s="304">
        <v>300</v>
      </c>
      <c r="B34" s="609" t="s">
        <v>1469</v>
      </c>
      <c r="F34" s="624"/>
      <c r="H34" s="619">
        <f>ROUND(SUM(H35:H91),0)</f>
        <v>-6537338076</v>
      </c>
      <c r="J34" s="619">
        <f>ROUND(SUM(J35:J91),0)</f>
        <v>-967358790</v>
      </c>
      <c r="K34" s="616"/>
      <c r="L34" s="619">
        <f>ROUND(SUM(L35:L91),0)</f>
        <v>-577410203</v>
      </c>
      <c r="M34" s="616"/>
      <c r="N34" s="619">
        <f>ROUND(SUM(N35:N91),0)</f>
        <v>-389961967</v>
      </c>
      <c r="O34" s="304"/>
      <c r="P34" s="523"/>
      <c r="Q34" s="304"/>
      <c r="R34" s="619">
        <f>ROUND(SUM(R35:R91),0)</f>
        <v>143301951</v>
      </c>
      <c r="S34" s="616"/>
      <c r="T34" s="619">
        <f>ROUND(SUM(T35:T91),0)</f>
        <v>-533263918</v>
      </c>
      <c r="U34" s="616"/>
      <c r="V34" s="619">
        <f>ROUND(SUM(V35:V91),0)</f>
        <v>0</v>
      </c>
      <c r="W34" s="616"/>
      <c r="X34" s="619">
        <f>ROUND(SUM(X35:X91),0)</f>
        <v>-389961967</v>
      </c>
      <c r="Y34" s="616"/>
      <c r="Z34" s="316"/>
      <c r="AA34" s="616"/>
      <c r="AB34" s="619">
        <f>SUM(AB35:AB91)</f>
        <v>31542348.201684125</v>
      </c>
      <c r="AC34" s="616"/>
      <c r="AD34" s="619">
        <f>SUM(AD35:AD91)</f>
        <v>-39417200.751207225</v>
      </c>
      <c r="AE34" s="616"/>
      <c r="AF34" s="619">
        <f>SUM(AF35:AF91)</f>
        <v>0</v>
      </c>
      <c r="AG34" s="616"/>
      <c r="AH34" s="316"/>
      <c r="AI34" s="616"/>
      <c r="AJ34" s="619">
        <f>SUM(AJ35:AJ91)</f>
        <v>111759602.79695471</v>
      </c>
      <c r="AK34" s="616"/>
      <c r="AL34" s="619">
        <f>SUM(AL35:AL91)</f>
        <v>-493846716.89575255</v>
      </c>
      <c r="AM34" s="616"/>
      <c r="AN34" s="619">
        <f>SUM(AN35:AN91)</f>
        <v>0</v>
      </c>
      <c r="AO34" s="616"/>
      <c r="AP34" s="619">
        <f>SUM(AP35:AP91)</f>
        <v>-382087114.09879768</v>
      </c>
      <c r="AR34" s="619">
        <f>SUM(AR35:AR91)</f>
        <v>13877289.495001504</v>
      </c>
      <c r="AS34" s="616"/>
      <c r="AT34" s="619">
        <f>SUM(AT35:AT91)</f>
        <v>-14680723.495407661</v>
      </c>
      <c r="AU34" s="616"/>
      <c r="AV34" s="619">
        <f>SUM(AV35:AV91)</f>
        <v>0</v>
      </c>
      <c r="AW34" s="616"/>
      <c r="AX34" s="619">
        <f>SUM(AX35:AX91)</f>
        <v>97882313.301953197</v>
      </c>
      <c r="AY34" s="616"/>
      <c r="AZ34" s="619">
        <f>SUM(AZ35:AZ91)</f>
        <v>-479165993.40034485</v>
      </c>
      <c r="BA34" s="616"/>
      <c r="BB34" s="619">
        <f>SUM(BB35:BB91)</f>
        <v>0</v>
      </c>
      <c r="BC34" s="616"/>
      <c r="BD34" s="619">
        <f>SUM(BD35:BD91)</f>
        <v>-381283680.09839171</v>
      </c>
      <c r="BF34" s="619">
        <f>ROUND(SUM(BF35:BF91),0)</f>
        <v>-529440072</v>
      </c>
      <c r="BI34" s="304">
        <f t="shared" ref="BI34:BI91" si="40">A34</f>
        <v>300</v>
      </c>
    </row>
    <row r="35" spans="1:61" ht="14.5">
      <c r="A35" s="304">
        <f t="shared" ref="A35:A91" si="41">A34+1</f>
        <v>301</v>
      </c>
      <c r="B35" s="620" t="s">
        <v>1470</v>
      </c>
      <c r="F35" s="624" t="s">
        <v>1443</v>
      </c>
      <c r="H35" s="621">
        <v>17450347.033142857</v>
      </c>
      <c r="J35" s="621">
        <v>6107621.4616</v>
      </c>
      <c r="K35" s="616"/>
      <c r="L35" s="621">
        <v>3664573.085138143</v>
      </c>
      <c r="M35" s="616"/>
      <c r="N35" s="621">
        <v>2443048.376461857</v>
      </c>
      <c r="P35" s="626" t="s">
        <v>1444</v>
      </c>
      <c r="R35" s="616">
        <v>0</v>
      </c>
      <c r="S35" s="616"/>
      <c r="T35" s="616">
        <f>N35</f>
        <v>2443048.376461857</v>
      </c>
      <c r="U35" s="616"/>
      <c r="V35" s="616">
        <v>0</v>
      </c>
      <c r="W35" s="616"/>
      <c r="X35" s="616">
        <f>SUM(R35:V35)</f>
        <v>2443048.376461857</v>
      </c>
      <c r="Y35" s="616"/>
      <c r="Z35" s="316" t="s">
        <v>1471</v>
      </c>
      <c r="AA35" s="616"/>
      <c r="AB35" s="616">
        <v>0</v>
      </c>
      <c r="AC35" s="616"/>
      <c r="AD35" s="621">
        <v>180582.49417066458</v>
      </c>
      <c r="AE35" s="616"/>
      <c r="AF35" s="616">
        <v>0</v>
      </c>
      <c r="AG35" s="616"/>
      <c r="AH35" s="316" t="s">
        <v>1446</v>
      </c>
      <c r="AI35" s="616"/>
      <c r="AJ35" s="315">
        <f t="shared" ref="AJ35:AJ91" si="42">+R35-AB35</f>
        <v>0</v>
      </c>
      <c r="AK35" s="616"/>
      <c r="AL35" s="315">
        <f t="shared" ref="AL35:AL91" si="43">+T35-AD35</f>
        <v>2262465.8822911922</v>
      </c>
      <c r="AM35" s="616"/>
      <c r="AN35" s="315">
        <f t="shared" ref="AN35:AN91" si="44">+V35-AF35</f>
        <v>0</v>
      </c>
      <c r="AO35" s="616"/>
      <c r="AP35" s="616">
        <f t="shared" ref="AP35:AP91" si="45">SUM(AJ35:AN35)</f>
        <v>2262465.8822911922</v>
      </c>
      <c r="AR35" s="616">
        <v>0</v>
      </c>
      <c r="AS35" s="616"/>
      <c r="AT35" s="706">
        <v>67256.974436437828</v>
      </c>
      <c r="AU35" s="616"/>
      <c r="AV35" s="616">
        <v>0</v>
      </c>
      <c r="AW35" s="616"/>
      <c r="AX35" s="315">
        <f t="shared" ref="AX35:AX91" si="46">+AJ35-AR35</f>
        <v>0</v>
      </c>
      <c r="AY35" s="616"/>
      <c r="AZ35" s="315">
        <f t="shared" ref="AZ35:AZ91" si="47">+AL35-AT35</f>
        <v>2195208.9078547545</v>
      </c>
      <c r="BA35" s="616"/>
      <c r="BB35" s="315">
        <f t="shared" ref="BB35:BB91" si="48">+AN35-AV35</f>
        <v>0</v>
      </c>
      <c r="BC35" s="616"/>
      <c r="BD35" s="616">
        <f t="shared" ref="BD35:BD91" si="49">SUM(AX35:BB35)</f>
        <v>2195208.9078547545</v>
      </c>
      <c r="BF35" s="616">
        <f t="shared" ref="BF35:BF91" si="50">+BD35*$BF$10</f>
        <v>3048206.9471047628</v>
      </c>
      <c r="BI35" s="304">
        <f t="shared" si="40"/>
        <v>301</v>
      </c>
    </row>
    <row r="36" spans="1:61" ht="14.5">
      <c r="A36" s="304">
        <f t="shared" si="41"/>
        <v>302</v>
      </c>
      <c r="B36" s="620" t="s">
        <v>1472</v>
      </c>
      <c r="F36" s="624" t="s">
        <v>1443</v>
      </c>
      <c r="H36" s="621">
        <v>-147065142.85714287</v>
      </c>
      <c r="J36" s="621">
        <v>-51472800</v>
      </c>
      <c r="K36" s="616"/>
      <c r="L36" s="621">
        <v>-30883680.335588321</v>
      </c>
      <c r="M36" s="616"/>
      <c r="N36" s="621">
        <v>-20589119.664411679</v>
      </c>
      <c r="P36" s="626" t="s">
        <v>1444</v>
      </c>
      <c r="R36" s="616">
        <v>0</v>
      </c>
      <c r="S36" s="616"/>
      <c r="T36" s="616">
        <f t="shared" ref="T36:T91" si="51">N36</f>
        <v>-20589119.664411679</v>
      </c>
      <c r="U36" s="616"/>
      <c r="V36" s="616">
        <v>0</v>
      </c>
      <c r="W36" s="616"/>
      <c r="X36" s="616">
        <f t="shared" ref="X36:X97" si="52">SUM(R36:V36)</f>
        <v>-20589119.664411679</v>
      </c>
      <c r="Y36" s="616"/>
      <c r="Z36" s="316" t="s">
        <v>1471</v>
      </c>
      <c r="AA36" s="616"/>
      <c r="AB36" s="616">
        <v>0</v>
      </c>
      <c r="AC36" s="616"/>
      <c r="AD36" s="621">
        <v>-1521883.323146625</v>
      </c>
      <c r="AE36" s="616"/>
      <c r="AF36" s="616">
        <v>0</v>
      </c>
      <c r="AG36" s="616"/>
      <c r="AH36" s="316" t="s">
        <v>1446</v>
      </c>
      <c r="AI36" s="616"/>
      <c r="AJ36" s="315">
        <f t="shared" si="42"/>
        <v>0</v>
      </c>
      <c r="AK36" s="616"/>
      <c r="AL36" s="315">
        <f t="shared" si="43"/>
        <v>-19067236.341265053</v>
      </c>
      <c r="AM36" s="616"/>
      <c r="AN36" s="315">
        <f t="shared" si="44"/>
        <v>0</v>
      </c>
      <c r="AO36" s="616"/>
      <c r="AP36" s="616">
        <f t="shared" si="45"/>
        <v>-19067236.341265053</v>
      </c>
      <c r="AR36" s="616">
        <v>0</v>
      </c>
      <c r="AS36" s="616"/>
      <c r="AT36" s="706">
        <v>-566817.22240129195</v>
      </c>
      <c r="AU36" s="616"/>
      <c r="AV36" s="616">
        <v>0</v>
      </c>
      <c r="AW36" s="616"/>
      <c r="AX36" s="315">
        <f t="shared" si="46"/>
        <v>0</v>
      </c>
      <c r="AY36" s="616"/>
      <c r="AZ36" s="315">
        <f t="shared" si="47"/>
        <v>-18500419.118863761</v>
      </c>
      <c r="BA36" s="616"/>
      <c r="BB36" s="315">
        <f t="shared" si="48"/>
        <v>0</v>
      </c>
      <c r="BC36" s="616"/>
      <c r="BD36" s="616">
        <f t="shared" si="49"/>
        <v>-18500419.118863761</v>
      </c>
      <c r="BF36" s="616">
        <f t="shared" si="50"/>
        <v>-25689175.130753215</v>
      </c>
      <c r="BI36" s="304">
        <f t="shared" si="40"/>
        <v>302</v>
      </c>
    </row>
    <row r="37" spans="1:61" ht="14.5">
      <c r="A37" s="304">
        <f t="shared" si="41"/>
        <v>303</v>
      </c>
      <c r="B37" s="620" t="s">
        <v>1473</v>
      </c>
      <c r="F37" s="624" t="s">
        <v>1443</v>
      </c>
      <c r="H37" s="621">
        <v>-274950118.55085713</v>
      </c>
      <c r="J37" s="621">
        <v>-96232541.492799997</v>
      </c>
      <c r="K37" s="616"/>
      <c r="L37" s="621">
        <v>-57739525.206700422</v>
      </c>
      <c r="M37" s="616"/>
      <c r="N37" s="621">
        <v>-38493016.286099583</v>
      </c>
      <c r="P37" s="626" t="s">
        <v>1444</v>
      </c>
      <c r="R37" s="616">
        <v>0</v>
      </c>
      <c r="S37" s="616"/>
      <c r="T37" s="616">
        <f t="shared" si="51"/>
        <v>-38493016.286099583</v>
      </c>
      <c r="U37" s="616"/>
      <c r="V37" s="616">
        <v>0</v>
      </c>
      <c r="W37" s="616"/>
      <c r="X37" s="616">
        <f t="shared" si="52"/>
        <v>-38493016.286099583</v>
      </c>
      <c r="Y37" s="616"/>
      <c r="Z37" s="316" t="s">
        <v>1471</v>
      </c>
      <c r="AA37" s="616"/>
      <c r="AB37" s="616">
        <v>0</v>
      </c>
      <c r="AC37" s="616"/>
      <c r="AD37" s="621">
        <v>-2845283.3583111009</v>
      </c>
      <c r="AE37" s="616"/>
      <c r="AF37" s="616">
        <v>0</v>
      </c>
      <c r="AG37" s="616"/>
      <c r="AH37" s="316" t="s">
        <v>1446</v>
      </c>
      <c r="AI37" s="616"/>
      <c r="AJ37" s="315">
        <f t="shared" si="42"/>
        <v>0</v>
      </c>
      <c r="AK37" s="616"/>
      <c r="AL37" s="315">
        <f t="shared" si="43"/>
        <v>-35647732.927788481</v>
      </c>
      <c r="AM37" s="616"/>
      <c r="AN37" s="315">
        <f t="shared" si="44"/>
        <v>0</v>
      </c>
      <c r="AO37" s="616"/>
      <c r="AP37" s="616">
        <f t="shared" si="45"/>
        <v>-35647732.927788481</v>
      </c>
      <c r="AR37" s="616">
        <v>0</v>
      </c>
      <c r="AS37" s="616"/>
      <c r="AT37" s="706">
        <v>-1059710.4164122168</v>
      </c>
      <c r="AU37" s="616"/>
      <c r="AV37" s="616">
        <v>0</v>
      </c>
      <c r="AW37" s="616"/>
      <c r="AX37" s="315">
        <f t="shared" si="46"/>
        <v>0</v>
      </c>
      <c r="AY37" s="616"/>
      <c r="AZ37" s="315">
        <f t="shared" si="47"/>
        <v>-34588022.511376262</v>
      </c>
      <c r="BA37" s="616"/>
      <c r="BB37" s="315">
        <f t="shared" si="48"/>
        <v>0</v>
      </c>
      <c r="BC37" s="616"/>
      <c r="BD37" s="616">
        <f t="shared" si="49"/>
        <v>-34588022.511376262</v>
      </c>
      <c r="BF37" s="616">
        <f t="shared" si="50"/>
        <v>-48027980.448031642</v>
      </c>
      <c r="BI37" s="304">
        <f t="shared" si="40"/>
        <v>303</v>
      </c>
    </row>
    <row r="38" spans="1:61" ht="14.5">
      <c r="A38" s="304">
        <f t="shared" si="41"/>
        <v>304</v>
      </c>
      <c r="B38" s="620" t="s">
        <v>1474</v>
      </c>
      <c r="F38" s="624" t="s">
        <v>1443</v>
      </c>
      <c r="H38" s="621">
        <v>-158580905.14514288</v>
      </c>
      <c r="J38" s="621">
        <v>-55503316.800800003</v>
      </c>
      <c r="K38" s="616"/>
      <c r="L38" s="621">
        <v>-33301990.229054164</v>
      </c>
      <c r="M38" s="616"/>
      <c r="N38" s="621">
        <v>-22201326.571745835</v>
      </c>
      <c r="P38" s="626" t="s">
        <v>1444</v>
      </c>
      <c r="R38" s="616">
        <v>0</v>
      </c>
      <c r="S38" s="616"/>
      <c r="T38" s="616">
        <f t="shared" si="51"/>
        <v>-22201326.571745835</v>
      </c>
      <c r="U38" s="616"/>
      <c r="V38" s="616">
        <v>0</v>
      </c>
      <c r="W38" s="616"/>
      <c r="X38" s="616">
        <f t="shared" si="52"/>
        <v>-22201326.571745835</v>
      </c>
      <c r="Y38" s="616"/>
      <c r="Z38" s="316" t="s">
        <v>1471</v>
      </c>
      <c r="AA38" s="616"/>
      <c r="AB38" s="616">
        <v>0</v>
      </c>
      <c r="AC38" s="616"/>
      <c r="AD38" s="621">
        <v>-1641052.6147785876</v>
      </c>
      <c r="AE38" s="616"/>
      <c r="AF38" s="616">
        <v>0</v>
      </c>
      <c r="AG38" s="616"/>
      <c r="AH38" s="316" t="s">
        <v>1446</v>
      </c>
      <c r="AI38" s="616"/>
      <c r="AJ38" s="315">
        <f t="shared" si="42"/>
        <v>0</v>
      </c>
      <c r="AK38" s="616"/>
      <c r="AL38" s="315">
        <f t="shared" si="43"/>
        <v>-20560273.95696725</v>
      </c>
      <c r="AM38" s="616"/>
      <c r="AN38" s="315">
        <f t="shared" si="44"/>
        <v>0</v>
      </c>
      <c r="AO38" s="616"/>
      <c r="AP38" s="616">
        <f t="shared" si="45"/>
        <v>-20560273.95696725</v>
      </c>
      <c r="AR38" s="616">
        <v>0</v>
      </c>
      <c r="AS38" s="616"/>
      <c r="AT38" s="706">
        <v>-611201.18130998069</v>
      </c>
      <c r="AU38" s="616"/>
      <c r="AV38" s="616">
        <v>0</v>
      </c>
      <c r="AW38" s="616"/>
      <c r="AX38" s="315">
        <f t="shared" si="46"/>
        <v>0</v>
      </c>
      <c r="AY38" s="616"/>
      <c r="AZ38" s="315">
        <f t="shared" si="47"/>
        <v>-19949072.77565727</v>
      </c>
      <c r="BA38" s="616"/>
      <c r="BB38" s="315">
        <f t="shared" si="48"/>
        <v>0</v>
      </c>
      <c r="BC38" s="616"/>
      <c r="BD38" s="616">
        <f t="shared" si="49"/>
        <v>-19949072.77565727</v>
      </c>
      <c r="BF38" s="616">
        <f t="shared" si="50"/>
        <v>-27700735.909677889</v>
      </c>
      <c r="BI38" s="304">
        <f t="shared" si="40"/>
        <v>304</v>
      </c>
    </row>
    <row r="39" spans="1:61" ht="14.5">
      <c r="A39" s="304">
        <f t="shared" si="41"/>
        <v>305</v>
      </c>
      <c r="B39" s="620" t="s">
        <v>1475</v>
      </c>
      <c r="F39" s="624" t="s">
        <v>1443</v>
      </c>
      <c r="H39" s="621">
        <v>-3991847.7600000002</v>
      </c>
      <c r="J39" s="621">
        <v>-1397146.716</v>
      </c>
      <c r="K39" s="616"/>
      <c r="L39" s="621">
        <v>-838288.11376799992</v>
      </c>
      <c r="M39" s="616"/>
      <c r="N39" s="621">
        <v>-558858.60223200009</v>
      </c>
      <c r="P39" s="626" t="s">
        <v>1444</v>
      </c>
      <c r="R39" s="616">
        <v>0</v>
      </c>
      <c r="S39" s="616"/>
      <c r="T39" s="616">
        <f t="shared" si="51"/>
        <v>-558858.60223200009</v>
      </c>
      <c r="U39" s="616"/>
      <c r="V39" s="616">
        <v>0</v>
      </c>
      <c r="W39" s="616"/>
      <c r="X39" s="616">
        <f t="shared" si="52"/>
        <v>-558858.60223200009</v>
      </c>
      <c r="Y39" s="616"/>
      <c r="Z39" s="316" t="s">
        <v>1471</v>
      </c>
      <c r="AA39" s="616"/>
      <c r="AB39" s="616">
        <v>0</v>
      </c>
      <c r="AC39" s="616"/>
      <c r="AD39" s="621">
        <v>-41309.079775957347</v>
      </c>
      <c r="AE39" s="616"/>
      <c r="AF39" s="616">
        <v>0</v>
      </c>
      <c r="AG39" s="616"/>
      <c r="AH39" s="316" t="s">
        <v>1446</v>
      </c>
      <c r="AI39" s="616"/>
      <c r="AJ39" s="315">
        <f t="shared" si="42"/>
        <v>0</v>
      </c>
      <c r="AK39" s="616"/>
      <c r="AL39" s="315">
        <f t="shared" si="43"/>
        <v>-517549.52245604276</v>
      </c>
      <c r="AM39" s="616"/>
      <c r="AN39" s="315">
        <f t="shared" si="44"/>
        <v>0</v>
      </c>
      <c r="AO39" s="616"/>
      <c r="AP39" s="616">
        <f t="shared" si="45"/>
        <v>-517549.52245604276</v>
      </c>
      <c r="AR39" s="616">
        <v>0</v>
      </c>
      <c r="AS39" s="616"/>
      <c r="AT39" s="706">
        <v>-15385.343608437484</v>
      </c>
      <c r="AU39" s="616"/>
      <c r="AV39" s="616">
        <v>0</v>
      </c>
      <c r="AW39" s="616"/>
      <c r="AX39" s="315">
        <f t="shared" si="46"/>
        <v>0</v>
      </c>
      <c r="AY39" s="616"/>
      <c r="AZ39" s="315">
        <f t="shared" si="47"/>
        <v>-502164.17884760525</v>
      </c>
      <c r="BA39" s="616"/>
      <c r="BB39" s="315">
        <f t="shared" si="48"/>
        <v>0</v>
      </c>
      <c r="BC39" s="616"/>
      <c r="BD39" s="616">
        <f t="shared" si="49"/>
        <v>-502164.17884760525</v>
      </c>
      <c r="BF39" s="616">
        <f t="shared" si="50"/>
        <v>-697291.42090913351</v>
      </c>
      <c r="BI39" s="304">
        <f t="shared" si="40"/>
        <v>305</v>
      </c>
    </row>
    <row r="40" spans="1:61" ht="14.5">
      <c r="A40" s="304">
        <f t="shared" si="41"/>
        <v>306</v>
      </c>
      <c r="B40" s="620" t="s">
        <v>1476</v>
      </c>
      <c r="F40" s="624" t="s">
        <v>1443</v>
      </c>
      <c r="H40" s="621">
        <v>380491.42857142858</v>
      </c>
      <c r="J40" s="621">
        <v>133172</v>
      </c>
      <c r="K40" s="616"/>
      <c r="L40" s="621">
        <v>79903.251144966285</v>
      </c>
      <c r="M40" s="616"/>
      <c r="N40" s="621">
        <v>53268.748855033715</v>
      </c>
      <c r="P40" s="626" t="s">
        <v>1444</v>
      </c>
      <c r="R40" s="616">
        <v>0</v>
      </c>
      <c r="S40" s="616"/>
      <c r="T40" s="616">
        <f t="shared" si="51"/>
        <v>53268.748855033715</v>
      </c>
      <c r="U40" s="616"/>
      <c r="V40" s="616">
        <v>0</v>
      </c>
      <c r="W40" s="616"/>
      <c r="X40" s="616">
        <f t="shared" si="52"/>
        <v>53268.748855033715</v>
      </c>
      <c r="Y40" s="616"/>
      <c r="Z40" s="316" t="s">
        <v>1471</v>
      </c>
      <c r="AA40" s="616"/>
      <c r="AB40" s="616">
        <v>0</v>
      </c>
      <c r="AC40" s="616"/>
      <c r="AD40" s="621">
        <v>3937.4592915446137</v>
      </c>
      <c r="AE40" s="616"/>
      <c r="AF40" s="616">
        <v>0</v>
      </c>
      <c r="AG40" s="616"/>
      <c r="AH40" s="316" t="s">
        <v>1446</v>
      </c>
      <c r="AI40" s="616"/>
      <c r="AJ40" s="315">
        <f t="shared" si="42"/>
        <v>0</v>
      </c>
      <c r="AK40" s="616"/>
      <c r="AL40" s="315">
        <f t="shared" si="43"/>
        <v>49331.289563489103</v>
      </c>
      <c r="AM40" s="616"/>
      <c r="AN40" s="315">
        <f t="shared" si="44"/>
        <v>0</v>
      </c>
      <c r="AO40" s="616"/>
      <c r="AP40" s="616">
        <f t="shared" si="45"/>
        <v>49331.289563489103</v>
      </c>
      <c r="AR40" s="616">
        <v>0</v>
      </c>
      <c r="AS40" s="616"/>
      <c r="AT40" s="706">
        <v>1466.4854427453724</v>
      </c>
      <c r="AU40" s="616"/>
      <c r="AV40" s="616">
        <v>0</v>
      </c>
      <c r="AW40" s="616"/>
      <c r="AX40" s="315">
        <f t="shared" si="46"/>
        <v>0</v>
      </c>
      <c r="AY40" s="616"/>
      <c r="AZ40" s="315">
        <f t="shared" si="47"/>
        <v>47864.804120743727</v>
      </c>
      <c r="BA40" s="616"/>
      <c r="BB40" s="315">
        <f t="shared" si="48"/>
        <v>0</v>
      </c>
      <c r="BC40" s="616"/>
      <c r="BD40" s="616">
        <f t="shared" si="49"/>
        <v>47864.804120743727</v>
      </c>
      <c r="BF40" s="616">
        <f t="shared" si="50"/>
        <v>66463.755645580342</v>
      </c>
      <c r="BI40" s="304">
        <f t="shared" si="40"/>
        <v>306</v>
      </c>
    </row>
    <row r="41" spans="1:61" ht="14.5">
      <c r="A41" s="304">
        <f t="shared" si="41"/>
        <v>307</v>
      </c>
      <c r="B41" s="620" t="s">
        <v>1477</v>
      </c>
      <c r="F41" s="624" t="s">
        <v>1443</v>
      </c>
      <c r="H41" s="621">
        <v>-834502531.42857146</v>
      </c>
      <c r="J41" s="621">
        <v>-292075886</v>
      </c>
      <c r="K41" s="616"/>
      <c r="L41" s="621">
        <v>-175245531.22331384</v>
      </c>
      <c r="M41" s="616"/>
      <c r="N41" s="621">
        <v>-116830354.77668616</v>
      </c>
      <c r="P41" s="626" t="s">
        <v>1444</v>
      </c>
      <c r="R41" s="616">
        <v>0</v>
      </c>
      <c r="S41" s="616"/>
      <c r="T41" s="616">
        <f t="shared" si="51"/>
        <v>-116830354.77668616</v>
      </c>
      <c r="U41" s="616"/>
      <c r="V41" s="616">
        <v>0</v>
      </c>
      <c r="W41" s="616"/>
      <c r="X41" s="616">
        <f t="shared" si="52"/>
        <v>-116830354.77668616</v>
      </c>
      <c r="Y41" s="616"/>
      <c r="Z41" s="316" t="s">
        <v>1471</v>
      </c>
      <c r="AA41" s="616"/>
      <c r="AB41" s="616">
        <v>0</v>
      </c>
      <c r="AC41" s="616"/>
      <c r="AD41" s="621">
        <v>-8635734.3815565649</v>
      </c>
      <c r="AE41" s="616"/>
      <c r="AF41" s="616">
        <v>0</v>
      </c>
      <c r="AG41" s="616"/>
      <c r="AH41" s="316" t="s">
        <v>1446</v>
      </c>
      <c r="AI41" s="616"/>
      <c r="AJ41" s="315">
        <f t="shared" si="42"/>
        <v>0</v>
      </c>
      <c r="AK41" s="616"/>
      <c r="AL41" s="315">
        <f t="shared" si="43"/>
        <v>-108194620.39512959</v>
      </c>
      <c r="AM41" s="616"/>
      <c r="AN41" s="315">
        <f t="shared" si="44"/>
        <v>0</v>
      </c>
      <c r="AO41" s="616"/>
      <c r="AP41" s="616">
        <f t="shared" si="45"/>
        <v>-108194620.39512959</v>
      </c>
      <c r="AR41" s="616">
        <v>0</v>
      </c>
      <c r="AS41" s="616"/>
      <c r="AT41" s="706">
        <v>-3216332.6196574904</v>
      </c>
      <c r="AU41" s="616"/>
      <c r="AV41" s="616">
        <v>0</v>
      </c>
      <c r="AW41" s="616"/>
      <c r="AX41" s="315">
        <f t="shared" si="46"/>
        <v>0</v>
      </c>
      <c r="AY41" s="616"/>
      <c r="AZ41" s="315">
        <f t="shared" si="47"/>
        <v>-104978287.7754721</v>
      </c>
      <c r="BA41" s="616"/>
      <c r="BB41" s="315">
        <f t="shared" si="48"/>
        <v>0</v>
      </c>
      <c r="BC41" s="616"/>
      <c r="BD41" s="616">
        <f t="shared" si="49"/>
        <v>-104978287.7754721</v>
      </c>
      <c r="BF41" s="616">
        <f t="shared" si="50"/>
        <v>-145769974.30511951</v>
      </c>
      <c r="BI41" s="304">
        <f t="shared" si="40"/>
        <v>307</v>
      </c>
    </row>
    <row r="42" spans="1:61" ht="14.5">
      <c r="A42" s="304">
        <f t="shared" si="41"/>
        <v>308</v>
      </c>
      <c r="B42" s="620" t="s">
        <v>1478</v>
      </c>
      <c r="F42" s="624" t="s">
        <v>1443</v>
      </c>
      <c r="H42" s="621">
        <v>1137009073.8537145</v>
      </c>
      <c r="J42" s="621">
        <v>397953175.8488</v>
      </c>
      <c r="K42" s="616"/>
      <c r="L42" s="621">
        <v>238771905.94613707</v>
      </c>
      <c r="M42" s="616"/>
      <c r="N42" s="621">
        <v>159181269.90266293</v>
      </c>
      <c r="P42" s="626" t="s">
        <v>1444</v>
      </c>
      <c r="R42" s="616">
        <f>N42</f>
        <v>159181269.90266293</v>
      </c>
      <c r="S42" s="616"/>
      <c r="T42" s="616"/>
      <c r="U42" s="616"/>
      <c r="V42" s="616">
        <v>0</v>
      </c>
      <c r="W42" s="616"/>
      <c r="X42" s="616">
        <f t="shared" si="52"/>
        <v>159181269.90266293</v>
      </c>
      <c r="Y42" s="616"/>
      <c r="Z42" s="316" t="s">
        <v>1445</v>
      </c>
      <c r="AA42" s="616"/>
      <c r="AB42" s="621">
        <v>35037562.346263848</v>
      </c>
      <c r="AC42" s="616"/>
      <c r="AD42" s="616">
        <v>0</v>
      </c>
      <c r="AE42" s="616"/>
      <c r="AF42" s="616">
        <v>0</v>
      </c>
      <c r="AG42" s="616"/>
      <c r="AH42" s="316" t="s">
        <v>1446</v>
      </c>
      <c r="AI42" s="616"/>
      <c r="AJ42" s="315">
        <f t="shared" si="42"/>
        <v>124143707.55639908</v>
      </c>
      <c r="AK42" s="616"/>
      <c r="AL42" s="315">
        <f t="shared" si="43"/>
        <v>0</v>
      </c>
      <c r="AM42" s="616"/>
      <c r="AN42" s="315">
        <f t="shared" si="44"/>
        <v>0</v>
      </c>
      <c r="AO42" s="616"/>
      <c r="AP42" s="616">
        <f t="shared" si="45"/>
        <v>124143707.55639908</v>
      </c>
      <c r="AR42" s="621">
        <v>15415034.821418487</v>
      </c>
      <c r="AS42" s="616"/>
      <c r="AT42" s="616"/>
      <c r="AU42" s="616"/>
      <c r="AV42" s="616">
        <v>0</v>
      </c>
      <c r="AW42" s="616"/>
      <c r="AX42" s="315">
        <f t="shared" si="46"/>
        <v>108728672.73498058</v>
      </c>
      <c r="AY42" s="616"/>
      <c r="AZ42" s="315">
        <f t="shared" si="47"/>
        <v>0</v>
      </c>
      <c r="BA42" s="616"/>
      <c r="BB42" s="315">
        <f t="shared" si="48"/>
        <v>0</v>
      </c>
      <c r="BC42" s="616"/>
      <c r="BD42" s="616">
        <f t="shared" si="49"/>
        <v>108728672.73498058</v>
      </c>
      <c r="BF42" s="616">
        <f t="shared" si="50"/>
        <v>150977656.11024791</v>
      </c>
      <c r="BI42" s="304">
        <f t="shared" si="40"/>
        <v>308</v>
      </c>
    </row>
    <row r="43" spans="1:61" ht="14.5">
      <c r="A43" s="304">
        <f t="shared" si="41"/>
        <v>309</v>
      </c>
      <c r="B43" s="620" t="s">
        <v>1479</v>
      </c>
      <c r="F43" s="624" t="s">
        <v>1443</v>
      </c>
      <c r="H43" s="621">
        <v>-1894448.5714285716</v>
      </c>
      <c r="J43" s="621">
        <v>-663057</v>
      </c>
      <c r="K43" s="616"/>
      <c r="L43" s="621">
        <v>-397834</v>
      </c>
      <c r="M43" s="616"/>
      <c r="N43" s="621">
        <v>-265223</v>
      </c>
      <c r="P43" s="626" t="s">
        <v>1444</v>
      </c>
      <c r="R43" s="616">
        <v>0</v>
      </c>
      <c r="S43" s="616"/>
      <c r="T43" s="616">
        <f t="shared" si="51"/>
        <v>-265223</v>
      </c>
      <c r="U43" s="616"/>
      <c r="V43" s="616">
        <v>0</v>
      </c>
      <c r="W43" s="616"/>
      <c r="X43" s="616">
        <f t="shared" si="52"/>
        <v>-265223</v>
      </c>
      <c r="Y43" s="616"/>
      <c r="Z43" s="316" t="s">
        <v>1471</v>
      </c>
      <c r="AA43" s="616"/>
      <c r="AB43" s="616">
        <v>0</v>
      </c>
      <c r="AC43" s="616"/>
      <c r="AD43" s="621">
        <v>-19604.454546573299</v>
      </c>
      <c r="AE43" s="616"/>
      <c r="AF43" s="616">
        <v>0</v>
      </c>
      <c r="AG43" s="616"/>
      <c r="AH43" s="316" t="s">
        <v>1446</v>
      </c>
      <c r="AI43" s="616"/>
      <c r="AJ43" s="315">
        <f t="shared" si="42"/>
        <v>0</v>
      </c>
      <c r="AK43" s="616"/>
      <c r="AL43" s="315">
        <f t="shared" si="43"/>
        <v>-245618.54545342669</v>
      </c>
      <c r="AM43" s="616"/>
      <c r="AN43" s="315">
        <f t="shared" si="44"/>
        <v>0</v>
      </c>
      <c r="AO43" s="616"/>
      <c r="AP43" s="616">
        <f t="shared" si="45"/>
        <v>-245618.54545342669</v>
      </c>
      <c r="AR43" s="616">
        <v>0</v>
      </c>
      <c r="AS43" s="616"/>
      <c r="AT43" s="706">
        <v>-7301.5731914360858</v>
      </c>
      <c r="AU43" s="616"/>
      <c r="AV43" s="616">
        <v>0</v>
      </c>
      <c r="AW43" s="616"/>
      <c r="AX43" s="315">
        <f t="shared" si="46"/>
        <v>0</v>
      </c>
      <c r="AY43" s="616"/>
      <c r="AZ43" s="315">
        <f t="shared" si="47"/>
        <v>-238316.9722619906</v>
      </c>
      <c r="BA43" s="616"/>
      <c r="BB43" s="315">
        <f t="shared" si="48"/>
        <v>0</v>
      </c>
      <c r="BC43" s="616"/>
      <c r="BD43" s="616">
        <f t="shared" si="49"/>
        <v>-238316.9722619906</v>
      </c>
      <c r="BF43" s="616">
        <f t="shared" si="50"/>
        <v>-330920.4184907751</v>
      </c>
      <c r="BI43" s="304">
        <f t="shared" si="40"/>
        <v>309</v>
      </c>
    </row>
    <row r="44" spans="1:61" ht="14.5">
      <c r="A44" s="304">
        <f t="shared" si="41"/>
        <v>310</v>
      </c>
      <c r="B44" s="620" t="s">
        <v>1480</v>
      </c>
      <c r="F44" s="624" t="s">
        <v>1443</v>
      </c>
      <c r="H44" s="621">
        <v>-9975239.2251428571</v>
      </c>
      <c r="J44" s="621">
        <v>-3491333.7287999997</v>
      </c>
      <c r="K44" s="616"/>
      <c r="L44" s="621">
        <v>-2094800.7143676016</v>
      </c>
      <c r="M44" s="616"/>
      <c r="N44" s="621">
        <v>-1396533.0144323986</v>
      </c>
      <c r="P44" s="626" t="s">
        <v>1444</v>
      </c>
      <c r="R44" s="616">
        <v>0</v>
      </c>
      <c r="S44" s="616"/>
      <c r="T44" s="616">
        <f t="shared" si="51"/>
        <v>-1396533.0144323986</v>
      </c>
      <c r="U44" s="616"/>
      <c r="V44" s="616">
        <v>0</v>
      </c>
      <c r="W44" s="616"/>
      <c r="X44" s="616">
        <f t="shared" si="52"/>
        <v>-1396533.0144323986</v>
      </c>
      <c r="Y44" s="616"/>
      <c r="Z44" s="316" t="s">
        <v>1471</v>
      </c>
      <c r="AA44" s="616"/>
      <c r="AB44" s="616">
        <v>0</v>
      </c>
      <c r="AC44" s="616"/>
      <c r="AD44" s="621">
        <v>-103227.35209325342</v>
      </c>
      <c r="AE44" s="616"/>
      <c r="AF44" s="616">
        <v>0</v>
      </c>
      <c r="AG44" s="616"/>
      <c r="AH44" s="316" t="s">
        <v>1446</v>
      </c>
      <c r="AI44" s="616"/>
      <c r="AJ44" s="315">
        <f t="shared" si="42"/>
        <v>0</v>
      </c>
      <c r="AK44" s="616"/>
      <c r="AL44" s="315">
        <f t="shared" si="43"/>
        <v>-1293305.6623391451</v>
      </c>
      <c r="AM44" s="616"/>
      <c r="AN44" s="315">
        <f t="shared" si="44"/>
        <v>0</v>
      </c>
      <c r="AO44" s="616"/>
      <c r="AP44" s="616">
        <f t="shared" si="45"/>
        <v>-1293305.6623391451</v>
      </c>
      <c r="AR44" s="616">
        <v>0</v>
      </c>
      <c r="AS44" s="616"/>
      <c r="AT44" s="706">
        <v>-38446.469646806749</v>
      </c>
      <c r="AU44" s="616"/>
      <c r="AV44" s="616">
        <v>0</v>
      </c>
      <c r="AW44" s="616"/>
      <c r="AX44" s="315">
        <f t="shared" si="46"/>
        <v>0</v>
      </c>
      <c r="AY44" s="616"/>
      <c r="AZ44" s="315">
        <f t="shared" si="47"/>
        <v>-1254859.1926923383</v>
      </c>
      <c r="BA44" s="616"/>
      <c r="BB44" s="315">
        <f t="shared" si="48"/>
        <v>0</v>
      </c>
      <c r="BC44" s="616"/>
      <c r="BD44" s="616">
        <f t="shared" si="49"/>
        <v>-1254859.1926923383</v>
      </c>
      <c r="BF44" s="616">
        <f t="shared" si="50"/>
        <v>-1742463.0954787217</v>
      </c>
      <c r="BI44" s="304">
        <f t="shared" si="40"/>
        <v>310</v>
      </c>
    </row>
    <row r="45" spans="1:61" ht="14.5">
      <c r="A45" s="304">
        <f t="shared" si="41"/>
        <v>311</v>
      </c>
      <c r="B45" s="620" t="s">
        <v>1481</v>
      </c>
      <c r="F45" s="624" t="s">
        <v>1443</v>
      </c>
      <c r="H45" s="621">
        <v>83031671.970285714</v>
      </c>
      <c r="J45" s="621">
        <v>29061085.189599998</v>
      </c>
      <c r="K45" s="616"/>
      <c r="L45" s="621">
        <v>17436650.112159714</v>
      </c>
      <c r="M45" s="616"/>
      <c r="N45" s="621">
        <v>11624435.077440288</v>
      </c>
      <c r="P45" s="626" t="s">
        <v>1444</v>
      </c>
      <c r="R45" s="616">
        <v>0</v>
      </c>
      <c r="S45" s="616"/>
      <c r="T45" s="616">
        <f t="shared" si="51"/>
        <v>11624435.077440288</v>
      </c>
      <c r="U45" s="616"/>
      <c r="V45" s="616">
        <v>0</v>
      </c>
      <c r="W45" s="616"/>
      <c r="X45" s="616">
        <f t="shared" si="52"/>
        <v>11624435.077440288</v>
      </c>
      <c r="Y45" s="616"/>
      <c r="Z45" s="316" t="s">
        <v>1471</v>
      </c>
      <c r="AA45" s="616"/>
      <c r="AB45" s="616">
        <v>0</v>
      </c>
      <c r="AC45" s="616"/>
      <c r="AD45" s="621">
        <v>859241.87987192068</v>
      </c>
      <c r="AE45" s="616"/>
      <c r="AF45" s="616">
        <v>0</v>
      </c>
      <c r="AG45" s="616"/>
      <c r="AH45" s="316" t="s">
        <v>1446</v>
      </c>
      <c r="AI45" s="616"/>
      <c r="AJ45" s="315">
        <f t="shared" si="42"/>
        <v>0</v>
      </c>
      <c r="AK45" s="616"/>
      <c r="AL45" s="315">
        <f t="shared" si="43"/>
        <v>10765193.197568368</v>
      </c>
      <c r="AM45" s="616"/>
      <c r="AN45" s="315">
        <f t="shared" si="44"/>
        <v>0</v>
      </c>
      <c r="AO45" s="616"/>
      <c r="AP45" s="616">
        <f t="shared" si="45"/>
        <v>10765193.197568368</v>
      </c>
      <c r="AR45" s="616">
        <v>0</v>
      </c>
      <c r="AS45" s="616"/>
      <c r="AT45" s="706">
        <v>320019.99648230837</v>
      </c>
      <c r="AU45" s="616"/>
      <c r="AV45" s="616">
        <v>0</v>
      </c>
      <c r="AW45" s="616"/>
      <c r="AX45" s="315">
        <f t="shared" si="46"/>
        <v>0</v>
      </c>
      <c r="AY45" s="616"/>
      <c r="AZ45" s="315">
        <f t="shared" si="47"/>
        <v>10445173.201086059</v>
      </c>
      <c r="BA45" s="616"/>
      <c r="BB45" s="315">
        <f t="shared" si="48"/>
        <v>0</v>
      </c>
      <c r="BC45" s="616"/>
      <c r="BD45" s="616">
        <f t="shared" si="49"/>
        <v>10445173.201086059</v>
      </c>
      <c r="BF45" s="616">
        <f t="shared" si="50"/>
        <v>14503881.339647716</v>
      </c>
      <c r="BI45" s="304">
        <f t="shared" si="40"/>
        <v>311</v>
      </c>
    </row>
    <row r="46" spans="1:61" ht="14.5">
      <c r="A46" s="304">
        <f t="shared" si="41"/>
        <v>312</v>
      </c>
      <c r="B46" s="620" t="s">
        <v>1482</v>
      </c>
      <c r="F46" s="624" t="s">
        <v>1443</v>
      </c>
      <c r="H46" s="621">
        <v>-207909196.3177143</v>
      </c>
      <c r="J46" s="621">
        <v>-72768218.711199999</v>
      </c>
      <c r="K46" s="616"/>
      <c r="L46" s="621">
        <v>-43663363.94237633</v>
      </c>
      <c r="M46" s="616"/>
      <c r="N46" s="621">
        <v>-29104854.768823672</v>
      </c>
      <c r="P46" s="626" t="s">
        <v>1444</v>
      </c>
      <c r="R46" s="616">
        <v>0</v>
      </c>
      <c r="S46" s="616"/>
      <c r="T46" s="616">
        <f t="shared" si="51"/>
        <v>-29104854.768823672</v>
      </c>
      <c r="U46" s="616"/>
      <c r="V46" s="616">
        <v>0</v>
      </c>
      <c r="W46" s="616"/>
      <c r="X46" s="616">
        <f t="shared" si="52"/>
        <v>-29104854.768823672</v>
      </c>
      <c r="Y46" s="616"/>
      <c r="Z46" s="316" t="s">
        <v>1471</v>
      </c>
      <c r="AA46" s="616"/>
      <c r="AB46" s="616">
        <v>0</v>
      </c>
      <c r="AC46" s="616"/>
      <c r="AD46" s="621">
        <v>-2151339.8249775507</v>
      </c>
      <c r="AE46" s="616"/>
      <c r="AF46" s="616">
        <v>0</v>
      </c>
      <c r="AG46" s="616"/>
      <c r="AH46" s="316" t="s">
        <v>1446</v>
      </c>
      <c r="AI46" s="616"/>
      <c r="AJ46" s="315">
        <f t="shared" si="42"/>
        <v>0</v>
      </c>
      <c r="AK46" s="616"/>
      <c r="AL46" s="315">
        <f t="shared" si="43"/>
        <v>-26953514.943846121</v>
      </c>
      <c r="AM46" s="616"/>
      <c r="AN46" s="315">
        <f t="shared" si="44"/>
        <v>0</v>
      </c>
      <c r="AO46" s="616"/>
      <c r="AP46" s="616">
        <f t="shared" si="45"/>
        <v>-26953514.943846121</v>
      </c>
      <c r="AR46" s="616">
        <v>0</v>
      </c>
      <c r="AS46" s="616"/>
      <c r="AT46" s="706">
        <v>-801254.8961465772</v>
      </c>
      <c r="AU46" s="616"/>
      <c r="AV46" s="616">
        <v>0</v>
      </c>
      <c r="AW46" s="616"/>
      <c r="AX46" s="315">
        <f t="shared" si="46"/>
        <v>0</v>
      </c>
      <c r="AY46" s="616"/>
      <c r="AZ46" s="315">
        <f t="shared" si="47"/>
        <v>-26152260.047699545</v>
      </c>
      <c r="BA46" s="616"/>
      <c r="BB46" s="315">
        <f t="shared" si="48"/>
        <v>0</v>
      </c>
      <c r="BC46" s="616"/>
      <c r="BD46" s="616">
        <f t="shared" si="49"/>
        <v>-26152260.047699545</v>
      </c>
      <c r="BF46" s="616">
        <f t="shared" si="50"/>
        <v>-36314311.806337923</v>
      </c>
      <c r="BI46" s="304">
        <f t="shared" si="40"/>
        <v>312</v>
      </c>
    </row>
    <row r="47" spans="1:61" ht="14.5">
      <c r="A47" s="304">
        <f t="shared" si="41"/>
        <v>313</v>
      </c>
      <c r="B47" s="620" t="s">
        <v>1483</v>
      </c>
      <c r="F47" s="624" t="s">
        <v>1443</v>
      </c>
      <c r="H47" s="621">
        <v>-1683355111.3371432</v>
      </c>
      <c r="J47" s="621">
        <v>-589174288.96800005</v>
      </c>
      <c r="K47" s="616"/>
      <c r="L47" s="621">
        <v>-371097719.70119721</v>
      </c>
      <c r="M47" s="616"/>
      <c r="N47" s="621">
        <v>-218076569.26680282</v>
      </c>
      <c r="P47" s="626" t="s">
        <v>1444</v>
      </c>
      <c r="R47" s="616">
        <v>0</v>
      </c>
      <c r="S47" s="616"/>
      <c r="T47" s="616">
        <f t="shared" si="51"/>
        <v>-218076569.26680282</v>
      </c>
      <c r="U47" s="616"/>
      <c r="V47" s="616">
        <v>0</v>
      </c>
      <c r="W47" s="616"/>
      <c r="X47" s="616">
        <f t="shared" si="52"/>
        <v>-218076569.26680282</v>
      </c>
      <c r="Y47" s="616"/>
      <c r="Z47" s="316" t="s">
        <v>1471</v>
      </c>
      <c r="AA47" s="616"/>
      <c r="AB47" s="616">
        <v>0</v>
      </c>
      <c r="AC47" s="616"/>
      <c r="AD47" s="621">
        <v>-16119537.8600788</v>
      </c>
      <c r="AE47" s="616"/>
      <c r="AF47" s="616">
        <v>0</v>
      </c>
      <c r="AG47" s="616"/>
      <c r="AH47" s="316" t="s">
        <v>1446</v>
      </c>
      <c r="AI47" s="616"/>
      <c r="AJ47" s="315">
        <f t="shared" si="42"/>
        <v>0</v>
      </c>
      <c r="AK47" s="616"/>
      <c r="AL47" s="315">
        <f t="shared" si="43"/>
        <v>-201957031.40672401</v>
      </c>
      <c r="AM47" s="616"/>
      <c r="AN47" s="315">
        <f t="shared" si="44"/>
        <v>0</v>
      </c>
      <c r="AO47" s="616"/>
      <c r="AP47" s="616">
        <f t="shared" si="45"/>
        <v>-201957031.40672401</v>
      </c>
      <c r="AR47" s="616">
        <v>0</v>
      </c>
      <c r="AS47" s="616"/>
      <c r="AT47" s="706">
        <v>-6003634.7972794296</v>
      </c>
      <c r="AU47" s="616"/>
      <c r="AV47" s="616">
        <v>0</v>
      </c>
      <c r="AW47" s="616"/>
      <c r="AX47" s="315">
        <f t="shared" si="46"/>
        <v>0</v>
      </c>
      <c r="AY47" s="616"/>
      <c r="AZ47" s="315">
        <f t="shared" si="47"/>
        <v>-195953396.60944459</v>
      </c>
      <c r="BA47" s="616"/>
      <c r="BB47" s="315">
        <f t="shared" si="48"/>
        <v>0</v>
      </c>
      <c r="BC47" s="616"/>
      <c r="BD47" s="616">
        <f t="shared" si="49"/>
        <v>-195953396.60944459</v>
      </c>
      <c r="BF47" s="616">
        <f t="shared" si="50"/>
        <v>-272095517.97846681</v>
      </c>
      <c r="BI47" s="304">
        <f t="shared" si="40"/>
        <v>313</v>
      </c>
    </row>
    <row r="48" spans="1:61" ht="14.5">
      <c r="A48" s="304">
        <f t="shared" si="41"/>
        <v>314</v>
      </c>
      <c r="B48" s="620" t="s">
        <v>1484</v>
      </c>
      <c r="F48" s="624" t="s">
        <v>1443</v>
      </c>
      <c r="H48" s="621">
        <v>-101522514.08000001</v>
      </c>
      <c r="J48" s="621">
        <v>-35532879.928000003</v>
      </c>
      <c r="K48" s="616"/>
      <c r="L48" s="621">
        <v>-377579.07885599998</v>
      </c>
      <c r="M48" s="616"/>
      <c r="N48" s="621">
        <v>-35155300.849143997</v>
      </c>
      <c r="P48" s="626" t="s">
        <v>1444</v>
      </c>
      <c r="R48" s="616">
        <v>0</v>
      </c>
      <c r="S48" s="616"/>
      <c r="T48" s="616">
        <f t="shared" si="51"/>
        <v>-35155300.849143997</v>
      </c>
      <c r="U48" s="616"/>
      <c r="V48" s="616">
        <v>0</v>
      </c>
      <c r="W48" s="616"/>
      <c r="X48" s="616">
        <f t="shared" si="52"/>
        <v>-35155300.849143997</v>
      </c>
      <c r="Y48" s="616"/>
      <c r="Z48" s="316" t="s">
        <v>1471</v>
      </c>
      <c r="AA48" s="616"/>
      <c r="AB48" s="616">
        <v>0</v>
      </c>
      <c r="AC48" s="616"/>
      <c r="AD48" s="621">
        <v>-2598569.8735334165</v>
      </c>
      <c r="AE48" s="616"/>
      <c r="AF48" s="616">
        <v>0</v>
      </c>
      <c r="AG48" s="616"/>
      <c r="AH48" s="316" t="s">
        <v>1446</v>
      </c>
      <c r="AI48" s="616"/>
      <c r="AJ48" s="315">
        <f t="shared" si="42"/>
        <v>0</v>
      </c>
      <c r="AK48" s="616"/>
      <c r="AL48" s="315">
        <f t="shared" si="43"/>
        <v>-32556730.97561058</v>
      </c>
      <c r="AM48" s="616"/>
      <c r="AN48" s="315">
        <f t="shared" si="44"/>
        <v>0</v>
      </c>
      <c r="AO48" s="616"/>
      <c r="AP48" s="616">
        <f t="shared" si="45"/>
        <v>-32556730.97561058</v>
      </c>
      <c r="AR48" s="616">
        <v>0</v>
      </c>
      <c r="AS48" s="616"/>
      <c r="AT48" s="706">
        <v>-967823.3117677581</v>
      </c>
      <c r="AU48" s="616"/>
      <c r="AV48" s="616">
        <v>0</v>
      </c>
      <c r="AW48" s="616"/>
      <c r="AX48" s="315">
        <f t="shared" si="46"/>
        <v>0</v>
      </c>
      <c r="AY48" s="616"/>
      <c r="AZ48" s="315">
        <f t="shared" si="47"/>
        <v>-31588907.663842823</v>
      </c>
      <c r="BA48" s="616"/>
      <c r="BB48" s="315">
        <f t="shared" si="48"/>
        <v>0</v>
      </c>
      <c r="BC48" s="616"/>
      <c r="BD48" s="616">
        <f t="shared" si="49"/>
        <v>-31588907.663842823</v>
      </c>
      <c r="BF48" s="616">
        <f t="shared" si="50"/>
        <v>-43863491.73777476</v>
      </c>
      <c r="BI48" s="304">
        <f t="shared" si="40"/>
        <v>314</v>
      </c>
    </row>
    <row r="49" spans="1:61" ht="14.5">
      <c r="A49" s="304">
        <f t="shared" si="41"/>
        <v>315</v>
      </c>
      <c r="B49" s="620" t="s">
        <v>1485</v>
      </c>
      <c r="F49" s="624" t="s">
        <v>1443</v>
      </c>
      <c r="H49" s="621">
        <v>-315858420</v>
      </c>
      <c r="J49" s="621">
        <v>-110550447</v>
      </c>
      <c r="K49" s="616"/>
      <c r="L49" s="621">
        <v>-66330267.945684917</v>
      </c>
      <c r="M49" s="616"/>
      <c r="N49" s="621">
        <v>-44220179.054315083</v>
      </c>
      <c r="P49" s="626" t="s">
        <v>1444</v>
      </c>
      <c r="R49" s="616">
        <v>0</v>
      </c>
      <c r="S49" s="616"/>
      <c r="T49" s="616">
        <f t="shared" si="51"/>
        <v>-44220179.054315083</v>
      </c>
      <c r="U49" s="616"/>
      <c r="V49" s="616">
        <v>0</v>
      </c>
      <c r="W49" s="616"/>
      <c r="X49" s="616">
        <f t="shared" si="52"/>
        <v>-44220179.054315083</v>
      </c>
      <c r="Y49" s="616"/>
      <c r="Z49" s="316" t="s">
        <v>1471</v>
      </c>
      <c r="AA49" s="616"/>
      <c r="AB49" s="616">
        <v>0</v>
      </c>
      <c r="AC49" s="616"/>
      <c r="AD49" s="621">
        <v>-3268617.31566136</v>
      </c>
      <c r="AE49" s="616"/>
      <c r="AF49" s="616">
        <v>0</v>
      </c>
      <c r="AG49" s="616"/>
      <c r="AH49" s="316" t="s">
        <v>1446</v>
      </c>
      <c r="AI49" s="616"/>
      <c r="AJ49" s="315">
        <f t="shared" si="42"/>
        <v>0</v>
      </c>
      <c r="AK49" s="616"/>
      <c r="AL49" s="315">
        <f t="shared" si="43"/>
        <v>-40951561.738653719</v>
      </c>
      <c r="AM49" s="616"/>
      <c r="AN49" s="315">
        <f t="shared" si="44"/>
        <v>0</v>
      </c>
      <c r="AO49" s="616"/>
      <c r="AP49" s="616">
        <f t="shared" si="45"/>
        <v>-40951561.738653719</v>
      </c>
      <c r="AR49" s="616">
        <v>0</v>
      </c>
      <c r="AS49" s="616"/>
      <c r="AT49" s="706">
        <v>-1217378.8619519821</v>
      </c>
      <c r="AU49" s="616"/>
      <c r="AV49" s="616">
        <v>0</v>
      </c>
      <c r="AW49" s="616"/>
      <c r="AX49" s="315">
        <f t="shared" si="46"/>
        <v>0</v>
      </c>
      <c r="AY49" s="616"/>
      <c r="AZ49" s="315">
        <f t="shared" si="47"/>
        <v>-39734182.876701735</v>
      </c>
      <c r="BA49" s="616"/>
      <c r="BB49" s="315">
        <f t="shared" si="48"/>
        <v>0</v>
      </c>
      <c r="BC49" s="616"/>
      <c r="BD49" s="616">
        <f t="shared" si="49"/>
        <v>-39734182.876701735</v>
      </c>
      <c r="BF49" s="616">
        <f t="shared" si="50"/>
        <v>-55173797.741489068</v>
      </c>
      <c r="BI49" s="304">
        <f t="shared" si="40"/>
        <v>315</v>
      </c>
    </row>
    <row r="50" spans="1:61" ht="14.5">
      <c r="A50" s="304">
        <f t="shared" si="41"/>
        <v>316</v>
      </c>
      <c r="B50" s="620" t="s">
        <v>1486</v>
      </c>
      <c r="F50" s="624" t="s">
        <v>1443</v>
      </c>
      <c r="H50" s="621">
        <v>-571498734.28571427</v>
      </c>
      <c r="J50" s="621">
        <v>-200024557</v>
      </c>
      <c r="K50" s="616"/>
      <c r="L50" s="621">
        <v>-120014733.60428579</v>
      </c>
      <c r="M50" s="616"/>
      <c r="N50" s="621">
        <v>-80009823.395714208</v>
      </c>
      <c r="P50" s="626" t="s">
        <v>1444</v>
      </c>
      <c r="R50" s="616">
        <v>0</v>
      </c>
      <c r="S50" s="616"/>
      <c r="T50" s="616">
        <f t="shared" si="51"/>
        <v>-80009823.395714208</v>
      </c>
      <c r="U50" s="616"/>
      <c r="V50" s="616">
        <v>0</v>
      </c>
      <c r="W50" s="616"/>
      <c r="X50" s="616">
        <f t="shared" si="52"/>
        <v>-80009823.395714208</v>
      </c>
      <c r="Y50" s="616"/>
      <c r="Z50" s="316" t="s">
        <v>1471</v>
      </c>
      <c r="AA50" s="616"/>
      <c r="AB50" s="616">
        <v>0</v>
      </c>
      <c r="AC50" s="616"/>
      <c r="AD50" s="621">
        <v>-5914075.8759256788</v>
      </c>
      <c r="AE50" s="616"/>
      <c r="AF50" s="616">
        <v>0</v>
      </c>
      <c r="AG50" s="616"/>
      <c r="AH50" s="316" t="s">
        <v>1446</v>
      </c>
      <c r="AI50" s="616"/>
      <c r="AJ50" s="315">
        <f t="shared" si="42"/>
        <v>0</v>
      </c>
      <c r="AK50" s="616"/>
      <c r="AL50" s="315">
        <f t="shared" si="43"/>
        <v>-74095747.519788533</v>
      </c>
      <c r="AM50" s="616"/>
      <c r="AN50" s="315">
        <f t="shared" si="44"/>
        <v>0</v>
      </c>
      <c r="AO50" s="616"/>
      <c r="AP50" s="616">
        <f t="shared" si="45"/>
        <v>-74095747.519788533</v>
      </c>
      <c r="AR50" s="616">
        <v>0</v>
      </c>
      <c r="AS50" s="616"/>
      <c r="AT50" s="706">
        <v>-2202665.6117971768</v>
      </c>
      <c r="AU50" s="616"/>
      <c r="AV50" s="616">
        <v>0</v>
      </c>
      <c r="AW50" s="616"/>
      <c r="AX50" s="315">
        <f t="shared" si="46"/>
        <v>0</v>
      </c>
      <c r="AY50" s="616"/>
      <c r="AZ50" s="315">
        <f t="shared" si="47"/>
        <v>-71893081.90799135</v>
      </c>
      <c r="BA50" s="616"/>
      <c r="BB50" s="315">
        <f t="shared" si="48"/>
        <v>0</v>
      </c>
      <c r="BC50" s="616"/>
      <c r="BD50" s="616">
        <f t="shared" si="49"/>
        <v>-71893081.90799135</v>
      </c>
      <c r="BF50" s="616">
        <f t="shared" si="50"/>
        <v>-99828763.875993997</v>
      </c>
      <c r="BI50" s="304">
        <f t="shared" si="40"/>
        <v>316</v>
      </c>
    </row>
    <row r="51" spans="1:61" ht="14.5">
      <c r="A51" s="304">
        <f t="shared" si="41"/>
        <v>317</v>
      </c>
      <c r="B51" s="620" t="s">
        <v>1487</v>
      </c>
      <c r="F51" s="624" t="s">
        <v>1443</v>
      </c>
      <c r="H51" s="621">
        <v>-25063667.280000001</v>
      </c>
      <c r="J51" s="621">
        <v>-8772283.5480000004</v>
      </c>
      <c r="K51" s="616"/>
      <c r="L51" s="621">
        <v>-5263370.0446319999</v>
      </c>
      <c r="M51" s="616"/>
      <c r="N51" s="621">
        <v>-3508913.5033680005</v>
      </c>
      <c r="P51" s="626" t="s">
        <v>1444</v>
      </c>
      <c r="R51" s="616">
        <v>0</v>
      </c>
      <c r="S51" s="616"/>
      <c r="T51" s="616">
        <f t="shared" si="51"/>
        <v>-3508913.5033680005</v>
      </c>
      <c r="U51" s="616"/>
      <c r="V51" s="616">
        <v>0</v>
      </c>
      <c r="W51" s="616"/>
      <c r="X51" s="616">
        <f t="shared" si="52"/>
        <v>-3508913.5033680005</v>
      </c>
      <c r="Y51" s="616"/>
      <c r="Z51" s="316" t="s">
        <v>1471</v>
      </c>
      <c r="AA51" s="616"/>
      <c r="AB51" s="616">
        <v>0</v>
      </c>
      <c r="AC51" s="616"/>
      <c r="AD51" s="621">
        <v>-259367.91034199618</v>
      </c>
      <c r="AE51" s="616"/>
      <c r="AF51" s="616">
        <v>0</v>
      </c>
      <c r="AG51" s="616"/>
      <c r="AH51" s="316" t="s">
        <v>1446</v>
      </c>
      <c r="AI51" s="616"/>
      <c r="AJ51" s="315">
        <f t="shared" si="42"/>
        <v>0</v>
      </c>
      <c r="AK51" s="616"/>
      <c r="AL51" s="315">
        <f t="shared" si="43"/>
        <v>-3249545.5930260043</v>
      </c>
      <c r="AM51" s="616"/>
      <c r="AN51" s="315">
        <f t="shared" si="44"/>
        <v>0</v>
      </c>
      <c r="AO51" s="616"/>
      <c r="AP51" s="616">
        <f t="shared" si="45"/>
        <v>-3249545.5930260043</v>
      </c>
      <c r="AR51" s="616">
        <v>0</v>
      </c>
      <c r="AS51" s="616"/>
      <c r="AT51" s="706">
        <v>-96600.177085923424</v>
      </c>
      <c r="AU51" s="616"/>
      <c r="AV51" s="616">
        <v>0</v>
      </c>
      <c r="AW51" s="616"/>
      <c r="AX51" s="315">
        <f t="shared" si="46"/>
        <v>0</v>
      </c>
      <c r="AY51" s="616"/>
      <c r="AZ51" s="315">
        <f t="shared" si="47"/>
        <v>-3152945.4159400808</v>
      </c>
      <c r="BA51" s="616"/>
      <c r="BB51" s="315">
        <f t="shared" si="48"/>
        <v>0</v>
      </c>
      <c r="BC51" s="616"/>
      <c r="BD51" s="616">
        <f t="shared" si="49"/>
        <v>-3152945.4159400808</v>
      </c>
      <c r="BF51" s="616">
        <f t="shared" si="50"/>
        <v>-4378093.6230359757</v>
      </c>
      <c r="BI51" s="304">
        <f t="shared" si="40"/>
        <v>317</v>
      </c>
    </row>
    <row r="52" spans="1:61" ht="14.5">
      <c r="A52" s="304">
        <f t="shared" si="41"/>
        <v>318</v>
      </c>
      <c r="B52" s="620" t="s">
        <v>1488</v>
      </c>
      <c r="F52" s="624" t="s">
        <v>1443</v>
      </c>
      <c r="H52" s="621">
        <v>-9911892.7885714285</v>
      </c>
      <c r="J52" s="621">
        <v>-3469162.4759999998</v>
      </c>
      <c r="K52" s="616"/>
      <c r="L52" s="621">
        <v>-2081497.533696</v>
      </c>
      <c r="M52" s="616"/>
      <c r="N52" s="621">
        <v>-1387664.942304</v>
      </c>
      <c r="P52" s="626" t="s">
        <v>1444</v>
      </c>
      <c r="R52" s="616">
        <v>0</v>
      </c>
      <c r="S52" s="616"/>
      <c r="T52" s="616">
        <f t="shared" si="51"/>
        <v>-1387664.942304</v>
      </c>
      <c r="U52" s="616"/>
      <c r="V52" s="616">
        <v>0</v>
      </c>
      <c r="W52" s="616"/>
      <c r="X52" s="616">
        <f t="shared" si="52"/>
        <v>-1387664.942304</v>
      </c>
      <c r="Y52" s="616"/>
      <c r="Z52" s="316" t="s">
        <v>1471</v>
      </c>
      <c r="AA52" s="616"/>
      <c r="AB52" s="616">
        <v>0</v>
      </c>
      <c r="AC52" s="616"/>
      <c r="AD52" s="621">
        <v>-102571.85194071416</v>
      </c>
      <c r="AE52" s="616"/>
      <c r="AF52" s="616">
        <v>0</v>
      </c>
      <c r="AG52" s="616"/>
      <c r="AH52" s="316" t="s">
        <v>1446</v>
      </c>
      <c r="AI52" s="616"/>
      <c r="AJ52" s="315">
        <f t="shared" si="42"/>
        <v>0</v>
      </c>
      <c r="AK52" s="616"/>
      <c r="AL52" s="315">
        <f t="shared" si="43"/>
        <v>-1285093.090363286</v>
      </c>
      <c r="AM52" s="616"/>
      <c r="AN52" s="315">
        <f t="shared" si="44"/>
        <v>0</v>
      </c>
      <c r="AO52" s="616"/>
      <c r="AP52" s="616">
        <f t="shared" si="45"/>
        <v>-1285093.090363286</v>
      </c>
      <c r="AR52" s="616">
        <v>0</v>
      </c>
      <c r="AS52" s="616"/>
      <c r="AT52" s="706">
        <v>-38202.332156044497</v>
      </c>
      <c r="AU52" s="616"/>
      <c r="AV52" s="616">
        <v>0</v>
      </c>
      <c r="AW52" s="616"/>
      <c r="AX52" s="315">
        <f t="shared" si="46"/>
        <v>0</v>
      </c>
      <c r="AY52" s="616"/>
      <c r="AZ52" s="315">
        <f t="shared" si="47"/>
        <v>-1246890.7582072415</v>
      </c>
      <c r="BA52" s="616"/>
      <c r="BB52" s="315">
        <f t="shared" si="48"/>
        <v>0</v>
      </c>
      <c r="BC52" s="616"/>
      <c r="BD52" s="616">
        <f t="shared" si="49"/>
        <v>-1246890.7582072415</v>
      </c>
      <c r="BF52" s="616">
        <f t="shared" si="50"/>
        <v>-1731398.3456646563</v>
      </c>
      <c r="BI52" s="304">
        <f t="shared" si="40"/>
        <v>318</v>
      </c>
    </row>
    <row r="53" spans="1:61" ht="14.5">
      <c r="A53" s="304">
        <f t="shared" si="41"/>
        <v>319</v>
      </c>
      <c r="B53" s="620" t="s">
        <v>1489</v>
      </c>
      <c r="F53" s="624" t="s">
        <v>1443</v>
      </c>
      <c r="H53" s="621">
        <v>-71671362.898285717</v>
      </c>
      <c r="J53" s="621">
        <v>-25084977.014399998</v>
      </c>
      <c r="K53" s="616"/>
      <c r="L53" s="621">
        <v>-15050986.064351998</v>
      </c>
      <c r="M53" s="616"/>
      <c r="N53" s="621">
        <v>-10033990.950048001</v>
      </c>
      <c r="P53" s="626" t="s">
        <v>1444</v>
      </c>
      <c r="R53" s="616">
        <v>0</v>
      </c>
      <c r="S53" s="616"/>
      <c r="T53" s="616">
        <f t="shared" si="51"/>
        <v>-10033990.950048001</v>
      </c>
      <c r="U53" s="616"/>
      <c r="V53" s="616">
        <v>0</v>
      </c>
      <c r="W53" s="616"/>
      <c r="X53" s="616">
        <f t="shared" si="52"/>
        <v>-10033990.950048001</v>
      </c>
      <c r="Y53" s="616"/>
      <c r="Z53" s="316" t="s">
        <v>1471</v>
      </c>
      <c r="AA53" s="616"/>
      <c r="AB53" s="616">
        <v>0</v>
      </c>
      <c r="AC53" s="616"/>
      <c r="AD53" s="621">
        <v>-741681.22485962347</v>
      </c>
      <c r="AE53" s="616"/>
      <c r="AF53" s="616">
        <v>0</v>
      </c>
      <c r="AG53" s="616"/>
      <c r="AH53" s="316" t="s">
        <v>1446</v>
      </c>
      <c r="AI53" s="616"/>
      <c r="AJ53" s="315">
        <f t="shared" si="42"/>
        <v>0</v>
      </c>
      <c r="AK53" s="616"/>
      <c r="AL53" s="315">
        <f t="shared" si="43"/>
        <v>-9292309.7251883782</v>
      </c>
      <c r="AM53" s="616"/>
      <c r="AN53" s="315">
        <f t="shared" si="44"/>
        <v>0</v>
      </c>
      <c r="AO53" s="616"/>
      <c r="AP53" s="616">
        <f t="shared" si="45"/>
        <v>-9292309.7251883782</v>
      </c>
      <c r="AR53" s="616">
        <v>0</v>
      </c>
      <c r="AS53" s="616"/>
      <c r="AT53" s="706">
        <v>-276235.16559266276</v>
      </c>
      <c r="AU53" s="616"/>
      <c r="AV53" s="616">
        <v>0</v>
      </c>
      <c r="AW53" s="616"/>
      <c r="AX53" s="315">
        <f t="shared" si="46"/>
        <v>0</v>
      </c>
      <c r="AY53" s="616"/>
      <c r="AZ53" s="315">
        <f t="shared" si="47"/>
        <v>-9016074.5595957153</v>
      </c>
      <c r="BA53" s="616"/>
      <c r="BB53" s="315">
        <f t="shared" si="48"/>
        <v>0</v>
      </c>
      <c r="BC53" s="616"/>
      <c r="BD53" s="616">
        <f t="shared" si="49"/>
        <v>-9016074.5595957153</v>
      </c>
      <c r="BF53" s="616">
        <f t="shared" si="50"/>
        <v>-12519474.119222447</v>
      </c>
      <c r="BI53" s="304">
        <f t="shared" si="40"/>
        <v>319</v>
      </c>
    </row>
    <row r="54" spans="1:61" ht="14.5">
      <c r="A54" s="304">
        <f t="shared" si="41"/>
        <v>320</v>
      </c>
      <c r="B54" s="620" t="s">
        <v>1490</v>
      </c>
      <c r="F54" s="624" t="s">
        <v>1443</v>
      </c>
      <c r="H54" s="621">
        <v>52695788.404571429</v>
      </c>
      <c r="J54" s="621">
        <v>18443525.941599999</v>
      </c>
      <c r="K54" s="616"/>
      <c r="L54" s="621">
        <v>11066115.734552527</v>
      </c>
      <c r="M54" s="616"/>
      <c r="N54" s="621">
        <v>7377410.2070474727</v>
      </c>
      <c r="P54" s="626" t="s">
        <v>1444</v>
      </c>
      <c r="R54" s="616">
        <v>0</v>
      </c>
      <c r="S54" s="616"/>
      <c r="T54" s="616">
        <f t="shared" si="51"/>
        <v>7377410.2070474727</v>
      </c>
      <c r="U54" s="616"/>
      <c r="V54" s="616">
        <v>0</v>
      </c>
      <c r="W54" s="616"/>
      <c r="X54" s="616">
        <f t="shared" si="52"/>
        <v>7377410.2070474727</v>
      </c>
      <c r="Y54" s="616"/>
      <c r="Z54" s="316" t="s">
        <v>1471</v>
      </c>
      <c r="AA54" s="616"/>
      <c r="AB54" s="616">
        <v>0</v>
      </c>
      <c r="AC54" s="616"/>
      <c r="AD54" s="621">
        <v>545315.08608034789</v>
      </c>
      <c r="AE54" s="616"/>
      <c r="AF54" s="616">
        <v>0</v>
      </c>
      <c r="AG54" s="616"/>
      <c r="AH54" s="316" t="s">
        <v>1446</v>
      </c>
      <c r="AI54" s="616"/>
      <c r="AJ54" s="315">
        <f t="shared" si="42"/>
        <v>0</v>
      </c>
      <c r="AK54" s="616"/>
      <c r="AL54" s="315">
        <f t="shared" si="43"/>
        <v>6832095.1209671246</v>
      </c>
      <c r="AM54" s="616"/>
      <c r="AN54" s="315">
        <f t="shared" si="44"/>
        <v>0</v>
      </c>
      <c r="AO54" s="616"/>
      <c r="AP54" s="616">
        <f t="shared" si="45"/>
        <v>6832095.1209671246</v>
      </c>
      <c r="AR54" s="616">
        <v>0</v>
      </c>
      <c r="AS54" s="616"/>
      <c r="AT54" s="706">
        <v>203099.65798593927</v>
      </c>
      <c r="AU54" s="616"/>
      <c r="AV54" s="616">
        <v>0</v>
      </c>
      <c r="AW54" s="616"/>
      <c r="AX54" s="315">
        <f t="shared" si="46"/>
        <v>0</v>
      </c>
      <c r="AY54" s="616"/>
      <c r="AZ54" s="315">
        <f t="shared" si="47"/>
        <v>6628995.4629811849</v>
      </c>
      <c r="BA54" s="616"/>
      <c r="BB54" s="315">
        <f t="shared" si="48"/>
        <v>0</v>
      </c>
      <c r="BC54" s="616"/>
      <c r="BD54" s="616">
        <f t="shared" si="49"/>
        <v>6628995.4629811849</v>
      </c>
      <c r="BF54" s="616">
        <f t="shared" si="50"/>
        <v>9204841.4846912436</v>
      </c>
      <c r="BI54" s="304">
        <f t="shared" si="40"/>
        <v>320</v>
      </c>
    </row>
    <row r="55" spans="1:61" ht="14.5">
      <c r="A55" s="304">
        <f t="shared" si="41"/>
        <v>321</v>
      </c>
      <c r="B55" s="620" t="s">
        <v>1491</v>
      </c>
      <c r="F55" s="624" t="s">
        <v>1443</v>
      </c>
      <c r="H55" s="621">
        <v>37674687.677714288</v>
      </c>
      <c r="J55" s="621">
        <v>13186140.687200001</v>
      </c>
      <c r="K55" s="616"/>
      <c r="L55" s="621">
        <v>7911685.1078593545</v>
      </c>
      <c r="M55" s="616"/>
      <c r="N55" s="621">
        <v>5274455.579340646</v>
      </c>
      <c r="P55" s="626" t="s">
        <v>1444</v>
      </c>
      <c r="R55" s="616">
        <v>0</v>
      </c>
      <c r="S55" s="616"/>
      <c r="T55" s="616">
        <f t="shared" si="51"/>
        <v>5274455.579340646</v>
      </c>
      <c r="U55" s="616"/>
      <c r="V55" s="616">
        <v>0</v>
      </c>
      <c r="W55" s="616"/>
      <c r="X55" s="616">
        <f t="shared" si="52"/>
        <v>5274455.579340646</v>
      </c>
      <c r="Y55" s="616"/>
      <c r="Z55" s="316" t="s">
        <v>1471</v>
      </c>
      <c r="AA55" s="616"/>
      <c r="AB55" s="616">
        <v>0</v>
      </c>
      <c r="AC55" s="616"/>
      <c r="AD55" s="621">
        <v>389871.25800968858</v>
      </c>
      <c r="AE55" s="616"/>
      <c r="AF55" s="616">
        <v>0</v>
      </c>
      <c r="AG55" s="616"/>
      <c r="AH55" s="316" t="s">
        <v>1446</v>
      </c>
      <c r="AI55" s="616"/>
      <c r="AJ55" s="315">
        <f t="shared" si="42"/>
        <v>0</v>
      </c>
      <c r="AK55" s="616"/>
      <c r="AL55" s="315">
        <f t="shared" si="43"/>
        <v>4884584.3213309571</v>
      </c>
      <c r="AM55" s="616"/>
      <c r="AN55" s="315">
        <f t="shared" si="44"/>
        <v>0</v>
      </c>
      <c r="AO55" s="616"/>
      <c r="AP55" s="616">
        <f t="shared" si="45"/>
        <v>4884584.3213309571</v>
      </c>
      <c r="AR55" s="616">
        <v>0</v>
      </c>
      <c r="AS55" s="616"/>
      <c r="AT55" s="706">
        <v>145205.44393787172</v>
      </c>
      <c r="AU55" s="616"/>
      <c r="AV55" s="616">
        <v>0</v>
      </c>
      <c r="AW55" s="616"/>
      <c r="AX55" s="315">
        <f t="shared" si="46"/>
        <v>0</v>
      </c>
      <c r="AY55" s="616"/>
      <c r="AZ55" s="315">
        <f t="shared" si="47"/>
        <v>4739378.8773930855</v>
      </c>
      <c r="BA55" s="616"/>
      <c r="BB55" s="315">
        <f t="shared" si="48"/>
        <v>0</v>
      </c>
      <c r="BC55" s="616"/>
      <c r="BD55" s="616">
        <f t="shared" si="49"/>
        <v>4739378.8773930855</v>
      </c>
      <c r="BF55" s="616">
        <f t="shared" si="50"/>
        <v>6580971.6639447194</v>
      </c>
      <c r="BI55" s="304">
        <f t="shared" si="40"/>
        <v>321</v>
      </c>
    </row>
    <row r="56" spans="1:61" ht="14.5">
      <c r="A56" s="304">
        <f t="shared" si="41"/>
        <v>322</v>
      </c>
      <c r="B56" s="620" t="s">
        <v>1492</v>
      </c>
      <c r="F56" s="624" t="s">
        <v>1443</v>
      </c>
      <c r="H56" s="621">
        <v>-57733.115428571436</v>
      </c>
      <c r="J56" s="621">
        <v>-20206.590400000001</v>
      </c>
      <c r="K56" s="616"/>
      <c r="L56" s="621">
        <v>-12124.41925554987</v>
      </c>
      <c r="M56" s="616"/>
      <c r="N56" s="621">
        <v>-8082.1711444501288</v>
      </c>
      <c r="P56" s="626" t="s">
        <v>1444</v>
      </c>
      <c r="R56" s="616">
        <v>0</v>
      </c>
      <c r="S56" s="616"/>
      <c r="T56" s="616">
        <f t="shared" si="51"/>
        <v>-8082.1711444501288</v>
      </c>
      <c r="U56" s="616"/>
      <c r="V56" s="616">
        <v>0</v>
      </c>
      <c r="W56" s="616"/>
      <c r="X56" s="616">
        <f t="shared" si="52"/>
        <v>-8082.1711444501288</v>
      </c>
      <c r="Y56" s="616"/>
      <c r="Z56" s="316" t="s">
        <v>1471</v>
      </c>
      <c r="AA56" s="616"/>
      <c r="AB56" s="616">
        <v>0</v>
      </c>
      <c r="AC56" s="616"/>
      <c r="AD56" s="621">
        <v>-597.4088100918807</v>
      </c>
      <c r="AE56" s="616"/>
      <c r="AF56" s="616">
        <v>0</v>
      </c>
      <c r="AG56" s="616"/>
      <c r="AH56" s="316" t="s">
        <v>1446</v>
      </c>
      <c r="AI56" s="616"/>
      <c r="AJ56" s="315">
        <f t="shared" si="42"/>
        <v>0</v>
      </c>
      <c r="AK56" s="616"/>
      <c r="AL56" s="315">
        <f t="shared" si="43"/>
        <v>-7484.7623343582482</v>
      </c>
      <c r="AM56" s="616"/>
      <c r="AN56" s="315">
        <f t="shared" si="44"/>
        <v>0</v>
      </c>
      <c r="AO56" s="616"/>
      <c r="AP56" s="616">
        <f t="shared" si="45"/>
        <v>-7484.7623343582482</v>
      </c>
      <c r="AR56" s="616">
        <v>0</v>
      </c>
      <c r="AS56" s="616"/>
      <c r="AT56" s="706">
        <v>-222.5016840806241</v>
      </c>
      <c r="AU56" s="616"/>
      <c r="AV56" s="616">
        <v>0</v>
      </c>
      <c r="AW56" s="616"/>
      <c r="AX56" s="315">
        <f t="shared" si="46"/>
        <v>0</v>
      </c>
      <c r="AY56" s="616"/>
      <c r="AZ56" s="315">
        <f t="shared" si="47"/>
        <v>-7262.2606502776243</v>
      </c>
      <c r="BA56" s="616"/>
      <c r="BB56" s="315">
        <f t="shared" si="48"/>
        <v>0</v>
      </c>
      <c r="BC56" s="616"/>
      <c r="BD56" s="616">
        <f t="shared" si="49"/>
        <v>-7262.2606502776243</v>
      </c>
      <c r="BF56" s="616">
        <f t="shared" si="50"/>
        <v>-10084.176174145921</v>
      </c>
      <c r="BI56" s="304">
        <f t="shared" si="40"/>
        <v>322</v>
      </c>
    </row>
    <row r="57" spans="1:61" ht="14.5">
      <c r="A57" s="304">
        <f t="shared" si="41"/>
        <v>323</v>
      </c>
      <c r="B57" s="620" t="s">
        <v>1493</v>
      </c>
      <c r="F57" s="624" t="s">
        <v>1443</v>
      </c>
      <c r="H57" s="621">
        <v>19203939.561142858</v>
      </c>
      <c r="J57" s="621">
        <v>6721378.8464000002</v>
      </c>
      <c r="K57" s="616"/>
      <c r="L57" s="621">
        <v>4032827.7427398837</v>
      </c>
      <c r="M57" s="616"/>
      <c r="N57" s="621">
        <v>2688551.1036601164</v>
      </c>
      <c r="P57" s="626" t="s">
        <v>1444</v>
      </c>
      <c r="R57" s="616">
        <v>0</v>
      </c>
      <c r="S57" s="616"/>
      <c r="T57" s="616">
        <f t="shared" si="51"/>
        <v>2688551.1036601164</v>
      </c>
      <c r="U57" s="616"/>
      <c r="V57" s="616">
        <v>0</v>
      </c>
      <c r="W57" s="616"/>
      <c r="X57" s="616">
        <f t="shared" si="52"/>
        <v>2688551.1036601164</v>
      </c>
      <c r="Y57" s="616"/>
      <c r="Z57" s="316" t="s">
        <v>1471</v>
      </c>
      <c r="AA57" s="616"/>
      <c r="AB57" s="616">
        <v>0</v>
      </c>
      <c r="AC57" s="616"/>
      <c r="AD57" s="621">
        <v>198729.28783644043</v>
      </c>
      <c r="AE57" s="616"/>
      <c r="AF57" s="616">
        <v>0</v>
      </c>
      <c r="AG57" s="616"/>
      <c r="AH57" s="316" t="s">
        <v>1446</v>
      </c>
      <c r="AI57" s="616"/>
      <c r="AJ57" s="315">
        <f t="shared" si="42"/>
        <v>0</v>
      </c>
      <c r="AK57" s="616"/>
      <c r="AL57" s="315">
        <f t="shared" si="43"/>
        <v>2489821.8158236761</v>
      </c>
      <c r="AM57" s="616"/>
      <c r="AN57" s="315">
        <f t="shared" si="44"/>
        <v>0</v>
      </c>
      <c r="AO57" s="616"/>
      <c r="AP57" s="616">
        <f t="shared" si="45"/>
        <v>2489821.8158236761</v>
      </c>
      <c r="AR57" s="616">
        <v>0</v>
      </c>
      <c r="AS57" s="616"/>
      <c r="AT57" s="706">
        <v>74015.649707192089</v>
      </c>
      <c r="AU57" s="616"/>
      <c r="AV57" s="616">
        <v>0</v>
      </c>
      <c r="AW57" s="616"/>
      <c r="AX57" s="315">
        <f t="shared" si="46"/>
        <v>0</v>
      </c>
      <c r="AY57" s="616"/>
      <c r="AZ57" s="315">
        <f t="shared" si="47"/>
        <v>2415806.166116484</v>
      </c>
      <c r="BA57" s="616"/>
      <c r="BB57" s="315">
        <f t="shared" si="48"/>
        <v>0</v>
      </c>
      <c r="BC57" s="616"/>
      <c r="BD57" s="616">
        <f t="shared" si="49"/>
        <v>2415806.166116484</v>
      </c>
      <c r="BF57" s="616">
        <f t="shared" si="50"/>
        <v>3354522.2562034256</v>
      </c>
      <c r="BI57" s="304">
        <f t="shared" si="40"/>
        <v>323</v>
      </c>
    </row>
    <row r="58" spans="1:61" ht="14.5">
      <c r="A58" s="304">
        <f t="shared" si="41"/>
        <v>324</v>
      </c>
      <c r="B58" s="620" t="s">
        <v>1494</v>
      </c>
      <c r="F58" s="624" t="s">
        <v>1443</v>
      </c>
      <c r="H58" s="621">
        <v>-13574.660633484164</v>
      </c>
      <c r="J58" s="621">
        <v>420</v>
      </c>
      <c r="K58" s="616"/>
      <c r="L58" s="621">
        <v>251.82208</v>
      </c>
      <c r="M58" s="616"/>
      <c r="N58" s="621">
        <v>168</v>
      </c>
      <c r="P58" s="626" t="s">
        <v>1444</v>
      </c>
      <c r="R58" s="616">
        <v>0</v>
      </c>
      <c r="S58" s="616"/>
      <c r="T58" s="616">
        <f t="shared" si="51"/>
        <v>168</v>
      </c>
      <c r="U58" s="616"/>
      <c r="V58" s="616">
        <v>0</v>
      </c>
      <c r="W58" s="616"/>
      <c r="X58" s="616">
        <f t="shared" si="52"/>
        <v>168</v>
      </c>
      <c r="Y58" s="616"/>
      <c r="Z58" s="316" t="s">
        <v>1471</v>
      </c>
      <c r="AA58" s="616"/>
      <c r="AB58" s="616">
        <v>0</v>
      </c>
      <c r="AC58" s="616"/>
      <c r="AD58" s="621">
        <v>12.418034498608018</v>
      </c>
      <c r="AE58" s="616"/>
      <c r="AF58" s="616">
        <v>0</v>
      </c>
      <c r="AG58" s="616"/>
      <c r="AH58" s="316" t="s">
        <v>1446</v>
      </c>
      <c r="AI58" s="616"/>
      <c r="AJ58" s="315">
        <f t="shared" si="42"/>
        <v>0</v>
      </c>
      <c r="AK58" s="616"/>
      <c r="AL58" s="315">
        <f t="shared" si="43"/>
        <v>155.58196550139198</v>
      </c>
      <c r="AM58" s="616"/>
      <c r="AN58" s="315">
        <f t="shared" si="44"/>
        <v>0</v>
      </c>
      <c r="AO58" s="616"/>
      <c r="AP58" s="616">
        <f t="shared" si="45"/>
        <v>155.58196550139198</v>
      </c>
      <c r="AR58" s="616">
        <v>0</v>
      </c>
      <c r="AS58" s="616"/>
      <c r="AT58" s="706">
        <v>4.625029866042019</v>
      </c>
      <c r="AU58" s="616"/>
      <c r="AV58" s="616">
        <v>0</v>
      </c>
      <c r="AW58" s="616"/>
      <c r="AX58" s="315">
        <f t="shared" si="46"/>
        <v>0</v>
      </c>
      <c r="AY58" s="616"/>
      <c r="AZ58" s="315">
        <f t="shared" si="47"/>
        <v>150.95693563534996</v>
      </c>
      <c r="BA58" s="616"/>
      <c r="BB58" s="315">
        <f t="shared" si="48"/>
        <v>0</v>
      </c>
      <c r="BC58" s="616"/>
      <c r="BD58" s="616">
        <f t="shared" si="49"/>
        <v>150.95693563534996</v>
      </c>
      <c r="BF58" s="616">
        <f t="shared" si="50"/>
        <v>209.61466504205978</v>
      </c>
      <c r="BI58" s="304">
        <f t="shared" si="40"/>
        <v>324</v>
      </c>
    </row>
    <row r="59" spans="1:61" ht="14.5">
      <c r="A59" s="304">
        <f t="shared" si="41"/>
        <v>325</v>
      </c>
      <c r="B59" s="620" t="s">
        <v>1495</v>
      </c>
      <c r="F59" s="624" t="s">
        <v>1443</v>
      </c>
      <c r="H59" s="621">
        <v>-274950112.13962507</v>
      </c>
      <c r="J59" s="621">
        <v>8506956.4695999995</v>
      </c>
      <c r="K59" s="616"/>
      <c r="L59" s="621">
        <v>5103074.2178012161</v>
      </c>
      <c r="M59" s="616"/>
      <c r="N59" s="621">
        <v>3402793.7276601344</v>
      </c>
      <c r="P59" s="626" t="s">
        <v>1444</v>
      </c>
      <c r="R59" s="616">
        <v>0</v>
      </c>
      <c r="S59" s="616"/>
      <c r="T59" s="616">
        <f t="shared" si="51"/>
        <v>3402793.7276601344</v>
      </c>
      <c r="U59" s="616"/>
      <c r="V59" s="616">
        <v>0</v>
      </c>
      <c r="W59" s="616"/>
      <c r="X59" s="616">
        <f t="shared" si="52"/>
        <v>3402793.7276601344</v>
      </c>
      <c r="Y59" s="616"/>
      <c r="Z59" s="316" t="s">
        <v>1471</v>
      </c>
      <c r="AA59" s="616"/>
      <c r="AB59" s="616">
        <v>0</v>
      </c>
      <c r="AC59" s="616"/>
      <c r="AD59" s="621">
        <v>251523.86846268171</v>
      </c>
      <c r="AE59" s="616"/>
      <c r="AF59" s="616">
        <v>0</v>
      </c>
      <c r="AG59" s="616"/>
      <c r="AH59" s="316" t="s">
        <v>1446</v>
      </c>
      <c r="AI59" s="616"/>
      <c r="AJ59" s="315">
        <f t="shared" si="42"/>
        <v>0</v>
      </c>
      <c r="AK59" s="616"/>
      <c r="AL59" s="315">
        <f t="shared" si="43"/>
        <v>3151269.8591974527</v>
      </c>
      <c r="AM59" s="616"/>
      <c r="AN59" s="315">
        <f t="shared" si="44"/>
        <v>0</v>
      </c>
      <c r="AO59" s="616"/>
      <c r="AP59" s="616">
        <f t="shared" si="45"/>
        <v>3151269.8591974527</v>
      </c>
      <c r="AR59" s="616">
        <v>0</v>
      </c>
      <c r="AS59" s="616"/>
      <c r="AT59" s="706">
        <v>93678.706061955803</v>
      </c>
      <c r="AU59" s="616"/>
      <c r="AV59" s="616">
        <v>0</v>
      </c>
      <c r="AW59" s="616"/>
      <c r="AX59" s="315">
        <f t="shared" si="46"/>
        <v>0</v>
      </c>
      <c r="AY59" s="616"/>
      <c r="AZ59" s="315">
        <f t="shared" si="47"/>
        <v>3057591.1531354967</v>
      </c>
      <c r="BA59" s="616"/>
      <c r="BB59" s="315">
        <f t="shared" si="48"/>
        <v>0</v>
      </c>
      <c r="BC59" s="616"/>
      <c r="BD59" s="616">
        <f t="shared" si="49"/>
        <v>3057591.1531354967</v>
      </c>
      <c r="BF59" s="616">
        <f t="shared" si="50"/>
        <v>4245687.3061351255</v>
      </c>
      <c r="BI59" s="304">
        <f t="shared" si="40"/>
        <v>325</v>
      </c>
    </row>
    <row r="60" spans="1:61" ht="14.5">
      <c r="A60" s="304">
        <f t="shared" si="41"/>
        <v>326</v>
      </c>
      <c r="B60" s="620" t="s">
        <v>1496</v>
      </c>
      <c r="F60" s="624" t="s">
        <v>1443</v>
      </c>
      <c r="H60" s="621">
        <v>-144745762.01680672</v>
      </c>
      <c r="J60" s="621">
        <v>4478433.8767999997</v>
      </c>
      <c r="K60" s="616"/>
      <c r="L60" s="621">
        <v>2686481.6133693438</v>
      </c>
      <c r="M60" s="616"/>
      <c r="N60" s="621">
        <v>1791373.7774865497</v>
      </c>
      <c r="P60" s="626" t="s">
        <v>1444</v>
      </c>
      <c r="R60" s="616">
        <v>0</v>
      </c>
      <c r="S60" s="616"/>
      <c r="T60" s="616">
        <f t="shared" si="51"/>
        <v>1791373.7774865497</v>
      </c>
      <c r="U60" s="616"/>
      <c r="V60" s="616">
        <v>0</v>
      </c>
      <c r="W60" s="616"/>
      <c r="X60" s="616">
        <f t="shared" si="52"/>
        <v>1791373.7774865497</v>
      </c>
      <c r="Y60" s="616"/>
      <c r="Z60" s="316" t="s">
        <v>1471</v>
      </c>
      <c r="AA60" s="616"/>
      <c r="AB60" s="616">
        <v>0</v>
      </c>
      <c r="AC60" s="616"/>
      <c r="AD60" s="621">
        <v>132412.74624243894</v>
      </c>
      <c r="AE60" s="616"/>
      <c r="AF60" s="616">
        <v>0</v>
      </c>
      <c r="AG60" s="616"/>
      <c r="AH60" s="316" t="s">
        <v>1446</v>
      </c>
      <c r="AI60" s="616"/>
      <c r="AJ60" s="315">
        <f t="shared" si="42"/>
        <v>0</v>
      </c>
      <c r="AK60" s="616"/>
      <c r="AL60" s="315">
        <f t="shared" si="43"/>
        <v>1658961.0312441108</v>
      </c>
      <c r="AM60" s="616"/>
      <c r="AN60" s="315">
        <f t="shared" si="44"/>
        <v>0</v>
      </c>
      <c r="AO60" s="616"/>
      <c r="AP60" s="616">
        <f t="shared" si="45"/>
        <v>1658961.0312441108</v>
      </c>
      <c r="AR60" s="616">
        <v>0</v>
      </c>
      <c r="AS60" s="616"/>
      <c r="AT60" s="706">
        <v>49316.412036427399</v>
      </c>
      <c r="AU60" s="616"/>
      <c r="AV60" s="616">
        <v>0</v>
      </c>
      <c r="AW60" s="616"/>
      <c r="AX60" s="315">
        <f t="shared" si="46"/>
        <v>0</v>
      </c>
      <c r="AY60" s="616"/>
      <c r="AZ60" s="315">
        <f t="shared" si="47"/>
        <v>1609644.6192076835</v>
      </c>
      <c r="BA60" s="616"/>
      <c r="BB60" s="315">
        <f t="shared" si="48"/>
        <v>0</v>
      </c>
      <c r="BC60" s="616"/>
      <c r="BD60" s="616">
        <f t="shared" si="49"/>
        <v>1609644.6192076835</v>
      </c>
      <c r="BF60" s="616">
        <f t="shared" si="50"/>
        <v>2235108.4186486457</v>
      </c>
      <c r="BI60" s="304">
        <f t="shared" si="40"/>
        <v>326</v>
      </c>
    </row>
    <row r="61" spans="1:61" ht="14.5">
      <c r="A61" s="304">
        <f t="shared" si="41"/>
        <v>327</v>
      </c>
      <c r="B61" s="620" t="s">
        <v>1497</v>
      </c>
      <c r="F61" s="624" t="s">
        <v>1443</v>
      </c>
      <c r="H61" s="621">
        <v>-141115490.96315449</v>
      </c>
      <c r="J61" s="621">
        <v>4366113.2904000003</v>
      </c>
      <c r="K61" s="616"/>
      <c r="L61" s="621">
        <v>2619103.5449277442</v>
      </c>
      <c r="M61" s="616"/>
      <c r="N61" s="621">
        <v>1746445.7617024286</v>
      </c>
      <c r="P61" s="626" t="s">
        <v>1444</v>
      </c>
      <c r="R61" s="616">
        <v>0</v>
      </c>
      <c r="S61" s="616"/>
      <c r="T61" s="616">
        <f t="shared" si="51"/>
        <v>1746445.7617024286</v>
      </c>
      <c r="U61" s="616"/>
      <c r="V61" s="616">
        <v>0</v>
      </c>
      <c r="W61" s="616"/>
      <c r="X61" s="616">
        <f t="shared" si="52"/>
        <v>1746445.7617024286</v>
      </c>
      <c r="Y61" s="616"/>
      <c r="Z61" s="316" t="s">
        <v>1471</v>
      </c>
      <c r="AA61" s="616"/>
      <c r="AB61" s="616">
        <v>0</v>
      </c>
      <c r="AC61" s="616"/>
      <c r="AD61" s="621">
        <v>129091.80784981261</v>
      </c>
      <c r="AE61" s="616"/>
      <c r="AF61" s="616">
        <v>0</v>
      </c>
      <c r="AG61" s="616"/>
      <c r="AH61" s="316" t="s">
        <v>1446</v>
      </c>
      <c r="AI61" s="616"/>
      <c r="AJ61" s="315">
        <f t="shared" si="42"/>
        <v>0</v>
      </c>
      <c r="AK61" s="616"/>
      <c r="AL61" s="315">
        <f t="shared" si="43"/>
        <v>1617353.953852616</v>
      </c>
      <c r="AM61" s="616"/>
      <c r="AN61" s="315">
        <f t="shared" si="44"/>
        <v>0</v>
      </c>
      <c r="AO61" s="616"/>
      <c r="AP61" s="616">
        <f t="shared" si="45"/>
        <v>1617353.953852616</v>
      </c>
      <c r="AR61" s="616">
        <v>0</v>
      </c>
      <c r="AS61" s="616"/>
      <c r="AT61" s="706">
        <v>48079.546472001406</v>
      </c>
      <c r="AU61" s="616"/>
      <c r="AV61" s="616">
        <v>0</v>
      </c>
      <c r="AW61" s="616"/>
      <c r="AX61" s="315">
        <f t="shared" si="46"/>
        <v>0</v>
      </c>
      <c r="AY61" s="616"/>
      <c r="AZ61" s="315">
        <f t="shared" si="47"/>
        <v>1569274.4073806147</v>
      </c>
      <c r="BA61" s="616"/>
      <c r="BB61" s="315">
        <f t="shared" si="48"/>
        <v>0</v>
      </c>
      <c r="BC61" s="616"/>
      <c r="BD61" s="616">
        <f t="shared" si="49"/>
        <v>1569274.4073806147</v>
      </c>
      <c r="BF61" s="616">
        <f t="shared" si="50"/>
        <v>2179051.4485320211</v>
      </c>
      <c r="BI61" s="304">
        <f t="shared" si="40"/>
        <v>327</v>
      </c>
    </row>
    <row r="62" spans="1:61" ht="14.5">
      <c r="A62" s="304">
        <f t="shared" si="41"/>
        <v>328</v>
      </c>
      <c r="B62" s="620" t="s">
        <v>1498</v>
      </c>
      <c r="F62" s="624" t="s">
        <v>1443</v>
      </c>
      <c r="H62" s="621">
        <v>-3968619.5216548159</v>
      </c>
      <c r="J62" s="621">
        <v>122789.088</v>
      </c>
      <c r="K62" s="616"/>
      <c r="L62" s="621">
        <v>74088.701864447998</v>
      </c>
      <c r="M62" s="616"/>
      <c r="N62" s="621">
        <v>48700.386135551998</v>
      </c>
      <c r="P62" s="626" t="s">
        <v>1444</v>
      </c>
      <c r="R62" s="616">
        <v>0</v>
      </c>
      <c r="S62" s="616"/>
      <c r="T62" s="616">
        <f t="shared" si="51"/>
        <v>48700.386135551998</v>
      </c>
      <c r="U62" s="616"/>
      <c r="V62" s="616">
        <v>0</v>
      </c>
      <c r="W62" s="616"/>
      <c r="X62" s="616">
        <f t="shared" si="52"/>
        <v>48700.386135551998</v>
      </c>
      <c r="Y62" s="616"/>
      <c r="Z62" s="316" t="s">
        <v>1471</v>
      </c>
      <c r="AA62" s="616"/>
      <c r="AB62" s="616">
        <v>0</v>
      </c>
      <c r="AC62" s="616"/>
      <c r="AD62" s="621">
        <v>3599.7802090881924</v>
      </c>
      <c r="AE62" s="616"/>
      <c r="AF62" s="616">
        <v>0</v>
      </c>
      <c r="AG62" s="616"/>
      <c r="AH62" s="316" t="s">
        <v>1446</v>
      </c>
      <c r="AI62" s="616"/>
      <c r="AJ62" s="315">
        <f t="shared" si="42"/>
        <v>0</v>
      </c>
      <c r="AK62" s="616"/>
      <c r="AL62" s="315">
        <f t="shared" si="43"/>
        <v>45100.605926463802</v>
      </c>
      <c r="AM62" s="616"/>
      <c r="AN62" s="315">
        <f t="shared" si="44"/>
        <v>0</v>
      </c>
      <c r="AO62" s="616"/>
      <c r="AP62" s="616">
        <f t="shared" si="45"/>
        <v>45100.605926463802</v>
      </c>
      <c r="AR62" s="616">
        <v>0</v>
      </c>
      <c r="AS62" s="616"/>
      <c r="AT62" s="706">
        <v>1340.7186926470636</v>
      </c>
      <c r="AU62" s="616"/>
      <c r="AV62" s="616">
        <v>0</v>
      </c>
      <c r="AW62" s="616"/>
      <c r="AX62" s="315">
        <f t="shared" si="46"/>
        <v>0</v>
      </c>
      <c r="AY62" s="616"/>
      <c r="AZ62" s="315">
        <f t="shared" si="47"/>
        <v>43759.887233816742</v>
      </c>
      <c r="BA62" s="616"/>
      <c r="BB62" s="315">
        <f t="shared" si="48"/>
        <v>0</v>
      </c>
      <c r="BC62" s="616"/>
      <c r="BD62" s="616">
        <f t="shared" si="49"/>
        <v>43759.887233816742</v>
      </c>
      <c r="BF62" s="616">
        <f t="shared" si="50"/>
        <v>60763.780519182765</v>
      </c>
      <c r="BI62" s="304">
        <f t="shared" si="40"/>
        <v>328</v>
      </c>
    </row>
    <row r="63" spans="1:61" ht="14.5">
      <c r="A63" s="304">
        <f t="shared" si="41"/>
        <v>329</v>
      </c>
      <c r="B63" s="620" t="s">
        <v>1499</v>
      </c>
      <c r="F63" s="624" t="s">
        <v>1443</v>
      </c>
      <c r="H63" s="621">
        <v>-880.87912087912093</v>
      </c>
      <c r="J63" s="621">
        <v>27.2544</v>
      </c>
      <c r="K63" s="616"/>
      <c r="L63" s="621">
        <v>16.506803712</v>
      </c>
      <c r="M63" s="616"/>
      <c r="N63" s="621">
        <v>10.747596287999999</v>
      </c>
      <c r="P63" s="626" t="s">
        <v>1444</v>
      </c>
      <c r="R63" s="616">
        <v>0</v>
      </c>
      <c r="S63" s="616"/>
      <c r="T63" s="616">
        <f t="shared" si="51"/>
        <v>10.747596287999999</v>
      </c>
      <c r="U63" s="616"/>
      <c r="V63" s="616">
        <v>0</v>
      </c>
      <c r="W63" s="616"/>
      <c r="X63" s="616">
        <f t="shared" si="52"/>
        <v>10.747596287999999</v>
      </c>
      <c r="Y63" s="616"/>
      <c r="Z63" s="316" t="s">
        <v>1471</v>
      </c>
      <c r="AA63" s="616"/>
      <c r="AB63" s="616">
        <v>0</v>
      </c>
      <c r="AC63" s="616"/>
      <c r="AD63" s="621">
        <v>0.7944286992946159</v>
      </c>
      <c r="AE63" s="616"/>
      <c r="AF63" s="616">
        <v>0</v>
      </c>
      <c r="AG63" s="616"/>
      <c r="AH63" s="316" t="s">
        <v>1446</v>
      </c>
      <c r="AI63" s="616"/>
      <c r="AJ63" s="315">
        <f t="shared" si="42"/>
        <v>0</v>
      </c>
      <c r="AK63" s="616"/>
      <c r="AL63" s="315">
        <f t="shared" si="43"/>
        <v>9.9531675887053837</v>
      </c>
      <c r="AM63" s="616"/>
      <c r="AN63" s="315">
        <f t="shared" si="44"/>
        <v>0</v>
      </c>
      <c r="AO63" s="616"/>
      <c r="AP63" s="616">
        <f t="shared" si="45"/>
        <v>9.9531675887053837</v>
      </c>
      <c r="AR63" s="616">
        <v>0</v>
      </c>
      <c r="AS63" s="616"/>
      <c r="AT63" s="706">
        <v>0.2958806775009663</v>
      </c>
      <c r="AU63" s="616"/>
      <c r="AV63" s="616">
        <v>0</v>
      </c>
      <c r="AW63" s="616"/>
      <c r="AX63" s="315">
        <f t="shared" si="46"/>
        <v>0</v>
      </c>
      <c r="AY63" s="616"/>
      <c r="AZ63" s="315">
        <f t="shared" si="47"/>
        <v>9.6572869112044177</v>
      </c>
      <c r="BA63" s="616"/>
      <c r="BB63" s="315">
        <f t="shared" si="48"/>
        <v>0</v>
      </c>
      <c r="BC63" s="616"/>
      <c r="BD63" s="616">
        <f t="shared" si="49"/>
        <v>9.6572869112044177</v>
      </c>
      <c r="BF63" s="616">
        <f t="shared" si="50"/>
        <v>13.409844023311935</v>
      </c>
      <c r="BI63" s="304">
        <f t="shared" si="40"/>
        <v>329</v>
      </c>
    </row>
    <row r="64" spans="1:61" ht="14.5">
      <c r="A64" s="304">
        <f t="shared" si="41"/>
        <v>330</v>
      </c>
      <c r="B64" s="620" t="s">
        <v>1500</v>
      </c>
      <c r="F64" s="624" t="s">
        <v>1443</v>
      </c>
      <c r="H64" s="621">
        <v>15589528.118939884</v>
      </c>
      <c r="J64" s="621">
        <v>-482340</v>
      </c>
      <c r="K64" s="616"/>
      <c r="L64" s="621">
        <v>-289341.62112000003</v>
      </c>
      <c r="M64" s="616"/>
      <c r="N64" s="621">
        <v>-192935.65226813068</v>
      </c>
      <c r="P64" s="626" t="s">
        <v>1444</v>
      </c>
      <c r="R64" s="616">
        <v>0</v>
      </c>
      <c r="S64" s="616"/>
      <c r="T64" s="616">
        <f t="shared" si="51"/>
        <v>-192935.65226813068</v>
      </c>
      <c r="U64" s="616"/>
      <c r="V64" s="616">
        <v>0</v>
      </c>
      <c r="W64" s="616"/>
      <c r="X64" s="616">
        <f t="shared" si="52"/>
        <v>-192935.65226813068</v>
      </c>
      <c r="Y64" s="616"/>
      <c r="Z64" s="316" t="s">
        <v>1471</v>
      </c>
      <c r="AA64" s="616"/>
      <c r="AB64" s="616">
        <v>0</v>
      </c>
      <c r="AC64" s="616"/>
      <c r="AD64" s="621">
        <v>-14261.199915935042</v>
      </c>
      <c r="AE64" s="616"/>
      <c r="AF64" s="616">
        <v>0</v>
      </c>
      <c r="AG64" s="616"/>
      <c r="AH64" s="316" t="s">
        <v>1446</v>
      </c>
      <c r="AI64" s="616"/>
      <c r="AJ64" s="315">
        <f t="shared" si="42"/>
        <v>0</v>
      </c>
      <c r="AK64" s="616"/>
      <c r="AL64" s="315">
        <f t="shared" si="43"/>
        <v>-178674.45235219563</v>
      </c>
      <c r="AM64" s="616"/>
      <c r="AN64" s="315">
        <f t="shared" si="44"/>
        <v>0</v>
      </c>
      <c r="AO64" s="616"/>
      <c r="AP64" s="616">
        <f t="shared" si="45"/>
        <v>-178674.45235219563</v>
      </c>
      <c r="AR64" s="616">
        <v>0</v>
      </c>
      <c r="AS64" s="616"/>
      <c r="AT64" s="706">
        <v>-5311.5068688357269</v>
      </c>
      <c r="AU64" s="616"/>
      <c r="AV64" s="616">
        <v>0</v>
      </c>
      <c r="AW64" s="616"/>
      <c r="AX64" s="315">
        <f t="shared" si="46"/>
        <v>0</v>
      </c>
      <c r="AY64" s="616"/>
      <c r="AZ64" s="315">
        <f t="shared" si="47"/>
        <v>-173362.94548335992</v>
      </c>
      <c r="BA64" s="616"/>
      <c r="BB64" s="315">
        <f t="shared" si="48"/>
        <v>0</v>
      </c>
      <c r="BC64" s="616"/>
      <c r="BD64" s="616">
        <f t="shared" si="49"/>
        <v>-173362.94548335992</v>
      </c>
      <c r="BF64" s="616">
        <f t="shared" si="50"/>
        <v>-240727.03645747344</v>
      </c>
      <c r="BI64" s="304">
        <f t="shared" si="40"/>
        <v>330</v>
      </c>
    </row>
    <row r="65" spans="1:61" ht="14.5">
      <c r="A65" s="304">
        <f t="shared" si="41"/>
        <v>331</v>
      </c>
      <c r="B65" s="620" t="s">
        <v>1501</v>
      </c>
      <c r="F65" s="624" t="s">
        <v>1443</v>
      </c>
      <c r="H65" s="621">
        <v>-14443083.387201035</v>
      </c>
      <c r="J65" s="621">
        <v>446869</v>
      </c>
      <c r="K65" s="616"/>
      <c r="L65" s="621">
        <v>268063.47200000001</v>
      </c>
      <c r="M65" s="616"/>
      <c r="N65" s="621">
        <v>178747.69686545752</v>
      </c>
      <c r="P65" s="626" t="s">
        <v>1444</v>
      </c>
      <c r="R65" s="616">
        <v>0</v>
      </c>
      <c r="S65" s="616"/>
      <c r="T65" s="616">
        <f t="shared" si="51"/>
        <v>178747.69686545752</v>
      </c>
      <c r="U65" s="616"/>
      <c r="V65" s="616">
        <v>0</v>
      </c>
      <c r="W65" s="616"/>
      <c r="X65" s="616">
        <f t="shared" si="52"/>
        <v>178747.69686545752</v>
      </c>
      <c r="Y65" s="616"/>
      <c r="Z65" s="316" t="s">
        <v>1471</v>
      </c>
      <c r="AA65" s="616"/>
      <c r="AB65" s="616">
        <v>0</v>
      </c>
      <c r="AC65" s="616"/>
      <c r="AD65" s="621">
        <v>13212.470632273689</v>
      </c>
      <c r="AE65" s="616"/>
      <c r="AF65" s="616">
        <v>0</v>
      </c>
      <c r="AG65" s="616"/>
      <c r="AH65" s="316" t="s">
        <v>1446</v>
      </c>
      <c r="AI65" s="616"/>
      <c r="AJ65" s="315">
        <f t="shared" si="42"/>
        <v>0</v>
      </c>
      <c r="AK65" s="616"/>
      <c r="AL65" s="315">
        <f t="shared" si="43"/>
        <v>165535.22623318381</v>
      </c>
      <c r="AM65" s="616"/>
      <c r="AN65" s="315">
        <f t="shared" si="44"/>
        <v>0</v>
      </c>
      <c r="AO65" s="616"/>
      <c r="AP65" s="616">
        <f t="shared" si="45"/>
        <v>165535.22623318381</v>
      </c>
      <c r="AR65" s="616">
        <v>0</v>
      </c>
      <c r="AS65" s="616"/>
      <c r="AT65" s="706">
        <v>4920.9133124343243</v>
      </c>
      <c r="AU65" s="616"/>
      <c r="AV65" s="616">
        <v>0</v>
      </c>
      <c r="AW65" s="616"/>
      <c r="AX65" s="315">
        <f t="shared" si="46"/>
        <v>0</v>
      </c>
      <c r="AY65" s="616"/>
      <c r="AZ65" s="315">
        <f t="shared" si="47"/>
        <v>160614.31292074948</v>
      </c>
      <c r="BA65" s="616"/>
      <c r="BB65" s="315">
        <f t="shared" si="48"/>
        <v>0</v>
      </c>
      <c r="BC65" s="616"/>
      <c r="BD65" s="616">
        <f t="shared" si="49"/>
        <v>160614.31292074948</v>
      </c>
      <c r="BF65" s="616">
        <f t="shared" si="50"/>
        <v>223024.63455650306</v>
      </c>
      <c r="BI65" s="304">
        <f t="shared" si="40"/>
        <v>331</v>
      </c>
    </row>
    <row r="66" spans="1:61" ht="14.5">
      <c r="A66" s="304">
        <f t="shared" si="41"/>
        <v>332</v>
      </c>
      <c r="B66" s="620" t="s">
        <v>1502</v>
      </c>
      <c r="F66" s="624" t="s">
        <v>1443</v>
      </c>
      <c r="H66" s="621">
        <v>-886600032.32062054</v>
      </c>
      <c r="J66" s="621">
        <v>27431405</v>
      </c>
      <c r="K66" s="616"/>
      <c r="L66" s="621">
        <v>16458843.48416</v>
      </c>
      <c r="M66" s="616"/>
      <c r="N66" s="621">
        <v>10969014.385444462</v>
      </c>
      <c r="P66" s="626" t="s">
        <v>1444</v>
      </c>
      <c r="R66" s="616">
        <v>0</v>
      </c>
      <c r="S66" s="616"/>
      <c r="T66" s="616">
        <f t="shared" si="51"/>
        <v>10969014.385444462</v>
      </c>
      <c r="U66" s="616"/>
      <c r="V66" s="616">
        <v>0</v>
      </c>
      <c r="W66" s="616"/>
      <c r="X66" s="616">
        <f t="shared" si="52"/>
        <v>10969014.385444462</v>
      </c>
      <c r="Y66" s="616"/>
      <c r="Z66" s="316" t="s">
        <v>1471</v>
      </c>
      <c r="AA66" s="616"/>
      <c r="AB66" s="616">
        <v>0</v>
      </c>
      <c r="AC66" s="616"/>
      <c r="AD66" s="621">
        <v>810795.23246533913</v>
      </c>
      <c r="AE66" s="616"/>
      <c r="AF66" s="616">
        <v>0</v>
      </c>
      <c r="AG66" s="616"/>
      <c r="AH66" s="316" t="s">
        <v>1446</v>
      </c>
      <c r="AI66" s="616"/>
      <c r="AJ66" s="315">
        <f t="shared" si="42"/>
        <v>0</v>
      </c>
      <c r="AK66" s="616"/>
      <c r="AL66" s="315">
        <f t="shared" si="43"/>
        <v>10158219.152979122</v>
      </c>
      <c r="AM66" s="616"/>
      <c r="AN66" s="315">
        <f t="shared" si="44"/>
        <v>0</v>
      </c>
      <c r="AO66" s="616"/>
      <c r="AP66" s="616">
        <f t="shared" si="45"/>
        <v>10158219.152979122</v>
      </c>
      <c r="AR66" s="616">
        <v>0</v>
      </c>
      <c r="AS66" s="616"/>
      <c r="AT66" s="706">
        <v>301976.30436741182</v>
      </c>
      <c r="AU66" s="616"/>
      <c r="AV66" s="616">
        <v>0</v>
      </c>
      <c r="AW66" s="616"/>
      <c r="AX66" s="315">
        <f t="shared" si="46"/>
        <v>0</v>
      </c>
      <c r="AY66" s="616"/>
      <c r="AZ66" s="315">
        <f t="shared" si="47"/>
        <v>9856242.8486117106</v>
      </c>
      <c r="BA66" s="616"/>
      <c r="BB66" s="315">
        <f t="shared" si="48"/>
        <v>0</v>
      </c>
      <c r="BC66" s="616"/>
      <c r="BD66" s="616">
        <f t="shared" si="49"/>
        <v>9856242.8486117106</v>
      </c>
      <c r="BF66" s="616">
        <f t="shared" si="50"/>
        <v>13686108.787181405</v>
      </c>
      <c r="BI66" s="304">
        <f t="shared" si="40"/>
        <v>332</v>
      </c>
    </row>
    <row r="67" spans="1:61" ht="14.5">
      <c r="A67" s="304">
        <f t="shared" si="41"/>
        <v>333</v>
      </c>
      <c r="B67" s="620" t="s">
        <v>1503</v>
      </c>
      <c r="F67" s="624" t="s">
        <v>1443</v>
      </c>
      <c r="H67" s="621">
        <v>1286820103.4259858</v>
      </c>
      <c r="J67" s="621">
        <v>-39814214</v>
      </c>
      <c r="K67" s="616"/>
      <c r="L67" s="621">
        <v>-23929738.219519999</v>
      </c>
      <c r="M67" s="616"/>
      <c r="N67" s="621">
        <v>-15879318.904024091</v>
      </c>
      <c r="P67" s="626" t="s">
        <v>1444</v>
      </c>
      <c r="R67" s="616">
        <f>+N67</f>
        <v>-15879318.904024091</v>
      </c>
      <c r="S67" s="616"/>
      <c r="T67" s="616"/>
      <c r="U67" s="616"/>
      <c r="V67" s="616">
        <v>0</v>
      </c>
      <c r="W67" s="616"/>
      <c r="X67" s="616">
        <f t="shared" si="52"/>
        <v>-15879318.904024091</v>
      </c>
      <c r="Y67" s="616"/>
      <c r="Z67" s="316" t="s">
        <v>1445</v>
      </c>
      <c r="AA67" s="616"/>
      <c r="AB67" s="621">
        <v>-3495214.1445797235</v>
      </c>
      <c r="AC67" s="616"/>
      <c r="AD67" s="616">
        <v>0</v>
      </c>
      <c r="AE67" s="616"/>
      <c r="AF67" s="616">
        <v>0</v>
      </c>
      <c r="AG67" s="616"/>
      <c r="AH67" s="316" t="s">
        <v>1446</v>
      </c>
      <c r="AI67" s="616"/>
      <c r="AJ67" s="315">
        <f t="shared" si="42"/>
        <v>-12384104.759444367</v>
      </c>
      <c r="AK67" s="616"/>
      <c r="AL67" s="315">
        <f t="shared" si="43"/>
        <v>0</v>
      </c>
      <c r="AM67" s="616"/>
      <c r="AN67" s="315">
        <f t="shared" si="44"/>
        <v>0</v>
      </c>
      <c r="AO67" s="616"/>
      <c r="AP67" s="616">
        <f t="shared" si="45"/>
        <v>-12384104.759444367</v>
      </c>
      <c r="AR67" s="621">
        <v>-1537745.3264169826</v>
      </c>
      <c r="AS67" s="616"/>
      <c r="AT67" s="616"/>
      <c r="AU67" s="616"/>
      <c r="AV67" s="616">
        <v>0</v>
      </c>
      <c r="AW67" s="616"/>
      <c r="AX67" s="315">
        <f t="shared" si="46"/>
        <v>-10846359.433027385</v>
      </c>
      <c r="AY67" s="616"/>
      <c r="AZ67" s="315">
        <f t="shared" si="47"/>
        <v>0</v>
      </c>
      <c r="BA67" s="616"/>
      <c r="BB67" s="315">
        <f t="shared" si="48"/>
        <v>0</v>
      </c>
      <c r="BC67" s="616"/>
      <c r="BD67" s="616">
        <f t="shared" si="49"/>
        <v>-10846359.433027385</v>
      </c>
      <c r="BF67" s="616">
        <f t="shared" si="50"/>
        <v>-15060957.54998498</v>
      </c>
      <c r="BI67" s="304">
        <f t="shared" si="40"/>
        <v>333</v>
      </c>
    </row>
    <row r="68" spans="1:61" ht="14.5">
      <c r="A68" s="304">
        <f t="shared" si="41"/>
        <v>334</v>
      </c>
      <c r="B68" s="620" t="s">
        <v>1504</v>
      </c>
      <c r="F68" s="624" t="s">
        <v>1443</v>
      </c>
      <c r="H68" s="621">
        <v>-1894440.8532643828</v>
      </c>
      <c r="J68" s="621">
        <v>58614</v>
      </c>
      <c r="K68" s="616"/>
      <c r="L68" s="621">
        <v>35160.973440000002</v>
      </c>
      <c r="M68" s="616"/>
      <c r="N68" s="621">
        <v>23445</v>
      </c>
      <c r="P68" s="626" t="s">
        <v>1444</v>
      </c>
      <c r="R68" s="616">
        <v>0</v>
      </c>
      <c r="S68" s="616"/>
      <c r="T68" s="616">
        <f t="shared" si="51"/>
        <v>23445</v>
      </c>
      <c r="U68" s="616"/>
      <c r="V68" s="616">
        <v>0</v>
      </c>
      <c r="W68" s="616"/>
      <c r="X68" s="616">
        <f t="shared" si="52"/>
        <v>23445</v>
      </c>
      <c r="Y68" s="616"/>
      <c r="Z68" s="316" t="s">
        <v>1471</v>
      </c>
      <c r="AA68" s="616"/>
      <c r="AB68" s="616">
        <v>0</v>
      </c>
      <c r="AC68" s="616"/>
      <c r="AD68" s="621">
        <v>1732.9810644039583</v>
      </c>
      <c r="AE68" s="616"/>
      <c r="AF68" s="616">
        <v>0</v>
      </c>
      <c r="AG68" s="616"/>
      <c r="AH68" s="316" t="s">
        <v>1446</v>
      </c>
      <c r="AI68" s="616"/>
      <c r="AJ68" s="315">
        <f t="shared" si="42"/>
        <v>0</v>
      </c>
      <c r="AK68" s="616"/>
      <c r="AL68" s="315">
        <f t="shared" si="43"/>
        <v>21712.018935596043</v>
      </c>
      <c r="AM68" s="616"/>
      <c r="AN68" s="315">
        <f t="shared" si="44"/>
        <v>0</v>
      </c>
      <c r="AO68" s="616"/>
      <c r="AP68" s="616">
        <f t="shared" si="45"/>
        <v>21712.018935596043</v>
      </c>
      <c r="AR68" s="616">
        <v>0</v>
      </c>
      <c r="AS68" s="616"/>
      <c r="AT68" s="706">
        <v>645.43943576997106</v>
      </c>
      <c r="AU68" s="616"/>
      <c r="AV68" s="616">
        <v>0</v>
      </c>
      <c r="AW68" s="616"/>
      <c r="AX68" s="315">
        <f t="shared" si="46"/>
        <v>0</v>
      </c>
      <c r="AY68" s="616"/>
      <c r="AZ68" s="315">
        <f t="shared" si="47"/>
        <v>21066.579499826072</v>
      </c>
      <c r="BA68" s="616"/>
      <c r="BB68" s="315">
        <f t="shared" si="48"/>
        <v>0</v>
      </c>
      <c r="BC68" s="616"/>
      <c r="BD68" s="616">
        <f t="shared" si="49"/>
        <v>21066.579499826072</v>
      </c>
      <c r="BF68" s="616">
        <f t="shared" si="50"/>
        <v>29252.475130423169</v>
      </c>
      <c r="BI68" s="304">
        <f t="shared" si="40"/>
        <v>334</v>
      </c>
    </row>
    <row r="69" spans="1:61" ht="14.5">
      <c r="A69" s="304">
        <f t="shared" si="41"/>
        <v>335</v>
      </c>
      <c r="B69" s="620" t="s">
        <v>1505</v>
      </c>
      <c r="F69" s="624" t="s">
        <v>1443</v>
      </c>
      <c r="H69" s="621">
        <v>-9917200.7756948937</v>
      </c>
      <c r="J69" s="621">
        <v>306838.19199999998</v>
      </c>
      <c r="K69" s="616"/>
      <c r="L69" s="621">
        <v>185140.45328640001</v>
      </c>
      <c r="M69" s="616"/>
      <c r="N69" s="621">
        <v>121673.12137318996</v>
      </c>
      <c r="P69" s="626" t="s">
        <v>1444</v>
      </c>
      <c r="R69" s="616">
        <v>0</v>
      </c>
      <c r="S69" s="616"/>
      <c r="T69" s="616">
        <f t="shared" si="51"/>
        <v>121673.12137318996</v>
      </c>
      <c r="U69" s="616"/>
      <c r="V69" s="616">
        <v>0</v>
      </c>
      <c r="W69" s="616"/>
      <c r="X69" s="616">
        <f t="shared" si="52"/>
        <v>121673.12137318996</v>
      </c>
      <c r="Y69" s="616"/>
      <c r="Z69" s="316" t="s">
        <v>1471</v>
      </c>
      <c r="AA69" s="616"/>
      <c r="AB69" s="616">
        <v>0</v>
      </c>
      <c r="AC69" s="616"/>
      <c r="AD69" s="621">
        <v>8993.6965402713904</v>
      </c>
      <c r="AE69" s="616"/>
      <c r="AF69" s="616">
        <v>0</v>
      </c>
      <c r="AG69" s="616"/>
      <c r="AH69" s="316" t="s">
        <v>1446</v>
      </c>
      <c r="AI69" s="616"/>
      <c r="AJ69" s="315">
        <f t="shared" si="42"/>
        <v>0</v>
      </c>
      <c r="AK69" s="616"/>
      <c r="AL69" s="315">
        <f t="shared" si="43"/>
        <v>112679.42483291856</v>
      </c>
      <c r="AM69" s="616"/>
      <c r="AN69" s="315">
        <f t="shared" si="44"/>
        <v>0</v>
      </c>
      <c r="AO69" s="616"/>
      <c r="AP69" s="616">
        <f t="shared" si="45"/>
        <v>112679.42483291856</v>
      </c>
      <c r="AR69" s="616">
        <v>0</v>
      </c>
      <c r="AS69" s="616"/>
      <c r="AT69" s="706">
        <v>3349.6536919378523</v>
      </c>
      <c r="AU69" s="616"/>
      <c r="AV69" s="616">
        <v>0</v>
      </c>
      <c r="AW69" s="616"/>
      <c r="AX69" s="315">
        <f t="shared" si="46"/>
        <v>0</v>
      </c>
      <c r="AY69" s="616"/>
      <c r="AZ69" s="315">
        <f t="shared" si="47"/>
        <v>109329.77114098071</v>
      </c>
      <c r="BA69" s="616"/>
      <c r="BB69" s="315">
        <f t="shared" si="48"/>
        <v>0</v>
      </c>
      <c r="BC69" s="616"/>
      <c r="BD69" s="616">
        <f t="shared" si="49"/>
        <v>109329.77114098071</v>
      </c>
      <c r="BF69" s="616">
        <f t="shared" si="50"/>
        <v>151812.32488847082</v>
      </c>
      <c r="BI69" s="304">
        <f t="shared" si="40"/>
        <v>335</v>
      </c>
    </row>
    <row r="70" spans="1:61" ht="14.5">
      <c r="A70" s="304">
        <f t="shared" si="41"/>
        <v>336</v>
      </c>
      <c r="B70" s="620" t="s">
        <v>1506</v>
      </c>
      <c r="F70" s="624" t="s">
        <v>1443</v>
      </c>
      <c r="H70" s="621">
        <v>3811317.8539107954</v>
      </c>
      <c r="J70" s="621">
        <v>-117922.1744</v>
      </c>
      <c r="K70" s="616"/>
      <c r="L70" s="621">
        <v>-71151.934237184003</v>
      </c>
      <c r="M70" s="616"/>
      <c r="N70" s="621">
        <v>-46771.162561949262</v>
      </c>
      <c r="P70" s="626" t="s">
        <v>1444</v>
      </c>
      <c r="R70" s="616">
        <v>0</v>
      </c>
      <c r="S70" s="616"/>
      <c r="T70" s="616">
        <f t="shared" si="51"/>
        <v>-46771.162561949262</v>
      </c>
      <c r="U70" s="616"/>
      <c r="V70" s="616">
        <v>0</v>
      </c>
      <c r="W70" s="616"/>
      <c r="X70" s="616">
        <f t="shared" si="52"/>
        <v>-46771.162561949262</v>
      </c>
      <c r="Y70" s="616"/>
      <c r="Z70" s="316" t="s">
        <v>1471</v>
      </c>
      <c r="AA70" s="616"/>
      <c r="AB70" s="616">
        <v>0</v>
      </c>
      <c r="AC70" s="616"/>
      <c r="AD70" s="621">
        <v>-3457.1780371088676</v>
      </c>
      <c r="AE70" s="616"/>
      <c r="AF70" s="616">
        <v>0</v>
      </c>
      <c r="AG70" s="616"/>
      <c r="AH70" s="316" t="s">
        <v>1446</v>
      </c>
      <c r="AI70" s="616"/>
      <c r="AJ70" s="315">
        <f t="shared" si="42"/>
        <v>0</v>
      </c>
      <c r="AK70" s="616"/>
      <c r="AL70" s="315">
        <f t="shared" si="43"/>
        <v>-43313.984524840394</v>
      </c>
      <c r="AM70" s="616"/>
      <c r="AN70" s="315">
        <f t="shared" si="44"/>
        <v>0</v>
      </c>
      <c r="AO70" s="616"/>
      <c r="AP70" s="616">
        <f t="shared" si="45"/>
        <v>-43313.984524840394</v>
      </c>
      <c r="AR70" s="616">
        <v>0</v>
      </c>
      <c r="AS70" s="616"/>
      <c r="AT70" s="706">
        <v>-1287.6072840388197</v>
      </c>
      <c r="AU70" s="616"/>
      <c r="AV70" s="616">
        <v>0</v>
      </c>
      <c r="AW70" s="616"/>
      <c r="AX70" s="315">
        <f t="shared" si="46"/>
        <v>0</v>
      </c>
      <c r="AY70" s="616"/>
      <c r="AZ70" s="315">
        <f t="shared" si="47"/>
        <v>-42026.377240801572</v>
      </c>
      <c r="BA70" s="616"/>
      <c r="BB70" s="315">
        <f t="shared" si="48"/>
        <v>0</v>
      </c>
      <c r="BC70" s="616"/>
      <c r="BD70" s="616">
        <f t="shared" si="49"/>
        <v>-42026.377240801572</v>
      </c>
      <c r="BF70" s="616">
        <f t="shared" si="50"/>
        <v>-58356.676036016193</v>
      </c>
      <c r="BI70" s="304">
        <f t="shared" si="40"/>
        <v>336</v>
      </c>
    </row>
    <row r="71" spans="1:61" ht="14.5">
      <c r="A71" s="304">
        <f t="shared" si="41"/>
        <v>337</v>
      </c>
      <c r="B71" s="620" t="s">
        <v>1507</v>
      </c>
      <c r="F71" s="624" t="s">
        <v>1443</v>
      </c>
      <c r="H71" s="621">
        <v>82548642.301228195</v>
      </c>
      <c r="J71" s="621">
        <v>-2554054.9928000001</v>
      </c>
      <c r="K71" s="616"/>
      <c r="L71" s="621">
        <v>-1541067.8169226239</v>
      </c>
      <c r="M71" s="616"/>
      <c r="N71" s="621">
        <v>-1012669.8247086008</v>
      </c>
      <c r="P71" s="626" t="s">
        <v>1444</v>
      </c>
      <c r="R71" s="616">
        <v>0</v>
      </c>
      <c r="S71" s="616"/>
      <c r="T71" s="616">
        <f t="shared" si="51"/>
        <v>-1012669.8247086008</v>
      </c>
      <c r="U71" s="616"/>
      <c r="V71" s="616">
        <v>0</v>
      </c>
      <c r="W71" s="616"/>
      <c r="X71" s="616">
        <f t="shared" si="52"/>
        <v>-1012669.8247086008</v>
      </c>
      <c r="Y71" s="616"/>
      <c r="Z71" s="316" t="s">
        <v>1471</v>
      </c>
      <c r="AA71" s="616"/>
      <c r="AB71" s="616">
        <v>0</v>
      </c>
      <c r="AC71" s="616"/>
      <c r="AD71" s="621">
        <v>-74853.38582696869</v>
      </c>
      <c r="AE71" s="616"/>
      <c r="AF71" s="616">
        <v>0</v>
      </c>
      <c r="AG71" s="616"/>
      <c r="AH71" s="316" t="s">
        <v>1446</v>
      </c>
      <c r="AI71" s="616"/>
      <c r="AJ71" s="315">
        <f t="shared" si="42"/>
        <v>0</v>
      </c>
      <c r="AK71" s="616"/>
      <c r="AL71" s="315">
        <f t="shared" si="43"/>
        <v>-937816.43888163206</v>
      </c>
      <c r="AM71" s="616"/>
      <c r="AN71" s="315">
        <f t="shared" si="44"/>
        <v>0</v>
      </c>
      <c r="AO71" s="616"/>
      <c r="AP71" s="616">
        <f t="shared" si="45"/>
        <v>-937816.43888163206</v>
      </c>
      <c r="AR71" s="616">
        <v>0</v>
      </c>
      <c r="AS71" s="616"/>
      <c r="AT71" s="706">
        <v>-27878.739188790565</v>
      </c>
      <c r="AU71" s="616"/>
      <c r="AV71" s="616">
        <v>0</v>
      </c>
      <c r="AW71" s="616"/>
      <c r="AX71" s="315">
        <f t="shared" si="46"/>
        <v>0</v>
      </c>
      <c r="AY71" s="616"/>
      <c r="AZ71" s="315">
        <f t="shared" si="47"/>
        <v>-909937.6996928415</v>
      </c>
      <c r="BA71" s="616"/>
      <c r="BB71" s="315">
        <f t="shared" si="48"/>
        <v>0</v>
      </c>
      <c r="BC71" s="616"/>
      <c r="BD71" s="616">
        <f t="shared" si="49"/>
        <v>-909937.6996928415</v>
      </c>
      <c r="BF71" s="616">
        <f t="shared" si="50"/>
        <v>-1263514.5601458021</v>
      </c>
      <c r="BI71" s="304">
        <f t="shared" si="40"/>
        <v>337</v>
      </c>
    </row>
    <row r="72" spans="1:61" ht="14.5">
      <c r="A72" s="304">
        <f t="shared" si="41"/>
        <v>338</v>
      </c>
      <c r="B72" s="620" t="s">
        <v>1508</v>
      </c>
      <c r="F72" s="624" t="s">
        <v>1443</v>
      </c>
      <c r="H72" s="621">
        <v>-206829414.58306399</v>
      </c>
      <c r="J72" s="621">
        <v>6399302.0872</v>
      </c>
      <c r="K72" s="616"/>
      <c r="L72" s="621">
        <v>3859009.5899391999</v>
      </c>
      <c r="M72" s="616"/>
      <c r="N72" s="621">
        <v>2539444.1115617389</v>
      </c>
      <c r="P72" s="626" t="s">
        <v>1444</v>
      </c>
      <c r="R72" s="616">
        <v>0</v>
      </c>
      <c r="S72" s="616"/>
      <c r="T72" s="616">
        <f t="shared" si="51"/>
        <v>2539444.1115617389</v>
      </c>
      <c r="U72" s="616"/>
      <c r="V72" s="616">
        <v>0</v>
      </c>
      <c r="W72" s="616"/>
      <c r="X72" s="616">
        <f t="shared" si="52"/>
        <v>2539444.1115617389</v>
      </c>
      <c r="Y72" s="616"/>
      <c r="Z72" s="316" t="s">
        <v>1471</v>
      </c>
      <c r="AA72" s="616"/>
      <c r="AB72" s="616">
        <v>0</v>
      </c>
      <c r="AC72" s="616"/>
      <c r="AD72" s="621">
        <v>187707.7653848849</v>
      </c>
      <c r="AE72" s="616"/>
      <c r="AF72" s="616">
        <v>0</v>
      </c>
      <c r="AG72" s="616"/>
      <c r="AH72" s="316" t="s">
        <v>1446</v>
      </c>
      <c r="AI72" s="616"/>
      <c r="AJ72" s="315">
        <f t="shared" si="42"/>
        <v>0</v>
      </c>
      <c r="AK72" s="616"/>
      <c r="AL72" s="315">
        <f t="shared" si="43"/>
        <v>2351736.3461768539</v>
      </c>
      <c r="AM72" s="616"/>
      <c r="AN72" s="315">
        <f t="shared" si="44"/>
        <v>0</v>
      </c>
      <c r="AO72" s="616"/>
      <c r="AP72" s="616">
        <f t="shared" si="45"/>
        <v>2351736.3461768539</v>
      </c>
      <c r="AR72" s="616">
        <v>0</v>
      </c>
      <c r="AS72" s="616"/>
      <c r="AT72" s="706">
        <v>69910.74320903323</v>
      </c>
      <c r="AU72" s="616"/>
      <c r="AV72" s="616">
        <v>0</v>
      </c>
      <c r="AW72" s="616"/>
      <c r="AX72" s="315">
        <f t="shared" si="46"/>
        <v>0</v>
      </c>
      <c r="AY72" s="616"/>
      <c r="AZ72" s="315">
        <f t="shared" si="47"/>
        <v>2281825.6029678206</v>
      </c>
      <c r="BA72" s="616"/>
      <c r="BB72" s="315">
        <f t="shared" si="48"/>
        <v>0</v>
      </c>
      <c r="BC72" s="616"/>
      <c r="BD72" s="616">
        <f t="shared" si="49"/>
        <v>2281825.6029678206</v>
      </c>
      <c r="BF72" s="616">
        <f t="shared" si="50"/>
        <v>3168480.5168931247</v>
      </c>
      <c r="BI72" s="304">
        <f t="shared" si="40"/>
        <v>338</v>
      </c>
    </row>
    <row r="73" spans="1:61" ht="14.5">
      <c r="A73" s="304">
        <f t="shared" si="41"/>
        <v>339</v>
      </c>
      <c r="B73" s="620" t="s">
        <v>1509</v>
      </c>
      <c r="F73" s="624" t="s">
        <v>1443</v>
      </c>
      <c r="H73" s="621">
        <v>2780935.7983193276</v>
      </c>
      <c r="J73" s="621">
        <v>-86042.153599999991</v>
      </c>
      <c r="K73" s="616"/>
      <c r="L73" s="621">
        <v>-52236.797545984009</v>
      </c>
      <c r="M73" s="616"/>
      <c r="N73" s="621">
        <v>-33825.769305745198</v>
      </c>
      <c r="P73" s="626" t="s">
        <v>1444</v>
      </c>
      <c r="R73" s="616">
        <v>0</v>
      </c>
      <c r="S73" s="616"/>
      <c r="T73" s="616">
        <f t="shared" si="51"/>
        <v>-33825.769305745198</v>
      </c>
      <c r="U73" s="616"/>
      <c r="V73" s="616">
        <v>0</v>
      </c>
      <c r="W73" s="616"/>
      <c r="X73" s="616">
        <f t="shared" si="52"/>
        <v>-33825.769305745198</v>
      </c>
      <c r="Y73" s="616"/>
      <c r="Z73" s="316" t="s">
        <v>1471</v>
      </c>
      <c r="AA73" s="616"/>
      <c r="AB73" s="616">
        <v>0</v>
      </c>
      <c r="AC73" s="616"/>
      <c r="AD73" s="621">
        <v>-2500.2950605994056</v>
      </c>
      <c r="AE73" s="616"/>
      <c r="AF73" s="616">
        <v>0</v>
      </c>
      <c r="AG73" s="616"/>
      <c r="AH73" s="316" t="s">
        <v>1446</v>
      </c>
      <c r="AI73" s="616"/>
      <c r="AJ73" s="315">
        <f t="shared" si="42"/>
        <v>0</v>
      </c>
      <c r="AK73" s="616"/>
      <c r="AL73" s="315">
        <f t="shared" si="43"/>
        <v>-31325.474245145793</v>
      </c>
      <c r="AM73" s="616"/>
      <c r="AN73" s="315">
        <f t="shared" si="44"/>
        <v>0</v>
      </c>
      <c r="AO73" s="616"/>
      <c r="AP73" s="616">
        <f t="shared" si="45"/>
        <v>-31325.474245145793</v>
      </c>
      <c r="AR73" s="616">
        <v>0</v>
      </c>
      <c r="AS73" s="616"/>
      <c r="AT73" s="706">
        <v>-931.22138857689856</v>
      </c>
      <c r="AU73" s="616"/>
      <c r="AV73" s="616">
        <v>0</v>
      </c>
      <c r="AW73" s="616"/>
      <c r="AX73" s="315">
        <f t="shared" si="46"/>
        <v>0</v>
      </c>
      <c r="AY73" s="616"/>
      <c r="AZ73" s="315">
        <f t="shared" si="47"/>
        <v>-30394.252856568895</v>
      </c>
      <c r="BA73" s="616"/>
      <c r="BB73" s="315">
        <f t="shared" si="48"/>
        <v>0</v>
      </c>
      <c r="BC73" s="616"/>
      <c r="BD73" s="616">
        <f t="shared" si="49"/>
        <v>-30394.252856568895</v>
      </c>
      <c r="BF73" s="616">
        <f t="shared" si="50"/>
        <v>-42204.626802462903</v>
      </c>
      <c r="BI73" s="304">
        <f t="shared" si="40"/>
        <v>339</v>
      </c>
    </row>
    <row r="74" spans="1:61" ht="14.5">
      <c r="A74" s="304">
        <f t="shared" si="41"/>
        <v>340</v>
      </c>
      <c r="B74" s="620" t="s">
        <v>1510</v>
      </c>
      <c r="F74" s="624" t="s">
        <v>1443</v>
      </c>
      <c r="H74" s="621">
        <v>20214246.877828054</v>
      </c>
      <c r="J74" s="621">
        <v>-625428.79839999997</v>
      </c>
      <c r="K74" s="616"/>
      <c r="L74" s="621">
        <v>-375176.48781004804</v>
      </c>
      <c r="M74" s="616"/>
      <c r="N74" s="621">
        <v>-250183.84381963813</v>
      </c>
      <c r="P74" s="626" t="s">
        <v>1444</v>
      </c>
      <c r="R74" s="616">
        <v>0</v>
      </c>
      <c r="S74" s="616"/>
      <c r="T74" s="616">
        <f t="shared" si="51"/>
        <v>-250183.84381963813</v>
      </c>
      <c r="U74" s="616"/>
      <c r="V74" s="616">
        <v>0</v>
      </c>
      <c r="W74" s="616"/>
      <c r="X74" s="616">
        <f t="shared" si="52"/>
        <v>-250183.84381963813</v>
      </c>
      <c r="Y74" s="616"/>
      <c r="Z74" s="316" t="s">
        <v>1471</v>
      </c>
      <c r="AA74" s="616"/>
      <c r="AB74" s="616">
        <v>0</v>
      </c>
      <c r="AC74" s="616"/>
      <c r="AD74" s="621">
        <v>-18492.80716396802</v>
      </c>
      <c r="AE74" s="616"/>
      <c r="AF74" s="616">
        <v>0</v>
      </c>
      <c r="AG74" s="616"/>
      <c r="AH74" s="316" t="s">
        <v>1446</v>
      </c>
      <c r="AI74" s="616"/>
      <c r="AJ74" s="315">
        <f t="shared" si="42"/>
        <v>0</v>
      </c>
      <c r="AK74" s="616"/>
      <c r="AL74" s="315">
        <f t="shared" si="43"/>
        <v>-231691.03665567012</v>
      </c>
      <c r="AM74" s="616"/>
      <c r="AN74" s="315">
        <f t="shared" si="44"/>
        <v>0</v>
      </c>
      <c r="AO74" s="616"/>
      <c r="AP74" s="616">
        <f t="shared" si="45"/>
        <v>-231691.03665567012</v>
      </c>
      <c r="AR74" s="616">
        <v>0</v>
      </c>
      <c r="AS74" s="616"/>
      <c r="AT74" s="706">
        <v>-6887.5461289703471</v>
      </c>
      <c r="AU74" s="616"/>
      <c r="AV74" s="616">
        <v>0</v>
      </c>
      <c r="AW74" s="616"/>
      <c r="AX74" s="315">
        <f t="shared" si="46"/>
        <v>0</v>
      </c>
      <c r="AY74" s="616"/>
      <c r="AZ74" s="315">
        <f t="shared" si="47"/>
        <v>-224803.49052669978</v>
      </c>
      <c r="BA74" s="616"/>
      <c r="BB74" s="315">
        <f t="shared" si="48"/>
        <v>0</v>
      </c>
      <c r="BC74" s="616"/>
      <c r="BD74" s="616">
        <f t="shared" si="49"/>
        <v>-224803.49052669978</v>
      </c>
      <c r="BF74" s="616">
        <f t="shared" si="50"/>
        <v>-312155.96798326459</v>
      </c>
      <c r="BI74" s="304">
        <f t="shared" si="40"/>
        <v>340</v>
      </c>
    </row>
    <row r="75" spans="1:61" ht="14.5">
      <c r="A75" s="304">
        <f t="shared" si="41"/>
        <v>341</v>
      </c>
      <c r="B75" s="620" t="s">
        <v>1511</v>
      </c>
      <c r="F75" s="624" t="s">
        <v>1443</v>
      </c>
      <c r="H75" s="621">
        <v>-1683355106.5287654</v>
      </c>
      <c r="J75" s="621">
        <v>52083006.995999999</v>
      </c>
      <c r="K75" s="616"/>
      <c r="L75" s="621">
        <v>32797969.86714112</v>
      </c>
      <c r="M75" s="616"/>
      <c r="N75" s="621">
        <v>19278002.225408651</v>
      </c>
      <c r="P75" s="626" t="s">
        <v>1444</v>
      </c>
      <c r="R75" s="616">
        <v>0</v>
      </c>
      <c r="S75" s="616"/>
      <c r="T75" s="616">
        <f t="shared" si="51"/>
        <v>19278002.225408651</v>
      </c>
      <c r="U75" s="616"/>
      <c r="V75" s="616">
        <v>0</v>
      </c>
      <c r="W75" s="616"/>
      <c r="X75" s="616">
        <f t="shared" si="52"/>
        <v>19278002.225408651</v>
      </c>
      <c r="Y75" s="616"/>
      <c r="Z75" s="316" t="s">
        <v>1471</v>
      </c>
      <c r="AA75" s="616"/>
      <c r="AB75" s="616">
        <v>0</v>
      </c>
      <c r="AC75" s="616"/>
      <c r="AD75" s="621">
        <v>1424969.6232105165</v>
      </c>
      <c r="AE75" s="616"/>
      <c r="AF75" s="616">
        <v>0</v>
      </c>
      <c r="AG75" s="616"/>
      <c r="AH75" s="316" t="s">
        <v>1446</v>
      </c>
      <c r="AI75" s="616"/>
      <c r="AJ75" s="315">
        <f t="shared" si="42"/>
        <v>0</v>
      </c>
      <c r="AK75" s="616"/>
      <c r="AL75" s="315">
        <f t="shared" si="43"/>
        <v>17853032.602198135</v>
      </c>
      <c r="AM75" s="616"/>
      <c r="AN75" s="315">
        <f t="shared" si="44"/>
        <v>0</v>
      </c>
      <c r="AO75" s="616"/>
      <c r="AP75" s="616">
        <f t="shared" si="45"/>
        <v>17853032.602198135</v>
      </c>
      <c r="AR75" s="616">
        <v>0</v>
      </c>
      <c r="AS75" s="616"/>
      <c r="AT75" s="706">
        <v>530722.23839368764</v>
      </c>
      <c r="AU75" s="616"/>
      <c r="AV75" s="616">
        <v>0</v>
      </c>
      <c r="AW75" s="616"/>
      <c r="AX75" s="315">
        <f t="shared" si="46"/>
        <v>0</v>
      </c>
      <c r="AY75" s="616"/>
      <c r="AZ75" s="315">
        <f t="shared" si="47"/>
        <v>17322310.363804448</v>
      </c>
      <c r="BA75" s="616"/>
      <c r="BB75" s="315">
        <f t="shared" si="48"/>
        <v>0</v>
      </c>
      <c r="BC75" s="616"/>
      <c r="BD75" s="616">
        <f t="shared" si="49"/>
        <v>17322310.363804448</v>
      </c>
      <c r="BF75" s="616">
        <f t="shared" si="50"/>
        <v>24053285.590232845</v>
      </c>
      <c r="BI75" s="304">
        <f t="shared" si="40"/>
        <v>341</v>
      </c>
    </row>
    <row r="76" spans="1:61" ht="14.5">
      <c r="A76" s="304">
        <f t="shared" si="41"/>
        <v>342</v>
      </c>
      <c r="B76" s="620" t="s">
        <v>1512</v>
      </c>
      <c r="F76" s="624" t="s">
        <v>1443</v>
      </c>
      <c r="H76" s="621">
        <v>-80030.458952811881</v>
      </c>
      <c r="J76" s="621">
        <v>2476.1423999999997</v>
      </c>
      <c r="K76" s="616"/>
      <c r="L76" s="621">
        <v>1485.4561182719999</v>
      </c>
      <c r="M76" s="616"/>
      <c r="N76" s="621">
        <v>990.68628172799993</v>
      </c>
      <c r="P76" s="626" t="s">
        <v>1444</v>
      </c>
      <c r="R76" s="616">
        <v>0</v>
      </c>
      <c r="S76" s="616"/>
      <c r="T76" s="616">
        <f t="shared" si="51"/>
        <v>990.68628172799993</v>
      </c>
      <c r="U76" s="616"/>
      <c r="V76" s="616">
        <v>0</v>
      </c>
      <c r="W76" s="616"/>
      <c r="X76" s="616">
        <f t="shared" si="52"/>
        <v>990.68628172799993</v>
      </c>
      <c r="Y76" s="616"/>
      <c r="Z76" s="316" t="s">
        <v>1471</v>
      </c>
      <c r="AA76" s="616"/>
      <c r="AB76" s="616">
        <v>0</v>
      </c>
      <c r="AC76" s="616"/>
      <c r="AD76" s="621">
        <v>73.228431094023847</v>
      </c>
      <c r="AE76" s="616"/>
      <c r="AF76" s="616">
        <v>0</v>
      </c>
      <c r="AG76" s="616"/>
      <c r="AH76" s="316" t="s">
        <v>1446</v>
      </c>
      <c r="AI76" s="616"/>
      <c r="AJ76" s="315">
        <f t="shared" si="42"/>
        <v>0</v>
      </c>
      <c r="AK76" s="616"/>
      <c r="AL76" s="315">
        <f t="shared" si="43"/>
        <v>917.45785063397602</v>
      </c>
      <c r="AM76" s="616"/>
      <c r="AN76" s="315">
        <f t="shared" si="44"/>
        <v>0</v>
      </c>
      <c r="AO76" s="616"/>
      <c r="AP76" s="616">
        <f t="shared" si="45"/>
        <v>917.45785063397602</v>
      </c>
      <c r="AR76" s="616">
        <v>0</v>
      </c>
      <c r="AS76" s="616"/>
      <c r="AT76" s="706">
        <v>27.273533576607846</v>
      </c>
      <c r="AU76" s="616"/>
      <c r="AV76" s="616">
        <v>0</v>
      </c>
      <c r="AW76" s="616"/>
      <c r="AX76" s="315">
        <f t="shared" si="46"/>
        <v>0</v>
      </c>
      <c r="AY76" s="616"/>
      <c r="AZ76" s="315">
        <f t="shared" si="47"/>
        <v>890.18431705736816</v>
      </c>
      <c r="BA76" s="616"/>
      <c r="BB76" s="315">
        <f t="shared" si="48"/>
        <v>0</v>
      </c>
      <c r="BC76" s="616"/>
      <c r="BD76" s="616">
        <f t="shared" si="49"/>
        <v>890.18431705736816</v>
      </c>
      <c r="BF76" s="616">
        <f t="shared" si="50"/>
        <v>1236.0855542034426</v>
      </c>
      <c r="BI76" s="304">
        <f t="shared" si="40"/>
        <v>342</v>
      </c>
    </row>
    <row r="77" spans="1:61" ht="14.5">
      <c r="A77" s="304">
        <f t="shared" si="41"/>
        <v>343</v>
      </c>
      <c r="B77" s="620" t="s">
        <v>1513</v>
      </c>
      <c r="F77" s="624" t="s">
        <v>1443</v>
      </c>
      <c r="H77" s="621">
        <v>-101522526.36069812</v>
      </c>
      <c r="J77" s="621">
        <v>3141106.9655999998</v>
      </c>
      <c r="K77" s="616"/>
      <c r="L77" s="621">
        <v>33370.798588416001</v>
      </c>
      <c r="M77" s="616"/>
      <c r="N77" s="621">
        <v>3107736.1670115842</v>
      </c>
      <c r="P77" s="626" t="s">
        <v>1444</v>
      </c>
      <c r="R77" s="616">
        <v>0</v>
      </c>
      <c r="S77" s="616"/>
      <c r="T77" s="616">
        <f t="shared" si="51"/>
        <v>3107736.1670115842</v>
      </c>
      <c r="U77" s="616"/>
      <c r="V77" s="616">
        <v>0</v>
      </c>
      <c r="W77" s="616"/>
      <c r="X77" s="616">
        <f t="shared" si="52"/>
        <v>3107736.1670115842</v>
      </c>
      <c r="Y77" s="616"/>
      <c r="Z77" s="316" t="s">
        <v>1471</v>
      </c>
      <c r="AA77" s="616"/>
      <c r="AB77" s="616">
        <v>0</v>
      </c>
      <c r="AC77" s="616"/>
      <c r="AD77" s="621">
        <v>229714.13651501015</v>
      </c>
      <c r="AE77" s="616"/>
      <c r="AF77" s="616">
        <v>0</v>
      </c>
      <c r="AG77" s="616"/>
      <c r="AH77" s="316" t="s">
        <v>1446</v>
      </c>
      <c r="AI77" s="616"/>
      <c r="AJ77" s="315">
        <f t="shared" si="42"/>
        <v>0</v>
      </c>
      <c r="AK77" s="616"/>
      <c r="AL77" s="315">
        <f t="shared" si="43"/>
        <v>2878022.030496574</v>
      </c>
      <c r="AM77" s="616"/>
      <c r="AN77" s="315">
        <f t="shared" si="44"/>
        <v>0</v>
      </c>
      <c r="AO77" s="616"/>
      <c r="AP77" s="616">
        <f t="shared" si="45"/>
        <v>2878022.030496574</v>
      </c>
      <c r="AR77" s="616">
        <v>0</v>
      </c>
      <c r="AS77" s="616"/>
      <c r="AT77" s="706">
        <v>85555.789215520985</v>
      </c>
      <c r="AU77" s="616"/>
      <c r="AV77" s="616">
        <v>0</v>
      </c>
      <c r="AW77" s="616"/>
      <c r="AX77" s="315">
        <f t="shared" si="46"/>
        <v>0</v>
      </c>
      <c r="AY77" s="616"/>
      <c r="AZ77" s="315">
        <f t="shared" si="47"/>
        <v>2792466.2412810531</v>
      </c>
      <c r="BA77" s="616"/>
      <c r="BB77" s="315">
        <f t="shared" si="48"/>
        <v>0</v>
      </c>
      <c r="BC77" s="616"/>
      <c r="BD77" s="616">
        <f t="shared" si="49"/>
        <v>2792466.2412810531</v>
      </c>
      <c r="BF77" s="616">
        <f t="shared" si="50"/>
        <v>3877542.1171858809</v>
      </c>
      <c r="BI77" s="304">
        <f t="shared" si="40"/>
        <v>343</v>
      </c>
    </row>
    <row r="78" spans="1:61" ht="14.5">
      <c r="A78" s="304">
        <f t="shared" si="41"/>
        <v>344</v>
      </c>
      <c r="B78" s="620" t="s">
        <v>1514</v>
      </c>
      <c r="F78" s="624" t="s">
        <v>1443</v>
      </c>
      <c r="H78" s="621">
        <v>-316188914.02714932</v>
      </c>
      <c r="J78" s="621">
        <v>9782885</v>
      </c>
      <c r="K78" s="616"/>
      <c r="L78" s="621">
        <v>5862332.2937600007</v>
      </c>
      <c r="M78" s="616"/>
      <c r="N78" s="621">
        <v>3919288.6145502506</v>
      </c>
      <c r="P78" s="626" t="s">
        <v>1444</v>
      </c>
      <c r="R78" s="616">
        <v>0</v>
      </c>
      <c r="S78" s="616"/>
      <c r="T78" s="616">
        <f t="shared" si="51"/>
        <v>3919288.6145502506</v>
      </c>
      <c r="U78" s="616"/>
      <c r="V78" s="616">
        <v>0</v>
      </c>
      <c r="W78" s="616"/>
      <c r="X78" s="616">
        <f t="shared" si="52"/>
        <v>3919288.6145502506</v>
      </c>
      <c r="Y78" s="616"/>
      <c r="Z78" s="316" t="s">
        <v>1471</v>
      </c>
      <c r="AA78" s="616"/>
      <c r="AB78" s="616">
        <v>0</v>
      </c>
      <c r="AC78" s="616"/>
      <c r="AD78" s="621">
        <v>289701.55491361092</v>
      </c>
      <c r="AE78" s="616"/>
      <c r="AF78" s="616">
        <v>0</v>
      </c>
      <c r="AG78" s="616"/>
      <c r="AH78" s="316" t="s">
        <v>1446</v>
      </c>
      <c r="AI78" s="616"/>
      <c r="AJ78" s="315">
        <f t="shared" si="42"/>
        <v>0</v>
      </c>
      <c r="AK78" s="616"/>
      <c r="AL78" s="315">
        <f t="shared" si="43"/>
        <v>3629587.0596366394</v>
      </c>
      <c r="AM78" s="616"/>
      <c r="AN78" s="315">
        <f t="shared" si="44"/>
        <v>0</v>
      </c>
      <c r="AO78" s="616"/>
      <c r="AP78" s="616">
        <f t="shared" si="45"/>
        <v>3629587.0596366394</v>
      </c>
      <c r="AR78" s="616">
        <v>0</v>
      </c>
      <c r="AS78" s="616"/>
      <c r="AT78" s="706">
        <v>107897.77914246045</v>
      </c>
      <c r="AU78" s="616"/>
      <c r="AV78" s="616">
        <v>0</v>
      </c>
      <c r="AW78" s="616"/>
      <c r="AX78" s="315">
        <f t="shared" si="46"/>
        <v>0</v>
      </c>
      <c r="AY78" s="616"/>
      <c r="AZ78" s="315">
        <f t="shared" si="47"/>
        <v>3521689.2804941791</v>
      </c>
      <c r="BA78" s="616"/>
      <c r="BB78" s="315">
        <f t="shared" si="48"/>
        <v>0</v>
      </c>
      <c r="BC78" s="616"/>
      <c r="BD78" s="616">
        <f t="shared" si="49"/>
        <v>3521689.2804941791</v>
      </c>
      <c r="BF78" s="616">
        <f t="shared" si="50"/>
        <v>4890121.2508458886</v>
      </c>
      <c r="BI78" s="304">
        <f t="shared" si="40"/>
        <v>344</v>
      </c>
    </row>
    <row r="79" spans="1:61" ht="14.5">
      <c r="A79" s="304">
        <f t="shared" si="41"/>
        <v>345</v>
      </c>
      <c r="B79" s="620" t="s">
        <v>1515</v>
      </c>
      <c r="F79" s="624" t="s">
        <v>1443</v>
      </c>
      <c r="H79" s="621">
        <v>-705076955.39754367</v>
      </c>
      <c r="J79" s="621">
        <v>21815081</v>
      </c>
      <c r="K79" s="616"/>
      <c r="L79" s="621">
        <v>13093466.90752</v>
      </c>
      <c r="M79" s="616"/>
      <c r="N79" s="621">
        <v>8718792.3050656114</v>
      </c>
      <c r="P79" s="626" t="s">
        <v>1444</v>
      </c>
      <c r="R79" s="616">
        <v>0</v>
      </c>
      <c r="S79" s="616"/>
      <c r="T79" s="616">
        <f t="shared" si="51"/>
        <v>8718792.3050656114</v>
      </c>
      <c r="U79" s="616"/>
      <c r="V79" s="616">
        <v>0</v>
      </c>
      <c r="W79" s="616"/>
      <c r="X79" s="616">
        <f t="shared" si="52"/>
        <v>8718792.3050656114</v>
      </c>
      <c r="Y79" s="616"/>
      <c r="Z79" s="316" t="s">
        <v>1471</v>
      </c>
      <c r="AA79" s="616"/>
      <c r="AB79" s="616">
        <v>0</v>
      </c>
      <c r="AC79" s="616"/>
      <c r="AD79" s="621">
        <v>644465.85494346952</v>
      </c>
      <c r="AE79" s="616"/>
      <c r="AF79" s="616">
        <v>0</v>
      </c>
      <c r="AG79" s="616"/>
      <c r="AH79" s="316" t="s">
        <v>1446</v>
      </c>
      <c r="AI79" s="616"/>
      <c r="AJ79" s="315">
        <f t="shared" si="42"/>
        <v>0</v>
      </c>
      <c r="AK79" s="616"/>
      <c r="AL79" s="315">
        <f t="shared" si="43"/>
        <v>8074326.4501221422</v>
      </c>
      <c r="AM79" s="616"/>
      <c r="AN79" s="315">
        <f t="shared" si="44"/>
        <v>0</v>
      </c>
      <c r="AO79" s="616"/>
      <c r="AP79" s="616">
        <f t="shared" si="45"/>
        <v>8074326.4501221422</v>
      </c>
      <c r="AR79" s="616">
        <v>0</v>
      </c>
      <c r="AS79" s="616"/>
      <c r="AT79" s="706">
        <v>240027.82623062973</v>
      </c>
      <c r="AU79" s="616"/>
      <c r="AV79" s="616">
        <v>0</v>
      </c>
      <c r="AW79" s="616"/>
      <c r="AX79" s="315">
        <f t="shared" si="46"/>
        <v>0</v>
      </c>
      <c r="AY79" s="616"/>
      <c r="AZ79" s="315">
        <f t="shared" si="47"/>
        <v>7834298.6238915129</v>
      </c>
      <c r="BA79" s="616"/>
      <c r="BB79" s="315">
        <f t="shared" si="48"/>
        <v>0</v>
      </c>
      <c r="BC79" s="616"/>
      <c r="BD79" s="616">
        <f t="shared" si="49"/>
        <v>7834298.6238915129</v>
      </c>
      <c r="BF79" s="616">
        <f t="shared" si="50"/>
        <v>10878492.432128672</v>
      </c>
      <c r="BI79" s="304">
        <f t="shared" si="40"/>
        <v>345</v>
      </c>
    </row>
    <row r="80" spans="1:61" ht="14.5">
      <c r="A80" s="304">
        <f t="shared" si="41"/>
        <v>346</v>
      </c>
      <c r="B80" s="620" t="s">
        <v>1516</v>
      </c>
      <c r="F80" s="624" t="s">
        <v>1443</v>
      </c>
      <c r="H80" s="621">
        <v>396525958.06076276</v>
      </c>
      <c r="J80" s="621">
        <v>-12268513.1424</v>
      </c>
      <c r="K80" s="616"/>
      <c r="L80" s="621">
        <v>-7359521.8983582715</v>
      </c>
      <c r="M80" s="616"/>
      <c r="N80" s="621">
        <v>-4907405.0094369473</v>
      </c>
      <c r="P80" s="626" t="s">
        <v>1444</v>
      </c>
      <c r="R80" s="616">
        <v>0</v>
      </c>
      <c r="S80" s="616"/>
      <c r="T80" s="616">
        <f t="shared" si="51"/>
        <v>-4907405.0094369473</v>
      </c>
      <c r="U80" s="616"/>
      <c r="V80" s="616">
        <v>0</v>
      </c>
      <c r="W80" s="616"/>
      <c r="X80" s="616">
        <f t="shared" si="52"/>
        <v>-4907405.0094369473</v>
      </c>
      <c r="Y80" s="616"/>
      <c r="Z80" s="316" t="s">
        <v>1471</v>
      </c>
      <c r="AA80" s="616"/>
      <c r="AB80" s="616">
        <v>0</v>
      </c>
      <c r="AC80" s="616"/>
      <c r="AD80" s="621">
        <v>-362740.02801089175</v>
      </c>
      <c r="AE80" s="616"/>
      <c r="AF80" s="616">
        <v>0</v>
      </c>
      <c r="AG80" s="616"/>
      <c r="AH80" s="316" t="s">
        <v>1446</v>
      </c>
      <c r="AI80" s="616"/>
      <c r="AJ80" s="315">
        <f t="shared" si="42"/>
        <v>0</v>
      </c>
      <c r="AK80" s="616"/>
      <c r="AL80" s="315">
        <f t="shared" si="43"/>
        <v>-4544664.9814260555</v>
      </c>
      <c r="AM80" s="616"/>
      <c r="AN80" s="315">
        <f t="shared" si="44"/>
        <v>0</v>
      </c>
      <c r="AO80" s="616"/>
      <c r="AP80" s="616">
        <f t="shared" si="45"/>
        <v>-4544664.9814260555</v>
      </c>
      <c r="AR80" s="616">
        <v>0</v>
      </c>
      <c r="AS80" s="616"/>
      <c r="AT80" s="706">
        <v>-135100.56388934582</v>
      </c>
      <c r="AU80" s="616"/>
      <c r="AV80" s="616">
        <v>0</v>
      </c>
      <c r="AW80" s="616"/>
      <c r="AX80" s="315">
        <f t="shared" si="46"/>
        <v>0</v>
      </c>
      <c r="AY80" s="616"/>
      <c r="AZ80" s="315">
        <f t="shared" si="47"/>
        <v>-4409564.4175367095</v>
      </c>
      <c r="BA80" s="616"/>
      <c r="BB80" s="315">
        <f t="shared" si="48"/>
        <v>0</v>
      </c>
      <c r="BC80" s="616"/>
      <c r="BD80" s="616">
        <f t="shared" si="49"/>
        <v>-4409564.4175367095</v>
      </c>
      <c r="BF80" s="616">
        <f t="shared" si="50"/>
        <v>-6123000.3409455474</v>
      </c>
      <c r="BI80" s="304">
        <f t="shared" si="40"/>
        <v>346</v>
      </c>
    </row>
    <row r="81" spans="1:61" ht="14.5">
      <c r="A81" s="304">
        <f t="shared" si="41"/>
        <v>347</v>
      </c>
      <c r="B81" s="620" t="s">
        <v>1517</v>
      </c>
      <c r="F81" s="624" t="s">
        <v>1443</v>
      </c>
      <c r="H81" s="621">
        <v>-818712863.60698128</v>
      </c>
      <c r="J81" s="621">
        <v>25330976</v>
      </c>
      <c r="K81" s="616"/>
      <c r="L81" s="621">
        <v>15195310.978560001</v>
      </c>
      <c r="M81" s="616"/>
      <c r="N81" s="621">
        <v>10132390.552993109</v>
      </c>
      <c r="P81" s="626" t="s">
        <v>1444</v>
      </c>
      <c r="R81" s="616">
        <v>0</v>
      </c>
      <c r="S81" s="616"/>
      <c r="T81" s="616">
        <f t="shared" si="51"/>
        <v>10132390.552993109</v>
      </c>
      <c r="U81" s="616"/>
      <c r="V81" s="616">
        <v>0</v>
      </c>
      <c r="W81" s="616"/>
      <c r="X81" s="616">
        <f t="shared" si="52"/>
        <v>10132390.552993109</v>
      </c>
      <c r="Y81" s="616"/>
      <c r="Z81" s="316" t="s">
        <v>1471</v>
      </c>
      <c r="AA81" s="616"/>
      <c r="AB81" s="616">
        <v>0</v>
      </c>
      <c r="AC81" s="616"/>
      <c r="AD81" s="621">
        <v>748954.61571689532</v>
      </c>
      <c r="AE81" s="616"/>
      <c r="AF81" s="616">
        <v>0</v>
      </c>
      <c r="AG81" s="616"/>
      <c r="AH81" s="316" t="s">
        <v>1446</v>
      </c>
      <c r="AI81" s="616"/>
      <c r="AJ81" s="315">
        <f t="shared" si="42"/>
        <v>0</v>
      </c>
      <c r="AK81" s="616"/>
      <c r="AL81" s="315">
        <f t="shared" si="43"/>
        <v>9383435.9372762144</v>
      </c>
      <c r="AM81" s="616"/>
      <c r="AN81" s="315">
        <f t="shared" si="44"/>
        <v>0</v>
      </c>
      <c r="AO81" s="616"/>
      <c r="AP81" s="616">
        <f t="shared" si="45"/>
        <v>9383435.9372762144</v>
      </c>
      <c r="AR81" s="616">
        <v>0</v>
      </c>
      <c r="AS81" s="616"/>
      <c r="AT81" s="706">
        <v>278944.10072616156</v>
      </c>
      <c r="AU81" s="616"/>
      <c r="AV81" s="616">
        <v>0</v>
      </c>
      <c r="AW81" s="616"/>
      <c r="AX81" s="315">
        <f t="shared" si="46"/>
        <v>0</v>
      </c>
      <c r="AY81" s="616"/>
      <c r="AZ81" s="315">
        <f t="shared" si="47"/>
        <v>9104491.8365500532</v>
      </c>
      <c r="BA81" s="616"/>
      <c r="BB81" s="315">
        <f t="shared" si="48"/>
        <v>0</v>
      </c>
      <c r="BC81" s="616"/>
      <c r="BD81" s="616">
        <f t="shared" si="49"/>
        <v>9104491.8365500532</v>
      </c>
      <c r="BF81" s="616">
        <f t="shared" si="50"/>
        <v>12642247.927624892</v>
      </c>
      <c r="BI81" s="304">
        <f t="shared" si="40"/>
        <v>347</v>
      </c>
    </row>
    <row r="82" spans="1:61" ht="14.5">
      <c r="A82" s="304">
        <f t="shared" si="41"/>
        <v>348</v>
      </c>
      <c r="B82" s="620" t="s">
        <v>1518</v>
      </c>
      <c r="F82" s="624" t="s">
        <v>1443</v>
      </c>
      <c r="H82" s="621">
        <v>-25044326.102133159</v>
      </c>
      <c r="J82" s="621">
        <v>774871.44959999993</v>
      </c>
      <c r="K82" s="616"/>
      <c r="L82" s="621">
        <v>465181.65727795195</v>
      </c>
      <c r="M82" s="616"/>
      <c r="N82" s="621">
        <v>309689.79232204799</v>
      </c>
      <c r="P82" s="626" t="s">
        <v>1444</v>
      </c>
      <c r="R82" s="616">
        <v>0</v>
      </c>
      <c r="S82" s="616"/>
      <c r="T82" s="616">
        <f t="shared" si="51"/>
        <v>309689.79232204799</v>
      </c>
      <c r="U82" s="616"/>
      <c r="V82" s="616">
        <v>0</v>
      </c>
      <c r="W82" s="616"/>
      <c r="X82" s="616">
        <f t="shared" si="52"/>
        <v>309689.79232204799</v>
      </c>
      <c r="Y82" s="616"/>
      <c r="Z82" s="316" t="s">
        <v>1471</v>
      </c>
      <c r="AA82" s="616"/>
      <c r="AB82" s="616">
        <v>0</v>
      </c>
      <c r="AC82" s="616"/>
      <c r="AD82" s="621">
        <v>22891.300743583</v>
      </c>
      <c r="AE82" s="616"/>
      <c r="AF82" s="616">
        <v>0</v>
      </c>
      <c r="AG82" s="616"/>
      <c r="AH82" s="316" t="s">
        <v>1446</v>
      </c>
      <c r="AI82" s="616"/>
      <c r="AJ82" s="315">
        <f t="shared" si="42"/>
        <v>0</v>
      </c>
      <c r="AK82" s="616"/>
      <c r="AL82" s="315">
        <f t="shared" si="43"/>
        <v>286798.49157846498</v>
      </c>
      <c r="AM82" s="616"/>
      <c r="AN82" s="315">
        <f t="shared" si="44"/>
        <v>0</v>
      </c>
      <c r="AO82" s="616"/>
      <c r="AP82" s="616">
        <f t="shared" si="45"/>
        <v>286798.49157846498</v>
      </c>
      <c r="AR82" s="616">
        <v>0</v>
      </c>
      <c r="AS82" s="616"/>
      <c r="AT82" s="706">
        <v>8525.7413017727522</v>
      </c>
      <c r="AU82" s="616"/>
      <c r="AV82" s="616">
        <v>0</v>
      </c>
      <c r="AW82" s="616"/>
      <c r="AX82" s="315">
        <f t="shared" si="46"/>
        <v>0</v>
      </c>
      <c r="AY82" s="616"/>
      <c r="AZ82" s="315">
        <f t="shared" si="47"/>
        <v>278272.75027669221</v>
      </c>
      <c r="BA82" s="616"/>
      <c r="BB82" s="315">
        <f t="shared" si="48"/>
        <v>0</v>
      </c>
      <c r="BC82" s="616"/>
      <c r="BD82" s="616">
        <f t="shared" si="49"/>
        <v>278272.75027669221</v>
      </c>
      <c r="BF82" s="616">
        <f t="shared" si="50"/>
        <v>386401.91716982826</v>
      </c>
      <c r="BI82" s="304">
        <f t="shared" si="40"/>
        <v>348</v>
      </c>
    </row>
    <row r="83" spans="1:61" ht="14.5">
      <c r="A83" s="304">
        <f t="shared" si="41"/>
        <v>349</v>
      </c>
      <c r="B83" s="620" t="s">
        <v>1519</v>
      </c>
      <c r="F83" s="624" t="s">
        <v>1443</v>
      </c>
      <c r="H83" s="621">
        <v>-9911897.9961215258</v>
      </c>
      <c r="J83" s="621">
        <v>306674.12400000001</v>
      </c>
      <c r="K83" s="616"/>
      <c r="L83" s="621">
        <v>183964.734406656</v>
      </c>
      <c r="M83" s="616"/>
      <c r="N83" s="621">
        <v>122709.38959334401</v>
      </c>
      <c r="P83" s="626" t="s">
        <v>1444</v>
      </c>
      <c r="R83" s="616">
        <v>0</v>
      </c>
      <c r="S83" s="616"/>
      <c r="T83" s="616">
        <f t="shared" si="51"/>
        <v>122709.38959334401</v>
      </c>
      <c r="U83" s="616"/>
      <c r="V83" s="616">
        <v>0</v>
      </c>
      <c r="W83" s="616"/>
      <c r="X83" s="616">
        <f t="shared" si="52"/>
        <v>122709.38959334401</v>
      </c>
      <c r="Y83" s="616"/>
      <c r="Z83" s="316" t="s">
        <v>1471</v>
      </c>
      <c r="AA83" s="616"/>
      <c r="AB83" s="616">
        <v>0</v>
      </c>
      <c r="AC83" s="616"/>
      <c r="AD83" s="621">
        <v>9070.2942456742712</v>
      </c>
      <c r="AE83" s="616"/>
      <c r="AF83" s="616">
        <v>0</v>
      </c>
      <c r="AG83" s="616"/>
      <c r="AH83" s="316" t="s">
        <v>1446</v>
      </c>
      <c r="AI83" s="616"/>
      <c r="AJ83" s="315">
        <f t="shared" si="42"/>
        <v>0</v>
      </c>
      <c r="AK83" s="616"/>
      <c r="AL83" s="315">
        <f t="shared" si="43"/>
        <v>113639.09534766973</v>
      </c>
      <c r="AM83" s="616"/>
      <c r="AN83" s="315">
        <f t="shared" si="44"/>
        <v>0</v>
      </c>
      <c r="AO83" s="616"/>
      <c r="AP83" s="616">
        <f t="shared" si="45"/>
        <v>113639.09534766973</v>
      </c>
      <c r="AR83" s="616">
        <v>0</v>
      </c>
      <c r="AS83" s="616"/>
      <c r="AT83" s="706">
        <v>3378.1820935297724</v>
      </c>
      <c r="AU83" s="616"/>
      <c r="AV83" s="616">
        <v>0</v>
      </c>
      <c r="AW83" s="616"/>
      <c r="AX83" s="315">
        <f t="shared" si="46"/>
        <v>0</v>
      </c>
      <c r="AY83" s="616"/>
      <c r="AZ83" s="315">
        <f t="shared" si="47"/>
        <v>110260.91325413996</v>
      </c>
      <c r="BA83" s="616"/>
      <c r="BB83" s="315">
        <f t="shared" si="48"/>
        <v>0</v>
      </c>
      <c r="BC83" s="616"/>
      <c r="BD83" s="616">
        <f t="shared" si="49"/>
        <v>110260.91325413996</v>
      </c>
      <c r="BF83" s="616">
        <f t="shared" si="50"/>
        <v>153105.28331621678</v>
      </c>
      <c r="BI83" s="304">
        <f t="shared" si="40"/>
        <v>349</v>
      </c>
    </row>
    <row r="84" spans="1:61" ht="14.5">
      <c r="A84" s="304">
        <f t="shared" si="41"/>
        <v>350</v>
      </c>
      <c r="B84" s="620" t="s">
        <v>1520</v>
      </c>
      <c r="F84" s="624" t="s">
        <v>1443</v>
      </c>
      <c r="H84" s="621">
        <v>-71671356.535229474</v>
      </c>
      <c r="J84" s="621">
        <v>2217511.7711999998</v>
      </c>
      <c r="K84" s="616"/>
      <c r="L84" s="621">
        <v>1330220.482639872</v>
      </c>
      <c r="M84" s="616"/>
      <c r="N84" s="621">
        <v>887291.28856012796</v>
      </c>
      <c r="P84" s="626" t="s">
        <v>1444</v>
      </c>
      <c r="R84" s="616">
        <v>0</v>
      </c>
      <c r="S84" s="616"/>
      <c r="T84" s="616">
        <f t="shared" si="51"/>
        <v>887291.28856012796</v>
      </c>
      <c r="U84" s="616"/>
      <c r="V84" s="616">
        <v>0</v>
      </c>
      <c r="W84" s="616"/>
      <c r="X84" s="616">
        <f t="shared" si="52"/>
        <v>887291.28856012796</v>
      </c>
      <c r="Y84" s="616"/>
      <c r="Z84" s="316" t="s">
        <v>1471</v>
      </c>
      <c r="AA84" s="616"/>
      <c r="AB84" s="616">
        <v>0</v>
      </c>
      <c r="AC84" s="616"/>
      <c r="AD84" s="621">
        <v>65585.796616988286</v>
      </c>
      <c r="AE84" s="616"/>
      <c r="AF84" s="616">
        <v>0</v>
      </c>
      <c r="AG84" s="616"/>
      <c r="AH84" s="316" t="s">
        <v>1446</v>
      </c>
      <c r="AI84" s="616"/>
      <c r="AJ84" s="315">
        <f t="shared" si="42"/>
        <v>0</v>
      </c>
      <c r="AK84" s="616"/>
      <c r="AL84" s="315">
        <f t="shared" si="43"/>
        <v>821705.4919431397</v>
      </c>
      <c r="AM84" s="616"/>
      <c r="AN84" s="315">
        <f t="shared" si="44"/>
        <v>0</v>
      </c>
      <c r="AO84" s="616"/>
      <c r="AP84" s="616">
        <f t="shared" si="45"/>
        <v>821705.4919431397</v>
      </c>
      <c r="AR84" s="616">
        <v>0</v>
      </c>
      <c r="AS84" s="616"/>
      <c r="AT84" s="706">
        <v>24427.075651604162</v>
      </c>
      <c r="AU84" s="616"/>
      <c r="AV84" s="616">
        <v>0</v>
      </c>
      <c r="AW84" s="616"/>
      <c r="AX84" s="315">
        <f t="shared" si="46"/>
        <v>0</v>
      </c>
      <c r="AY84" s="616"/>
      <c r="AZ84" s="315">
        <f t="shared" si="47"/>
        <v>797278.41629153548</v>
      </c>
      <c r="BA84" s="616"/>
      <c r="BB84" s="315">
        <f t="shared" si="48"/>
        <v>0</v>
      </c>
      <c r="BC84" s="616"/>
      <c r="BD84" s="616">
        <f t="shared" si="49"/>
        <v>797278.41629153548</v>
      </c>
      <c r="BF84" s="616">
        <f t="shared" si="50"/>
        <v>1107078.9657516002</v>
      </c>
      <c r="BI84" s="304">
        <f t="shared" si="40"/>
        <v>350</v>
      </c>
    </row>
    <row r="85" spans="1:61" ht="14.5">
      <c r="A85" s="304">
        <f t="shared" si="41"/>
        <v>351</v>
      </c>
      <c r="B85" s="620" t="s">
        <v>1521</v>
      </c>
      <c r="F85" s="624" t="s">
        <v>1443</v>
      </c>
      <c r="H85" s="621">
        <v>38249585.210084036</v>
      </c>
      <c r="J85" s="621">
        <v>-1183442.1664</v>
      </c>
      <c r="K85" s="616"/>
      <c r="L85" s="621">
        <v>-709912.49233152007</v>
      </c>
      <c r="M85" s="616"/>
      <c r="N85" s="621">
        <v>-473374.28936369304</v>
      </c>
      <c r="P85" s="626" t="s">
        <v>1444</v>
      </c>
      <c r="R85" s="616">
        <v>0</v>
      </c>
      <c r="S85" s="616"/>
      <c r="T85" s="616">
        <f t="shared" si="51"/>
        <v>-473374.28936369304</v>
      </c>
      <c r="U85" s="616"/>
      <c r="V85" s="616">
        <v>0</v>
      </c>
      <c r="W85" s="616"/>
      <c r="X85" s="616">
        <f t="shared" si="52"/>
        <v>-473374.28936369304</v>
      </c>
      <c r="Y85" s="616"/>
      <c r="Z85" s="316" t="s">
        <v>1471</v>
      </c>
      <c r="AA85" s="616"/>
      <c r="AB85" s="616">
        <v>0</v>
      </c>
      <c r="AC85" s="616"/>
      <c r="AD85" s="621">
        <v>-34990.346762335685</v>
      </c>
      <c r="AE85" s="616"/>
      <c r="AF85" s="616">
        <v>0</v>
      </c>
      <c r="AG85" s="616"/>
      <c r="AH85" s="316" t="s">
        <v>1446</v>
      </c>
      <c r="AI85" s="616"/>
      <c r="AJ85" s="315">
        <f t="shared" si="42"/>
        <v>0</v>
      </c>
      <c r="AK85" s="616"/>
      <c r="AL85" s="315">
        <f t="shared" si="43"/>
        <v>-438383.94260135735</v>
      </c>
      <c r="AM85" s="616"/>
      <c r="AN85" s="315">
        <f t="shared" si="44"/>
        <v>0</v>
      </c>
      <c r="AO85" s="616"/>
      <c r="AP85" s="616">
        <f t="shared" si="45"/>
        <v>-438383.94260135735</v>
      </c>
      <c r="AR85" s="616">
        <v>0</v>
      </c>
      <c r="AS85" s="616"/>
      <c r="AT85" s="706">
        <v>-13031.965631687484</v>
      </c>
      <c r="AU85" s="616"/>
      <c r="AV85" s="616">
        <v>0</v>
      </c>
      <c r="AW85" s="616"/>
      <c r="AX85" s="315">
        <f t="shared" si="46"/>
        <v>0</v>
      </c>
      <c r="AY85" s="616"/>
      <c r="AZ85" s="315">
        <f t="shared" si="47"/>
        <v>-425351.97696966986</v>
      </c>
      <c r="BA85" s="616"/>
      <c r="BB85" s="315">
        <f t="shared" si="48"/>
        <v>0</v>
      </c>
      <c r="BC85" s="616"/>
      <c r="BD85" s="616">
        <f t="shared" si="49"/>
        <v>-425351.97696966986</v>
      </c>
      <c r="BF85" s="616">
        <f t="shared" si="50"/>
        <v>-590632.10181246197</v>
      </c>
      <c r="BI85" s="304">
        <f t="shared" si="40"/>
        <v>351</v>
      </c>
    </row>
    <row r="86" spans="1:61" ht="14.5">
      <c r="A86" s="304">
        <f t="shared" si="41"/>
        <v>352</v>
      </c>
      <c r="B86" s="620" t="s">
        <v>1522</v>
      </c>
      <c r="F86" s="624" t="s">
        <v>1443</v>
      </c>
      <c r="H86" s="621">
        <v>21102.236586942468</v>
      </c>
      <c r="J86" s="621">
        <v>-652.90319999999997</v>
      </c>
      <c r="K86" s="616"/>
      <c r="L86" s="621">
        <v>-391.595836416</v>
      </c>
      <c r="M86" s="616"/>
      <c r="N86" s="621">
        <v>-261.30736358399997</v>
      </c>
      <c r="P86" s="626" t="s">
        <v>1444</v>
      </c>
      <c r="R86" s="616">
        <v>0</v>
      </c>
      <c r="S86" s="616"/>
      <c r="T86" s="616">
        <f t="shared" si="51"/>
        <v>-261.30736358399997</v>
      </c>
      <c r="U86" s="616"/>
      <c r="V86" s="616">
        <v>0</v>
      </c>
      <c r="W86" s="616"/>
      <c r="X86" s="616">
        <f t="shared" si="52"/>
        <v>-261.30736358399997</v>
      </c>
      <c r="Y86" s="616"/>
      <c r="Z86" s="316" t="s">
        <v>1471</v>
      </c>
      <c r="AA86" s="616"/>
      <c r="AB86" s="616">
        <v>0</v>
      </c>
      <c r="AC86" s="616"/>
      <c r="AD86" s="621">
        <v>-19.3150229507525</v>
      </c>
      <c r="AE86" s="616"/>
      <c r="AF86" s="616">
        <v>0</v>
      </c>
      <c r="AG86" s="616"/>
      <c r="AH86" s="316" t="s">
        <v>1446</v>
      </c>
      <c r="AI86" s="616"/>
      <c r="AJ86" s="315">
        <f t="shared" si="42"/>
        <v>0</v>
      </c>
      <c r="AK86" s="616"/>
      <c r="AL86" s="315">
        <f t="shared" si="43"/>
        <v>-241.99234063324747</v>
      </c>
      <c r="AM86" s="616"/>
      <c r="AN86" s="315">
        <f t="shared" si="44"/>
        <v>0</v>
      </c>
      <c r="AO86" s="616"/>
      <c r="AP86" s="616">
        <f t="shared" si="45"/>
        <v>-241.99234063324747</v>
      </c>
      <c r="AR86" s="616">
        <v>0</v>
      </c>
      <c r="AS86" s="616"/>
      <c r="AT86" s="706">
        <v>-7.1937759570994073</v>
      </c>
      <c r="AU86" s="616"/>
      <c r="AV86" s="616">
        <v>0</v>
      </c>
      <c r="AW86" s="616"/>
      <c r="AX86" s="315">
        <f t="shared" si="46"/>
        <v>0</v>
      </c>
      <c r="AY86" s="616"/>
      <c r="AZ86" s="315">
        <f t="shared" si="47"/>
        <v>-234.79856467614806</v>
      </c>
      <c r="BA86" s="616"/>
      <c r="BB86" s="315">
        <f t="shared" si="48"/>
        <v>0</v>
      </c>
      <c r="BC86" s="616"/>
      <c r="BD86" s="616">
        <f t="shared" si="49"/>
        <v>-234.79856467614806</v>
      </c>
      <c r="BF86" s="616">
        <f t="shared" si="50"/>
        <v>-326.03485411121363</v>
      </c>
      <c r="BI86" s="304">
        <f t="shared" si="40"/>
        <v>352</v>
      </c>
    </row>
    <row r="87" spans="1:61" ht="14.5">
      <c r="A87" s="304">
        <f t="shared" si="41"/>
        <v>353</v>
      </c>
      <c r="B87" s="620" t="s">
        <v>1523</v>
      </c>
      <c r="F87" s="624" t="s">
        <v>1443</v>
      </c>
      <c r="H87" s="621">
        <v>102566504.22753718</v>
      </c>
      <c r="J87" s="621">
        <v>-3173407.6408000002</v>
      </c>
      <c r="K87" s="616"/>
      <c r="L87" s="621">
        <v>-1905700.722070528</v>
      </c>
      <c r="M87" s="616"/>
      <c r="N87" s="621">
        <v>-1267301.6551422826</v>
      </c>
      <c r="P87" s="626" t="s">
        <v>1444</v>
      </c>
      <c r="R87" s="616">
        <v>0</v>
      </c>
      <c r="S87" s="616"/>
      <c r="T87" s="616">
        <f t="shared" si="51"/>
        <v>-1267301.6551422826</v>
      </c>
      <c r="U87" s="616"/>
      <c r="V87" s="616">
        <v>0</v>
      </c>
      <c r="W87" s="616"/>
      <c r="X87" s="616">
        <f t="shared" si="52"/>
        <v>-1267301.6551422826</v>
      </c>
      <c r="Y87" s="616"/>
      <c r="Z87" s="316" t="s">
        <v>1471</v>
      </c>
      <c r="AA87" s="616"/>
      <c r="AB87" s="616">
        <v>0</v>
      </c>
      <c r="AC87" s="616"/>
      <c r="AD87" s="621">
        <v>-93674.974248213723</v>
      </c>
      <c r="AE87" s="616"/>
      <c r="AF87" s="616">
        <v>0</v>
      </c>
      <c r="AG87" s="616"/>
      <c r="AH87" s="316" t="s">
        <v>1446</v>
      </c>
      <c r="AI87" s="616"/>
      <c r="AJ87" s="315">
        <f t="shared" si="42"/>
        <v>0</v>
      </c>
      <c r="AK87" s="616"/>
      <c r="AL87" s="315">
        <f t="shared" si="43"/>
        <v>-1173626.6808940689</v>
      </c>
      <c r="AM87" s="616"/>
      <c r="AN87" s="315">
        <f t="shared" si="44"/>
        <v>0</v>
      </c>
      <c r="AO87" s="616"/>
      <c r="AP87" s="616">
        <f t="shared" si="45"/>
        <v>-1173626.6808940689</v>
      </c>
      <c r="AR87" s="616">
        <v>0</v>
      </c>
      <c r="AS87" s="616"/>
      <c r="AT87" s="706">
        <v>-34888.738120937742</v>
      </c>
      <c r="AU87" s="616"/>
      <c r="AV87" s="616">
        <v>0</v>
      </c>
      <c r="AW87" s="616"/>
      <c r="AX87" s="315">
        <f t="shared" si="46"/>
        <v>0</v>
      </c>
      <c r="AY87" s="616"/>
      <c r="AZ87" s="315">
        <f t="shared" si="47"/>
        <v>-1138737.9427731312</v>
      </c>
      <c r="BA87" s="616"/>
      <c r="BB87" s="315">
        <f t="shared" si="48"/>
        <v>0</v>
      </c>
      <c r="BC87" s="616"/>
      <c r="BD87" s="616">
        <f t="shared" si="49"/>
        <v>-1138737.9427731312</v>
      </c>
      <c r="BF87" s="616">
        <f t="shared" si="50"/>
        <v>-1581220.3092255807</v>
      </c>
      <c r="BI87" s="304">
        <f t="shared" si="40"/>
        <v>353</v>
      </c>
    </row>
    <row r="88" spans="1:61" ht="14.5">
      <c r="A88" s="304">
        <f t="shared" si="41"/>
        <v>354</v>
      </c>
      <c r="B88" s="620" t="s">
        <v>1524</v>
      </c>
      <c r="F88" s="624" t="s">
        <v>1443</v>
      </c>
      <c r="H88" s="621">
        <v>123.2579185520362</v>
      </c>
      <c r="J88" s="621">
        <v>-3.8136000000000001</v>
      </c>
      <c r="K88" s="616"/>
      <c r="L88" s="621">
        <v>-2.1798348799999996</v>
      </c>
      <c r="M88" s="616"/>
      <c r="N88" s="621">
        <v>0.35215487999999961</v>
      </c>
      <c r="P88" s="626" t="s">
        <v>1444</v>
      </c>
      <c r="R88" s="616">
        <v>0</v>
      </c>
      <c r="S88" s="616"/>
      <c r="T88" s="616">
        <f t="shared" si="51"/>
        <v>0.35215487999999961</v>
      </c>
      <c r="U88" s="616"/>
      <c r="V88" s="616">
        <v>0</v>
      </c>
      <c r="W88" s="616"/>
      <c r="X88" s="616">
        <f t="shared" si="52"/>
        <v>0.35215487999999961</v>
      </c>
      <c r="Y88" s="616"/>
      <c r="Z88" s="316" t="s">
        <v>1471</v>
      </c>
      <c r="AA88" s="616"/>
      <c r="AB88" s="616">
        <v>0</v>
      </c>
      <c r="AC88" s="616"/>
      <c r="AD88" s="621">
        <v>2.6030187194602157E-2</v>
      </c>
      <c r="AE88" s="616"/>
      <c r="AF88" s="616">
        <v>0</v>
      </c>
      <c r="AG88" s="616"/>
      <c r="AH88" s="316" t="s">
        <v>1446</v>
      </c>
      <c r="AI88" s="616"/>
      <c r="AJ88" s="315">
        <f t="shared" si="42"/>
        <v>0</v>
      </c>
      <c r="AK88" s="616"/>
      <c r="AL88" s="315">
        <f t="shared" si="43"/>
        <v>0.32612469280539746</v>
      </c>
      <c r="AM88" s="616"/>
      <c r="AN88" s="315">
        <f t="shared" si="44"/>
        <v>0</v>
      </c>
      <c r="AO88" s="616"/>
      <c r="AP88" s="616">
        <f t="shared" si="45"/>
        <v>0.32612469280539746</v>
      </c>
      <c r="AR88" s="616">
        <v>0</v>
      </c>
      <c r="AS88" s="616"/>
      <c r="AT88" s="706">
        <v>0</v>
      </c>
      <c r="AU88" s="616"/>
      <c r="AV88" s="616">
        <v>0</v>
      </c>
      <c r="AW88" s="616"/>
      <c r="AX88" s="315">
        <f t="shared" si="46"/>
        <v>0</v>
      </c>
      <c r="AY88" s="616"/>
      <c r="AZ88" s="315">
        <f t="shared" si="47"/>
        <v>0.32612469280539746</v>
      </c>
      <c r="BA88" s="616"/>
      <c r="BB88" s="315">
        <f t="shared" si="48"/>
        <v>0</v>
      </c>
      <c r="BC88" s="616"/>
      <c r="BD88" s="616">
        <f t="shared" si="49"/>
        <v>0.32612469280539746</v>
      </c>
      <c r="BF88" s="616">
        <f t="shared" si="50"/>
        <v>0.45284781356107418</v>
      </c>
      <c r="BI88" s="304">
        <f t="shared" si="40"/>
        <v>354</v>
      </c>
    </row>
    <row r="89" spans="1:61" ht="14.5">
      <c r="A89" s="304">
        <f t="shared" si="41"/>
        <v>355</v>
      </c>
      <c r="B89" s="620" t="s">
        <v>1525</v>
      </c>
      <c r="F89" s="624" t="s">
        <v>1443</v>
      </c>
      <c r="H89" s="621">
        <v>-60668.054298642535</v>
      </c>
      <c r="J89" s="621">
        <v>1877.0696</v>
      </c>
      <c r="K89" s="616"/>
      <c r="L89" s="621">
        <v>1132.7570529279999</v>
      </c>
      <c r="M89" s="616"/>
      <c r="N89" s="621">
        <v>744.50171015989156</v>
      </c>
      <c r="P89" s="626" t="s">
        <v>1444</v>
      </c>
      <c r="R89" s="616">
        <v>0</v>
      </c>
      <c r="S89" s="616"/>
      <c r="T89" s="616">
        <f t="shared" si="51"/>
        <v>744.50171015989156</v>
      </c>
      <c r="U89" s="616"/>
      <c r="V89" s="616">
        <v>0</v>
      </c>
      <c r="W89" s="616"/>
      <c r="X89" s="616">
        <f t="shared" si="52"/>
        <v>744.50171015989156</v>
      </c>
      <c r="Y89" s="616"/>
      <c r="Z89" s="316" t="s">
        <v>1471</v>
      </c>
      <c r="AA89" s="616"/>
      <c r="AB89" s="616">
        <v>0</v>
      </c>
      <c r="AC89" s="616"/>
      <c r="AD89" s="621">
        <v>55.031237625227384</v>
      </c>
      <c r="AE89" s="616"/>
      <c r="AF89" s="616">
        <v>0</v>
      </c>
      <c r="AG89" s="616"/>
      <c r="AH89" s="316" t="s">
        <v>1446</v>
      </c>
      <c r="AI89" s="616"/>
      <c r="AJ89" s="315">
        <f t="shared" si="42"/>
        <v>0</v>
      </c>
      <c r="AK89" s="616"/>
      <c r="AL89" s="315">
        <f t="shared" si="43"/>
        <v>689.47047253466417</v>
      </c>
      <c r="AM89" s="616"/>
      <c r="AN89" s="315">
        <f t="shared" si="44"/>
        <v>0</v>
      </c>
      <c r="AO89" s="616"/>
      <c r="AP89" s="616">
        <f t="shared" si="45"/>
        <v>689.47047253466417</v>
      </c>
      <c r="AR89" s="616">
        <v>0</v>
      </c>
      <c r="AS89" s="616"/>
      <c r="AT89" s="706">
        <v>20.496087171481296</v>
      </c>
      <c r="AU89" s="616"/>
      <c r="AV89" s="616">
        <v>0</v>
      </c>
      <c r="AW89" s="616"/>
      <c r="AX89" s="315">
        <f t="shared" si="46"/>
        <v>0</v>
      </c>
      <c r="AY89" s="616"/>
      <c r="AZ89" s="315">
        <f t="shared" si="47"/>
        <v>668.97438536318282</v>
      </c>
      <c r="BA89" s="616"/>
      <c r="BB89" s="315">
        <f t="shared" si="48"/>
        <v>0</v>
      </c>
      <c r="BC89" s="616"/>
      <c r="BD89" s="616">
        <f t="shared" si="49"/>
        <v>668.97438536318282</v>
      </c>
      <c r="BF89" s="616">
        <f t="shared" si="50"/>
        <v>928.91950356194252</v>
      </c>
      <c r="BI89" s="304">
        <f t="shared" si="40"/>
        <v>355</v>
      </c>
    </row>
    <row r="90" spans="1:61" ht="14.5">
      <c r="A90" s="304">
        <f t="shared" si="41"/>
        <v>356</v>
      </c>
      <c r="B90" s="622" t="s">
        <v>117</v>
      </c>
      <c r="F90" s="624"/>
      <c r="H90" s="621"/>
      <c r="J90" s="621"/>
      <c r="K90" s="616"/>
      <c r="L90" s="621"/>
      <c r="M90" s="616"/>
      <c r="N90" s="621"/>
      <c r="P90" s="626"/>
      <c r="R90" s="616">
        <v>0</v>
      </c>
      <c r="S90" s="616"/>
      <c r="T90" s="616">
        <f t="shared" si="51"/>
        <v>0</v>
      </c>
      <c r="U90" s="616"/>
      <c r="V90" s="616">
        <v>0</v>
      </c>
      <c r="W90" s="616"/>
      <c r="X90" s="616">
        <f t="shared" si="52"/>
        <v>0</v>
      </c>
      <c r="Y90" s="616"/>
      <c r="Z90" s="316"/>
      <c r="AA90" s="616"/>
      <c r="AB90" s="616">
        <v>0</v>
      </c>
      <c r="AC90" s="616"/>
      <c r="AD90" s="621"/>
      <c r="AE90" s="616"/>
      <c r="AF90" s="616">
        <v>0</v>
      </c>
      <c r="AG90" s="616"/>
      <c r="AH90" s="316"/>
      <c r="AI90" s="616"/>
      <c r="AJ90" s="315">
        <f t="shared" si="42"/>
        <v>0</v>
      </c>
      <c r="AK90" s="616"/>
      <c r="AL90" s="315">
        <f t="shared" si="43"/>
        <v>0</v>
      </c>
      <c r="AM90" s="616"/>
      <c r="AN90" s="315">
        <f t="shared" si="44"/>
        <v>0</v>
      </c>
      <c r="AO90" s="616"/>
      <c r="AP90" s="616">
        <f t="shared" si="45"/>
        <v>0</v>
      </c>
      <c r="AR90" s="616">
        <v>0</v>
      </c>
      <c r="AS90" s="616"/>
      <c r="AT90" s="621"/>
      <c r="AU90" s="616"/>
      <c r="AV90" s="616">
        <v>0</v>
      </c>
      <c r="AW90" s="616"/>
      <c r="AX90" s="315">
        <f t="shared" si="46"/>
        <v>0</v>
      </c>
      <c r="AY90" s="616"/>
      <c r="AZ90" s="315">
        <f t="shared" si="47"/>
        <v>0</v>
      </c>
      <c r="BA90" s="616"/>
      <c r="BB90" s="315">
        <f t="shared" si="48"/>
        <v>0</v>
      </c>
      <c r="BC90" s="616"/>
      <c r="BD90" s="616">
        <f t="shared" si="49"/>
        <v>0</v>
      </c>
      <c r="BF90" s="616">
        <f t="shared" si="50"/>
        <v>0</v>
      </c>
      <c r="BI90" s="304">
        <f t="shared" si="40"/>
        <v>356</v>
      </c>
    </row>
    <row r="91" spans="1:61" ht="14.5">
      <c r="A91" s="304">
        <f t="shared" si="41"/>
        <v>357</v>
      </c>
      <c r="B91" s="622" t="s">
        <v>117</v>
      </c>
      <c r="F91" s="624"/>
      <c r="H91" s="621"/>
      <c r="J91" s="621"/>
      <c r="K91" s="616"/>
      <c r="L91" s="621"/>
      <c r="M91" s="616"/>
      <c r="N91" s="621"/>
      <c r="P91" s="626"/>
      <c r="R91" s="616">
        <v>0</v>
      </c>
      <c r="S91" s="616"/>
      <c r="T91" s="616">
        <f t="shared" si="51"/>
        <v>0</v>
      </c>
      <c r="U91" s="616"/>
      <c r="V91" s="616">
        <v>0</v>
      </c>
      <c r="W91" s="616"/>
      <c r="X91" s="616">
        <f t="shared" si="52"/>
        <v>0</v>
      </c>
      <c r="Y91" s="616"/>
      <c r="Z91" s="316"/>
      <c r="AA91" s="616"/>
      <c r="AB91" s="616">
        <v>0</v>
      </c>
      <c r="AC91" s="616"/>
      <c r="AD91" s="621"/>
      <c r="AE91" s="616"/>
      <c r="AF91" s="616">
        <v>0</v>
      </c>
      <c r="AG91" s="616"/>
      <c r="AH91" s="316"/>
      <c r="AI91" s="616"/>
      <c r="AJ91" s="315">
        <f t="shared" si="42"/>
        <v>0</v>
      </c>
      <c r="AK91" s="616"/>
      <c r="AL91" s="315">
        <f t="shared" si="43"/>
        <v>0</v>
      </c>
      <c r="AM91" s="616"/>
      <c r="AN91" s="315">
        <f t="shared" si="44"/>
        <v>0</v>
      </c>
      <c r="AO91" s="616"/>
      <c r="AP91" s="616">
        <f t="shared" si="45"/>
        <v>0</v>
      </c>
      <c r="AR91" s="616">
        <v>0</v>
      </c>
      <c r="AS91" s="616"/>
      <c r="AT91" s="621"/>
      <c r="AU91" s="616"/>
      <c r="AV91" s="616">
        <v>0</v>
      </c>
      <c r="AW91" s="616"/>
      <c r="AX91" s="315">
        <f t="shared" si="46"/>
        <v>0</v>
      </c>
      <c r="AY91" s="616"/>
      <c r="AZ91" s="315">
        <f t="shared" si="47"/>
        <v>0</v>
      </c>
      <c r="BA91" s="616"/>
      <c r="BB91" s="315">
        <f t="shared" si="48"/>
        <v>0</v>
      </c>
      <c r="BC91" s="616"/>
      <c r="BD91" s="616">
        <f t="shared" si="49"/>
        <v>0</v>
      </c>
      <c r="BF91" s="616">
        <f t="shared" si="50"/>
        <v>0</v>
      </c>
      <c r="BI91" s="304">
        <f t="shared" si="40"/>
        <v>357</v>
      </c>
    </row>
    <row r="92" spans="1:61" ht="14.5">
      <c r="A92" s="304"/>
      <c r="B92" s="523"/>
      <c r="F92" s="624"/>
      <c r="H92" s="616"/>
      <c r="J92" s="616"/>
      <c r="K92" s="616"/>
      <c r="L92" s="616"/>
      <c r="M92" s="616"/>
      <c r="N92" s="616"/>
      <c r="P92" s="626"/>
      <c r="R92" s="616"/>
      <c r="S92" s="616"/>
      <c r="T92" s="616"/>
      <c r="U92" s="616"/>
      <c r="V92" s="616"/>
      <c r="W92" s="616"/>
      <c r="X92" s="616"/>
      <c r="Y92" s="616"/>
      <c r="Z92" s="316"/>
      <c r="AA92" s="616"/>
      <c r="AB92" s="616"/>
      <c r="AC92" s="616"/>
      <c r="AD92" s="616"/>
      <c r="AE92" s="616"/>
      <c r="AF92" s="616"/>
      <c r="AG92" s="616"/>
      <c r="AH92" s="316"/>
      <c r="AI92" s="616"/>
      <c r="AJ92" s="616"/>
      <c r="AK92" s="616"/>
      <c r="AL92" s="616"/>
      <c r="AM92" s="616"/>
      <c r="AN92" s="616"/>
      <c r="AO92" s="616"/>
      <c r="AP92" s="616"/>
      <c r="AR92" s="616"/>
      <c r="AS92" s="616"/>
      <c r="AT92" s="616"/>
      <c r="AU92" s="616"/>
      <c r="AV92" s="616"/>
      <c r="AW92" s="616"/>
      <c r="AX92" s="616"/>
      <c r="AY92" s="616"/>
      <c r="AZ92" s="616"/>
      <c r="BA92" s="616"/>
      <c r="BB92" s="616"/>
      <c r="BC92" s="616"/>
      <c r="BD92" s="616"/>
      <c r="BF92" s="616"/>
      <c r="BI92" s="304"/>
    </row>
    <row r="93" spans="1:61" ht="14.5">
      <c r="A93" s="201" t="s">
        <v>90</v>
      </c>
      <c r="F93" s="624"/>
      <c r="H93" s="554"/>
      <c r="P93" s="626"/>
      <c r="X93" s="616"/>
      <c r="Z93" s="605"/>
      <c r="AH93" s="605"/>
      <c r="BI93" s="615" t="s">
        <v>90</v>
      </c>
    </row>
    <row r="94" spans="1:61" ht="14.5">
      <c r="A94" s="304">
        <v>400</v>
      </c>
      <c r="B94" s="609" t="s">
        <v>1526</v>
      </c>
      <c r="F94" s="624"/>
      <c r="H94" s="619">
        <f>ROUND(SUM(H95:H105),0)</f>
        <v>93137648</v>
      </c>
      <c r="J94" s="619">
        <f>ROUND(SUM(J95:J105),0)</f>
        <v>19293379</v>
      </c>
      <c r="K94" s="616"/>
      <c r="L94" s="619">
        <f>ROUND(SUM(L95:L105),0)</f>
        <v>11576713</v>
      </c>
      <c r="M94" s="616"/>
      <c r="N94" s="619">
        <f>ROUND(SUM(N95:N105),0)</f>
        <v>7716800</v>
      </c>
      <c r="O94" s="304"/>
      <c r="P94" s="626"/>
      <c r="Q94" s="304"/>
      <c r="R94" s="619">
        <f>ROUND(SUM(R95:R105),0)</f>
        <v>0</v>
      </c>
      <c r="S94" s="616"/>
      <c r="T94" s="619">
        <f>ROUND(SUM(T95:T105),0)</f>
        <v>0</v>
      </c>
      <c r="U94" s="616"/>
      <c r="V94" s="619">
        <f>ROUND(SUM(V95:V105),0)</f>
        <v>7716800</v>
      </c>
      <c r="W94" s="616"/>
      <c r="X94" s="619">
        <f>ROUND(SUM(X95:X105),0)</f>
        <v>7716800</v>
      </c>
      <c r="Y94" s="616"/>
      <c r="Z94" s="316"/>
      <c r="AA94" s="616"/>
      <c r="AB94" s="619">
        <f>SUM(AB95:AB105)</f>
        <v>0</v>
      </c>
      <c r="AC94" s="616"/>
      <c r="AD94" s="619">
        <f>SUM(AD95:AD105)</f>
        <v>0</v>
      </c>
      <c r="AE94" s="616"/>
      <c r="AF94" s="619">
        <f>SUM(AF95:AF105)</f>
        <v>6015457.8759244867</v>
      </c>
      <c r="AG94" s="616"/>
      <c r="AH94" s="316"/>
      <c r="AI94" s="616"/>
      <c r="AJ94" s="619">
        <f>SUM(AJ95:AJ105)</f>
        <v>0</v>
      </c>
      <c r="AK94" s="616"/>
      <c r="AL94" s="619">
        <f>SUM(AL95:AL105)</f>
        <v>0</v>
      </c>
      <c r="AM94" s="616"/>
      <c r="AN94" s="619">
        <f>SUM(AN95:AN105)</f>
        <v>1701342.2679340818</v>
      </c>
      <c r="AO94" s="616"/>
      <c r="AP94" s="619">
        <f>SUM(AP95:AP105)</f>
        <v>1701342.2679340818</v>
      </c>
      <c r="AR94" s="619">
        <f>SUM(AR95:AR105)</f>
        <v>0</v>
      </c>
      <c r="AS94" s="616"/>
      <c r="AT94" s="619">
        <f>SUM(AT95:AT105)</f>
        <v>0</v>
      </c>
      <c r="AU94" s="616"/>
      <c r="AV94" s="619">
        <f>SUM(AV95:AV105)</f>
        <v>50576.291257127748</v>
      </c>
      <c r="AW94" s="616"/>
      <c r="AX94" s="619">
        <f>SUM(AX95:AX105)</f>
        <v>0</v>
      </c>
      <c r="AY94" s="616"/>
      <c r="AZ94" s="619">
        <f>SUM(AZ95:AZ105)</f>
        <v>0</v>
      </c>
      <c r="BA94" s="616"/>
      <c r="BB94" s="619">
        <f>SUM(BB95:BB105)</f>
        <v>1650765.9766769568</v>
      </c>
      <c r="BC94" s="616"/>
      <c r="BD94" s="619">
        <f>SUM(BD95:BD105)</f>
        <v>1650765.9766769568</v>
      </c>
      <c r="BF94" s="619">
        <f>ROUND(SUM(BF95:BF105),0)</f>
        <v>2292208</v>
      </c>
      <c r="BI94" s="304">
        <f t="shared" ref="BI94:BI105" si="53">A94</f>
        <v>400</v>
      </c>
    </row>
    <row r="95" spans="1:61" ht="14.5">
      <c r="A95" s="304">
        <f t="shared" ref="A95:A99" si="54">A94+1</f>
        <v>401</v>
      </c>
      <c r="B95" s="526" t="s">
        <v>1527</v>
      </c>
      <c r="F95" s="523" t="s">
        <v>1458</v>
      </c>
      <c r="H95" s="621">
        <v>41837921.444019467</v>
      </c>
      <c r="J95" s="621">
        <v>14643272.505406814</v>
      </c>
      <c r="K95" s="616"/>
      <c r="L95" s="621">
        <v>8785963.5032440871</v>
      </c>
      <c r="M95" s="616"/>
      <c r="N95" s="621">
        <v>5857309.0021627257</v>
      </c>
      <c r="P95" s="626" t="s">
        <v>1453</v>
      </c>
      <c r="R95" s="616">
        <v>0</v>
      </c>
      <c r="S95" s="616"/>
      <c r="T95" s="616">
        <v>0</v>
      </c>
      <c r="U95" s="616"/>
      <c r="V95" s="616">
        <f>+N95</f>
        <v>5857309.0021627257</v>
      </c>
      <c r="W95" s="616"/>
      <c r="X95" s="616">
        <f t="shared" si="52"/>
        <v>5857309.0021627257</v>
      </c>
      <c r="Y95" s="616"/>
      <c r="Z95" s="316" t="s">
        <v>1528</v>
      </c>
      <c r="AA95" s="616"/>
      <c r="AB95" s="616">
        <v>0</v>
      </c>
      <c r="AC95" s="616"/>
      <c r="AD95" s="616">
        <v>0</v>
      </c>
      <c r="AE95" s="616"/>
      <c r="AF95" s="621">
        <v>5857309.0021627257</v>
      </c>
      <c r="AG95" s="616"/>
      <c r="AH95" s="316" t="s">
        <v>1454</v>
      </c>
      <c r="AI95" s="616"/>
      <c r="AJ95" s="315">
        <f t="shared" ref="AJ95:AJ105" si="55">+R95-AB95</f>
        <v>0</v>
      </c>
      <c r="AK95" s="616"/>
      <c r="AL95" s="315">
        <f t="shared" ref="AL95:AL105" si="56">+T95-AD95</f>
        <v>0</v>
      </c>
      <c r="AM95" s="616"/>
      <c r="AN95" s="315">
        <f t="shared" ref="AN95:AN105" si="57">+V95-AF95</f>
        <v>0</v>
      </c>
      <c r="AO95" s="616"/>
      <c r="AP95" s="616">
        <f t="shared" ref="AP95:AP105" si="58">SUM(AJ95:AN95)</f>
        <v>0</v>
      </c>
      <c r="AR95" s="616">
        <v>0</v>
      </c>
      <c r="AS95" s="616"/>
      <c r="AT95" s="616">
        <v>0</v>
      </c>
      <c r="AU95" s="616"/>
      <c r="AV95" s="621"/>
      <c r="AW95" s="616"/>
      <c r="AX95" s="315">
        <f t="shared" ref="AX95:AX105" si="59">+AJ95-AR95</f>
        <v>0</v>
      </c>
      <c r="AY95" s="616"/>
      <c r="AZ95" s="315">
        <f t="shared" ref="AZ95:AZ105" si="60">+AL95-AT95</f>
        <v>0</v>
      </c>
      <c r="BA95" s="616"/>
      <c r="BB95" s="315">
        <f t="shared" ref="BB95:BB105" si="61">+AN95-AV95</f>
        <v>0</v>
      </c>
      <c r="BC95" s="616"/>
      <c r="BD95" s="616">
        <f>SUM(AX95:BB95)</f>
        <v>0</v>
      </c>
      <c r="BF95" s="616">
        <f t="shared" ref="BF95:BF105" si="62">+BD95*$BF$10</f>
        <v>0</v>
      </c>
      <c r="BI95" s="304">
        <f t="shared" si="53"/>
        <v>401</v>
      </c>
    </row>
    <row r="96" spans="1:61" ht="14.5">
      <c r="A96" s="304">
        <f t="shared" si="54"/>
        <v>402</v>
      </c>
      <c r="B96" s="526" t="s">
        <v>1199</v>
      </c>
      <c r="F96" s="523" t="s">
        <v>1458</v>
      </c>
      <c r="H96" s="621">
        <v>122045506.50833847</v>
      </c>
      <c r="J96" s="621">
        <v>42715927.277918458</v>
      </c>
      <c r="K96" s="616"/>
      <c r="L96" s="621">
        <v>25629556.366751075</v>
      </c>
      <c r="M96" s="616"/>
      <c r="N96" s="621">
        <v>17086370.911167383</v>
      </c>
      <c r="P96" s="626" t="s">
        <v>1453</v>
      </c>
      <c r="R96" s="616">
        <v>0</v>
      </c>
      <c r="S96" s="616"/>
      <c r="T96" s="616">
        <v>0</v>
      </c>
      <c r="U96" s="616"/>
      <c r="V96" s="616">
        <f>+N96</f>
        <v>17086370.911167383</v>
      </c>
      <c r="W96" s="616"/>
      <c r="X96" s="616">
        <f t="shared" si="52"/>
        <v>17086370.911167383</v>
      </c>
      <c r="Y96" s="616"/>
      <c r="Z96" s="316" t="s">
        <v>1528</v>
      </c>
      <c r="AA96" s="616"/>
      <c r="AB96" s="616">
        <v>0</v>
      </c>
      <c r="AC96" s="616"/>
      <c r="AD96" s="616">
        <v>0</v>
      </c>
      <c r="AE96" s="616"/>
      <c r="AF96" s="621">
        <v>17086370.911167383</v>
      </c>
      <c r="AG96" s="616"/>
      <c r="AH96" s="316" t="s">
        <v>1454</v>
      </c>
      <c r="AI96" s="616"/>
      <c r="AJ96" s="315">
        <f t="shared" si="55"/>
        <v>0</v>
      </c>
      <c r="AK96" s="616"/>
      <c r="AL96" s="315">
        <f t="shared" si="56"/>
        <v>0</v>
      </c>
      <c r="AM96" s="616"/>
      <c r="AN96" s="315">
        <f t="shared" si="57"/>
        <v>0</v>
      </c>
      <c r="AO96" s="616"/>
      <c r="AP96" s="616">
        <f t="shared" si="58"/>
        <v>0</v>
      </c>
      <c r="AR96" s="616">
        <v>0</v>
      </c>
      <c r="AS96" s="616"/>
      <c r="AT96" s="616">
        <v>0</v>
      </c>
      <c r="AU96" s="616"/>
      <c r="AV96" s="621"/>
      <c r="AW96" s="616"/>
      <c r="AX96" s="315">
        <f t="shared" si="59"/>
        <v>0</v>
      </c>
      <c r="AY96" s="616"/>
      <c r="AZ96" s="315">
        <f>+AL96-AT96</f>
        <v>0</v>
      </c>
      <c r="BA96" s="616"/>
      <c r="BB96" s="315">
        <f t="shared" si="61"/>
        <v>0</v>
      </c>
      <c r="BC96" s="616"/>
      <c r="BD96" s="616">
        <f t="shared" ref="BD96:BD105" si="63">SUM(AX96:BB96)</f>
        <v>0</v>
      </c>
      <c r="BF96" s="616">
        <f t="shared" si="62"/>
        <v>0</v>
      </c>
      <c r="BI96" s="304">
        <f t="shared" si="53"/>
        <v>402</v>
      </c>
    </row>
    <row r="97" spans="1:61" ht="14.5">
      <c r="A97" s="304" t="s">
        <v>1529</v>
      </c>
      <c r="B97" s="526" t="s">
        <v>1530</v>
      </c>
      <c r="F97" s="523" t="s">
        <v>1458</v>
      </c>
      <c r="H97" s="621">
        <v>-121885839.37756029</v>
      </c>
      <c r="J97" s="621">
        <v>-42660043.782146096</v>
      </c>
      <c r="K97" s="616"/>
      <c r="L97" s="621">
        <v>-25596026.269287657</v>
      </c>
      <c r="M97" s="616"/>
      <c r="N97" s="621">
        <v>-17064017.512858439</v>
      </c>
      <c r="P97" s="626" t="s">
        <v>1453</v>
      </c>
      <c r="R97" s="616">
        <v>0</v>
      </c>
      <c r="S97" s="616"/>
      <c r="T97" s="616">
        <v>0</v>
      </c>
      <c r="U97" s="616"/>
      <c r="V97" s="616">
        <f>+N97</f>
        <v>-17064017.512858439</v>
      </c>
      <c r="W97" s="616"/>
      <c r="X97" s="616">
        <f t="shared" si="52"/>
        <v>-17064017.512858439</v>
      </c>
      <c r="Y97" s="616"/>
      <c r="Z97" s="316" t="s">
        <v>1528</v>
      </c>
      <c r="AA97" s="616"/>
      <c r="AB97" s="616">
        <v>0</v>
      </c>
      <c r="AC97" s="616"/>
      <c r="AD97" s="616">
        <v>0</v>
      </c>
      <c r="AE97" s="616"/>
      <c r="AF97" s="621">
        <v>-17064017.512858439</v>
      </c>
      <c r="AG97" s="616"/>
      <c r="AH97" s="316" t="s">
        <v>1454</v>
      </c>
      <c r="AI97" s="616"/>
      <c r="AJ97" s="315">
        <f t="shared" si="55"/>
        <v>0</v>
      </c>
      <c r="AK97" s="616"/>
      <c r="AL97" s="315">
        <f t="shared" si="56"/>
        <v>0</v>
      </c>
      <c r="AM97" s="616"/>
      <c r="AN97" s="315">
        <f t="shared" si="57"/>
        <v>0</v>
      </c>
      <c r="AO97" s="616"/>
      <c r="AP97" s="616">
        <f t="shared" si="58"/>
        <v>0</v>
      </c>
      <c r="AR97" s="616">
        <v>0</v>
      </c>
      <c r="AS97" s="616"/>
      <c r="AT97" s="616">
        <v>0</v>
      </c>
      <c r="AU97" s="616"/>
      <c r="AV97" s="621"/>
      <c r="AW97" s="616"/>
      <c r="AX97" s="315">
        <f t="shared" si="59"/>
        <v>0</v>
      </c>
      <c r="AY97" s="616"/>
      <c r="AZ97" s="315">
        <f>+AL97-AT97</f>
        <v>0</v>
      </c>
      <c r="BA97" s="616"/>
      <c r="BB97" s="315">
        <f t="shared" si="61"/>
        <v>0</v>
      </c>
      <c r="BC97" s="616"/>
      <c r="BD97" s="616">
        <f t="shared" si="63"/>
        <v>0</v>
      </c>
      <c r="BF97" s="616">
        <f t="shared" si="62"/>
        <v>0</v>
      </c>
      <c r="BI97" s="304" t="str">
        <f t="shared" si="53"/>
        <v>402a</v>
      </c>
    </row>
    <row r="98" spans="1:61" ht="14.5">
      <c r="A98" s="304">
        <f>A96+1</f>
        <v>403</v>
      </c>
      <c r="B98" s="620" t="s">
        <v>1531</v>
      </c>
      <c r="F98" s="523" t="s">
        <v>1443</v>
      </c>
      <c r="H98" s="621">
        <v>-83282905.177142859</v>
      </c>
      <c r="J98" s="621">
        <v>-29149016.811999999</v>
      </c>
      <c r="K98" s="616"/>
      <c r="L98" s="621">
        <v>-17489410.881795358</v>
      </c>
      <c r="M98" s="616"/>
      <c r="N98" s="621">
        <v>-11659605.930204641</v>
      </c>
      <c r="P98" s="626" t="s">
        <v>1444</v>
      </c>
      <c r="R98" s="616">
        <v>0</v>
      </c>
      <c r="S98" s="616"/>
      <c r="T98" s="616">
        <v>0</v>
      </c>
      <c r="U98" s="616"/>
      <c r="V98" s="616">
        <f>N98</f>
        <v>-11659605.930204641</v>
      </c>
      <c r="W98" s="616"/>
      <c r="X98" s="616">
        <f>SUM(R98:V98)</f>
        <v>-11659605.930204641</v>
      </c>
      <c r="Y98" s="616"/>
      <c r="Z98" s="316" t="s">
        <v>1471</v>
      </c>
      <c r="AA98" s="616"/>
      <c r="AB98" s="616">
        <v>0</v>
      </c>
      <c r="AC98" s="616"/>
      <c r="AD98" s="616">
        <v>0</v>
      </c>
      <c r="AE98" s="616"/>
      <c r="AF98" s="621">
        <v>-861841.59929438028</v>
      </c>
      <c r="AG98" s="616"/>
      <c r="AH98" s="316" t="s">
        <v>1446</v>
      </c>
      <c r="AI98" s="616"/>
      <c r="AJ98" s="315">
        <f t="shared" si="55"/>
        <v>0</v>
      </c>
      <c r="AK98" s="616"/>
      <c r="AL98" s="315">
        <f t="shared" si="56"/>
        <v>0</v>
      </c>
      <c r="AM98" s="616"/>
      <c r="AN98" s="315">
        <f t="shared" si="57"/>
        <v>-10797764.330910262</v>
      </c>
      <c r="AO98" s="616"/>
      <c r="AP98" s="616">
        <f t="shared" si="58"/>
        <v>-10797764.330910262</v>
      </c>
      <c r="AR98" s="616">
        <v>0</v>
      </c>
      <c r="AS98" s="616"/>
      <c r="AT98" s="616">
        <v>0</v>
      </c>
      <c r="AU98" s="616"/>
      <c r="AV98" s="706">
        <v>-320988.24793736369</v>
      </c>
      <c r="AW98" s="616"/>
      <c r="AX98" s="315">
        <f t="shared" si="59"/>
        <v>0</v>
      </c>
      <c r="AY98" s="616"/>
      <c r="AZ98" s="315">
        <f t="shared" si="60"/>
        <v>0</v>
      </c>
      <c r="BA98" s="616"/>
      <c r="BB98" s="315">
        <f t="shared" si="61"/>
        <v>-10476776.082972897</v>
      </c>
      <c r="BC98" s="616"/>
      <c r="BD98" s="616">
        <f t="shared" si="63"/>
        <v>-10476776.082972897</v>
      </c>
      <c r="BF98" s="616">
        <f t="shared" si="62"/>
        <v>-14547764.235608689</v>
      </c>
      <c r="BI98" s="304">
        <f t="shared" si="53"/>
        <v>403</v>
      </c>
    </row>
    <row r="99" spans="1:61" ht="14.5">
      <c r="A99" s="304">
        <f t="shared" si="54"/>
        <v>404</v>
      </c>
      <c r="B99" s="620" t="s">
        <v>1532</v>
      </c>
      <c r="F99" s="624" t="s">
        <v>1443</v>
      </c>
      <c r="H99" s="621">
        <v>-268874.6537142857</v>
      </c>
      <c r="J99" s="621">
        <v>-94106.128799999991</v>
      </c>
      <c r="K99" s="616"/>
      <c r="L99" s="621">
        <v>-56463.31245544448</v>
      </c>
      <c r="M99" s="616"/>
      <c r="N99" s="621">
        <v>-37642.816344555518</v>
      </c>
      <c r="P99" s="626" t="s">
        <v>1444</v>
      </c>
      <c r="R99" s="616">
        <v>0</v>
      </c>
      <c r="S99" s="616"/>
      <c r="T99" s="616">
        <v>0</v>
      </c>
      <c r="U99" s="616"/>
      <c r="V99" s="616">
        <f>N99</f>
        <v>-37642.816344555518</v>
      </c>
      <c r="W99" s="616"/>
      <c r="X99" s="616">
        <f>SUM(R99:V99)</f>
        <v>-37642.816344555518</v>
      </c>
      <c r="Y99" s="616"/>
      <c r="Z99" s="316" t="s">
        <v>1471</v>
      </c>
      <c r="AA99" s="616"/>
      <c r="AB99" s="616">
        <v>0</v>
      </c>
      <c r="AC99" s="616"/>
      <c r="AD99" s="616">
        <v>0</v>
      </c>
      <c r="AE99" s="616"/>
      <c r="AF99" s="621">
        <v>-2782.4392380443824</v>
      </c>
      <c r="AG99" s="616"/>
      <c r="AH99" s="316" t="s">
        <v>1446</v>
      </c>
      <c r="AI99" s="616"/>
      <c r="AJ99" s="315">
        <f t="shared" si="55"/>
        <v>0</v>
      </c>
      <c r="AK99" s="616"/>
      <c r="AL99" s="315">
        <f t="shared" si="56"/>
        <v>0</v>
      </c>
      <c r="AM99" s="616"/>
      <c r="AN99" s="315">
        <f t="shared" si="57"/>
        <v>-34860.377106511136</v>
      </c>
      <c r="AO99" s="616"/>
      <c r="AP99" s="616">
        <f t="shared" si="58"/>
        <v>-34860.377106511136</v>
      </c>
      <c r="AR99" s="616">
        <v>0</v>
      </c>
      <c r="AS99" s="616"/>
      <c r="AT99" s="616">
        <v>0</v>
      </c>
      <c r="AU99" s="616"/>
      <c r="AV99" s="706">
        <v>-1036.3044633065711</v>
      </c>
      <c r="AW99" s="616"/>
      <c r="AX99" s="315">
        <f t="shared" si="59"/>
        <v>0</v>
      </c>
      <c r="AY99" s="616"/>
      <c r="AZ99" s="315">
        <f t="shared" si="60"/>
        <v>0</v>
      </c>
      <c r="BA99" s="616"/>
      <c r="BB99" s="315">
        <f t="shared" si="61"/>
        <v>-33824.072643204563</v>
      </c>
      <c r="BC99" s="616"/>
      <c r="BD99" s="616">
        <f t="shared" si="63"/>
        <v>-33824.072643204563</v>
      </c>
      <c r="BF99" s="616">
        <f t="shared" si="62"/>
        <v>-46967.180591093915</v>
      </c>
      <c r="BI99" s="304">
        <f t="shared" si="53"/>
        <v>404</v>
      </c>
    </row>
    <row r="100" spans="1:61" ht="14.5">
      <c r="A100" s="304">
        <f>+A99+1</f>
        <v>405</v>
      </c>
      <c r="B100" s="620" t="s">
        <v>1533</v>
      </c>
      <c r="F100" s="624" t="s">
        <v>1443</v>
      </c>
      <c r="H100" s="621">
        <v>99765608.752000004</v>
      </c>
      <c r="J100" s="621">
        <v>34917963.063199997</v>
      </c>
      <c r="K100" s="616"/>
      <c r="L100" s="621">
        <v>20950777.168212995</v>
      </c>
      <c r="M100" s="616"/>
      <c r="N100" s="621">
        <v>13967185.894987006</v>
      </c>
      <c r="P100" s="626" t="s">
        <v>1444</v>
      </c>
      <c r="R100" s="616">
        <v>0</v>
      </c>
      <c r="S100" s="616"/>
      <c r="T100" s="616">
        <v>0</v>
      </c>
      <c r="U100" s="616"/>
      <c r="V100" s="616">
        <f>N100</f>
        <v>13967185.894987006</v>
      </c>
      <c r="W100" s="616"/>
      <c r="X100" s="616">
        <f>SUM(R100:V100)</f>
        <v>13967185.894987006</v>
      </c>
      <c r="Y100" s="616"/>
      <c r="Z100" s="316" t="s">
        <v>1471</v>
      </c>
      <c r="AA100" s="616"/>
      <c r="AB100" s="616">
        <v>0</v>
      </c>
      <c r="AC100" s="616"/>
      <c r="AD100" s="616">
        <v>0</v>
      </c>
      <c r="AE100" s="616"/>
      <c r="AF100" s="621">
        <v>1032410.6922167854</v>
      </c>
      <c r="AG100" s="616"/>
      <c r="AH100" s="316" t="s">
        <v>1446</v>
      </c>
      <c r="AI100" s="616"/>
      <c r="AJ100" s="315">
        <f t="shared" si="55"/>
        <v>0</v>
      </c>
      <c r="AK100" s="616"/>
      <c r="AL100" s="315">
        <f t="shared" si="56"/>
        <v>0</v>
      </c>
      <c r="AM100" s="616"/>
      <c r="AN100" s="315">
        <f t="shared" si="57"/>
        <v>12934775.20277022</v>
      </c>
      <c r="AO100" s="616"/>
      <c r="AP100" s="616">
        <f t="shared" si="58"/>
        <v>12934775.20277022</v>
      </c>
      <c r="AR100" s="616">
        <v>0</v>
      </c>
      <c r="AS100" s="616"/>
      <c r="AT100" s="616">
        <v>0</v>
      </c>
      <c r="AU100" s="616"/>
      <c r="AV100" s="706">
        <v>384515.78517187934</v>
      </c>
      <c r="AW100" s="616"/>
      <c r="AX100" s="315">
        <f t="shared" si="59"/>
        <v>0</v>
      </c>
      <c r="AY100" s="616"/>
      <c r="AZ100" s="315">
        <f t="shared" si="60"/>
        <v>0</v>
      </c>
      <c r="BA100" s="616"/>
      <c r="BB100" s="315">
        <f t="shared" si="61"/>
        <v>12550259.417598341</v>
      </c>
      <c r="BC100" s="616"/>
      <c r="BD100" s="616">
        <f t="shared" si="63"/>
        <v>12550259.417598341</v>
      </c>
      <c r="BF100" s="616">
        <f t="shared" si="62"/>
        <v>17426946.386654068</v>
      </c>
      <c r="BI100" s="304">
        <f t="shared" si="53"/>
        <v>405</v>
      </c>
    </row>
    <row r="101" spans="1:61" ht="14.5">
      <c r="A101" s="304">
        <f>+A100+1</f>
        <v>406</v>
      </c>
      <c r="B101" s="620" t="s">
        <v>1534</v>
      </c>
      <c r="F101" s="624" t="s">
        <v>1443</v>
      </c>
      <c r="H101" s="621">
        <v>-83082302.262443438</v>
      </c>
      <c r="J101" s="621">
        <v>2570566.432</v>
      </c>
      <c r="K101" s="616"/>
      <c r="L101" s="621">
        <v>1545730.7397104639</v>
      </c>
      <c r="M101" s="616"/>
      <c r="N101" s="621">
        <v>1024565.7973965784</v>
      </c>
      <c r="P101" s="626" t="s">
        <v>1444</v>
      </c>
      <c r="R101" s="616">
        <v>0</v>
      </c>
      <c r="S101" s="616"/>
      <c r="T101" s="616">
        <v>0</v>
      </c>
      <c r="U101" s="616"/>
      <c r="V101" s="616">
        <f>N101</f>
        <v>1024565.7973965784</v>
      </c>
      <c r="W101" s="616"/>
      <c r="X101" s="616">
        <f>SUM(R101:V101)</f>
        <v>1024565.7973965784</v>
      </c>
      <c r="Y101" s="616"/>
      <c r="Z101" s="316" t="s">
        <v>1471</v>
      </c>
      <c r="AA101" s="616"/>
      <c r="AB101" s="616">
        <v>0</v>
      </c>
      <c r="AC101" s="616"/>
      <c r="AD101" s="616">
        <v>0</v>
      </c>
      <c r="AE101" s="616"/>
      <c r="AF101" s="621">
        <v>75732.698917646107</v>
      </c>
      <c r="AG101" s="616"/>
      <c r="AH101" s="316" t="s">
        <v>1446</v>
      </c>
      <c r="AI101" s="616"/>
      <c r="AJ101" s="315">
        <f t="shared" si="55"/>
        <v>0</v>
      </c>
      <c r="AK101" s="616"/>
      <c r="AL101" s="315">
        <f t="shared" si="56"/>
        <v>0</v>
      </c>
      <c r="AM101" s="616"/>
      <c r="AN101" s="315">
        <f t="shared" si="57"/>
        <v>948833.09847893228</v>
      </c>
      <c r="AO101" s="616"/>
      <c r="AP101" s="616">
        <f t="shared" si="58"/>
        <v>948833.09847893228</v>
      </c>
      <c r="AR101" s="616">
        <v>0</v>
      </c>
      <c r="AS101" s="616"/>
      <c r="AT101" s="616">
        <v>0</v>
      </c>
      <c r="AU101" s="616"/>
      <c r="AV101" s="706">
        <v>28206.234599311494</v>
      </c>
      <c r="AW101" s="616"/>
      <c r="AX101" s="315">
        <f t="shared" si="59"/>
        <v>0</v>
      </c>
      <c r="AY101" s="616"/>
      <c r="AZ101" s="315">
        <f t="shared" si="60"/>
        <v>0</v>
      </c>
      <c r="BA101" s="616"/>
      <c r="BB101" s="315">
        <f t="shared" si="61"/>
        <v>920626.8638796208</v>
      </c>
      <c r="BC101" s="616"/>
      <c r="BD101" s="616">
        <f t="shared" si="63"/>
        <v>920626.8638796208</v>
      </c>
      <c r="BF101" s="616">
        <f t="shared" si="62"/>
        <v>1278357.2406835398</v>
      </c>
      <c r="BI101" s="304">
        <f t="shared" si="53"/>
        <v>406</v>
      </c>
    </row>
    <row r="102" spans="1:61" ht="14.5">
      <c r="A102" s="304">
        <f t="shared" ref="A102:A104" si="64">+A101+1</f>
        <v>407</v>
      </c>
      <c r="B102" s="620" t="s">
        <v>1535</v>
      </c>
      <c r="F102" s="624" t="s">
        <v>1443</v>
      </c>
      <c r="H102" s="621">
        <v>-267315.21654815774</v>
      </c>
      <c r="J102" s="621">
        <v>8270.7327999999998</v>
      </c>
      <c r="K102" s="616"/>
      <c r="L102" s="621">
        <v>4990.2960650239993</v>
      </c>
      <c r="M102" s="616"/>
      <c r="N102" s="621">
        <v>3280.9595957260935</v>
      </c>
      <c r="P102" s="626" t="s">
        <v>1444</v>
      </c>
      <c r="R102" s="616">
        <v>0</v>
      </c>
      <c r="S102" s="616"/>
      <c r="T102" s="616">
        <v>0</v>
      </c>
      <c r="U102" s="616"/>
      <c r="V102" s="616">
        <f t="shared" ref="V102:V105" si="65">N102</f>
        <v>3280.9595957260935</v>
      </c>
      <c r="W102" s="616"/>
      <c r="X102" s="616">
        <f t="shared" ref="X102:X105" si="66">SUM(R102:V102)</f>
        <v>3280.9595957260935</v>
      </c>
      <c r="Y102" s="616"/>
      <c r="Z102" s="316" t="s">
        <v>1471</v>
      </c>
      <c r="AA102" s="616"/>
      <c r="AB102" s="616">
        <v>0</v>
      </c>
      <c r="AC102" s="616"/>
      <c r="AD102" s="616">
        <v>0</v>
      </c>
      <c r="AE102" s="616"/>
      <c r="AF102" s="621">
        <v>242.51827052539079</v>
      </c>
      <c r="AG102" s="616"/>
      <c r="AH102" s="316" t="s">
        <v>1446</v>
      </c>
      <c r="AI102" s="616"/>
      <c r="AJ102" s="315">
        <f t="shared" si="55"/>
        <v>0</v>
      </c>
      <c r="AK102" s="616"/>
      <c r="AL102" s="315">
        <f t="shared" si="56"/>
        <v>0</v>
      </c>
      <c r="AM102" s="616"/>
      <c r="AN102" s="315">
        <f t="shared" si="57"/>
        <v>3038.4413252007025</v>
      </c>
      <c r="AO102" s="616"/>
      <c r="AP102" s="616">
        <f t="shared" si="58"/>
        <v>3038.4413252007025</v>
      </c>
      <c r="AR102" s="616">
        <v>0</v>
      </c>
      <c r="AS102" s="616"/>
      <c r="AT102" s="616">
        <v>0</v>
      </c>
      <c r="AU102" s="616"/>
      <c r="AV102" s="706">
        <v>90.324619758990067</v>
      </c>
      <c r="AW102" s="616"/>
      <c r="AX102" s="315">
        <f t="shared" si="59"/>
        <v>0</v>
      </c>
      <c r="AY102" s="616"/>
      <c r="AZ102" s="315">
        <f t="shared" si="60"/>
        <v>0</v>
      </c>
      <c r="BA102" s="616"/>
      <c r="BB102" s="315">
        <f t="shared" si="61"/>
        <v>2948.1167054417124</v>
      </c>
      <c r="BC102" s="616"/>
      <c r="BD102" s="616">
        <f t="shared" si="63"/>
        <v>2948.1167054417124</v>
      </c>
      <c r="BF102" s="616">
        <f t="shared" si="62"/>
        <v>4093.6740873491485</v>
      </c>
      <c r="BI102" s="304">
        <f t="shared" si="53"/>
        <v>407</v>
      </c>
    </row>
    <row r="103" spans="1:61" ht="14.5">
      <c r="A103" s="304">
        <f t="shared" si="64"/>
        <v>408</v>
      </c>
      <c r="B103" s="620" t="s">
        <v>1536</v>
      </c>
      <c r="F103" s="624" t="s">
        <v>1443</v>
      </c>
      <c r="H103" s="621">
        <v>118275848.37750486</v>
      </c>
      <c r="J103" s="621">
        <v>-3659454.7488000002</v>
      </c>
      <c r="K103" s="616"/>
      <c r="L103" s="621">
        <v>-2198404.9817031678</v>
      </c>
      <c r="M103" s="616"/>
      <c r="N103" s="621">
        <v>-1460646.162043212</v>
      </c>
      <c r="P103" s="626" t="s">
        <v>1537</v>
      </c>
      <c r="R103" s="616">
        <v>0</v>
      </c>
      <c r="S103" s="616"/>
      <c r="T103" s="616">
        <v>0</v>
      </c>
      <c r="U103" s="616"/>
      <c r="V103" s="616">
        <f t="shared" si="65"/>
        <v>-1460646.162043212</v>
      </c>
      <c r="W103" s="616"/>
      <c r="X103" s="616">
        <f t="shared" si="66"/>
        <v>-1460646.162043212</v>
      </c>
      <c r="Y103" s="616"/>
      <c r="Z103" s="316" t="s">
        <v>1471</v>
      </c>
      <c r="AA103" s="616"/>
      <c r="AB103" s="616">
        <v>0</v>
      </c>
      <c r="AC103" s="616"/>
      <c r="AD103" s="616">
        <v>0</v>
      </c>
      <c r="AE103" s="616"/>
      <c r="AF103" s="621">
        <v>-107966.39541971433</v>
      </c>
      <c r="AG103" s="616"/>
      <c r="AH103" s="316" t="s">
        <v>1446</v>
      </c>
      <c r="AI103" s="616"/>
      <c r="AJ103" s="315">
        <f t="shared" si="55"/>
        <v>0</v>
      </c>
      <c r="AK103" s="616"/>
      <c r="AL103" s="315">
        <f t="shared" si="56"/>
        <v>0</v>
      </c>
      <c r="AM103" s="616"/>
      <c r="AN103" s="315">
        <f t="shared" si="57"/>
        <v>-1352679.7666234977</v>
      </c>
      <c r="AO103" s="616"/>
      <c r="AP103" s="616">
        <f t="shared" si="58"/>
        <v>-1352679.7666234977</v>
      </c>
      <c r="AR103" s="616">
        <v>0</v>
      </c>
      <c r="AS103" s="616"/>
      <c r="AT103" s="616">
        <v>0</v>
      </c>
      <c r="AU103" s="616"/>
      <c r="AV103" s="706">
        <v>-40211.500733151821</v>
      </c>
      <c r="AW103" s="616"/>
      <c r="AX103" s="315">
        <f t="shared" si="59"/>
        <v>0</v>
      </c>
      <c r="AY103" s="616"/>
      <c r="AZ103" s="315">
        <f t="shared" si="60"/>
        <v>0</v>
      </c>
      <c r="BA103" s="616"/>
      <c r="BB103" s="315">
        <f t="shared" si="61"/>
        <v>-1312468.2658903459</v>
      </c>
      <c r="BC103" s="616"/>
      <c r="BD103" s="616">
        <f t="shared" si="63"/>
        <v>-1312468.2658903459</v>
      </c>
      <c r="BF103" s="616">
        <f t="shared" si="62"/>
        <v>-1822457.4762003457</v>
      </c>
      <c r="BI103" s="304">
        <f t="shared" si="53"/>
        <v>408</v>
      </c>
    </row>
    <row r="104" spans="1:61" ht="14.5">
      <c r="A104" s="304">
        <f t="shared" si="64"/>
        <v>409</v>
      </c>
      <c r="B104" s="622" t="s">
        <v>117</v>
      </c>
      <c r="F104" s="624"/>
      <c r="H104" s="621"/>
      <c r="J104" s="621"/>
      <c r="K104" s="616"/>
      <c r="L104" s="621"/>
      <c r="M104" s="616"/>
      <c r="N104" s="621"/>
      <c r="P104" s="625"/>
      <c r="R104" s="616">
        <v>0</v>
      </c>
      <c r="S104" s="616"/>
      <c r="T104" s="616">
        <v>0</v>
      </c>
      <c r="U104" s="616"/>
      <c r="V104" s="616">
        <f t="shared" si="65"/>
        <v>0</v>
      </c>
      <c r="W104" s="616"/>
      <c r="X104" s="616">
        <f t="shared" si="66"/>
        <v>0</v>
      </c>
      <c r="Y104" s="616"/>
      <c r="Z104" s="316"/>
      <c r="AA104" s="616"/>
      <c r="AB104" s="616">
        <v>0</v>
      </c>
      <c r="AC104" s="616"/>
      <c r="AD104" s="616">
        <v>0</v>
      </c>
      <c r="AE104" s="616"/>
      <c r="AF104" s="621"/>
      <c r="AG104" s="616"/>
      <c r="AH104" s="316"/>
      <c r="AI104" s="616"/>
      <c r="AJ104" s="315">
        <f t="shared" si="55"/>
        <v>0</v>
      </c>
      <c r="AK104" s="616"/>
      <c r="AL104" s="315">
        <f t="shared" si="56"/>
        <v>0</v>
      </c>
      <c r="AM104" s="616"/>
      <c r="AN104" s="315">
        <f t="shared" si="57"/>
        <v>0</v>
      </c>
      <c r="AO104" s="616"/>
      <c r="AP104" s="616">
        <f t="shared" si="58"/>
        <v>0</v>
      </c>
      <c r="AR104" s="616">
        <v>0</v>
      </c>
      <c r="AS104" s="616"/>
      <c r="AT104" s="616">
        <v>0</v>
      </c>
      <c r="AU104" s="616"/>
      <c r="AV104" s="621"/>
      <c r="AW104" s="616"/>
      <c r="AX104" s="315">
        <f t="shared" si="59"/>
        <v>0</v>
      </c>
      <c r="AY104" s="616"/>
      <c r="AZ104" s="315">
        <f t="shared" si="60"/>
        <v>0</v>
      </c>
      <c r="BA104" s="616"/>
      <c r="BB104" s="315">
        <f t="shared" si="61"/>
        <v>0</v>
      </c>
      <c r="BC104" s="616"/>
      <c r="BD104" s="616">
        <f t="shared" si="63"/>
        <v>0</v>
      </c>
      <c r="BF104" s="616">
        <f t="shared" si="62"/>
        <v>0</v>
      </c>
      <c r="BI104" s="304">
        <f t="shared" si="53"/>
        <v>409</v>
      </c>
    </row>
    <row r="105" spans="1:61" ht="14.5">
      <c r="A105" s="304">
        <f>+A102+1</f>
        <v>408</v>
      </c>
      <c r="B105" s="622" t="s">
        <v>117</v>
      </c>
      <c r="F105" s="624"/>
      <c r="H105" s="621"/>
      <c r="J105" s="621"/>
      <c r="K105" s="616"/>
      <c r="L105" s="621"/>
      <c r="M105" s="616"/>
      <c r="N105" s="621"/>
      <c r="P105" s="625"/>
      <c r="R105" s="616">
        <v>0</v>
      </c>
      <c r="S105" s="616"/>
      <c r="T105" s="616">
        <v>0</v>
      </c>
      <c r="U105" s="616"/>
      <c r="V105" s="616">
        <f t="shared" si="65"/>
        <v>0</v>
      </c>
      <c r="W105" s="616"/>
      <c r="X105" s="616">
        <f t="shared" si="66"/>
        <v>0</v>
      </c>
      <c r="Y105" s="616"/>
      <c r="Z105" s="316"/>
      <c r="AA105" s="616"/>
      <c r="AB105" s="616">
        <v>0</v>
      </c>
      <c r="AC105" s="616"/>
      <c r="AD105" s="616">
        <v>0</v>
      </c>
      <c r="AE105" s="616"/>
      <c r="AF105" s="621"/>
      <c r="AG105" s="616"/>
      <c r="AH105" s="316"/>
      <c r="AI105" s="616"/>
      <c r="AJ105" s="315">
        <f t="shared" si="55"/>
        <v>0</v>
      </c>
      <c r="AK105" s="616"/>
      <c r="AL105" s="315">
        <f t="shared" si="56"/>
        <v>0</v>
      </c>
      <c r="AM105" s="616"/>
      <c r="AN105" s="315">
        <f t="shared" si="57"/>
        <v>0</v>
      </c>
      <c r="AO105" s="616"/>
      <c r="AP105" s="616">
        <f t="shared" si="58"/>
        <v>0</v>
      </c>
      <c r="AR105" s="616">
        <v>0</v>
      </c>
      <c r="AS105" s="616"/>
      <c r="AT105" s="616">
        <v>0</v>
      </c>
      <c r="AU105" s="616"/>
      <c r="AV105" s="621"/>
      <c r="AW105" s="616"/>
      <c r="AX105" s="315">
        <f t="shared" si="59"/>
        <v>0</v>
      </c>
      <c r="AY105" s="616"/>
      <c r="AZ105" s="315">
        <f t="shared" si="60"/>
        <v>0</v>
      </c>
      <c r="BA105" s="616"/>
      <c r="BB105" s="315">
        <f t="shared" si="61"/>
        <v>0</v>
      </c>
      <c r="BC105" s="616"/>
      <c r="BD105" s="616">
        <f t="shared" si="63"/>
        <v>0</v>
      </c>
      <c r="BF105" s="616">
        <f t="shared" si="62"/>
        <v>0</v>
      </c>
      <c r="BI105" s="304">
        <f t="shared" si="53"/>
        <v>408</v>
      </c>
    </row>
    <row r="106" spans="1:61" ht="14.5">
      <c r="A106" s="304"/>
      <c r="B106" s="523"/>
      <c r="F106" s="624"/>
      <c r="H106" s="554"/>
      <c r="J106" s="616"/>
      <c r="K106" s="616"/>
      <c r="L106" s="616"/>
      <c r="M106" s="616"/>
      <c r="N106" s="616"/>
      <c r="P106" s="625"/>
      <c r="R106" s="616"/>
      <c r="S106" s="616"/>
      <c r="T106" s="616"/>
      <c r="U106" s="616"/>
      <c r="V106" s="616"/>
      <c r="W106" s="616"/>
      <c r="X106" s="616"/>
      <c r="Y106" s="616"/>
      <c r="Z106" s="316"/>
      <c r="AA106" s="616"/>
      <c r="AB106" s="616"/>
      <c r="AC106" s="616"/>
      <c r="AD106" s="616"/>
      <c r="AE106" s="616"/>
      <c r="AF106" s="616"/>
      <c r="AG106" s="616"/>
      <c r="AH106" s="316"/>
      <c r="AI106" s="616"/>
      <c r="AJ106" s="616"/>
      <c r="AK106" s="616"/>
      <c r="AL106" s="616"/>
      <c r="AM106" s="616"/>
      <c r="AN106" s="616"/>
      <c r="AO106" s="616"/>
      <c r="AP106" s="616"/>
      <c r="AR106" s="616"/>
      <c r="AS106" s="616"/>
      <c r="AT106" s="616"/>
      <c r="AU106" s="616"/>
      <c r="AV106" s="616"/>
      <c r="AW106" s="616"/>
      <c r="AX106" s="616"/>
      <c r="AY106" s="616"/>
      <c r="AZ106" s="616"/>
      <c r="BA106" s="616"/>
      <c r="BB106" s="616"/>
      <c r="BC106" s="616"/>
      <c r="BD106" s="616"/>
      <c r="BI106" s="304"/>
    </row>
    <row r="107" spans="1:61" ht="14.5">
      <c r="A107" s="201" t="s">
        <v>90</v>
      </c>
      <c r="F107" s="624"/>
      <c r="P107" s="625"/>
      <c r="Z107" s="605"/>
      <c r="AH107" s="605"/>
      <c r="BI107" s="615" t="s">
        <v>90</v>
      </c>
    </row>
    <row r="108" spans="1:61" ht="14.5">
      <c r="A108" s="304">
        <v>500</v>
      </c>
      <c r="B108" s="609" t="s">
        <v>1538</v>
      </c>
      <c r="F108" s="624"/>
      <c r="H108" s="619">
        <f>ROUND(SUM(H109:H113),0)</f>
        <v>-83282905</v>
      </c>
      <c r="J108" s="619">
        <f>ROUND(SUM(J109:J113),0)</f>
        <v>434750466</v>
      </c>
      <c r="K108" s="616"/>
      <c r="L108" s="619">
        <f>ROUND(SUM(L109:L113),0)</f>
        <v>260850280</v>
      </c>
      <c r="M108" s="616"/>
      <c r="N108" s="619">
        <f>ROUND(SUM(N109:N113),0)</f>
        <v>173900186</v>
      </c>
      <c r="O108" s="304"/>
      <c r="P108" s="523"/>
      <c r="Q108" s="304"/>
      <c r="R108" s="619">
        <f>ROUND(SUM(R109:R113),0)</f>
        <v>173900186</v>
      </c>
      <c r="S108" s="616"/>
      <c r="T108" s="619">
        <f>ROUND(SUM(T109:T113),0)</f>
        <v>0</v>
      </c>
      <c r="U108" s="616"/>
      <c r="V108" s="619">
        <f>ROUND(SUM(V109:V113),0)</f>
        <v>0</v>
      </c>
      <c r="W108" s="616"/>
      <c r="X108" s="619">
        <f>ROUND(SUM(X109:X113),0)</f>
        <v>173900186</v>
      </c>
      <c r="Y108" s="616"/>
      <c r="Z108" s="316"/>
      <c r="AA108" s="616"/>
      <c r="AB108" s="619">
        <f>SUM(AB109:AB113)</f>
        <v>12326933.935202882</v>
      </c>
      <c r="AC108" s="616"/>
      <c r="AD108" s="619">
        <f>SUM(AD109:AD113)</f>
        <v>0</v>
      </c>
      <c r="AE108" s="616"/>
      <c r="AF108" s="619">
        <f>SUM(AF109:AF113)</f>
        <v>0</v>
      </c>
      <c r="AG108" s="616"/>
      <c r="AH108" s="316"/>
      <c r="AI108" s="616"/>
      <c r="AJ108" s="619">
        <f>SUM(AJ109:AJ113)</f>
        <v>161573252.51337314</v>
      </c>
      <c r="AK108" s="616"/>
      <c r="AL108" s="619">
        <f>SUM(AL109:AL113)</f>
        <v>0</v>
      </c>
      <c r="AM108" s="616"/>
      <c r="AN108" s="619">
        <f>SUM(AN109:AN113)</f>
        <v>0</v>
      </c>
      <c r="AO108" s="616"/>
      <c r="AP108" s="619">
        <f>SUM(AP109:AP113)</f>
        <v>161573252.51337314</v>
      </c>
      <c r="AR108" s="619">
        <f>SUM(AR109:AR113)</f>
        <v>3857475.86616717</v>
      </c>
      <c r="AS108" s="616"/>
      <c r="AT108" s="619">
        <f>SUM(AT109:AT113)</f>
        <v>0</v>
      </c>
      <c r="AU108" s="616"/>
      <c r="AV108" s="619">
        <f>SUM(AV109:AV113)</f>
        <v>0</v>
      </c>
      <c r="AW108" s="616"/>
      <c r="AX108" s="619">
        <f>SUM(AX109:AX113)</f>
        <v>157715776.64720598</v>
      </c>
      <c r="AY108" s="616"/>
      <c r="AZ108" s="619">
        <f>SUM(AZ109:AZ113)</f>
        <v>0</v>
      </c>
      <c r="BA108" s="616"/>
      <c r="BB108" s="619">
        <f>SUM(BB109:BB113)</f>
        <v>0</v>
      </c>
      <c r="BC108" s="616"/>
      <c r="BD108" s="619">
        <f>SUM(BD109:BD113)</f>
        <v>157715776.64720598</v>
      </c>
      <c r="BF108" s="619">
        <f>ROUND(SUM(BF109:BF113),0)</f>
        <v>218999806</v>
      </c>
      <c r="BI108" s="304">
        <f t="shared" ref="BI108:BI113" si="67">A108</f>
        <v>500</v>
      </c>
    </row>
    <row r="109" spans="1:61" ht="14.5">
      <c r="A109" s="304">
        <f t="shared" ref="A109:A112" si="68">A108+1</f>
        <v>501</v>
      </c>
      <c r="B109" s="526" t="s">
        <v>1539</v>
      </c>
      <c r="F109" s="624" t="s">
        <v>1458</v>
      </c>
      <c r="H109" s="621">
        <v>-83282905</v>
      </c>
      <c r="J109" s="621">
        <v>434750466.12143999</v>
      </c>
      <c r="K109" s="616"/>
      <c r="L109" s="621">
        <v>260850279.67286399</v>
      </c>
      <c r="M109" s="616"/>
      <c r="N109" s="621">
        <v>173900186.448576</v>
      </c>
      <c r="P109" s="627" t="s">
        <v>1453</v>
      </c>
      <c r="R109" s="616">
        <f>+N109</f>
        <v>173900186.448576</v>
      </c>
      <c r="S109" s="616"/>
      <c r="T109" s="616">
        <v>0</v>
      </c>
      <c r="U109" s="616"/>
      <c r="V109" s="616">
        <v>0</v>
      </c>
      <c r="W109" s="616"/>
      <c r="X109" s="616">
        <f>SUM(R109:V109)</f>
        <v>173900186.448576</v>
      </c>
      <c r="Y109" s="616"/>
      <c r="Z109" s="316" t="s">
        <v>1445</v>
      </c>
      <c r="AA109" s="616"/>
      <c r="AB109" s="621">
        <v>12326933.935202882</v>
      </c>
      <c r="AC109" s="616"/>
      <c r="AD109" s="616">
        <v>0</v>
      </c>
      <c r="AE109" s="616"/>
      <c r="AF109" s="616">
        <v>0</v>
      </c>
      <c r="AG109" s="616"/>
      <c r="AH109" s="316" t="s">
        <v>1454</v>
      </c>
      <c r="AI109" s="616"/>
      <c r="AJ109" s="315">
        <f t="shared" ref="AJ109:AJ114" si="69">+R109-AB109</f>
        <v>161573252.51337314</v>
      </c>
      <c r="AK109" s="616"/>
      <c r="AL109" s="315">
        <f t="shared" ref="AL109:AL114" si="70">+T109-AD109</f>
        <v>0</v>
      </c>
      <c r="AM109" s="616"/>
      <c r="AN109" s="315">
        <f t="shared" ref="AN109:AN114" si="71">+V109-AF109</f>
        <v>0</v>
      </c>
      <c r="AO109" s="616"/>
      <c r="AP109" s="616">
        <f t="shared" ref="AP109:AP114" si="72">SUM(AJ109:AN109)</f>
        <v>161573252.51337314</v>
      </c>
      <c r="AR109" s="706">
        <v>3857475.86616717</v>
      </c>
      <c r="AS109" s="616"/>
      <c r="AT109" s="616">
        <v>0</v>
      </c>
      <c r="AU109" s="616"/>
      <c r="AV109" s="616">
        <v>0</v>
      </c>
      <c r="AW109" s="616"/>
      <c r="AX109" s="315">
        <f t="shared" ref="AX109:AX114" si="73">+AJ109-AR109</f>
        <v>157715776.64720598</v>
      </c>
      <c r="AY109" s="616"/>
      <c r="AZ109" s="315">
        <f t="shared" ref="AZ109:AZ114" si="74">+AL109-AT109</f>
        <v>0</v>
      </c>
      <c r="BA109" s="616"/>
      <c r="BB109" s="315">
        <f t="shared" ref="BB109:BB114" si="75">+AN109-AV109</f>
        <v>0</v>
      </c>
      <c r="BC109" s="616"/>
      <c r="BD109" s="616">
        <f>SUM(AX109:BB109)</f>
        <v>157715776.64720598</v>
      </c>
      <c r="BF109" s="616">
        <f>+BD109*$BF$10</f>
        <v>218999806.49852806</v>
      </c>
      <c r="BI109" s="304">
        <f t="shared" si="67"/>
        <v>501</v>
      </c>
    </row>
    <row r="110" spans="1:61" ht="14.5">
      <c r="A110" s="304">
        <f t="shared" si="68"/>
        <v>502</v>
      </c>
      <c r="B110" s="622" t="s">
        <v>117</v>
      </c>
      <c r="F110" s="624"/>
      <c r="H110" s="621"/>
      <c r="J110" s="621">
        <v>0</v>
      </c>
      <c r="K110" s="616"/>
      <c r="L110" s="621">
        <v>0</v>
      </c>
      <c r="M110" s="616"/>
      <c r="N110" s="621">
        <v>0</v>
      </c>
      <c r="P110" s="627"/>
      <c r="R110" s="616">
        <v>0</v>
      </c>
      <c r="S110" s="616"/>
      <c r="T110" s="616">
        <v>0</v>
      </c>
      <c r="U110" s="616"/>
      <c r="V110" s="616">
        <v>0</v>
      </c>
      <c r="W110" s="616"/>
      <c r="X110" s="616">
        <f t="shared" ref="X110:X113" si="76">SUM(R110:V110)</f>
        <v>0</v>
      </c>
      <c r="Y110" s="616"/>
      <c r="Z110" s="316"/>
      <c r="AA110" s="616"/>
      <c r="AB110" s="621"/>
      <c r="AC110" s="616"/>
      <c r="AD110" s="616">
        <v>0</v>
      </c>
      <c r="AE110" s="616"/>
      <c r="AF110" s="616">
        <v>0</v>
      </c>
      <c r="AG110" s="616"/>
      <c r="AH110" s="316"/>
      <c r="AI110" s="616"/>
      <c r="AJ110" s="315">
        <f t="shared" si="69"/>
        <v>0</v>
      </c>
      <c r="AK110" s="616"/>
      <c r="AL110" s="315">
        <f t="shared" si="70"/>
        <v>0</v>
      </c>
      <c r="AM110" s="616"/>
      <c r="AN110" s="315">
        <f t="shared" si="71"/>
        <v>0</v>
      </c>
      <c r="AO110" s="616"/>
      <c r="AP110" s="616">
        <f t="shared" si="72"/>
        <v>0</v>
      </c>
      <c r="AR110" s="621"/>
      <c r="AS110" s="616"/>
      <c r="AT110" s="616">
        <v>0</v>
      </c>
      <c r="AU110" s="616"/>
      <c r="AV110" s="616">
        <v>0</v>
      </c>
      <c r="AW110" s="616"/>
      <c r="AX110" s="315">
        <f t="shared" si="73"/>
        <v>0</v>
      </c>
      <c r="AY110" s="616"/>
      <c r="AZ110" s="315">
        <f t="shared" si="74"/>
        <v>0</v>
      </c>
      <c r="BA110" s="616"/>
      <c r="BB110" s="315">
        <f t="shared" si="75"/>
        <v>0</v>
      </c>
      <c r="BC110" s="616"/>
      <c r="BD110" s="616">
        <f t="shared" ref="BD110:BD113" si="77">SUM(AX110:BB110)</f>
        <v>0</v>
      </c>
      <c r="BF110" s="616">
        <f>+BD110*$BF$10</f>
        <v>0</v>
      </c>
      <c r="BI110" s="304">
        <f t="shared" si="67"/>
        <v>502</v>
      </c>
    </row>
    <row r="111" spans="1:61" ht="14.5">
      <c r="A111" s="304">
        <f t="shared" si="68"/>
        <v>503</v>
      </c>
      <c r="B111" s="622" t="s">
        <v>117</v>
      </c>
      <c r="F111" s="624"/>
      <c r="H111" s="621"/>
      <c r="J111" s="621">
        <v>0</v>
      </c>
      <c r="K111" s="616"/>
      <c r="L111" s="621">
        <v>0</v>
      </c>
      <c r="M111" s="616"/>
      <c r="N111" s="621">
        <v>0</v>
      </c>
      <c r="P111" s="627"/>
      <c r="R111" s="616">
        <v>0</v>
      </c>
      <c r="S111" s="616"/>
      <c r="T111" s="616">
        <v>0</v>
      </c>
      <c r="U111" s="616"/>
      <c r="V111" s="616">
        <v>0</v>
      </c>
      <c r="W111" s="616"/>
      <c r="X111" s="616">
        <f t="shared" si="76"/>
        <v>0</v>
      </c>
      <c r="Y111" s="616"/>
      <c r="Z111" s="316"/>
      <c r="AA111" s="616"/>
      <c r="AB111" s="621"/>
      <c r="AC111" s="616"/>
      <c r="AD111" s="616">
        <v>0</v>
      </c>
      <c r="AE111" s="616"/>
      <c r="AF111" s="616">
        <v>0</v>
      </c>
      <c r="AG111" s="616"/>
      <c r="AH111" s="316"/>
      <c r="AI111" s="616"/>
      <c r="AJ111" s="315">
        <f t="shared" si="69"/>
        <v>0</v>
      </c>
      <c r="AK111" s="616"/>
      <c r="AL111" s="315">
        <f t="shared" si="70"/>
        <v>0</v>
      </c>
      <c r="AM111" s="616"/>
      <c r="AN111" s="315">
        <f t="shared" si="71"/>
        <v>0</v>
      </c>
      <c r="AO111" s="616"/>
      <c r="AP111" s="616">
        <f t="shared" si="72"/>
        <v>0</v>
      </c>
      <c r="AR111" s="621"/>
      <c r="AS111" s="616"/>
      <c r="AT111" s="616">
        <v>0</v>
      </c>
      <c r="AU111" s="616"/>
      <c r="AV111" s="616">
        <v>0</v>
      </c>
      <c r="AW111" s="616"/>
      <c r="AX111" s="315">
        <f t="shared" si="73"/>
        <v>0</v>
      </c>
      <c r="AY111" s="616"/>
      <c r="AZ111" s="315">
        <f t="shared" si="74"/>
        <v>0</v>
      </c>
      <c r="BA111" s="616"/>
      <c r="BB111" s="315">
        <f t="shared" si="75"/>
        <v>0</v>
      </c>
      <c r="BC111" s="616"/>
      <c r="BD111" s="616">
        <f t="shared" si="77"/>
        <v>0</v>
      </c>
      <c r="BF111" s="616">
        <f>+BD110*$BF$10</f>
        <v>0</v>
      </c>
      <c r="BI111" s="304">
        <f t="shared" si="67"/>
        <v>503</v>
      </c>
    </row>
    <row r="112" spans="1:61" ht="14.5">
      <c r="A112" s="304">
        <f t="shared" si="68"/>
        <v>504</v>
      </c>
      <c r="B112" s="622" t="s">
        <v>117</v>
      </c>
      <c r="F112" s="617"/>
      <c r="H112" s="621"/>
      <c r="J112" s="621">
        <v>0</v>
      </c>
      <c r="K112" s="616"/>
      <c r="L112" s="621">
        <v>0</v>
      </c>
      <c r="M112" s="616"/>
      <c r="N112" s="621">
        <v>0</v>
      </c>
      <c r="P112" s="625"/>
      <c r="R112" s="616">
        <v>0</v>
      </c>
      <c r="S112" s="616"/>
      <c r="T112" s="616">
        <v>0</v>
      </c>
      <c r="U112" s="616"/>
      <c r="V112" s="616">
        <v>0</v>
      </c>
      <c r="W112" s="616"/>
      <c r="X112" s="616">
        <f t="shared" si="76"/>
        <v>0</v>
      </c>
      <c r="Y112" s="616"/>
      <c r="Z112" s="316"/>
      <c r="AA112" s="616"/>
      <c r="AB112" s="621"/>
      <c r="AC112" s="616"/>
      <c r="AD112" s="616">
        <v>0</v>
      </c>
      <c r="AE112" s="616"/>
      <c r="AF112" s="616">
        <v>0</v>
      </c>
      <c r="AG112" s="616"/>
      <c r="AH112" s="316"/>
      <c r="AI112" s="616"/>
      <c r="AJ112" s="315">
        <f t="shared" si="69"/>
        <v>0</v>
      </c>
      <c r="AK112" s="616"/>
      <c r="AL112" s="315">
        <f t="shared" si="70"/>
        <v>0</v>
      </c>
      <c r="AM112" s="616"/>
      <c r="AN112" s="315">
        <f t="shared" si="71"/>
        <v>0</v>
      </c>
      <c r="AO112" s="616"/>
      <c r="AP112" s="616">
        <f t="shared" si="72"/>
        <v>0</v>
      </c>
      <c r="AR112" s="621"/>
      <c r="AS112" s="616"/>
      <c r="AT112" s="616">
        <v>0</v>
      </c>
      <c r="AU112" s="616"/>
      <c r="AV112" s="616">
        <v>0</v>
      </c>
      <c r="AW112" s="616"/>
      <c r="AX112" s="315">
        <f t="shared" si="73"/>
        <v>0</v>
      </c>
      <c r="AY112" s="616"/>
      <c r="AZ112" s="315">
        <f t="shared" si="74"/>
        <v>0</v>
      </c>
      <c r="BA112" s="616"/>
      <c r="BB112" s="315">
        <f t="shared" si="75"/>
        <v>0</v>
      </c>
      <c r="BC112" s="616"/>
      <c r="BD112" s="616">
        <f t="shared" si="77"/>
        <v>0</v>
      </c>
      <c r="BF112" s="616">
        <f>+BD111*$BF$10</f>
        <v>0</v>
      </c>
      <c r="BI112" s="304">
        <f t="shared" si="67"/>
        <v>504</v>
      </c>
    </row>
    <row r="113" spans="1:61" ht="14.5">
      <c r="A113" s="304">
        <f>+A112+1</f>
        <v>505</v>
      </c>
      <c r="B113" s="622" t="s">
        <v>117</v>
      </c>
      <c r="F113" s="617"/>
      <c r="H113" s="621"/>
      <c r="J113" s="621">
        <v>0</v>
      </c>
      <c r="K113" s="616"/>
      <c r="L113" s="621">
        <v>0</v>
      </c>
      <c r="M113" s="616"/>
      <c r="N113" s="621">
        <v>0</v>
      </c>
      <c r="P113" s="625"/>
      <c r="R113" s="616">
        <v>0</v>
      </c>
      <c r="S113" s="616"/>
      <c r="T113" s="616">
        <v>0</v>
      </c>
      <c r="U113" s="616"/>
      <c r="V113" s="616">
        <v>0</v>
      </c>
      <c r="W113" s="616"/>
      <c r="X113" s="616">
        <f t="shared" si="76"/>
        <v>0</v>
      </c>
      <c r="Y113" s="616"/>
      <c r="Z113" s="316"/>
      <c r="AA113" s="616"/>
      <c r="AB113" s="621"/>
      <c r="AC113" s="616"/>
      <c r="AD113" s="616">
        <v>0</v>
      </c>
      <c r="AE113" s="616"/>
      <c r="AF113" s="616">
        <v>0</v>
      </c>
      <c r="AG113" s="616"/>
      <c r="AH113" s="316"/>
      <c r="AI113" s="616"/>
      <c r="AJ113" s="315">
        <f t="shared" si="69"/>
        <v>0</v>
      </c>
      <c r="AK113" s="616"/>
      <c r="AL113" s="315">
        <f t="shared" si="70"/>
        <v>0</v>
      </c>
      <c r="AM113" s="616"/>
      <c r="AN113" s="315">
        <f t="shared" si="71"/>
        <v>0</v>
      </c>
      <c r="AO113" s="616"/>
      <c r="AP113" s="616">
        <f t="shared" si="72"/>
        <v>0</v>
      </c>
      <c r="AR113" s="621"/>
      <c r="AS113" s="616"/>
      <c r="AT113" s="616">
        <v>0</v>
      </c>
      <c r="AU113" s="616"/>
      <c r="AV113" s="616">
        <v>0</v>
      </c>
      <c r="AW113" s="616"/>
      <c r="AX113" s="315">
        <f t="shared" si="73"/>
        <v>0</v>
      </c>
      <c r="AY113" s="616"/>
      <c r="AZ113" s="315">
        <f t="shared" si="74"/>
        <v>0</v>
      </c>
      <c r="BA113" s="616"/>
      <c r="BB113" s="315">
        <f t="shared" si="75"/>
        <v>0</v>
      </c>
      <c r="BC113" s="616"/>
      <c r="BD113" s="616">
        <f t="shared" si="77"/>
        <v>0</v>
      </c>
      <c r="BF113" s="616">
        <f>+BD112*$BF$10</f>
        <v>0</v>
      </c>
      <c r="BI113" s="304">
        <f t="shared" si="67"/>
        <v>505</v>
      </c>
    </row>
    <row r="114" spans="1:61" ht="14.5">
      <c r="A114" s="304"/>
      <c r="B114" s="523"/>
      <c r="F114" s="617"/>
      <c r="H114" s="616"/>
      <c r="J114" s="616"/>
      <c r="K114" s="616"/>
      <c r="L114" s="616"/>
      <c r="M114" s="616"/>
      <c r="N114" s="616"/>
      <c r="P114" s="625"/>
      <c r="R114" s="616"/>
      <c r="S114" s="616"/>
      <c r="T114" s="616"/>
      <c r="U114" s="616"/>
      <c r="V114" s="616"/>
      <c r="W114" s="616"/>
      <c r="X114" s="616"/>
      <c r="Y114" s="616"/>
      <c r="Z114" s="316"/>
      <c r="AA114" s="616"/>
      <c r="AB114" s="616"/>
      <c r="AC114" s="616"/>
      <c r="AD114" s="616"/>
      <c r="AE114" s="616"/>
      <c r="AF114" s="616"/>
      <c r="AG114" s="616"/>
      <c r="AH114" s="316"/>
      <c r="AI114" s="616"/>
      <c r="AJ114" s="616">
        <f t="shared" si="69"/>
        <v>0</v>
      </c>
      <c r="AK114" s="616"/>
      <c r="AL114" s="616">
        <f t="shared" si="70"/>
        <v>0</v>
      </c>
      <c r="AM114" s="616"/>
      <c r="AN114" s="616">
        <f t="shared" si="71"/>
        <v>0</v>
      </c>
      <c r="AO114" s="616"/>
      <c r="AP114" s="616">
        <f t="shared" si="72"/>
        <v>0</v>
      </c>
      <c r="AR114" s="616"/>
      <c r="AS114" s="616"/>
      <c r="AT114" s="616"/>
      <c r="AU114" s="616"/>
      <c r="AV114" s="616"/>
      <c r="AW114" s="616"/>
      <c r="AX114" s="616">
        <f t="shared" si="73"/>
        <v>0</v>
      </c>
      <c r="AY114" s="616"/>
      <c r="AZ114" s="616">
        <f t="shared" si="74"/>
        <v>0</v>
      </c>
      <c r="BA114" s="616"/>
      <c r="BB114" s="616">
        <f t="shared" si="75"/>
        <v>0</v>
      </c>
      <c r="BC114" s="616"/>
      <c r="BD114" s="616"/>
      <c r="BF114" s="616"/>
      <c r="BI114" s="304"/>
    </row>
    <row r="115" spans="1:61" ht="14.5">
      <c r="A115" s="201" t="s">
        <v>90</v>
      </c>
      <c r="F115" s="617"/>
      <c r="H115" s="554"/>
      <c r="P115" s="625"/>
      <c r="Z115" s="605"/>
      <c r="AH115" s="605"/>
      <c r="BI115" s="615" t="s">
        <v>90</v>
      </c>
    </row>
    <row r="116" spans="1:61" ht="14.5">
      <c r="A116" s="304">
        <v>600</v>
      </c>
      <c r="B116" s="618" t="s">
        <v>1459</v>
      </c>
      <c r="F116" s="617"/>
      <c r="H116" s="619">
        <f>SUM(H117:H121)</f>
        <v>-400413354</v>
      </c>
      <c r="J116" s="619">
        <f>SUM(J117:J121)</f>
        <v>-140144673.792</v>
      </c>
      <c r="K116" s="616"/>
      <c r="L116" s="619">
        <f>SUM(L117:L121)</f>
        <v>-84086803.483769998</v>
      </c>
      <c r="M116" s="616"/>
      <c r="N116" s="619">
        <f>SUM(N117:N121)</f>
        <v>-56057870.308230013</v>
      </c>
      <c r="O116" s="304"/>
      <c r="P116" s="523"/>
      <c r="Q116" s="304"/>
      <c r="R116" s="619">
        <f>SUM(R117:R121)</f>
        <v>0</v>
      </c>
      <c r="S116" s="616"/>
      <c r="T116" s="619">
        <f>SUM(T117:T121)</f>
        <v>-56057870.308230013</v>
      </c>
      <c r="U116" s="616"/>
      <c r="V116" s="619">
        <f>SUM(V117:V121)</f>
        <v>0</v>
      </c>
      <c r="W116" s="616"/>
      <c r="X116" s="619">
        <f>SUM(X117:X121)</f>
        <v>-56057870.308230013</v>
      </c>
      <c r="Y116" s="616"/>
      <c r="Z116" s="316"/>
      <c r="AA116" s="616"/>
      <c r="AB116" s="619">
        <f>SUM(AB117:AB121)</f>
        <v>0</v>
      </c>
      <c r="AC116" s="616"/>
      <c r="AD116" s="619">
        <f>SUM(AD117:AD121)</f>
        <v>-4143622.4250362762</v>
      </c>
      <c r="AE116" s="616"/>
      <c r="AF116" s="619">
        <f>SUM(AF117:AF121)</f>
        <v>0</v>
      </c>
      <c r="AG116" s="616"/>
      <c r="AH116" s="316"/>
      <c r="AI116" s="616"/>
      <c r="AJ116" s="619">
        <f>SUM(AJ117:AJ121)</f>
        <v>0</v>
      </c>
      <c r="AK116" s="616"/>
      <c r="AL116" s="619">
        <f>SUM(AL117:AL121)</f>
        <v>-51914247.883193739</v>
      </c>
      <c r="AM116" s="616"/>
      <c r="AN116" s="619">
        <f>SUM(AN117:AN121)</f>
        <v>0</v>
      </c>
      <c r="AO116" s="616"/>
      <c r="AP116" s="619">
        <f>SUM(AP117:AP121)</f>
        <v>-51914247.883193739</v>
      </c>
      <c r="AR116" s="619">
        <f>SUM(AR117:AR121)</f>
        <v>0</v>
      </c>
      <c r="AS116" s="616"/>
      <c r="AT116" s="619">
        <f>SUM(AT117:AT121)</f>
        <v>-1543269.7881087735</v>
      </c>
      <c r="AU116" s="616"/>
      <c r="AV116" s="619">
        <f>SUM(AV117:AV121)</f>
        <v>0</v>
      </c>
      <c r="AW116" s="616"/>
      <c r="AX116" s="619">
        <f>SUM(AX117:AX121)</f>
        <v>0</v>
      </c>
      <c r="AY116" s="616"/>
      <c r="AZ116" s="619">
        <f>SUM(AZ117:AZ121)</f>
        <v>-50370978.095084973</v>
      </c>
      <c r="BA116" s="616"/>
      <c r="BB116" s="619">
        <f>SUM(BB117:BB121)</f>
        <v>0</v>
      </c>
      <c r="BC116" s="616"/>
      <c r="BD116" s="619">
        <f>SUM(BD117:BD121)</f>
        <v>-50370978.095084973</v>
      </c>
      <c r="BF116" s="619">
        <f>SUM(BF117:BF121)</f>
        <v>-69943760.164469436</v>
      </c>
      <c r="BI116" s="304">
        <f t="shared" ref="BI116:BI121" si="78">A116</f>
        <v>600</v>
      </c>
    </row>
    <row r="117" spans="1:61" ht="14.5">
      <c r="A117" s="304">
        <f t="shared" ref="A117:A120" si="79">A116+1</f>
        <v>601</v>
      </c>
      <c r="B117" s="620" t="s">
        <v>1540</v>
      </c>
      <c r="F117" s="625" t="s">
        <v>1443</v>
      </c>
      <c r="H117" s="621">
        <v>-503886394</v>
      </c>
      <c r="J117" s="621">
        <v>-176360237.792</v>
      </c>
      <c r="K117" s="616"/>
      <c r="L117" s="621">
        <v>-105816142.47279657</v>
      </c>
      <c r="M117" s="616"/>
      <c r="N117" s="621">
        <v>-70544095.319203436</v>
      </c>
      <c r="P117" s="625" t="s">
        <v>1444</v>
      </c>
      <c r="R117" s="616">
        <v>0</v>
      </c>
      <c r="S117" s="616"/>
      <c r="T117" s="616">
        <f>+N117</f>
        <v>-70544095.319203436</v>
      </c>
      <c r="U117" s="616"/>
      <c r="V117" s="616">
        <v>0</v>
      </c>
      <c r="W117" s="616"/>
      <c r="X117" s="616">
        <f>SUM(R117:V117)</f>
        <v>-70544095.319203436</v>
      </c>
      <c r="Y117" s="616"/>
      <c r="Z117" s="316" t="s">
        <v>1471</v>
      </c>
      <c r="AA117" s="616"/>
      <c r="AB117" s="621"/>
      <c r="AC117" s="616"/>
      <c r="AD117" s="621">
        <v>-5214398.8651604801</v>
      </c>
      <c r="AE117" s="616"/>
      <c r="AF117" s="621"/>
      <c r="AG117" s="616"/>
      <c r="AH117" s="316" t="s">
        <v>1446</v>
      </c>
      <c r="AI117" s="616"/>
      <c r="AJ117" s="315">
        <f t="shared" ref="AJ117:AJ121" si="80">+R117-AB117</f>
        <v>0</v>
      </c>
      <c r="AK117" s="616"/>
      <c r="AL117" s="315">
        <f t="shared" ref="AL117:AL121" si="81">+T117-AD117</f>
        <v>-65329696.454042956</v>
      </c>
      <c r="AM117" s="616"/>
      <c r="AN117" s="315">
        <f t="shared" ref="AN117:AN121" si="82">+V117-AF117</f>
        <v>0</v>
      </c>
      <c r="AO117" s="616"/>
      <c r="AP117" s="616">
        <f t="shared" ref="AP117:AP121" si="83">SUM(AJ117:AN117)</f>
        <v>-65329696.454042956</v>
      </c>
      <c r="AR117" s="621"/>
      <c r="AS117" s="616"/>
      <c r="AT117" s="706">
        <v>-1942074.6888347077</v>
      </c>
      <c r="AU117" s="616"/>
      <c r="AV117" s="621"/>
      <c r="AW117" s="616"/>
      <c r="AX117" s="315">
        <f>+AJ117-AR117</f>
        <v>0</v>
      </c>
      <c r="AY117" s="616"/>
      <c r="AZ117" s="315">
        <f>+AL117-AT117</f>
        <v>-63387621.765208252</v>
      </c>
      <c r="BA117" s="616"/>
      <c r="BB117" s="315">
        <f>+AN117-AV117</f>
        <v>0</v>
      </c>
      <c r="BC117" s="616"/>
      <c r="BD117" s="616">
        <f>SUM(AX117:BB117)</f>
        <v>-63387621.765208252</v>
      </c>
      <c r="BF117" s="616">
        <f>+BD117*$BF$10</f>
        <v>-88018314.946606949</v>
      </c>
      <c r="BI117" s="304">
        <f t="shared" si="78"/>
        <v>601</v>
      </c>
    </row>
    <row r="118" spans="1:61" ht="14.5">
      <c r="A118" s="304">
        <f t="shared" si="79"/>
        <v>602</v>
      </c>
      <c r="B118" s="620" t="s">
        <v>1541</v>
      </c>
      <c r="F118" s="625" t="s">
        <v>1443</v>
      </c>
      <c r="H118" s="621">
        <v>103473040</v>
      </c>
      <c r="J118" s="621">
        <v>36215564</v>
      </c>
      <c r="K118" s="616"/>
      <c r="L118" s="621">
        <v>21729338.98902658</v>
      </c>
      <c r="M118" s="616"/>
      <c r="N118" s="621">
        <v>14486225.01097342</v>
      </c>
      <c r="P118" s="625" t="s">
        <v>1444</v>
      </c>
      <c r="R118" s="616">
        <v>0</v>
      </c>
      <c r="S118" s="616"/>
      <c r="T118" s="616">
        <f>+N118</f>
        <v>14486225.01097342</v>
      </c>
      <c r="U118" s="616"/>
      <c r="V118" s="616">
        <v>0</v>
      </c>
      <c r="W118" s="616"/>
      <c r="X118" s="616">
        <f t="shared" ref="X118:X121" si="84">SUM(R118:V118)</f>
        <v>14486225.01097342</v>
      </c>
      <c r="Y118" s="616"/>
      <c r="Z118" s="316" t="s">
        <v>1471</v>
      </c>
      <c r="AA118" s="616"/>
      <c r="AB118" s="621"/>
      <c r="AC118" s="616"/>
      <c r="AD118" s="621">
        <v>1070776.4401242039</v>
      </c>
      <c r="AE118" s="616"/>
      <c r="AF118" s="621"/>
      <c r="AG118" s="616"/>
      <c r="AH118" s="316" t="s">
        <v>1446</v>
      </c>
      <c r="AI118" s="616"/>
      <c r="AJ118" s="315">
        <f t="shared" si="80"/>
        <v>0</v>
      </c>
      <c r="AK118" s="616"/>
      <c r="AL118" s="315">
        <f t="shared" si="81"/>
        <v>13415448.570849216</v>
      </c>
      <c r="AM118" s="616"/>
      <c r="AN118" s="315">
        <f t="shared" si="82"/>
        <v>0</v>
      </c>
      <c r="AO118" s="616"/>
      <c r="AP118" s="616">
        <f t="shared" si="83"/>
        <v>13415448.570849216</v>
      </c>
      <c r="AR118" s="621"/>
      <c r="AS118" s="616"/>
      <c r="AT118" s="706">
        <v>398804.90072593419</v>
      </c>
      <c r="AU118" s="616"/>
      <c r="AV118" s="621"/>
      <c r="AW118" s="616"/>
      <c r="AX118" s="315">
        <f>+AJ118-AR118</f>
        <v>0</v>
      </c>
      <c r="AY118" s="616"/>
      <c r="AZ118" s="315">
        <f>+AL118-AT118</f>
        <v>13016643.670123281</v>
      </c>
      <c r="BA118" s="616"/>
      <c r="BB118" s="315">
        <f>+AN118-AV118</f>
        <v>0</v>
      </c>
      <c r="BC118" s="616"/>
      <c r="BD118" s="616">
        <f t="shared" ref="BD118:BD121" si="85">SUM(AX118:BB118)</f>
        <v>13016643.670123281</v>
      </c>
      <c r="BF118" s="616">
        <f>+BD118*$BF$10</f>
        <v>18074554.782137513</v>
      </c>
      <c r="BI118" s="304">
        <f t="shared" si="78"/>
        <v>602</v>
      </c>
    </row>
    <row r="119" spans="1:61" ht="14.5">
      <c r="A119" s="304">
        <f t="shared" si="79"/>
        <v>603</v>
      </c>
      <c r="B119" s="620" t="s">
        <v>1542</v>
      </c>
      <c r="F119" s="625" t="s">
        <v>1443</v>
      </c>
      <c r="H119" s="621">
        <v>0</v>
      </c>
      <c r="J119" s="621">
        <v>0</v>
      </c>
      <c r="K119" s="616"/>
      <c r="L119" s="621">
        <v>0</v>
      </c>
      <c r="M119" s="616"/>
      <c r="N119" s="621">
        <v>0</v>
      </c>
      <c r="P119" s="625" t="s">
        <v>1444</v>
      </c>
      <c r="R119" s="616">
        <f t="shared" ref="R119:R120" si="86">+N119</f>
        <v>0</v>
      </c>
      <c r="S119" s="616"/>
      <c r="T119" s="616">
        <v>0</v>
      </c>
      <c r="U119" s="616"/>
      <c r="V119" s="616">
        <v>0</v>
      </c>
      <c r="W119" s="616"/>
      <c r="X119" s="616">
        <f t="shared" si="84"/>
        <v>0</v>
      </c>
      <c r="Y119" s="616"/>
      <c r="Z119" s="316"/>
      <c r="AA119" s="616"/>
      <c r="AB119" s="621"/>
      <c r="AC119" s="616"/>
      <c r="AD119" s="621">
        <v>0</v>
      </c>
      <c r="AE119" s="616"/>
      <c r="AF119" s="621"/>
      <c r="AG119" s="616"/>
      <c r="AH119" s="316"/>
      <c r="AI119" s="616"/>
      <c r="AJ119" s="315">
        <f t="shared" si="80"/>
        <v>0</v>
      </c>
      <c r="AK119" s="616"/>
      <c r="AL119" s="315">
        <f t="shared" si="81"/>
        <v>0</v>
      </c>
      <c r="AM119" s="616"/>
      <c r="AN119" s="315">
        <f t="shared" si="82"/>
        <v>0</v>
      </c>
      <c r="AO119" s="616"/>
      <c r="AP119" s="616">
        <f t="shared" si="83"/>
        <v>0</v>
      </c>
      <c r="AR119" s="621"/>
      <c r="AS119" s="616"/>
      <c r="AT119" s="621">
        <v>0</v>
      </c>
      <c r="AU119" s="616"/>
      <c r="AV119" s="621"/>
      <c r="AW119" s="616"/>
      <c r="AX119" s="315">
        <f>+AJ119-AR119</f>
        <v>0</v>
      </c>
      <c r="AY119" s="616"/>
      <c r="AZ119" s="315">
        <f>+AL119-AT119</f>
        <v>0</v>
      </c>
      <c r="BA119" s="616"/>
      <c r="BB119" s="315">
        <f>+AN119-AV119</f>
        <v>0</v>
      </c>
      <c r="BC119" s="616"/>
      <c r="BD119" s="616">
        <f t="shared" si="85"/>
        <v>0</v>
      </c>
      <c r="BF119" s="616">
        <f>+N119*$BF$10</f>
        <v>0</v>
      </c>
      <c r="BI119" s="304">
        <f t="shared" si="78"/>
        <v>603</v>
      </c>
    </row>
    <row r="120" spans="1:61" ht="14.5">
      <c r="A120" s="304">
        <f t="shared" si="79"/>
        <v>604</v>
      </c>
      <c r="B120" s="622" t="s">
        <v>117</v>
      </c>
      <c r="F120" s="617"/>
      <c r="H120" s="621"/>
      <c r="J120" s="621">
        <v>0</v>
      </c>
      <c r="K120" s="616"/>
      <c r="L120" s="621">
        <v>0</v>
      </c>
      <c r="M120" s="616"/>
      <c r="N120" s="621">
        <v>0</v>
      </c>
      <c r="P120" s="625"/>
      <c r="R120" s="616">
        <f t="shared" si="86"/>
        <v>0</v>
      </c>
      <c r="S120" s="616"/>
      <c r="T120" s="616">
        <v>0</v>
      </c>
      <c r="U120" s="616"/>
      <c r="V120" s="616">
        <v>0</v>
      </c>
      <c r="W120" s="616"/>
      <c r="X120" s="616">
        <f t="shared" si="84"/>
        <v>0</v>
      </c>
      <c r="Y120" s="616"/>
      <c r="Z120" s="316"/>
      <c r="AA120" s="616"/>
      <c r="AB120" s="621"/>
      <c r="AC120" s="616"/>
      <c r="AD120" s="621"/>
      <c r="AE120" s="616"/>
      <c r="AF120" s="621"/>
      <c r="AG120" s="616"/>
      <c r="AH120" s="616"/>
      <c r="AI120" s="616"/>
      <c r="AJ120" s="315">
        <f t="shared" si="80"/>
        <v>0</v>
      </c>
      <c r="AK120" s="616"/>
      <c r="AL120" s="315">
        <f t="shared" si="81"/>
        <v>0</v>
      </c>
      <c r="AM120" s="616"/>
      <c r="AN120" s="315">
        <f t="shared" si="82"/>
        <v>0</v>
      </c>
      <c r="AO120" s="616"/>
      <c r="AP120" s="616">
        <f t="shared" si="83"/>
        <v>0</v>
      </c>
      <c r="AR120" s="621"/>
      <c r="AS120" s="616"/>
      <c r="AT120" s="621"/>
      <c r="AU120" s="616"/>
      <c r="AV120" s="621"/>
      <c r="AW120" s="616"/>
      <c r="AX120" s="315">
        <f>+AJ120-AR120</f>
        <v>0</v>
      </c>
      <c r="AY120" s="616"/>
      <c r="AZ120" s="315">
        <f>+AL120-AT120</f>
        <v>0</v>
      </c>
      <c r="BA120" s="616"/>
      <c r="BB120" s="315">
        <f>+AN120-AV120</f>
        <v>0</v>
      </c>
      <c r="BC120" s="616"/>
      <c r="BD120" s="616">
        <f t="shared" si="85"/>
        <v>0</v>
      </c>
      <c r="BF120" s="616">
        <f>+N119*$BF$10</f>
        <v>0</v>
      </c>
      <c r="BI120" s="304">
        <f t="shared" si="78"/>
        <v>604</v>
      </c>
    </row>
    <row r="121" spans="1:61" ht="14.5">
      <c r="A121" s="304">
        <f>+A120+1</f>
        <v>605</v>
      </c>
      <c r="B121" s="622" t="s">
        <v>117</v>
      </c>
      <c r="F121" s="617"/>
      <c r="H121" s="621"/>
      <c r="J121" s="621">
        <v>0</v>
      </c>
      <c r="K121" s="616"/>
      <c r="L121" s="621">
        <v>0</v>
      </c>
      <c r="M121" s="616"/>
      <c r="N121" s="621">
        <v>0</v>
      </c>
      <c r="P121" s="617"/>
      <c r="R121" s="616">
        <v>0</v>
      </c>
      <c r="S121" s="616"/>
      <c r="T121" s="616">
        <v>0</v>
      </c>
      <c r="U121" s="616"/>
      <c r="V121" s="616">
        <v>0</v>
      </c>
      <c r="W121" s="616"/>
      <c r="X121" s="616">
        <f t="shared" si="84"/>
        <v>0</v>
      </c>
      <c r="Y121" s="616"/>
      <c r="Z121" s="316"/>
      <c r="AA121" s="616"/>
      <c r="AB121" s="621"/>
      <c r="AC121" s="616"/>
      <c r="AD121" s="621"/>
      <c r="AE121" s="616"/>
      <c r="AF121" s="621"/>
      <c r="AG121" s="616"/>
      <c r="AH121" s="616"/>
      <c r="AI121" s="616"/>
      <c r="AJ121" s="315">
        <f t="shared" si="80"/>
        <v>0</v>
      </c>
      <c r="AK121" s="616"/>
      <c r="AL121" s="315">
        <f t="shared" si="81"/>
        <v>0</v>
      </c>
      <c r="AM121" s="616"/>
      <c r="AN121" s="315">
        <f t="shared" si="82"/>
        <v>0</v>
      </c>
      <c r="AO121" s="616"/>
      <c r="AP121" s="616">
        <f t="shared" si="83"/>
        <v>0</v>
      </c>
      <c r="AR121" s="621"/>
      <c r="AS121" s="616"/>
      <c r="AT121" s="621"/>
      <c r="AU121" s="616"/>
      <c r="AV121" s="621"/>
      <c r="AW121" s="616"/>
      <c r="AX121" s="315">
        <f>+AJ121-AR121</f>
        <v>0</v>
      </c>
      <c r="AY121" s="616"/>
      <c r="AZ121" s="315">
        <f>+AL121-AT121</f>
        <v>0</v>
      </c>
      <c r="BA121" s="616"/>
      <c r="BB121" s="315">
        <f>+AN121-AV121</f>
        <v>0</v>
      </c>
      <c r="BC121" s="616"/>
      <c r="BD121" s="616">
        <f t="shared" si="85"/>
        <v>0</v>
      </c>
      <c r="BF121" s="616">
        <f>+N120*$BF$10</f>
        <v>0</v>
      </c>
      <c r="BI121" s="304">
        <f t="shared" si="78"/>
        <v>605</v>
      </c>
    </row>
    <row r="122" spans="1:61" ht="14.5">
      <c r="A122" s="304"/>
      <c r="B122" s="523"/>
      <c r="H122" s="616"/>
      <c r="J122" s="616"/>
      <c r="K122" s="616"/>
      <c r="L122" s="616"/>
      <c r="M122" s="616"/>
      <c r="N122" s="616"/>
      <c r="R122" s="616"/>
      <c r="S122" s="616"/>
      <c r="T122" s="616"/>
      <c r="U122" s="616"/>
      <c r="V122" s="616"/>
      <c r="W122" s="616"/>
      <c r="X122" s="616"/>
      <c r="Y122" s="616"/>
      <c r="Z122" s="316"/>
      <c r="AA122" s="616"/>
      <c r="AB122" s="616"/>
      <c r="AC122" s="616"/>
      <c r="AD122" s="616"/>
      <c r="AE122" s="616"/>
      <c r="AF122" s="616"/>
      <c r="AG122" s="616"/>
      <c r="AH122" s="616"/>
      <c r="AI122" s="616"/>
      <c r="AJ122" s="315"/>
      <c r="AK122" s="616"/>
      <c r="AL122" s="315"/>
      <c r="AM122" s="616"/>
      <c r="AN122" s="315"/>
      <c r="AO122" s="616"/>
      <c r="AP122" s="616"/>
      <c r="AR122" s="616"/>
      <c r="AS122" s="616"/>
      <c r="AT122" s="616"/>
      <c r="AU122" s="616"/>
      <c r="AV122" s="616"/>
      <c r="AW122" s="616"/>
      <c r="AX122" s="315"/>
      <c r="AY122" s="616"/>
      <c r="AZ122" s="315"/>
      <c r="BA122" s="616"/>
      <c r="BB122" s="315"/>
      <c r="BC122" s="616"/>
      <c r="BD122" s="616"/>
      <c r="BI122" s="304"/>
    </row>
    <row r="123" spans="1:61" ht="14.5">
      <c r="A123" s="304"/>
      <c r="B123" s="523"/>
      <c r="H123" s="616"/>
      <c r="J123" s="616"/>
      <c r="K123" s="616"/>
      <c r="L123" s="616"/>
      <c r="M123" s="616"/>
      <c r="N123" s="616"/>
      <c r="R123" s="616"/>
      <c r="S123" s="616"/>
      <c r="T123" s="616"/>
      <c r="U123" s="616"/>
      <c r="V123" s="616"/>
      <c r="W123" s="616"/>
      <c r="X123" s="616"/>
      <c r="Y123" s="616"/>
      <c r="Z123" s="316"/>
      <c r="AA123" s="616"/>
      <c r="AB123" s="616"/>
      <c r="AC123" s="616"/>
      <c r="AD123" s="616"/>
      <c r="AE123" s="616"/>
      <c r="AF123" s="616"/>
      <c r="AG123" s="616"/>
      <c r="AH123" s="616"/>
      <c r="AI123" s="616"/>
      <c r="AJ123" s="315"/>
      <c r="AK123" s="616"/>
      <c r="AL123" s="315"/>
      <c r="AM123" s="616"/>
      <c r="AN123" s="315"/>
      <c r="AO123" s="616"/>
      <c r="AP123" s="616"/>
      <c r="AR123" s="616"/>
      <c r="AS123" s="616"/>
      <c r="AT123" s="616"/>
      <c r="AU123" s="616"/>
      <c r="AV123" s="616"/>
      <c r="AW123" s="616"/>
      <c r="AX123" s="315"/>
      <c r="AY123" s="616"/>
      <c r="AZ123" s="315"/>
      <c r="BA123" s="616"/>
      <c r="BB123" s="315"/>
      <c r="BC123" s="616"/>
      <c r="BD123" s="616"/>
      <c r="BI123" s="304"/>
    </row>
    <row r="124" spans="1:61">
      <c r="A124" s="553" t="s">
        <v>101</v>
      </c>
      <c r="B124" s="759" t="s">
        <v>1543</v>
      </c>
      <c r="C124" s="759"/>
      <c r="D124" s="759"/>
      <c r="E124" s="759"/>
      <c r="F124" s="759"/>
      <c r="G124" s="759"/>
      <c r="H124" s="759"/>
      <c r="I124" s="759"/>
      <c r="J124" s="759"/>
      <c r="K124" s="759"/>
      <c r="L124" s="759"/>
      <c r="Z124" s="605"/>
    </row>
    <row r="125" spans="1:61">
      <c r="A125" s="553" t="s">
        <v>1442</v>
      </c>
      <c r="B125" s="759" t="s">
        <v>1544</v>
      </c>
      <c r="C125" s="759"/>
      <c r="D125" s="759"/>
      <c r="Z125" s="605"/>
    </row>
    <row r="126" spans="1:61">
      <c r="A126" s="553" t="s">
        <v>1545</v>
      </c>
      <c r="B126" s="759" t="s">
        <v>1546</v>
      </c>
      <c r="C126" s="759"/>
      <c r="D126" s="759"/>
      <c r="Z126" s="605"/>
    </row>
    <row r="127" spans="1:61">
      <c r="A127" s="553" t="s">
        <v>1448</v>
      </c>
      <c r="B127" s="759" t="s">
        <v>1547</v>
      </c>
      <c r="C127" s="759"/>
      <c r="D127" s="759"/>
      <c r="Z127" s="605"/>
    </row>
    <row r="128" spans="1:61">
      <c r="A128" s="553" t="s">
        <v>1451</v>
      </c>
      <c r="B128" s="759" t="s">
        <v>1548</v>
      </c>
      <c r="C128" s="759"/>
      <c r="D128" s="759"/>
    </row>
    <row r="129" spans="1:10">
      <c r="A129" s="553" t="s">
        <v>1457</v>
      </c>
      <c r="B129" s="759" t="s">
        <v>1549</v>
      </c>
      <c r="C129" s="759"/>
      <c r="D129" s="759"/>
    </row>
    <row r="130" spans="1:10">
      <c r="A130" s="553" t="s">
        <v>1420</v>
      </c>
      <c r="B130" s="759" t="s">
        <v>1550</v>
      </c>
      <c r="C130" s="759"/>
      <c r="D130" s="759"/>
    </row>
    <row r="131" spans="1:10">
      <c r="A131" s="553" t="s">
        <v>1551</v>
      </c>
      <c r="B131" s="759" t="s">
        <v>1552</v>
      </c>
      <c r="C131" s="759"/>
      <c r="D131" s="759"/>
    </row>
    <row r="132" spans="1:10" ht="12.75" customHeight="1">
      <c r="A132" s="553" t="s">
        <v>1425</v>
      </c>
      <c r="B132" s="759" t="s">
        <v>1553</v>
      </c>
      <c r="C132" s="759"/>
      <c r="D132" s="759"/>
      <c r="E132" s="759"/>
      <c r="F132" s="759"/>
      <c r="G132" s="759"/>
      <c r="H132" s="759"/>
      <c r="I132" s="759"/>
      <c r="J132" s="759"/>
    </row>
    <row r="133" spans="1:10">
      <c r="A133" s="553" t="s">
        <v>1554</v>
      </c>
      <c r="B133" s="554" t="s">
        <v>1555</v>
      </c>
      <c r="C133" s="554"/>
      <c r="D133" s="554"/>
    </row>
  </sheetData>
  <mergeCells count="18">
    <mergeCell ref="J4:N4"/>
    <mergeCell ref="R4:V4"/>
    <mergeCell ref="AJ4:AN4"/>
    <mergeCell ref="AX4:BB4"/>
    <mergeCell ref="AB6:AF6"/>
    <mergeCell ref="AR6:AV6"/>
    <mergeCell ref="R7:X7"/>
    <mergeCell ref="AJ7:AP7"/>
    <mergeCell ref="AX7:BD7"/>
    <mergeCell ref="B124:L124"/>
    <mergeCell ref="B125:D125"/>
    <mergeCell ref="B131:D131"/>
    <mergeCell ref="B132:J132"/>
    <mergeCell ref="B126:D126"/>
    <mergeCell ref="B127:D127"/>
    <mergeCell ref="B128:D128"/>
    <mergeCell ref="B129:D129"/>
    <mergeCell ref="B130:D130"/>
  </mergeCells>
  <phoneticPr fontId="104" type="noConversion"/>
  <printOptions horizontalCentered="1"/>
  <pageMargins left="1" right="1" top="1" bottom="1" header="0.5" footer="0.5"/>
  <pageSetup scale="13" orientation="landscape" r:id="rId1"/>
  <headerFooter>
    <oddHeader>&amp;RDocket No. ER20-2878-000, et al.- Annual Update RY2024
&amp;F</oddHeader>
  </headerFooter>
  <colBreaks count="2" manualBreakCount="2">
    <brk id="25" max="142" man="1"/>
    <brk id="43" max="142" man="1"/>
  </colBreaks>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13C25-E634-42B9-A323-E8E3DCC233EC}">
  <sheetPr>
    <tabColor rgb="FFFF0000"/>
    <pageSetUpPr fitToPage="1"/>
  </sheetPr>
  <dimension ref="A1:BI133"/>
  <sheetViews>
    <sheetView view="pageBreakPreview" zoomScale="10" zoomScaleNormal="55" zoomScaleSheetLayoutView="10" zoomScalePageLayoutView="70" workbookViewId="0">
      <selection activeCell="W98" sqref="W98"/>
    </sheetView>
  </sheetViews>
  <sheetFormatPr defaultColWidth="9.1796875" defaultRowHeight="12.5"/>
  <cols>
    <col min="1" max="1" width="8.54296875" style="604" bestFit="1" customWidth="1"/>
    <col min="2" max="2" width="48" style="604" customWidth="1"/>
    <col min="3" max="3" width="29.81640625" style="604" customWidth="1"/>
    <col min="4" max="4" width="38.81640625" style="604" customWidth="1"/>
    <col min="5" max="5" width="1.7265625" style="604" customWidth="1"/>
    <col min="6" max="6" width="21" style="604" bestFit="1" customWidth="1"/>
    <col min="7" max="7" width="2.26953125" style="604" customWidth="1"/>
    <col min="8" max="8" width="17.54296875" style="604" bestFit="1" customWidth="1"/>
    <col min="9" max="9" width="1.81640625" style="604" customWidth="1"/>
    <col min="10" max="10" width="19.1796875" style="604" customWidth="1"/>
    <col min="11" max="11" width="1.7265625" style="604" customWidth="1"/>
    <col min="12" max="12" width="20.453125" style="604" bestFit="1" customWidth="1"/>
    <col min="13" max="13" width="1.7265625" style="604" customWidth="1"/>
    <col min="14" max="14" width="23.26953125" style="604" customWidth="1"/>
    <col min="15" max="15" width="1.7265625" style="604" customWidth="1"/>
    <col min="16" max="16" width="22.1796875" style="604" customWidth="1"/>
    <col min="17" max="17" width="1.7265625" style="604" customWidth="1"/>
    <col min="18" max="18" width="21" style="604" customWidth="1"/>
    <col min="19" max="19" width="1.7265625" style="604" customWidth="1"/>
    <col min="20" max="20" width="20.453125" style="604" customWidth="1"/>
    <col min="21" max="21" width="1.7265625" style="604" customWidth="1"/>
    <col min="22" max="22" width="21.26953125" style="604" customWidth="1"/>
    <col min="23" max="23" width="1.7265625" style="604" customWidth="1"/>
    <col min="24" max="24" width="22.453125" style="604" customWidth="1"/>
    <col min="25" max="25" width="1.7265625" style="604" customWidth="1"/>
    <col min="26" max="26" width="25.81640625" style="604" bestFit="1" customWidth="1"/>
    <col min="27" max="27" width="1.7265625" style="604" customWidth="1"/>
    <col min="28" max="28" width="17.26953125" style="604" customWidth="1"/>
    <col min="29" max="29" width="1.7265625" style="604" customWidth="1"/>
    <col min="30" max="30" width="17.26953125" style="604" customWidth="1"/>
    <col min="31" max="31" width="1.7265625" style="604" customWidth="1"/>
    <col min="32" max="32" width="17.26953125" style="604" customWidth="1"/>
    <col min="33" max="33" width="1.7265625" style="604" customWidth="1"/>
    <col min="34" max="34" width="21.81640625" style="604" bestFit="1" customWidth="1"/>
    <col min="35" max="35" width="1.7265625" style="604" customWidth="1"/>
    <col min="36" max="36" width="21.81640625" style="604" customWidth="1"/>
    <col min="37" max="37" width="1.7265625" style="604" customWidth="1"/>
    <col min="38" max="38" width="21.81640625" style="604" customWidth="1"/>
    <col min="39" max="39" width="1.7265625" style="604" customWidth="1"/>
    <col min="40" max="40" width="21.81640625" style="604" customWidth="1"/>
    <col min="41" max="41" width="1.7265625" style="604" customWidth="1"/>
    <col min="42" max="42" width="21.81640625" style="604" customWidth="1"/>
    <col min="43" max="43" width="1.7265625" style="604" customWidth="1"/>
    <col min="44" max="44" width="17.26953125" style="604" customWidth="1"/>
    <col min="45" max="45" width="1.7265625" style="604" customWidth="1"/>
    <col min="46" max="46" width="17.26953125" style="604" customWidth="1"/>
    <col min="47" max="47" width="1.7265625" style="604" customWidth="1"/>
    <col min="48" max="48" width="17.26953125" style="604" customWidth="1"/>
    <col min="49" max="49" width="1.7265625" style="604" customWidth="1"/>
    <col min="50" max="50" width="30.1796875" style="604" customWidth="1"/>
    <col min="51" max="51" width="1.7265625" style="604" customWidth="1"/>
    <col min="52" max="52" width="27.81640625" style="604" customWidth="1"/>
    <col min="53" max="53" width="1.7265625" style="604" customWidth="1"/>
    <col min="54" max="54" width="27.81640625" style="604" customWidth="1"/>
    <col min="55" max="55" width="1.7265625" style="604" customWidth="1"/>
    <col min="56" max="56" width="25.26953125" style="604" customWidth="1"/>
    <col min="57" max="57" width="1.7265625" style="604" customWidth="1"/>
    <col min="58" max="58" width="25.54296875" style="554" customWidth="1"/>
    <col min="59" max="59" width="1.7265625" style="604" customWidth="1"/>
    <col min="60" max="60" width="22.7265625" style="604" bestFit="1" customWidth="1"/>
    <col min="61" max="61" width="7.54296875" style="604" bestFit="1" customWidth="1"/>
    <col min="62" max="16384" width="9.1796875" style="604"/>
  </cols>
  <sheetData>
    <row r="1" spans="1:61" ht="14.5">
      <c r="B1" s="54" t="s">
        <v>1387</v>
      </c>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90" t="s">
        <v>384</v>
      </c>
    </row>
    <row r="2" spans="1:61" ht="14.5">
      <c r="A2" s="54"/>
      <c r="B2" s="320" t="s">
        <v>120</v>
      </c>
      <c r="C2" s="320"/>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row>
    <row r="3" spans="1:61" ht="14.5">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641"/>
      <c r="AQ3" s="641"/>
      <c r="AR3" s="641"/>
      <c r="AS3" s="641"/>
      <c r="AT3" s="641"/>
      <c r="AU3" s="641"/>
      <c r="AV3" s="641"/>
      <c r="AW3" s="293"/>
      <c r="AX3" s="293"/>
      <c r="AY3" s="293"/>
      <c r="AZ3" s="293"/>
      <c r="BA3" s="293"/>
      <c r="BB3" s="293"/>
      <c r="BC3" s="293"/>
      <c r="BD3" s="293"/>
      <c r="BE3" s="293"/>
      <c r="BF3" s="293"/>
      <c r="BG3" s="293"/>
      <c r="BH3" s="293"/>
    </row>
    <row r="4" spans="1:61" ht="12" customHeight="1">
      <c r="J4" s="761" t="s">
        <v>1388</v>
      </c>
      <c r="K4" s="761"/>
      <c r="L4" s="761"/>
      <c r="M4" s="761"/>
      <c r="N4" s="761"/>
      <c r="O4" s="605"/>
      <c r="P4" s="606" t="s">
        <v>1389</v>
      </c>
      <c r="R4" s="761" t="s">
        <v>1390</v>
      </c>
      <c r="S4" s="761"/>
      <c r="T4" s="761"/>
      <c r="U4" s="761"/>
      <c r="V4" s="761"/>
      <c r="Z4" s="607" t="s">
        <v>1391</v>
      </c>
      <c r="AH4" s="606" t="s">
        <v>1392</v>
      </c>
      <c r="AI4" s="605"/>
      <c r="AJ4" s="761" t="s">
        <v>1390</v>
      </c>
      <c r="AK4" s="761"/>
      <c r="AL4" s="761"/>
      <c r="AM4" s="761"/>
      <c r="AN4" s="761"/>
      <c r="AO4" s="605"/>
      <c r="AP4" s="605"/>
      <c r="AX4" s="761" t="s">
        <v>1390</v>
      </c>
      <c r="AY4" s="761"/>
      <c r="AZ4" s="761"/>
      <c r="BA4" s="761"/>
      <c r="BB4" s="761"/>
      <c r="BC4" s="605"/>
      <c r="BD4" s="605"/>
      <c r="BF4" s="608"/>
    </row>
    <row r="5" spans="1:61" ht="21" customHeight="1">
      <c r="A5" s="609"/>
      <c r="B5" s="609"/>
      <c r="C5" s="609"/>
      <c r="D5" s="609"/>
      <c r="E5" s="609"/>
      <c r="F5" s="523"/>
      <c r="G5" s="609"/>
      <c r="H5" s="303" t="s">
        <v>1393</v>
      </c>
      <c r="I5" s="609"/>
      <c r="J5" s="303" t="s">
        <v>122</v>
      </c>
      <c r="K5" s="303"/>
      <c r="L5" s="303" t="s">
        <v>123</v>
      </c>
      <c r="M5" s="303"/>
      <c r="N5" s="303" t="s">
        <v>124</v>
      </c>
      <c r="O5" s="303"/>
      <c r="P5" s="303" t="s">
        <v>125</v>
      </c>
      <c r="Q5" s="303"/>
      <c r="R5" s="303" t="s">
        <v>490</v>
      </c>
      <c r="S5" s="303"/>
      <c r="T5" s="303" t="s">
        <v>491</v>
      </c>
      <c r="U5" s="303"/>
      <c r="V5" s="303" t="s">
        <v>492</v>
      </c>
      <c r="W5" s="303"/>
      <c r="X5" s="303" t="s">
        <v>493</v>
      </c>
      <c r="Y5" s="303"/>
      <c r="Z5" s="303" t="s">
        <v>494</v>
      </c>
      <c r="AA5" s="304"/>
      <c r="AB5" s="304" t="s">
        <v>768</v>
      </c>
      <c r="AC5" s="304"/>
      <c r="AD5" s="304" t="s">
        <v>769</v>
      </c>
      <c r="AE5" s="304"/>
      <c r="AF5" s="304" t="s">
        <v>770</v>
      </c>
      <c r="AG5" s="304"/>
      <c r="AH5" s="524" t="s">
        <v>771</v>
      </c>
      <c r="AI5" s="304"/>
      <c r="AJ5" s="304" t="s">
        <v>772</v>
      </c>
      <c r="AK5" s="304"/>
      <c r="AL5" s="304" t="s">
        <v>773</v>
      </c>
      <c r="AM5" s="304"/>
      <c r="AN5" s="304" t="s">
        <v>774</v>
      </c>
      <c r="AO5" s="304"/>
      <c r="AP5" s="304" t="s">
        <v>775</v>
      </c>
      <c r="AQ5" s="304"/>
      <c r="AR5" s="304" t="s">
        <v>776</v>
      </c>
      <c r="AS5" s="304"/>
      <c r="AT5" s="304" t="s">
        <v>777</v>
      </c>
      <c r="AU5" s="304"/>
      <c r="AV5" s="304" t="s">
        <v>778</v>
      </c>
      <c r="AW5" s="304"/>
      <c r="AX5" s="304" t="s">
        <v>779</v>
      </c>
      <c r="AY5" s="304"/>
      <c r="AZ5" s="304" t="s">
        <v>780</v>
      </c>
      <c r="BA5" s="304"/>
      <c r="BB5" s="304" t="s">
        <v>781</v>
      </c>
      <c r="BC5" s="304"/>
      <c r="BD5" s="304" t="s">
        <v>782</v>
      </c>
      <c r="BE5" s="304"/>
      <c r="BF5" s="303" t="s">
        <v>783</v>
      </c>
      <c r="BG5" s="304"/>
      <c r="BH5" s="609"/>
      <c r="BI5" s="609"/>
    </row>
    <row r="6" spans="1:61" ht="51.75" customHeight="1">
      <c r="A6" s="609"/>
      <c r="B6" s="609"/>
      <c r="C6" s="609"/>
      <c r="D6" s="609"/>
      <c r="E6" s="609"/>
      <c r="F6" s="523"/>
      <c r="G6" s="609"/>
      <c r="H6" s="304"/>
      <c r="I6" s="609"/>
      <c r="J6" s="304"/>
      <c r="K6" s="304"/>
      <c r="L6" s="304"/>
      <c r="M6" s="304"/>
      <c r="N6" s="304" t="s">
        <v>1394</v>
      </c>
      <c r="O6" s="304"/>
      <c r="P6" s="304"/>
      <c r="Q6" s="304"/>
      <c r="R6" s="303"/>
      <c r="S6" s="303"/>
      <c r="T6" s="303"/>
      <c r="U6" s="303"/>
      <c r="V6" s="303"/>
      <c r="W6" s="303"/>
      <c r="X6" s="303" t="s">
        <v>1395</v>
      </c>
      <c r="Y6" s="304"/>
      <c r="Z6" s="304"/>
      <c r="AA6" s="304"/>
      <c r="AB6" s="762" t="s">
        <v>1396</v>
      </c>
      <c r="AC6" s="762"/>
      <c r="AD6" s="762"/>
      <c r="AE6" s="762"/>
      <c r="AF6" s="762"/>
      <c r="AG6" s="304"/>
      <c r="AH6" s="304"/>
      <c r="AI6" s="304"/>
      <c r="AJ6" s="304" t="s">
        <v>1397</v>
      </c>
      <c r="AK6" s="304"/>
      <c r="AL6" s="304" t="s">
        <v>1398</v>
      </c>
      <c r="AM6" s="304"/>
      <c r="AN6" s="304" t="s">
        <v>1399</v>
      </c>
      <c r="AO6" s="304"/>
      <c r="AP6" s="304" t="s">
        <v>1400</v>
      </c>
      <c r="AQ6" s="304"/>
      <c r="AR6" s="762" t="s">
        <v>1401</v>
      </c>
      <c r="AS6" s="762"/>
      <c r="AT6" s="762"/>
      <c r="AU6" s="762"/>
      <c r="AV6" s="762"/>
      <c r="AW6" s="304"/>
      <c r="AX6" s="304" t="s">
        <v>1402</v>
      </c>
      <c r="AY6" s="304"/>
      <c r="AZ6" s="304" t="s">
        <v>1403</v>
      </c>
      <c r="BA6" s="304"/>
      <c r="BB6" s="304" t="s">
        <v>1404</v>
      </c>
      <c r="BC6" s="304"/>
      <c r="BD6" s="304" t="s">
        <v>1405</v>
      </c>
      <c r="BE6" s="304"/>
      <c r="BF6" s="525" t="s">
        <v>1406</v>
      </c>
      <c r="BG6" s="304"/>
      <c r="BH6" s="609"/>
      <c r="BI6" s="609"/>
    </row>
    <row r="7" spans="1:61" ht="31.5" customHeight="1">
      <c r="B7" s="305"/>
      <c r="C7" s="305"/>
      <c r="D7" s="305"/>
      <c r="E7" s="305"/>
      <c r="F7" s="307" t="s">
        <v>1407</v>
      </c>
      <c r="G7" s="305"/>
      <c r="H7" s="306" t="s">
        <v>1408</v>
      </c>
      <c r="I7" s="305"/>
      <c r="J7" s="306" t="s">
        <v>1409</v>
      </c>
      <c r="K7" s="305"/>
      <c r="L7" s="306" t="s">
        <v>1410</v>
      </c>
      <c r="M7" s="305"/>
      <c r="N7" s="525" t="s">
        <v>1411</v>
      </c>
      <c r="O7" s="307"/>
      <c r="P7" s="307" t="s">
        <v>684</v>
      </c>
      <c r="Q7" s="305"/>
      <c r="R7" s="760" t="s">
        <v>1412</v>
      </c>
      <c r="S7" s="760"/>
      <c r="T7" s="760"/>
      <c r="U7" s="760"/>
      <c r="V7" s="760"/>
      <c r="W7" s="760"/>
      <c r="X7" s="760"/>
      <c r="Y7" s="306"/>
      <c r="Z7" s="306"/>
      <c r="AA7" s="306"/>
      <c r="AB7" s="306" t="s">
        <v>1413</v>
      </c>
      <c r="AC7" s="306"/>
      <c r="AD7" s="306" t="s">
        <v>1413</v>
      </c>
      <c r="AE7" s="306"/>
      <c r="AF7" s="306" t="s">
        <v>1413</v>
      </c>
      <c r="AG7" s="306"/>
      <c r="AH7" s="306" t="s">
        <v>684</v>
      </c>
      <c r="AI7" s="306"/>
      <c r="AJ7" s="760" t="s">
        <v>1414</v>
      </c>
      <c r="AK7" s="760"/>
      <c r="AL7" s="760"/>
      <c r="AM7" s="760"/>
      <c r="AN7" s="760"/>
      <c r="AO7" s="760"/>
      <c r="AP7" s="760"/>
      <c r="AQ7" s="306"/>
      <c r="AR7" s="306" t="s">
        <v>1413</v>
      </c>
      <c r="AS7" s="306"/>
      <c r="AT7" s="306" t="s">
        <v>1413</v>
      </c>
      <c r="AU7" s="306"/>
      <c r="AV7" s="306" t="s">
        <v>1413</v>
      </c>
      <c r="AW7" s="306"/>
      <c r="AX7" s="760" t="s">
        <v>1415</v>
      </c>
      <c r="AY7" s="760"/>
      <c r="AZ7" s="760"/>
      <c r="BA7" s="760"/>
      <c r="BB7" s="760"/>
      <c r="BC7" s="760"/>
      <c r="BD7" s="760"/>
      <c r="BE7" s="306"/>
      <c r="BF7" s="525" t="s">
        <v>1411</v>
      </c>
      <c r="BG7" s="306"/>
      <c r="BH7" s="305"/>
    </row>
    <row r="8" spans="1:61" ht="12.75" customHeight="1">
      <c r="B8" s="305"/>
      <c r="C8" s="305"/>
      <c r="D8" s="305"/>
      <c r="E8" s="305"/>
      <c r="F8" s="307" t="s">
        <v>1416</v>
      </c>
      <c r="G8" s="305"/>
      <c r="H8" s="306" t="s">
        <v>1417</v>
      </c>
      <c r="I8" s="305"/>
      <c r="J8" s="306" t="s">
        <v>1418</v>
      </c>
      <c r="K8" s="305"/>
      <c r="L8" s="306" t="s">
        <v>1419</v>
      </c>
      <c r="M8" s="305"/>
      <c r="N8" s="307" t="s">
        <v>1420</v>
      </c>
      <c r="O8" s="307"/>
      <c r="P8" s="307" t="s">
        <v>1416</v>
      </c>
      <c r="Q8" s="305"/>
      <c r="R8" s="306" t="s">
        <v>1421</v>
      </c>
      <c r="S8" s="306"/>
      <c r="T8" s="306" t="s">
        <v>1421</v>
      </c>
      <c r="U8" s="306"/>
      <c r="V8" s="306" t="s">
        <v>1421</v>
      </c>
      <c r="W8" s="306"/>
      <c r="X8" s="306"/>
      <c r="Y8" s="306"/>
      <c r="Z8" s="306" t="s">
        <v>1413</v>
      </c>
      <c r="AA8" s="306"/>
      <c r="AB8" s="306" t="s">
        <v>1422</v>
      </c>
      <c r="AC8" s="306"/>
      <c r="AD8" s="306" t="s">
        <v>1422</v>
      </c>
      <c r="AE8" s="306"/>
      <c r="AF8" s="306" t="s">
        <v>1422</v>
      </c>
      <c r="AG8" s="306"/>
      <c r="AH8" s="306" t="s">
        <v>1423</v>
      </c>
      <c r="AI8" s="306"/>
      <c r="AJ8" s="306" t="s">
        <v>1424</v>
      </c>
      <c r="AK8" s="306"/>
      <c r="AL8" s="306" t="s">
        <v>1424</v>
      </c>
      <c r="AM8" s="306"/>
      <c r="AN8" s="306" t="s">
        <v>1424</v>
      </c>
      <c r="AO8" s="306"/>
      <c r="AP8" s="306"/>
      <c r="AQ8" s="306"/>
      <c r="AR8" s="306" t="s">
        <v>1422</v>
      </c>
      <c r="AS8" s="306"/>
      <c r="AT8" s="306" t="s">
        <v>1422</v>
      </c>
      <c r="AU8" s="306"/>
      <c r="AV8" s="306" t="s">
        <v>1422</v>
      </c>
      <c r="AW8" s="306"/>
      <c r="AX8" s="306" t="s">
        <v>1424</v>
      </c>
      <c r="AY8" s="306"/>
      <c r="AZ8" s="306" t="s">
        <v>1424</v>
      </c>
      <c r="BA8" s="306"/>
      <c r="BB8" s="306" t="s">
        <v>1424</v>
      </c>
      <c r="BC8" s="306"/>
      <c r="BD8" s="306"/>
      <c r="BE8" s="306"/>
      <c r="BF8" s="608" t="s">
        <v>1425</v>
      </c>
      <c r="BG8" s="306"/>
      <c r="BH8" s="305"/>
    </row>
    <row r="9" spans="1:61" ht="14.5">
      <c r="A9" s="304"/>
      <c r="B9" s="609"/>
      <c r="C9" s="609"/>
      <c r="D9" s="609"/>
      <c r="E9" s="609"/>
      <c r="F9" s="307" t="s">
        <v>1426</v>
      </c>
      <c r="G9" s="609"/>
      <c r="H9" s="306" t="s">
        <v>1427</v>
      </c>
      <c r="I9" s="609"/>
      <c r="J9" s="610" t="s">
        <v>1428</v>
      </c>
      <c r="K9" s="609"/>
      <c r="L9" s="610" t="s">
        <v>1429</v>
      </c>
      <c r="M9" s="609"/>
      <c r="N9" s="523" t="s">
        <v>738</v>
      </c>
      <c r="O9" s="523"/>
      <c r="P9" s="523" t="s">
        <v>1426</v>
      </c>
      <c r="Q9" s="609"/>
      <c r="R9" s="306" t="s">
        <v>1430</v>
      </c>
      <c r="S9" s="306"/>
      <c r="T9" s="304" t="s">
        <v>1431</v>
      </c>
      <c r="U9" s="304"/>
      <c r="V9" s="308" t="s">
        <v>1431</v>
      </c>
      <c r="W9" s="308"/>
      <c r="X9" s="308" t="s">
        <v>1421</v>
      </c>
      <c r="Y9" s="308"/>
      <c r="Z9" s="308" t="s">
        <v>1432</v>
      </c>
      <c r="AA9" s="308"/>
      <c r="AB9" s="306" t="s">
        <v>1430</v>
      </c>
      <c r="AC9" s="306"/>
      <c r="AD9" s="304" t="s">
        <v>1431</v>
      </c>
      <c r="AE9" s="304"/>
      <c r="AF9" s="308" t="s">
        <v>1431</v>
      </c>
      <c r="AG9" s="308"/>
      <c r="AH9" s="308" t="s">
        <v>1433</v>
      </c>
      <c r="AI9" s="308"/>
      <c r="AJ9" s="306" t="s">
        <v>1430</v>
      </c>
      <c r="AK9" s="306"/>
      <c r="AL9" s="304" t="s">
        <v>1431</v>
      </c>
      <c r="AM9" s="304"/>
      <c r="AN9" s="308" t="s">
        <v>1431</v>
      </c>
      <c r="AO9" s="308"/>
      <c r="AP9" s="308" t="s">
        <v>1424</v>
      </c>
      <c r="AQ9" s="308"/>
      <c r="AR9" s="306" t="s">
        <v>1430</v>
      </c>
      <c r="AS9" s="306"/>
      <c r="AT9" s="304" t="s">
        <v>1431</v>
      </c>
      <c r="AU9" s="304"/>
      <c r="AV9" s="308" t="s">
        <v>1431</v>
      </c>
      <c r="AW9" s="308"/>
      <c r="AX9" s="306" t="s">
        <v>1430</v>
      </c>
      <c r="AY9" s="306"/>
      <c r="AZ9" s="304" t="s">
        <v>1431</v>
      </c>
      <c r="BA9" s="304"/>
      <c r="BB9" s="308" t="s">
        <v>1431</v>
      </c>
      <c r="BC9" s="308"/>
      <c r="BD9" s="308" t="s">
        <v>1424</v>
      </c>
      <c r="BE9" s="308"/>
      <c r="BF9" s="611" t="s">
        <v>1434</v>
      </c>
      <c r="BG9" s="308"/>
      <c r="BH9" s="304"/>
      <c r="BI9" s="304"/>
    </row>
    <row r="10" spans="1:61" ht="15" thickBot="1">
      <c r="A10" s="201" t="s">
        <v>90</v>
      </c>
      <c r="B10" s="612" t="s">
        <v>1175</v>
      </c>
      <c r="C10" s="612"/>
      <c r="D10" s="612"/>
      <c r="E10" s="612"/>
      <c r="F10" s="312" t="s">
        <v>1156</v>
      </c>
      <c r="G10" s="612"/>
      <c r="H10" s="613">
        <v>43100</v>
      </c>
      <c r="I10" s="612"/>
      <c r="J10" s="613">
        <v>43100</v>
      </c>
      <c r="K10" s="612"/>
      <c r="L10" s="613">
        <v>43100</v>
      </c>
      <c r="M10" s="612"/>
      <c r="N10" s="613">
        <v>43100</v>
      </c>
      <c r="O10" s="613"/>
      <c r="P10" s="613" t="s">
        <v>1435</v>
      </c>
      <c r="Q10" s="612"/>
      <c r="R10" s="309" t="s">
        <v>1436</v>
      </c>
      <c r="S10" s="309"/>
      <c r="T10" s="310" t="s">
        <v>1436</v>
      </c>
      <c r="U10" s="310"/>
      <c r="V10" s="311" t="s">
        <v>1437</v>
      </c>
      <c r="W10" s="311"/>
      <c r="X10" s="311" t="s">
        <v>1438</v>
      </c>
      <c r="Y10" s="311"/>
      <c r="Z10" s="311" t="s">
        <v>1439</v>
      </c>
      <c r="AA10" s="311"/>
      <c r="AB10" s="309" t="s">
        <v>1436</v>
      </c>
      <c r="AC10" s="309"/>
      <c r="AD10" s="310" t="s">
        <v>1436</v>
      </c>
      <c r="AE10" s="310"/>
      <c r="AF10" s="311" t="s">
        <v>1437</v>
      </c>
      <c r="AG10" s="311"/>
      <c r="AH10" s="311" t="s">
        <v>1440</v>
      </c>
      <c r="AI10" s="311"/>
      <c r="AJ10" s="309" t="s">
        <v>1436</v>
      </c>
      <c r="AK10" s="309"/>
      <c r="AL10" s="310" t="s">
        <v>1436</v>
      </c>
      <c r="AM10" s="310"/>
      <c r="AN10" s="311" t="s">
        <v>1437</v>
      </c>
      <c r="AO10" s="311"/>
      <c r="AP10" s="311" t="s">
        <v>1438</v>
      </c>
      <c r="AQ10" s="311"/>
      <c r="AR10" s="309" t="s">
        <v>1436</v>
      </c>
      <c r="AS10" s="309"/>
      <c r="AT10" s="310" t="s">
        <v>1436</v>
      </c>
      <c r="AU10" s="310"/>
      <c r="AV10" s="311" t="s">
        <v>1437</v>
      </c>
      <c r="AW10" s="311"/>
      <c r="AX10" s="309" t="s">
        <v>1436</v>
      </c>
      <c r="AY10" s="309"/>
      <c r="AZ10" s="310" t="s">
        <v>1436</v>
      </c>
      <c r="BA10" s="310"/>
      <c r="BB10" s="311" t="s">
        <v>1437</v>
      </c>
      <c r="BC10" s="311"/>
      <c r="BD10" s="311" t="s">
        <v>1438</v>
      </c>
      <c r="BE10" s="311"/>
      <c r="BF10" s="614">
        <v>1.3885726029071155</v>
      </c>
      <c r="BG10" s="311"/>
      <c r="BH10" s="312" t="s">
        <v>631</v>
      </c>
      <c r="BI10" s="615" t="s">
        <v>90</v>
      </c>
    </row>
    <row r="11" spans="1:61" ht="14.5">
      <c r="A11" s="304"/>
      <c r="B11" s="609"/>
      <c r="C11" s="609"/>
      <c r="D11" s="609"/>
      <c r="E11" s="609"/>
      <c r="F11" s="523"/>
      <c r="G11" s="609"/>
      <c r="H11" s="609"/>
      <c r="I11" s="609"/>
      <c r="J11" s="609"/>
      <c r="K11" s="609"/>
      <c r="L11" s="609"/>
      <c r="M11" s="609"/>
      <c r="N11" s="609"/>
      <c r="O11" s="609"/>
      <c r="P11" s="609"/>
      <c r="Q11" s="609"/>
      <c r="R11" s="306"/>
      <c r="S11" s="306"/>
      <c r="T11" s="313"/>
      <c r="U11" s="313"/>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G11" s="314"/>
      <c r="BH11" s="304"/>
      <c r="BI11" s="304"/>
    </row>
    <row r="12" spans="1:61" ht="14.5">
      <c r="A12" s="304">
        <v>100</v>
      </c>
      <c r="B12" s="609" t="s">
        <v>1441</v>
      </c>
      <c r="C12" s="609"/>
      <c r="D12" s="609" t="s">
        <v>1442</v>
      </c>
      <c r="E12" s="609"/>
      <c r="F12" s="523" t="s">
        <v>1443</v>
      </c>
      <c r="G12" s="609"/>
      <c r="H12" s="315">
        <v>-10466951654</v>
      </c>
      <c r="I12" s="609"/>
      <c r="J12" s="315">
        <v>-3663433079</v>
      </c>
      <c r="K12" s="609"/>
      <c r="L12" s="315">
        <v>-2361016151</v>
      </c>
      <c r="M12" s="609"/>
      <c r="N12" s="315">
        <v>-1302433382</v>
      </c>
      <c r="O12" s="609"/>
      <c r="P12" s="523" t="s">
        <v>1444</v>
      </c>
      <c r="Q12" s="609"/>
      <c r="R12" s="315">
        <v>-1302433382</v>
      </c>
      <c r="S12" s="315"/>
      <c r="T12" s="315">
        <v>0</v>
      </c>
      <c r="U12" s="315"/>
      <c r="V12" s="315">
        <v>0</v>
      </c>
      <c r="W12" s="315"/>
      <c r="X12" s="315">
        <v>-1302433382</v>
      </c>
      <c r="Y12" s="315"/>
      <c r="Z12" s="316" t="s">
        <v>1445</v>
      </c>
      <c r="AA12" s="315"/>
      <c r="AB12" s="315">
        <v>-96271801.571397573</v>
      </c>
      <c r="AC12" s="315"/>
      <c r="AD12" s="315">
        <v>0</v>
      </c>
      <c r="AE12" s="315"/>
      <c r="AF12" s="315">
        <v>0</v>
      </c>
      <c r="AG12" s="315"/>
      <c r="AH12" s="523" t="s">
        <v>1446</v>
      </c>
      <c r="AI12" s="315"/>
      <c r="AJ12" s="315">
        <v>-1206161579.9655685</v>
      </c>
      <c r="AK12" s="315"/>
      <c r="AL12" s="315">
        <v>0</v>
      </c>
      <c r="AM12" s="315"/>
      <c r="AN12" s="315">
        <v>0</v>
      </c>
      <c r="AO12" s="315"/>
      <c r="AP12" s="315">
        <v>-1206161579.9655685</v>
      </c>
      <c r="AQ12" s="315"/>
      <c r="AR12" s="315">
        <v>-36026105.702906027</v>
      </c>
      <c r="AS12" s="315"/>
      <c r="AT12" s="315">
        <v>0</v>
      </c>
      <c r="AU12" s="315"/>
      <c r="AV12" s="315">
        <v>0</v>
      </c>
      <c r="AW12" s="315"/>
      <c r="AX12" s="315">
        <v>-1170135474.2626624</v>
      </c>
      <c r="AY12" s="315"/>
      <c r="AZ12" s="315">
        <v>0</v>
      </c>
      <c r="BA12" s="315"/>
      <c r="BB12" s="315">
        <v>0</v>
      </c>
      <c r="BC12" s="315"/>
      <c r="BD12" s="315">
        <v>-1170135474.2626624</v>
      </c>
      <c r="BE12" s="315"/>
      <c r="BF12" s="315">
        <v>-1624818061</v>
      </c>
      <c r="BG12" s="315"/>
      <c r="BH12" s="304"/>
      <c r="BI12" s="304">
        <v>100</v>
      </c>
    </row>
    <row r="13" spans="1:61" ht="14.5">
      <c r="A13" s="304">
        <v>101</v>
      </c>
      <c r="B13" s="609" t="s">
        <v>1447</v>
      </c>
      <c r="C13" s="609"/>
      <c r="D13" s="609" t="s">
        <v>1448</v>
      </c>
      <c r="E13" s="609"/>
      <c r="F13" s="523" t="s">
        <v>1443</v>
      </c>
      <c r="G13" s="609"/>
      <c r="H13" s="315">
        <v>-6537338076</v>
      </c>
      <c r="I13" s="609"/>
      <c r="J13" s="315">
        <v>-967358790</v>
      </c>
      <c r="K13" s="609"/>
      <c r="L13" s="315">
        <v>-577410203</v>
      </c>
      <c r="M13" s="609"/>
      <c r="N13" s="315">
        <v>-389961967</v>
      </c>
      <c r="O13" s="609"/>
      <c r="P13" s="523" t="s">
        <v>1444</v>
      </c>
      <c r="Q13" s="609"/>
      <c r="R13" s="315">
        <v>143301951</v>
      </c>
      <c r="S13" s="315"/>
      <c r="T13" s="315">
        <v>-533263918</v>
      </c>
      <c r="U13" s="315"/>
      <c r="V13" s="315">
        <v>0</v>
      </c>
      <c r="W13" s="315"/>
      <c r="X13" s="315">
        <v>-389961967</v>
      </c>
      <c r="Y13" s="315"/>
      <c r="Z13" s="316" t="s">
        <v>1449</v>
      </c>
      <c r="AA13" s="315"/>
      <c r="AB13" s="315">
        <v>31542348.201684125</v>
      </c>
      <c r="AC13" s="315"/>
      <c r="AD13" s="315">
        <v>-39417200.751207225</v>
      </c>
      <c r="AE13" s="315"/>
      <c r="AF13" s="315">
        <v>0</v>
      </c>
      <c r="AG13" s="315"/>
      <c r="AH13" s="523" t="s">
        <v>1446</v>
      </c>
      <c r="AI13" s="315"/>
      <c r="AJ13" s="315">
        <v>111759602.79695471</v>
      </c>
      <c r="AK13" s="315"/>
      <c r="AL13" s="315">
        <v>-493846716.89575255</v>
      </c>
      <c r="AM13" s="315"/>
      <c r="AN13" s="315">
        <v>0</v>
      </c>
      <c r="AO13" s="315"/>
      <c r="AP13" s="315">
        <v>-382087114.09879786</v>
      </c>
      <c r="AQ13" s="315"/>
      <c r="AR13" s="315">
        <v>13877289.495001504</v>
      </c>
      <c r="AS13" s="315"/>
      <c r="AT13" s="315">
        <v>-14750406.853601253</v>
      </c>
      <c r="AU13" s="315"/>
      <c r="AV13" s="315">
        <v>0</v>
      </c>
      <c r="AW13" s="315"/>
      <c r="AX13" s="315">
        <v>97882313.301953197</v>
      </c>
      <c r="AY13" s="315"/>
      <c r="AZ13" s="315">
        <v>-479096310.04215127</v>
      </c>
      <c r="BA13" s="315"/>
      <c r="BB13" s="315">
        <v>0</v>
      </c>
      <c r="BC13" s="315"/>
      <c r="BD13" s="315">
        <v>-381213996.74019808</v>
      </c>
      <c r="BE13" s="315"/>
      <c r="BF13" s="315">
        <v>-529343312</v>
      </c>
      <c r="BG13" s="315"/>
      <c r="BH13" s="304"/>
      <c r="BI13" s="304">
        <v>101</v>
      </c>
    </row>
    <row r="14" spans="1:61" ht="14.5">
      <c r="A14" s="304">
        <v>102</v>
      </c>
      <c r="B14" s="609" t="s">
        <v>1450</v>
      </c>
      <c r="C14" s="609"/>
      <c r="D14" s="609" t="s">
        <v>1451</v>
      </c>
      <c r="E14" s="609"/>
      <c r="F14" s="523" t="s">
        <v>1452</v>
      </c>
      <c r="G14" s="609"/>
      <c r="H14" s="315">
        <v>93137648</v>
      </c>
      <c r="I14" s="609"/>
      <c r="J14" s="315">
        <v>19293379</v>
      </c>
      <c r="K14" s="609"/>
      <c r="L14" s="315">
        <v>11576713</v>
      </c>
      <c r="M14" s="609"/>
      <c r="N14" s="315">
        <v>7716800</v>
      </c>
      <c r="O14" s="609"/>
      <c r="P14" s="523" t="s">
        <v>1453</v>
      </c>
      <c r="Q14" s="609"/>
      <c r="R14" s="315">
        <v>0</v>
      </c>
      <c r="S14" s="315"/>
      <c r="T14" s="315">
        <v>0</v>
      </c>
      <c r="U14" s="315"/>
      <c r="V14" s="315">
        <v>7716800</v>
      </c>
      <c r="W14" s="315"/>
      <c r="X14" s="315">
        <v>7716800</v>
      </c>
      <c r="Y14" s="315"/>
      <c r="Z14" s="316" t="s">
        <v>1449</v>
      </c>
      <c r="AA14" s="315"/>
      <c r="AB14" s="315">
        <v>0</v>
      </c>
      <c r="AC14" s="315"/>
      <c r="AD14" s="315">
        <v>0</v>
      </c>
      <c r="AE14" s="315"/>
      <c r="AF14" s="315">
        <v>6015457.8759244867</v>
      </c>
      <c r="AG14" s="315"/>
      <c r="AH14" s="523" t="s">
        <v>1454</v>
      </c>
      <c r="AI14" s="315"/>
      <c r="AJ14" s="315">
        <v>0</v>
      </c>
      <c r="AK14" s="315"/>
      <c r="AL14" s="315">
        <v>0</v>
      </c>
      <c r="AM14" s="315"/>
      <c r="AN14" s="315">
        <v>1701342.2679340818</v>
      </c>
      <c r="AO14" s="315"/>
      <c r="AP14" s="315">
        <v>1701342.2679340818</v>
      </c>
      <c r="AQ14" s="315"/>
      <c r="AR14" s="315">
        <v>0</v>
      </c>
      <c r="AS14" s="315"/>
      <c r="AT14" s="315">
        <v>0</v>
      </c>
      <c r="AU14" s="315"/>
      <c r="AV14" s="315">
        <v>50816.356116388662</v>
      </c>
      <c r="AW14" s="315"/>
      <c r="AX14" s="315">
        <v>0</v>
      </c>
      <c r="AY14" s="315"/>
      <c r="AZ14" s="315">
        <v>0</v>
      </c>
      <c r="BA14" s="315"/>
      <c r="BB14" s="315">
        <v>1650525.9118176927</v>
      </c>
      <c r="BC14" s="315"/>
      <c r="BD14" s="315">
        <v>1650525.9118176927</v>
      </c>
      <c r="BE14" s="315"/>
      <c r="BF14" s="315">
        <v>2291875</v>
      </c>
      <c r="BG14" s="315"/>
      <c r="BH14" s="304"/>
      <c r="BI14" s="304">
        <v>102</v>
      </c>
    </row>
    <row r="15" spans="1:61" ht="14.5">
      <c r="A15" s="304">
        <v>103</v>
      </c>
      <c r="B15" s="609" t="s">
        <v>1455</v>
      </c>
      <c r="C15" s="609" t="s">
        <v>1456</v>
      </c>
      <c r="D15" s="609" t="s">
        <v>1457</v>
      </c>
      <c r="E15" s="609"/>
      <c r="F15" s="523" t="s">
        <v>1458</v>
      </c>
      <c r="G15" s="609"/>
      <c r="H15" s="317">
        <v>-83282905</v>
      </c>
      <c r="I15" s="609"/>
      <c r="J15" s="317">
        <v>434750466</v>
      </c>
      <c r="K15" s="609"/>
      <c r="L15" s="317">
        <v>260850280</v>
      </c>
      <c r="M15" s="609"/>
      <c r="N15" s="317">
        <v>173900186</v>
      </c>
      <c r="O15" s="609"/>
      <c r="P15" s="523" t="s">
        <v>1453</v>
      </c>
      <c r="Q15" s="609"/>
      <c r="R15" s="317">
        <v>173900186</v>
      </c>
      <c r="S15" s="317"/>
      <c r="T15" s="317">
        <v>0</v>
      </c>
      <c r="U15" s="317"/>
      <c r="V15" s="317">
        <v>0</v>
      </c>
      <c r="W15" s="317"/>
      <c r="X15" s="317">
        <v>173900186</v>
      </c>
      <c r="Y15" s="315"/>
      <c r="Z15" s="316" t="s">
        <v>1445</v>
      </c>
      <c r="AA15" s="315"/>
      <c r="AB15" s="317">
        <v>12326933.935202882</v>
      </c>
      <c r="AC15" s="317"/>
      <c r="AD15" s="317">
        <v>0</v>
      </c>
      <c r="AE15" s="317"/>
      <c r="AF15" s="317">
        <v>0</v>
      </c>
      <c r="AG15" s="315"/>
      <c r="AH15" s="523" t="s">
        <v>1454</v>
      </c>
      <c r="AI15" s="315"/>
      <c r="AJ15" s="317">
        <v>161573252.51337314</v>
      </c>
      <c r="AK15" s="317"/>
      <c r="AL15" s="317">
        <v>0</v>
      </c>
      <c r="AM15" s="317"/>
      <c r="AN15" s="317">
        <v>0</v>
      </c>
      <c r="AO15" s="317"/>
      <c r="AP15" s="317">
        <v>161573252.51337314</v>
      </c>
      <c r="AQ15" s="315"/>
      <c r="AR15" s="317">
        <v>3875785.7180344383</v>
      </c>
      <c r="AS15" s="317"/>
      <c r="AT15" s="317">
        <v>0</v>
      </c>
      <c r="AU15" s="317"/>
      <c r="AV15" s="317">
        <v>0</v>
      </c>
      <c r="AW15" s="315"/>
      <c r="AX15" s="317">
        <v>157697466.79533869</v>
      </c>
      <c r="AY15" s="317"/>
      <c r="AZ15" s="317">
        <v>0</v>
      </c>
      <c r="BA15" s="317"/>
      <c r="BB15" s="317">
        <v>0</v>
      </c>
      <c r="BC15" s="317"/>
      <c r="BD15" s="317">
        <v>157697466.79533869</v>
      </c>
      <c r="BE15" s="315"/>
      <c r="BF15" s="317">
        <v>218974382</v>
      </c>
      <c r="BG15" s="315"/>
      <c r="BH15" s="304"/>
      <c r="BI15" s="304">
        <v>103</v>
      </c>
    </row>
    <row r="16" spans="1:61" ht="14.5">
      <c r="A16" s="304">
        <v>104</v>
      </c>
      <c r="B16" s="609" t="s">
        <v>534</v>
      </c>
      <c r="C16" s="609"/>
      <c r="D16" s="304"/>
      <c r="E16" s="304"/>
      <c r="F16" s="304"/>
      <c r="G16" s="304"/>
      <c r="H16" s="616">
        <v>-16994434987</v>
      </c>
      <c r="I16" s="304"/>
      <c r="J16" s="616">
        <v>-4176748024</v>
      </c>
      <c r="K16" s="304"/>
      <c r="L16" s="616">
        <v>-2665999361</v>
      </c>
      <c r="M16" s="304"/>
      <c r="N16" s="616">
        <v>-1510778363</v>
      </c>
      <c r="O16" s="304"/>
      <c r="P16" s="523"/>
      <c r="Q16" s="304"/>
      <c r="R16" s="616">
        <v>-985231245</v>
      </c>
      <c r="S16" s="616"/>
      <c r="T16" s="616">
        <v>-533263918</v>
      </c>
      <c r="U16" s="616"/>
      <c r="V16" s="616">
        <v>7716800</v>
      </c>
      <c r="W16" s="616"/>
      <c r="X16" s="616">
        <v>-1510778363</v>
      </c>
      <c r="Y16" s="616"/>
      <c r="Z16" s="616"/>
      <c r="AA16" s="616"/>
      <c r="AB16" s="616">
        <v>-52402519.434510566</v>
      </c>
      <c r="AC16" s="616"/>
      <c r="AD16" s="616">
        <v>-39417200.751207225</v>
      </c>
      <c r="AE16" s="616"/>
      <c r="AF16" s="616">
        <v>6015457.8759244867</v>
      </c>
      <c r="AG16" s="616"/>
      <c r="AH16" s="304"/>
      <c r="AI16" s="616"/>
      <c r="AJ16" s="616">
        <v>-932828724.65524077</v>
      </c>
      <c r="AK16" s="616"/>
      <c r="AL16" s="616">
        <v>-493846716.89575255</v>
      </c>
      <c r="AM16" s="616"/>
      <c r="AN16" s="616">
        <v>1701342.2679340818</v>
      </c>
      <c r="AO16" s="616"/>
      <c r="AP16" s="616">
        <v>-1424974099.2830591</v>
      </c>
      <c r="AQ16" s="616"/>
      <c r="AR16" s="616">
        <v>-18273030.489870086</v>
      </c>
      <c r="AS16" s="616"/>
      <c r="AT16" s="616">
        <v>-14750406.853601253</v>
      </c>
      <c r="AU16" s="616"/>
      <c r="AV16" s="616">
        <v>50816.356116388662</v>
      </c>
      <c r="AW16" s="616"/>
      <c r="AX16" s="616">
        <v>-914555694.16537046</v>
      </c>
      <c r="AY16" s="616"/>
      <c r="AZ16" s="616">
        <v>-479096310.04215127</v>
      </c>
      <c r="BA16" s="616"/>
      <c r="BB16" s="616">
        <v>1650525.9118176927</v>
      </c>
      <c r="BC16" s="616"/>
      <c r="BD16" s="616">
        <v>-1392001478.2957041</v>
      </c>
      <c r="BE16" s="616"/>
      <c r="BF16" s="616">
        <v>-1932895116</v>
      </c>
      <c r="BG16" s="616"/>
      <c r="BH16" s="617"/>
      <c r="BI16" s="304">
        <v>104</v>
      </c>
    </row>
    <row r="17" spans="1:61" ht="14.5">
      <c r="A17" s="304"/>
      <c r="B17" s="609"/>
      <c r="C17" s="609"/>
      <c r="D17" s="304"/>
      <c r="E17" s="304"/>
      <c r="F17" s="304"/>
      <c r="G17" s="304"/>
      <c r="H17" s="304"/>
      <c r="I17" s="304"/>
      <c r="J17" s="304"/>
      <c r="K17" s="304"/>
      <c r="L17" s="304"/>
      <c r="M17" s="304"/>
      <c r="N17" s="304"/>
      <c r="O17" s="304"/>
      <c r="P17" s="523"/>
      <c r="Q17" s="304"/>
      <c r="R17" s="609"/>
      <c r="S17" s="609"/>
      <c r="T17" s="609"/>
      <c r="U17" s="609"/>
      <c r="V17" s="609"/>
      <c r="W17" s="609"/>
      <c r="X17" s="609"/>
      <c r="Y17" s="609"/>
      <c r="Z17" s="609"/>
      <c r="AA17" s="609"/>
      <c r="AB17" s="609"/>
      <c r="AC17" s="609"/>
      <c r="AD17" s="609"/>
      <c r="AE17" s="609"/>
      <c r="AF17" s="609"/>
      <c r="AG17" s="609"/>
      <c r="AH17" s="304"/>
      <c r="AI17" s="609"/>
      <c r="AJ17" s="609"/>
      <c r="AK17" s="609"/>
      <c r="AL17" s="609"/>
      <c r="AM17" s="609"/>
      <c r="AN17" s="609"/>
      <c r="AO17" s="609"/>
      <c r="AP17" s="609"/>
      <c r="AQ17" s="609"/>
      <c r="AR17" s="609"/>
      <c r="AS17" s="609"/>
      <c r="AT17" s="609"/>
      <c r="AU17" s="609"/>
      <c r="AV17" s="609"/>
      <c r="AW17" s="609"/>
      <c r="AX17" s="609"/>
      <c r="AY17" s="609"/>
      <c r="AZ17" s="609"/>
      <c r="BA17" s="609"/>
      <c r="BB17" s="609"/>
      <c r="BC17" s="609"/>
      <c r="BD17" s="609"/>
      <c r="BE17" s="609"/>
      <c r="BF17" s="304"/>
      <c r="BG17" s="609"/>
      <c r="BH17" s="617"/>
      <c r="BI17" s="304"/>
    </row>
    <row r="18" spans="1:61" ht="14.5">
      <c r="A18" s="304">
        <v>105</v>
      </c>
      <c r="B18" s="618" t="s">
        <v>1459</v>
      </c>
      <c r="C18" s="618"/>
      <c r="D18" s="303"/>
      <c r="E18" s="304"/>
      <c r="F18" s="304"/>
      <c r="G18" s="304"/>
      <c r="H18" s="304"/>
      <c r="I18" s="304"/>
      <c r="J18" s="304"/>
      <c r="K18" s="304"/>
      <c r="L18" s="304"/>
      <c r="M18" s="304"/>
      <c r="N18" s="304"/>
      <c r="O18" s="304"/>
      <c r="P18" s="523"/>
      <c r="Q18" s="304"/>
      <c r="R18" s="609"/>
      <c r="S18" s="609"/>
      <c r="T18" s="609"/>
      <c r="U18" s="609"/>
      <c r="V18" s="609"/>
      <c r="W18" s="609"/>
      <c r="X18" s="609"/>
      <c r="Y18" s="609"/>
      <c r="Z18" s="609"/>
      <c r="AA18" s="609"/>
      <c r="AB18" s="609"/>
      <c r="AC18" s="609"/>
      <c r="AD18" s="609"/>
      <c r="AE18" s="609"/>
      <c r="AF18" s="609"/>
      <c r="AG18" s="609"/>
      <c r="AH18" s="304"/>
      <c r="AI18" s="609"/>
      <c r="AJ18" s="609"/>
      <c r="AK18" s="609"/>
      <c r="AL18" s="609"/>
      <c r="AM18" s="609"/>
      <c r="AN18" s="609"/>
      <c r="AO18" s="609"/>
      <c r="AP18" s="609"/>
      <c r="AQ18" s="609"/>
      <c r="AR18" s="609"/>
      <c r="AS18" s="609"/>
      <c r="AT18" s="609"/>
      <c r="AU18" s="609"/>
      <c r="AV18" s="609"/>
      <c r="AW18" s="609"/>
      <c r="AX18" s="609"/>
      <c r="AY18" s="609"/>
      <c r="AZ18" s="609"/>
      <c r="BA18" s="609"/>
      <c r="BB18" s="609"/>
      <c r="BC18" s="609"/>
      <c r="BD18" s="609"/>
      <c r="BE18" s="609"/>
      <c r="BF18" s="304"/>
      <c r="BG18" s="609"/>
      <c r="BH18" s="318"/>
      <c r="BI18" s="304">
        <v>105</v>
      </c>
    </row>
    <row r="19" spans="1:61" ht="14.5">
      <c r="A19" s="304">
        <v>106</v>
      </c>
      <c r="B19" s="523" t="s">
        <v>1460</v>
      </c>
      <c r="C19" s="609" t="s">
        <v>1461</v>
      </c>
      <c r="D19" s="304"/>
      <c r="E19" s="304"/>
      <c r="F19" s="523" t="s">
        <v>1443</v>
      </c>
      <c r="G19" s="304"/>
      <c r="H19" s="616">
        <v>-400413354</v>
      </c>
      <c r="I19" s="304"/>
      <c r="J19" s="616">
        <v>-140144673.792</v>
      </c>
      <c r="K19" s="616"/>
      <c r="L19" s="616">
        <v>-84086803.483769998</v>
      </c>
      <c r="M19" s="616"/>
      <c r="N19" s="616">
        <v>-56057870.308230013</v>
      </c>
      <c r="O19" s="616"/>
      <c r="P19" s="523" t="s">
        <v>1444</v>
      </c>
      <c r="Q19" s="304"/>
      <c r="R19" s="616">
        <v>0</v>
      </c>
      <c r="S19" s="616"/>
      <c r="T19" s="616">
        <v>-56057870.308230013</v>
      </c>
      <c r="U19" s="616"/>
      <c r="V19" s="616">
        <v>0</v>
      </c>
      <c r="W19" s="616"/>
      <c r="X19" s="616">
        <v>-56057870.308230013</v>
      </c>
      <c r="Y19" s="616"/>
      <c r="Z19" s="316" t="s">
        <v>1449</v>
      </c>
      <c r="AA19" s="616"/>
      <c r="AB19" s="616">
        <v>0</v>
      </c>
      <c r="AC19" s="616"/>
      <c r="AD19" s="616">
        <v>-4143622.4250362762</v>
      </c>
      <c r="AE19" s="616"/>
      <c r="AF19" s="616">
        <v>0</v>
      </c>
      <c r="AG19" s="616"/>
      <c r="AH19" s="523" t="s">
        <v>1446</v>
      </c>
      <c r="AI19" s="616"/>
      <c r="AJ19" s="616">
        <v>0</v>
      </c>
      <c r="AK19" s="616"/>
      <c r="AL19" s="616">
        <v>-51914247.883193739</v>
      </c>
      <c r="AM19" s="616"/>
      <c r="AN19" s="616">
        <v>0</v>
      </c>
      <c r="AO19" s="616"/>
      <c r="AP19" s="616">
        <v>-51914247.883193739</v>
      </c>
      <c r="AQ19" s="616"/>
      <c r="AR19" s="616">
        <v>0</v>
      </c>
      <c r="AS19" s="616"/>
      <c r="AT19" s="616">
        <v>-1550595.0552502577</v>
      </c>
      <c r="AU19" s="616"/>
      <c r="AV19" s="616">
        <v>0</v>
      </c>
      <c r="AW19" s="616"/>
      <c r="AX19" s="616">
        <v>0</v>
      </c>
      <c r="AY19" s="616"/>
      <c r="AZ19" s="616">
        <v>-50363652.827943482</v>
      </c>
      <c r="BA19" s="616"/>
      <c r="BB19" s="616">
        <v>0</v>
      </c>
      <c r="BC19" s="616"/>
      <c r="BD19" s="616">
        <v>-50363652.827943482</v>
      </c>
      <c r="BE19" s="616"/>
      <c r="BF19" s="616">
        <v>-69933588.49920778</v>
      </c>
      <c r="BG19" s="616"/>
      <c r="BH19" s="617"/>
      <c r="BI19" s="304">
        <v>106</v>
      </c>
    </row>
    <row r="20" spans="1:61" ht="14.5">
      <c r="A20" s="304">
        <v>107</v>
      </c>
      <c r="B20" s="523" t="s">
        <v>117</v>
      </c>
      <c r="C20" s="609"/>
      <c r="D20" s="304"/>
      <c r="E20" s="304"/>
      <c r="F20" s="304"/>
      <c r="G20" s="304"/>
      <c r="H20" s="616">
        <v>0</v>
      </c>
      <c r="I20" s="304"/>
      <c r="J20" s="616">
        <v>0</v>
      </c>
      <c r="K20" s="616"/>
      <c r="L20" s="616">
        <v>0</v>
      </c>
      <c r="M20" s="616"/>
      <c r="N20" s="616">
        <v>0</v>
      </c>
      <c r="O20" s="616"/>
      <c r="P20" s="523"/>
      <c r="Q20" s="304"/>
      <c r="R20" s="616">
        <v>0</v>
      </c>
      <c r="S20" s="616"/>
      <c r="T20" s="616">
        <v>0</v>
      </c>
      <c r="U20" s="616"/>
      <c r="V20" s="616">
        <v>0</v>
      </c>
      <c r="W20" s="616"/>
      <c r="X20" s="616">
        <v>0</v>
      </c>
      <c r="Y20" s="616"/>
      <c r="Z20" s="316"/>
      <c r="AA20" s="616"/>
      <c r="AB20" s="616">
        <v>0</v>
      </c>
      <c r="AC20" s="616"/>
      <c r="AD20" s="616">
        <v>0</v>
      </c>
      <c r="AE20" s="616"/>
      <c r="AF20" s="616">
        <v>0</v>
      </c>
      <c r="AG20" s="616"/>
      <c r="AH20" s="523"/>
      <c r="AI20" s="616"/>
      <c r="AJ20" s="616">
        <v>0</v>
      </c>
      <c r="AK20" s="616"/>
      <c r="AL20" s="616">
        <v>0</v>
      </c>
      <c r="AM20" s="616"/>
      <c r="AN20" s="616">
        <v>0</v>
      </c>
      <c r="AO20" s="616"/>
      <c r="AP20" s="616">
        <v>0</v>
      </c>
      <c r="AQ20" s="616"/>
      <c r="AR20" s="616">
        <v>0</v>
      </c>
      <c r="AS20" s="616"/>
      <c r="AT20" s="616">
        <v>0</v>
      </c>
      <c r="AU20" s="616"/>
      <c r="AV20" s="616">
        <v>0</v>
      </c>
      <c r="AW20" s="616"/>
      <c r="AX20" s="616">
        <v>0</v>
      </c>
      <c r="AY20" s="616"/>
      <c r="AZ20" s="616">
        <v>0</v>
      </c>
      <c r="BA20" s="616"/>
      <c r="BB20" s="616">
        <v>0</v>
      </c>
      <c r="BC20" s="616"/>
      <c r="BD20" s="616">
        <v>0</v>
      </c>
      <c r="BE20" s="616"/>
      <c r="BF20" s="616">
        <v>0</v>
      </c>
      <c r="BG20" s="616"/>
      <c r="BH20" s="318"/>
      <c r="BI20" s="304">
        <v>107</v>
      </c>
    </row>
    <row r="21" spans="1:61" ht="14.5">
      <c r="A21" s="304">
        <v>108</v>
      </c>
      <c r="B21" s="523" t="s">
        <v>117</v>
      </c>
      <c r="C21" s="609"/>
      <c r="D21" s="304"/>
      <c r="E21" s="304"/>
      <c r="F21" s="304"/>
      <c r="G21" s="304"/>
      <c r="H21" s="619">
        <v>0</v>
      </c>
      <c r="I21" s="304"/>
      <c r="J21" s="619">
        <v>0</v>
      </c>
      <c r="K21" s="619"/>
      <c r="L21" s="619">
        <v>0</v>
      </c>
      <c r="M21" s="619"/>
      <c r="N21" s="619">
        <v>0</v>
      </c>
      <c r="O21" s="619"/>
      <c r="P21" s="523"/>
      <c r="Q21" s="304"/>
      <c r="R21" s="619">
        <v>0</v>
      </c>
      <c r="S21" s="619"/>
      <c r="T21" s="619">
        <v>0</v>
      </c>
      <c r="U21" s="619"/>
      <c r="V21" s="619">
        <v>0</v>
      </c>
      <c r="W21" s="619"/>
      <c r="X21" s="619">
        <v>0</v>
      </c>
      <c r="Y21" s="616"/>
      <c r="Z21" s="316"/>
      <c r="AA21" s="616"/>
      <c r="AB21" s="619">
        <v>0</v>
      </c>
      <c r="AC21" s="619"/>
      <c r="AD21" s="619">
        <v>0</v>
      </c>
      <c r="AE21" s="619"/>
      <c r="AF21" s="619">
        <v>0</v>
      </c>
      <c r="AG21" s="616"/>
      <c r="AH21" s="523"/>
      <c r="AI21" s="616"/>
      <c r="AJ21" s="619">
        <v>0</v>
      </c>
      <c r="AK21" s="619"/>
      <c r="AL21" s="619">
        <v>0</v>
      </c>
      <c r="AM21" s="619"/>
      <c r="AN21" s="619">
        <v>0</v>
      </c>
      <c r="AO21" s="619"/>
      <c r="AP21" s="619">
        <v>0</v>
      </c>
      <c r="AQ21" s="616"/>
      <c r="AR21" s="619">
        <v>0</v>
      </c>
      <c r="AS21" s="619"/>
      <c r="AT21" s="619">
        <v>0</v>
      </c>
      <c r="AU21" s="619"/>
      <c r="AV21" s="619">
        <v>0</v>
      </c>
      <c r="AW21" s="616"/>
      <c r="AX21" s="619">
        <v>0</v>
      </c>
      <c r="AY21" s="619"/>
      <c r="AZ21" s="619">
        <v>0</v>
      </c>
      <c r="BA21" s="619"/>
      <c r="BB21" s="619">
        <v>0</v>
      </c>
      <c r="BC21" s="619"/>
      <c r="BD21" s="619">
        <v>0</v>
      </c>
      <c r="BE21" s="616"/>
      <c r="BF21" s="619">
        <v>0</v>
      </c>
      <c r="BG21" s="616"/>
      <c r="BH21" s="318"/>
      <c r="BI21" s="304">
        <v>108</v>
      </c>
    </row>
    <row r="22" spans="1:61" ht="14.5">
      <c r="A22" s="304">
        <v>109</v>
      </c>
      <c r="B22" s="609" t="s">
        <v>1462</v>
      </c>
      <c r="C22" s="609"/>
      <c r="D22" s="304"/>
      <c r="E22" s="304"/>
      <c r="F22" s="304"/>
      <c r="G22" s="304"/>
      <c r="H22" s="616">
        <v>-17394848341</v>
      </c>
      <c r="I22" s="304"/>
      <c r="J22" s="616">
        <v>-4316892697.7919998</v>
      </c>
      <c r="K22" s="616"/>
      <c r="L22" s="616">
        <v>-2750086164.4837699</v>
      </c>
      <c r="M22" s="616"/>
      <c r="N22" s="616">
        <v>-1566836233.3082299</v>
      </c>
      <c r="O22" s="616"/>
      <c r="P22" s="316"/>
      <c r="Q22" s="304"/>
      <c r="R22" s="616">
        <v>-985231245</v>
      </c>
      <c r="S22" s="616"/>
      <c r="T22" s="616">
        <v>-589321788.30823004</v>
      </c>
      <c r="U22" s="616"/>
      <c r="V22" s="616">
        <v>7716800</v>
      </c>
      <c r="W22" s="616"/>
      <c r="X22" s="616">
        <v>-1566836233.3082299</v>
      </c>
      <c r="Y22" s="616"/>
      <c r="Z22" s="616"/>
      <c r="AA22" s="616"/>
      <c r="AB22" s="616">
        <v>-52402519.434510566</v>
      </c>
      <c r="AC22" s="616"/>
      <c r="AD22" s="616">
        <v>-43560823.176243499</v>
      </c>
      <c r="AE22" s="616"/>
      <c r="AF22" s="616">
        <v>6015457.8759244867</v>
      </c>
      <c r="AG22" s="616"/>
      <c r="AH22" s="316"/>
      <c r="AI22" s="616"/>
      <c r="AJ22" s="616">
        <v>-932828724.65524077</v>
      </c>
      <c r="AK22" s="616"/>
      <c r="AL22" s="616">
        <v>-545760964.77894628</v>
      </c>
      <c r="AM22" s="616"/>
      <c r="AN22" s="616">
        <v>1701342.2679340818</v>
      </c>
      <c r="AO22" s="616"/>
      <c r="AP22" s="616">
        <v>-1476888347.1662529</v>
      </c>
      <c r="AQ22" s="616"/>
      <c r="AR22" s="616">
        <v>-18273030.489870086</v>
      </c>
      <c r="AS22" s="616"/>
      <c r="AT22" s="616">
        <v>-16301001.90885151</v>
      </c>
      <c r="AU22" s="616"/>
      <c r="AV22" s="616">
        <v>50816.356116388662</v>
      </c>
      <c r="AW22" s="616"/>
      <c r="AX22" s="616">
        <v>-914555694.16537046</v>
      </c>
      <c r="AY22" s="616"/>
      <c r="AZ22" s="616">
        <v>-529459962.87009478</v>
      </c>
      <c r="BA22" s="616"/>
      <c r="BB22" s="616">
        <v>1650525.9118176927</v>
      </c>
      <c r="BC22" s="616"/>
      <c r="BD22" s="616">
        <v>-1442365131.1236477</v>
      </c>
      <c r="BE22" s="616"/>
      <c r="BF22" s="616">
        <v>-2002828704.4992077</v>
      </c>
      <c r="BG22" s="616"/>
      <c r="BH22" s="318"/>
      <c r="BI22" s="304">
        <v>109</v>
      </c>
    </row>
    <row r="23" spans="1:61" ht="14.5">
      <c r="A23" s="304"/>
      <c r="B23" s="609"/>
      <c r="C23" s="609"/>
      <c r="D23" s="304"/>
      <c r="E23" s="304"/>
      <c r="F23" s="304"/>
      <c r="G23" s="304"/>
      <c r="H23" s="304"/>
      <c r="I23" s="304"/>
      <c r="J23" s="304"/>
      <c r="K23" s="304"/>
      <c r="L23" s="304"/>
      <c r="M23" s="304"/>
      <c r="N23" s="304"/>
      <c r="O23" s="304"/>
      <c r="P23" s="523"/>
      <c r="Q23" s="304"/>
      <c r="R23" s="616"/>
      <c r="S23" s="616"/>
      <c r="T23" s="616"/>
      <c r="U23" s="616"/>
      <c r="V23" s="616"/>
      <c r="W23" s="616"/>
      <c r="X23" s="616"/>
      <c r="Y23" s="616"/>
      <c r="Z23" s="616"/>
      <c r="AA23" s="616"/>
      <c r="AB23" s="616"/>
      <c r="AC23" s="616"/>
      <c r="AD23" s="616"/>
      <c r="AE23" s="616"/>
      <c r="AF23" s="616"/>
      <c r="AG23" s="616"/>
      <c r="AH23" s="316"/>
      <c r="AI23" s="616"/>
      <c r="AJ23" s="616"/>
      <c r="AK23" s="616"/>
      <c r="AL23" s="616"/>
      <c r="AM23" s="616"/>
      <c r="AN23" s="616"/>
      <c r="AO23" s="616"/>
      <c r="AP23" s="616"/>
      <c r="AQ23" s="616"/>
      <c r="AR23" s="616"/>
      <c r="AS23" s="616"/>
      <c r="AT23" s="616"/>
      <c r="AU23" s="616"/>
      <c r="AV23" s="616"/>
      <c r="AW23" s="616"/>
      <c r="AX23" s="616"/>
      <c r="AY23" s="616"/>
      <c r="AZ23" s="616"/>
      <c r="BA23" s="616"/>
      <c r="BB23" s="616"/>
      <c r="BC23" s="616"/>
      <c r="BD23" s="616"/>
      <c r="BE23" s="616"/>
      <c r="BF23" s="304"/>
      <c r="BG23" s="616"/>
      <c r="BH23" s="318"/>
      <c r="BI23" s="304"/>
    </row>
    <row r="24" spans="1:61" ht="14.5">
      <c r="A24" s="201" t="s">
        <v>90</v>
      </c>
      <c r="B24" s="618" t="s">
        <v>1463</v>
      </c>
      <c r="C24" s="319"/>
      <c r="D24" s="303"/>
      <c r="E24" s="304"/>
      <c r="F24" s="304"/>
      <c r="G24" s="304"/>
      <c r="H24" s="304"/>
      <c r="I24" s="304"/>
      <c r="J24" s="304"/>
      <c r="K24" s="304"/>
      <c r="L24" s="304"/>
      <c r="M24" s="304"/>
      <c r="N24" s="304"/>
      <c r="O24" s="304"/>
      <c r="P24" s="523"/>
      <c r="Q24" s="304"/>
      <c r="R24" s="616"/>
      <c r="S24" s="616"/>
      <c r="T24" s="616"/>
      <c r="U24" s="616"/>
      <c r="V24" s="609"/>
      <c r="W24" s="609"/>
      <c r="X24" s="609"/>
      <c r="Y24" s="609"/>
      <c r="Z24" s="609"/>
      <c r="AA24" s="609"/>
      <c r="AB24" s="609"/>
      <c r="AC24" s="609"/>
      <c r="AD24" s="609"/>
      <c r="AE24" s="609"/>
      <c r="AF24" s="609"/>
      <c r="AG24" s="609"/>
      <c r="AH24" s="523"/>
      <c r="AI24" s="609"/>
      <c r="AJ24" s="616"/>
      <c r="AK24" s="616"/>
      <c r="AL24" s="616"/>
      <c r="AM24" s="616"/>
      <c r="AN24" s="609"/>
      <c r="AO24" s="609"/>
      <c r="AP24" s="609"/>
      <c r="AQ24" s="609"/>
      <c r="AR24" s="609"/>
      <c r="AS24" s="609"/>
      <c r="AT24" s="609"/>
      <c r="AU24" s="609"/>
      <c r="AV24" s="609"/>
      <c r="AW24" s="609"/>
      <c r="AX24" s="616"/>
      <c r="AY24" s="616"/>
      <c r="AZ24" s="616"/>
      <c r="BA24" s="616"/>
      <c r="BB24" s="609"/>
      <c r="BC24" s="609"/>
      <c r="BD24" s="609"/>
      <c r="BE24" s="609"/>
      <c r="BF24" s="304"/>
      <c r="BG24" s="609"/>
      <c r="BH24" s="318"/>
      <c r="BI24" s="615" t="s">
        <v>90</v>
      </c>
    </row>
    <row r="25" spans="1:61" ht="14.5">
      <c r="A25" s="304">
        <v>200</v>
      </c>
      <c r="B25" s="609" t="s">
        <v>1464</v>
      </c>
      <c r="C25" s="609"/>
      <c r="D25" s="304"/>
      <c r="E25" s="304"/>
      <c r="F25" s="304"/>
      <c r="G25" s="304"/>
      <c r="H25" s="619">
        <v>-10466951654</v>
      </c>
      <c r="I25" s="304"/>
      <c r="J25" s="619">
        <v>-3663433079</v>
      </c>
      <c r="K25" s="616"/>
      <c r="L25" s="619">
        <v>-2361016151</v>
      </c>
      <c r="M25" s="616"/>
      <c r="N25" s="619">
        <v>-1302433382</v>
      </c>
      <c r="O25" s="304"/>
      <c r="P25" s="523"/>
      <c r="Q25" s="304"/>
      <c r="R25" s="619">
        <v>-1302433382</v>
      </c>
      <c r="S25" s="616"/>
      <c r="T25" s="619">
        <v>0</v>
      </c>
      <c r="U25" s="616"/>
      <c r="V25" s="619">
        <v>0</v>
      </c>
      <c r="W25" s="616"/>
      <c r="X25" s="619">
        <v>-1302433382</v>
      </c>
      <c r="Y25" s="616"/>
      <c r="Z25" s="616"/>
      <c r="AA25" s="616"/>
      <c r="AB25" s="619">
        <v>-96271801.571397573</v>
      </c>
      <c r="AC25" s="616"/>
      <c r="AD25" s="619">
        <v>0</v>
      </c>
      <c r="AE25" s="616"/>
      <c r="AF25" s="619">
        <v>0</v>
      </c>
      <c r="AG25" s="616"/>
      <c r="AH25" s="316"/>
      <c r="AI25" s="616"/>
      <c r="AJ25" s="619">
        <v>-1206161579.9655685</v>
      </c>
      <c r="AK25" s="616"/>
      <c r="AL25" s="619">
        <v>0</v>
      </c>
      <c r="AM25" s="616"/>
      <c r="AN25" s="619">
        <v>0</v>
      </c>
      <c r="AO25" s="616"/>
      <c r="AP25" s="619">
        <v>-1206161579.9655685</v>
      </c>
      <c r="AQ25" s="616"/>
      <c r="AR25" s="619">
        <v>-36026105.702906027</v>
      </c>
      <c r="AS25" s="616"/>
      <c r="AT25" s="619">
        <v>0</v>
      </c>
      <c r="AU25" s="616"/>
      <c r="AV25" s="619">
        <v>0</v>
      </c>
      <c r="AW25" s="616"/>
      <c r="AX25" s="619">
        <v>-1170135474.2626624</v>
      </c>
      <c r="AY25" s="616"/>
      <c r="AZ25" s="619">
        <v>0</v>
      </c>
      <c r="BA25" s="616"/>
      <c r="BB25" s="619">
        <v>0</v>
      </c>
      <c r="BC25" s="616"/>
      <c r="BD25" s="619">
        <v>-1170135474.2626624</v>
      </c>
      <c r="BE25" s="616"/>
      <c r="BF25" s="619">
        <v>-1624818061</v>
      </c>
      <c r="BG25" s="616"/>
      <c r="BH25" s="617"/>
      <c r="BI25" s="304">
        <v>200</v>
      </c>
    </row>
    <row r="26" spans="1:61" ht="14.5">
      <c r="A26" s="304">
        <v>201</v>
      </c>
      <c r="B26" s="620" t="s">
        <v>1465</v>
      </c>
      <c r="C26" s="609"/>
      <c r="D26" s="609" t="s">
        <v>1466</v>
      </c>
      <c r="E26" s="304"/>
      <c r="F26" s="523" t="s">
        <v>1443</v>
      </c>
      <c r="G26" s="304"/>
      <c r="H26" s="621">
        <v>-1164217386.4685714</v>
      </c>
      <c r="I26" s="304"/>
      <c r="J26" s="621">
        <v>-407476085.264</v>
      </c>
      <c r="K26" s="616"/>
      <c r="L26" s="621">
        <v>-407476081.69378757</v>
      </c>
      <c r="M26" s="616"/>
      <c r="N26" s="621">
        <v>-0.79857784772084273</v>
      </c>
      <c r="O26" s="304"/>
      <c r="P26" s="523" t="s">
        <v>1444</v>
      </c>
      <c r="Q26" s="304"/>
      <c r="R26" s="616">
        <v>-0.79857784772084273</v>
      </c>
      <c r="S26" s="616"/>
      <c r="T26" s="616">
        <v>0</v>
      </c>
      <c r="U26" s="616"/>
      <c r="V26" s="616">
        <v>0</v>
      </c>
      <c r="W26" s="616"/>
      <c r="X26" s="616">
        <v>-0.79857784772084273</v>
      </c>
      <c r="Y26" s="616"/>
      <c r="Z26" s="316" t="s">
        <v>1445</v>
      </c>
      <c r="AA26" s="616"/>
      <c r="AB26" s="621">
        <v>-5.8612009407430714E-2</v>
      </c>
      <c r="AC26" s="616"/>
      <c r="AD26" s="616">
        <v>0</v>
      </c>
      <c r="AE26" s="616"/>
      <c r="AF26" s="616">
        <v>0</v>
      </c>
      <c r="AG26" s="616"/>
      <c r="AH26" s="316" t="s">
        <v>1446</v>
      </c>
      <c r="AI26" s="616"/>
      <c r="AJ26" s="315">
        <v>-0.73996583831341201</v>
      </c>
      <c r="AK26" s="616"/>
      <c r="AL26" s="315">
        <v>0</v>
      </c>
      <c r="AM26" s="616"/>
      <c r="AN26" s="315">
        <v>0</v>
      </c>
      <c r="AO26" s="616"/>
      <c r="AP26" s="616">
        <v>-0.73996583831341201</v>
      </c>
      <c r="AQ26" s="616"/>
      <c r="AR26" s="621">
        <v>-2.2089152782647503E-2</v>
      </c>
      <c r="AS26" s="616"/>
      <c r="AT26" s="616">
        <v>0</v>
      </c>
      <c r="AU26" s="616"/>
      <c r="AV26" s="616">
        <v>0</v>
      </c>
      <c r="AW26" s="616"/>
      <c r="AX26" s="315">
        <v>-0.71787668553076456</v>
      </c>
      <c r="AY26" s="616"/>
      <c r="AZ26" s="315">
        <v>0</v>
      </c>
      <c r="BA26" s="616"/>
      <c r="BB26" s="315">
        <v>0</v>
      </c>
      <c r="BC26" s="616"/>
      <c r="BD26" s="616">
        <v>-0.71787668553076456</v>
      </c>
      <c r="BE26" s="616"/>
      <c r="BF26" s="616">
        <v>-0.99682389779378655</v>
      </c>
      <c r="BG26" s="616"/>
      <c r="BH26" s="617"/>
      <c r="BI26" s="304">
        <v>201</v>
      </c>
    </row>
    <row r="27" spans="1:61" ht="14.5">
      <c r="A27" s="304">
        <v>202</v>
      </c>
      <c r="B27" s="620" t="s">
        <v>1467</v>
      </c>
      <c r="C27" s="609"/>
      <c r="D27" s="609" t="s">
        <v>1466</v>
      </c>
      <c r="E27" s="304"/>
      <c r="F27" s="523" t="s">
        <v>1443</v>
      </c>
      <c r="G27" s="304"/>
      <c r="H27" s="621">
        <v>-9711400284.4914284</v>
      </c>
      <c r="I27" s="304"/>
      <c r="J27" s="621">
        <v>-3398990099.572</v>
      </c>
      <c r="K27" s="616"/>
      <c r="L27" s="621">
        <v>-2039091608.7690783</v>
      </c>
      <c r="M27" s="616"/>
      <c r="N27" s="621">
        <v>-1359898490.8029218</v>
      </c>
      <c r="O27" s="304"/>
      <c r="P27" s="523" t="s">
        <v>1444</v>
      </c>
      <c r="Q27" s="304"/>
      <c r="R27" s="616">
        <v>-1359898490.8029218</v>
      </c>
      <c r="S27" s="616"/>
      <c r="T27" s="616">
        <v>0</v>
      </c>
      <c r="U27" s="616"/>
      <c r="V27" s="616">
        <v>0</v>
      </c>
      <c r="W27" s="616"/>
      <c r="X27" s="616">
        <v>-1359898490.8029218</v>
      </c>
      <c r="Y27" s="616"/>
      <c r="Z27" s="316" t="s">
        <v>1445</v>
      </c>
      <c r="AA27" s="616"/>
      <c r="AB27" s="621">
        <v>-100519442.6987837</v>
      </c>
      <c r="AC27" s="616"/>
      <c r="AD27" s="616">
        <v>0</v>
      </c>
      <c r="AE27" s="616"/>
      <c r="AF27" s="616">
        <v>0</v>
      </c>
      <c r="AG27" s="616"/>
      <c r="AH27" s="316" t="s">
        <v>1446</v>
      </c>
      <c r="AI27" s="616"/>
      <c r="AJ27" s="315">
        <v>-1259379048.1041381</v>
      </c>
      <c r="AK27" s="616"/>
      <c r="AL27" s="315">
        <v>0</v>
      </c>
      <c r="AM27" s="616"/>
      <c r="AN27" s="315">
        <v>0</v>
      </c>
      <c r="AO27" s="616"/>
      <c r="AP27" s="616">
        <v>-1259379048.1041381</v>
      </c>
      <c r="AQ27" s="616"/>
      <c r="AR27" s="621">
        <v>-37615625.850340612</v>
      </c>
      <c r="AS27" s="616"/>
      <c r="AT27" s="616">
        <v>0</v>
      </c>
      <c r="AU27" s="616"/>
      <c r="AV27" s="616">
        <v>0</v>
      </c>
      <c r="AW27" s="616"/>
      <c r="AX27" s="315">
        <v>-1221763422.2537975</v>
      </c>
      <c r="AY27" s="616"/>
      <c r="AZ27" s="315">
        <v>0</v>
      </c>
      <c r="BA27" s="616"/>
      <c r="BB27" s="315">
        <v>0</v>
      </c>
      <c r="BC27" s="616"/>
      <c r="BD27" s="616">
        <v>-1221763422.2537975</v>
      </c>
      <c r="BE27" s="616"/>
      <c r="BF27" s="616">
        <v>-1696507215.3756609</v>
      </c>
      <c r="BG27" s="616"/>
      <c r="BH27" s="617"/>
      <c r="BI27" s="304">
        <v>202</v>
      </c>
    </row>
    <row r="28" spans="1:61" ht="14.5">
      <c r="A28" s="304">
        <v>203</v>
      </c>
      <c r="B28" s="620" t="s">
        <v>1468</v>
      </c>
      <c r="C28" s="609"/>
      <c r="D28" s="609" t="s">
        <v>1466</v>
      </c>
      <c r="E28" s="304"/>
      <c r="F28" s="523" t="s">
        <v>1443</v>
      </c>
      <c r="G28" s="304"/>
      <c r="H28" s="621">
        <v>408666016.86399996</v>
      </c>
      <c r="I28" s="304"/>
      <c r="J28" s="621">
        <v>143033105.90239999</v>
      </c>
      <c r="K28" s="616"/>
      <c r="L28" s="621">
        <v>85551539.890252292</v>
      </c>
      <c r="M28" s="616"/>
      <c r="N28" s="621">
        <v>57465110.064533599</v>
      </c>
      <c r="O28" s="304"/>
      <c r="P28" s="523" t="s">
        <v>1444</v>
      </c>
      <c r="Q28" s="304"/>
      <c r="R28" s="616">
        <v>57465110.064533599</v>
      </c>
      <c r="S28" s="616"/>
      <c r="T28" s="616">
        <v>0</v>
      </c>
      <c r="U28" s="616"/>
      <c r="V28" s="616">
        <v>0</v>
      </c>
      <c r="W28" s="616"/>
      <c r="X28" s="616">
        <v>57465110.064533599</v>
      </c>
      <c r="Y28" s="616"/>
      <c r="Z28" s="316" t="s">
        <v>1445</v>
      </c>
      <c r="AA28" s="616"/>
      <c r="AB28" s="621">
        <v>4247641.1859981259</v>
      </c>
      <c r="AC28" s="616"/>
      <c r="AD28" s="616">
        <v>0</v>
      </c>
      <c r="AE28" s="616"/>
      <c r="AF28" s="616">
        <v>0</v>
      </c>
      <c r="AG28" s="616"/>
      <c r="AH28" s="316" t="s">
        <v>1446</v>
      </c>
      <c r="AI28" s="616"/>
      <c r="AJ28" s="315">
        <v>53217468.878535472</v>
      </c>
      <c r="AK28" s="616"/>
      <c r="AL28" s="315">
        <v>0</v>
      </c>
      <c r="AM28" s="616"/>
      <c r="AN28" s="315">
        <v>0</v>
      </c>
      <c r="AO28" s="616"/>
      <c r="AP28" s="616">
        <v>53217468.878535472</v>
      </c>
      <c r="AQ28" s="616"/>
      <c r="AR28" s="621">
        <v>1589520.1695237402</v>
      </c>
      <c r="AS28" s="616"/>
      <c r="AT28" s="616">
        <v>0</v>
      </c>
      <c r="AU28" s="616"/>
      <c r="AV28" s="616">
        <v>0</v>
      </c>
      <c r="AW28" s="616"/>
      <c r="AX28" s="315">
        <v>51627948.709011734</v>
      </c>
      <c r="AY28" s="616"/>
      <c r="AZ28" s="315">
        <v>0</v>
      </c>
      <c r="BA28" s="616"/>
      <c r="BB28" s="315">
        <v>0</v>
      </c>
      <c r="BC28" s="616"/>
      <c r="BD28" s="616">
        <v>51627948.709011734</v>
      </c>
      <c r="BE28" s="616"/>
      <c r="BF28" s="616">
        <v>71689155.12162748</v>
      </c>
      <c r="BG28" s="616"/>
      <c r="BH28" s="617"/>
      <c r="BI28" s="304">
        <v>203</v>
      </c>
    </row>
    <row r="29" spans="1:61" ht="14.5">
      <c r="A29" s="304">
        <v>204</v>
      </c>
      <c r="B29" s="622" t="s">
        <v>117</v>
      </c>
      <c r="C29" s="609"/>
      <c r="D29" s="304"/>
      <c r="E29" s="304"/>
      <c r="F29" s="304"/>
      <c r="G29" s="304"/>
      <c r="H29" s="621">
        <v>0</v>
      </c>
      <c r="I29" s="304"/>
      <c r="J29" s="621"/>
      <c r="K29" s="616"/>
      <c r="L29" s="621"/>
      <c r="M29" s="616"/>
      <c r="N29" s="621">
        <v>0</v>
      </c>
      <c r="O29" s="304"/>
      <c r="P29" s="523"/>
      <c r="Q29" s="304"/>
      <c r="R29" s="616">
        <v>0</v>
      </c>
      <c r="S29" s="616"/>
      <c r="T29" s="616">
        <v>0</v>
      </c>
      <c r="U29" s="616"/>
      <c r="V29" s="616">
        <v>0</v>
      </c>
      <c r="W29" s="616"/>
      <c r="X29" s="616">
        <v>0</v>
      </c>
      <c r="Y29" s="616"/>
      <c r="Z29" s="316"/>
      <c r="AA29" s="616"/>
      <c r="AB29" s="621">
        <v>0</v>
      </c>
      <c r="AC29" s="616"/>
      <c r="AD29" s="616">
        <v>0</v>
      </c>
      <c r="AE29" s="616"/>
      <c r="AF29" s="616">
        <v>0</v>
      </c>
      <c r="AG29" s="616"/>
      <c r="AH29" s="316"/>
      <c r="AI29" s="616"/>
      <c r="AJ29" s="315">
        <v>0</v>
      </c>
      <c r="AK29" s="616"/>
      <c r="AL29" s="315">
        <v>0</v>
      </c>
      <c r="AM29" s="616"/>
      <c r="AN29" s="315">
        <v>0</v>
      </c>
      <c r="AO29" s="616"/>
      <c r="AP29" s="616">
        <v>0</v>
      </c>
      <c r="AQ29" s="616"/>
      <c r="AR29" s="621"/>
      <c r="AS29" s="616"/>
      <c r="AT29" s="616">
        <v>0</v>
      </c>
      <c r="AU29" s="616"/>
      <c r="AV29" s="616">
        <v>0</v>
      </c>
      <c r="AW29" s="616"/>
      <c r="AX29" s="315">
        <v>0</v>
      </c>
      <c r="AY29" s="616"/>
      <c r="AZ29" s="315">
        <v>0</v>
      </c>
      <c r="BA29" s="616"/>
      <c r="BB29" s="315">
        <v>0</v>
      </c>
      <c r="BC29" s="616"/>
      <c r="BD29" s="616">
        <v>0</v>
      </c>
      <c r="BE29" s="616"/>
      <c r="BF29" s="616">
        <v>0</v>
      </c>
      <c r="BG29" s="616"/>
      <c r="BH29" s="617"/>
      <c r="BI29" s="304">
        <v>204</v>
      </c>
    </row>
    <row r="30" spans="1:61" ht="14.5">
      <c r="A30" s="304">
        <v>205</v>
      </c>
      <c r="B30" s="622" t="s">
        <v>117</v>
      </c>
      <c r="C30" s="623"/>
      <c r="D30" s="609"/>
      <c r="E30" s="609"/>
      <c r="F30" s="523"/>
      <c r="G30" s="609"/>
      <c r="H30" s="621">
        <v>0</v>
      </c>
      <c r="I30" s="609"/>
      <c r="J30" s="621"/>
      <c r="K30" s="616"/>
      <c r="L30" s="621"/>
      <c r="M30" s="616"/>
      <c r="N30" s="621"/>
      <c r="O30" s="609"/>
      <c r="P30" s="523"/>
      <c r="Q30" s="609"/>
      <c r="R30" s="616">
        <v>0</v>
      </c>
      <c r="S30" s="616"/>
      <c r="T30" s="616">
        <v>0</v>
      </c>
      <c r="U30" s="616"/>
      <c r="V30" s="616">
        <v>0</v>
      </c>
      <c r="W30" s="616"/>
      <c r="X30" s="616">
        <v>0</v>
      </c>
      <c r="Y30" s="616"/>
      <c r="Z30" s="316"/>
      <c r="AA30" s="616"/>
      <c r="AB30" s="621"/>
      <c r="AC30" s="616"/>
      <c r="AD30" s="616">
        <v>0</v>
      </c>
      <c r="AE30" s="616"/>
      <c r="AF30" s="616">
        <v>0</v>
      </c>
      <c r="AG30" s="616"/>
      <c r="AH30" s="316"/>
      <c r="AI30" s="616"/>
      <c r="AJ30" s="315">
        <v>0</v>
      </c>
      <c r="AK30" s="616"/>
      <c r="AL30" s="315">
        <v>0</v>
      </c>
      <c r="AM30" s="616"/>
      <c r="AN30" s="315">
        <v>0</v>
      </c>
      <c r="AO30" s="616"/>
      <c r="AP30" s="616">
        <v>0</v>
      </c>
      <c r="AQ30" s="305"/>
      <c r="AR30" s="621"/>
      <c r="AS30" s="616"/>
      <c r="AT30" s="616">
        <v>0</v>
      </c>
      <c r="AU30" s="616"/>
      <c r="AV30" s="616">
        <v>0</v>
      </c>
      <c r="AW30" s="616"/>
      <c r="AX30" s="315">
        <v>0</v>
      </c>
      <c r="AY30" s="616"/>
      <c r="AZ30" s="315">
        <v>0</v>
      </c>
      <c r="BA30" s="616"/>
      <c r="BB30" s="315">
        <v>0</v>
      </c>
      <c r="BC30" s="616"/>
      <c r="BD30" s="616">
        <v>0</v>
      </c>
      <c r="BE30" s="305"/>
      <c r="BF30" s="616">
        <v>0</v>
      </c>
      <c r="BG30" s="305"/>
      <c r="BH30" s="609"/>
      <c r="BI30" s="304">
        <v>205</v>
      </c>
    </row>
    <row r="31" spans="1:61" ht="14.5">
      <c r="A31" s="304"/>
      <c r="B31" s="523"/>
      <c r="C31" s="623"/>
      <c r="D31" s="609"/>
      <c r="E31" s="609"/>
      <c r="F31" s="523"/>
      <c r="G31" s="609"/>
      <c r="H31" s="616"/>
      <c r="I31" s="609"/>
      <c r="J31" s="616"/>
      <c r="K31" s="616"/>
      <c r="L31" s="616"/>
      <c r="M31" s="616"/>
      <c r="N31" s="616"/>
      <c r="O31" s="609"/>
      <c r="P31" s="523"/>
      <c r="Q31" s="609"/>
      <c r="R31" s="616"/>
      <c r="S31" s="616"/>
      <c r="T31" s="616"/>
      <c r="U31" s="616"/>
      <c r="V31" s="616"/>
      <c r="W31" s="616"/>
      <c r="X31" s="616"/>
      <c r="Y31" s="616"/>
      <c r="Z31" s="316"/>
      <c r="AA31" s="616"/>
      <c r="AB31" s="616"/>
      <c r="AC31" s="616"/>
      <c r="AD31" s="616"/>
      <c r="AE31" s="616"/>
      <c r="AF31" s="616"/>
      <c r="AG31" s="616"/>
      <c r="AH31" s="316"/>
      <c r="AI31" s="616"/>
      <c r="AJ31" s="616"/>
      <c r="AK31" s="616"/>
      <c r="AL31" s="616"/>
      <c r="AM31" s="616"/>
      <c r="AN31" s="616"/>
      <c r="AO31" s="616"/>
      <c r="AP31" s="616"/>
      <c r="AQ31" s="305"/>
      <c r="AR31" s="616"/>
      <c r="AS31" s="616"/>
      <c r="AT31" s="616"/>
      <c r="AU31" s="616"/>
      <c r="AV31" s="616"/>
      <c r="AW31" s="616"/>
      <c r="AX31" s="616"/>
      <c r="AY31" s="616"/>
      <c r="AZ31" s="616"/>
      <c r="BA31" s="616"/>
      <c r="BB31" s="616"/>
      <c r="BC31" s="616"/>
      <c r="BD31" s="616"/>
      <c r="BE31" s="305"/>
      <c r="BF31" s="616"/>
      <c r="BG31" s="305"/>
      <c r="BH31" s="609"/>
      <c r="BI31" s="304"/>
    </row>
    <row r="32" spans="1:61" ht="14.5">
      <c r="A32" s="304"/>
      <c r="B32" s="523"/>
      <c r="F32" s="624"/>
      <c r="H32" s="616"/>
      <c r="J32" s="616"/>
      <c r="K32" s="616"/>
      <c r="L32" s="616"/>
      <c r="M32" s="616"/>
      <c r="N32" s="616"/>
      <c r="P32" s="625"/>
      <c r="R32" s="616"/>
      <c r="S32" s="616"/>
      <c r="T32" s="616"/>
      <c r="U32" s="616"/>
      <c r="V32" s="616"/>
      <c r="W32" s="616"/>
      <c r="X32" s="616"/>
      <c r="Y32" s="616"/>
      <c r="Z32" s="316"/>
      <c r="AA32" s="616"/>
      <c r="AB32" s="616"/>
      <c r="AC32" s="616"/>
      <c r="AD32" s="616"/>
      <c r="AE32" s="616"/>
      <c r="AF32" s="616"/>
      <c r="AG32" s="616"/>
      <c r="AH32" s="316"/>
      <c r="AI32" s="616"/>
      <c r="AJ32" s="616"/>
      <c r="AK32" s="616"/>
      <c r="AL32" s="616"/>
      <c r="AM32" s="616"/>
      <c r="AN32" s="616"/>
      <c r="AO32" s="616"/>
      <c r="AP32" s="616"/>
      <c r="AR32" s="616"/>
      <c r="AS32" s="616"/>
      <c r="AT32" s="616"/>
      <c r="AU32" s="616"/>
      <c r="AV32" s="616"/>
      <c r="AW32" s="616"/>
      <c r="AX32" s="616"/>
      <c r="AY32" s="616"/>
      <c r="AZ32" s="616"/>
      <c r="BA32" s="616"/>
      <c r="BB32" s="616"/>
      <c r="BC32" s="616"/>
      <c r="BD32" s="616"/>
      <c r="BF32" s="616"/>
      <c r="BI32" s="304"/>
    </row>
    <row r="33" spans="1:61" ht="14.5">
      <c r="A33" s="201" t="s">
        <v>90</v>
      </c>
      <c r="F33" s="624"/>
      <c r="H33" s="554"/>
      <c r="P33" s="625"/>
      <c r="R33" s="616"/>
      <c r="S33" s="616"/>
      <c r="T33" s="616"/>
      <c r="U33" s="616"/>
      <c r="V33" s="616"/>
      <c r="W33" s="616"/>
      <c r="X33" s="616"/>
      <c r="Y33" s="616"/>
      <c r="Z33" s="316"/>
      <c r="AA33" s="616"/>
      <c r="AC33" s="616"/>
      <c r="AE33" s="616"/>
      <c r="AG33" s="616"/>
      <c r="AH33" s="316"/>
      <c r="AI33" s="616"/>
      <c r="AJ33" s="616"/>
      <c r="AK33" s="616"/>
      <c r="AL33" s="616"/>
      <c r="AM33" s="616"/>
      <c r="AN33" s="616"/>
      <c r="AO33" s="616"/>
      <c r="AP33" s="616"/>
      <c r="AS33" s="616"/>
      <c r="AU33" s="616"/>
      <c r="AW33" s="616"/>
      <c r="AX33" s="616"/>
      <c r="AY33" s="616"/>
      <c r="AZ33" s="616"/>
      <c r="BA33" s="616"/>
      <c r="BB33" s="616"/>
      <c r="BC33" s="616"/>
      <c r="BD33" s="616"/>
      <c r="BI33" s="201" t="s">
        <v>90</v>
      </c>
    </row>
    <row r="34" spans="1:61" ht="14.5">
      <c r="A34" s="304">
        <v>300</v>
      </c>
      <c r="B34" s="609" t="s">
        <v>1469</v>
      </c>
      <c r="F34" s="624"/>
      <c r="H34" s="619">
        <v>-6537338076</v>
      </c>
      <c r="J34" s="619">
        <v>-967358790</v>
      </c>
      <c r="K34" s="616"/>
      <c r="L34" s="619">
        <v>-577410203</v>
      </c>
      <c r="M34" s="616"/>
      <c r="N34" s="619">
        <v>-389961967</v>
      </c>
      <c r="O34" s="304"/>
      <c r="P34" s="523"/>
      <c r="Q34" s="304"/>
      <c r="R34" s="619">
        <v>143301951</v>
      </c>
      <c r="S34" s="616"/>
      <c r="T34" s="619">
        <v>-533263918</v>
      </c>
      <c r="U34" s="616"/>
      <c r="V34" s="619">
        <v>0</v>
      </c>
      <c r="W34" s="616"/>
      <c r="X34" s="619">
        <v>-389961967</v>
      </c>
      <c r="Y34" s="616"/>
      <c r="Z34" s="316"/>
      <c r="AA34" s="616"/>
      <c r="AB34" s="619">
        <v>31542348.201684125</v>
      </c>
      <c r="AC34" s="616"/>
      <c r="AD34" s="619">
        <v>-39417200.751207225</v>
      </c>
      <c r="AE34" s="616"/>
      <c r="AF34" s="619">
        <v>0</v>
      </c>
      <c r="AG34" s="616"/>
      <c r="AH34" s="316"/>
      <c r="AI34" s="616"/>
      <c r="AJ34" s="619">
        <v>111759602.79695471</v>
      </c>
      <c r="AK34" s="616"/>
      <c r="AL34" s="619">
        <v>-493846716.89575255</v>
      </c>
      <c r="AM34" s="616"/>
      <c r="AN34" s="619">
        <v>0</v>
      </c>
      <c r="AO34" s="616"/>
      <c r="AP34" s="619">
        <v>-382087114.09879768</v>
      </c>
      <c r="AR34" s="619">
        <v>13877289.495001504</v>
      </c>
      <c r="AS34" s="616"/>
      <c r="AT34" s="619">
        <v>-14750406.853601253</v>
      </c>
      <c r="AU34" s="616"/>
      <c r="AV34" s="619">
        <v>0</v>
      </c>
      <c r="AW34" s="616"/>
      <c r="AX34" s="619">
        <v>97882313.301953197</v>
      </c>
      <c r="AY34" s="616"/>
      <c r="AZ34" s="619">
        <v>-479096310.04215127</v>
      </c>
      <c r="BA34" s="616"/>
      <c r="BB34" s="619">
        <v>0</v>
      </c>
      <c r="BC34" s="616"/>
      <c r="BD34" s="619">
        <v>-381213996.74019814</v>
      </c>
      <c r="BF34" s="619">
        <v>-529343312</v>
      </c>
      <c r="BI34" s="304">
        <v>300</v>
      </c>
    </row>
    <row r="35" spans="1:61" ht="14.5">
      <c r="A35" s="304">
        <v>301</v>
      </c>
      <c r="B35" s="620" t="s">
        <v>1470</v>
      </c>
      <c r="F35" s="624" t="s">
        <v>1443</v>
      </c>
      <c r="H35" s="621">
        <v>17450347.033142857</v>
      </c>
      <c r="J35" s="621">
        <v>6107621.4616</v>
      </c>
      <c r="K35" s="616"/>
      <c r="L35" s="621">
        <v>3664573.085138143</v>
      </c>
      <c r="M35" s="616"/>
      <c r="N35" s="621">
        <v>2443048.376461857</v>
      </c>
      <c r="P35" s="626" t="s">
        <v>1444</v>
      </c>
      <c r="R35" s="616">
        <v>0</v>
      </c>
      <c r="S35" s="616"/>
      <c r="T35" s="616">
        <v>2443048.376461857</v>
      </c>
      <c r="U35" s="616"/>
      <c r="V35" s="616">
        <v>0</v>
      </c>
      <c r="W35" s="616"/>
      <c r="X35" s="616">
        <v>2443048.376461857</v>
      </c>
      <c r="Y35" s="616"/>
      <c r="Z35" s="316" t="s">
        <v>1471</v>
      </c>
      <c r="AA35" s="616"/>
      <c r="AB35" s="616">
        <v>0</v>
      </c>
      <c r="AC35" s="616"/>
      <c r="AD35" s="621">
        <v>180582.49417066458</v>
      </c>
      <c r="AE35" s="616"/>
      <c r="AF35" s="616">
        <v>0</v>
      </c>
      <c r="AG35" s="616"/>
      <c r="AH35" s="316" t="s">
        <v>1446</v>
      </c>
      <c r="AI35" s="616"/>
      <c r="AJ35" s="315">
        <v>0</v>
      </c>
      <c r="AK35" s="616"/>
      <c r="AL35" s="315">
        <v>2262465.8822911922</v>
      </c>
      <c r="AM35" s="616"/>
      <c r="AN35" s="315">
        <v>0</v>
      </c>
      <c r="AO35" s="616"/>
      <c r="AP35" s="616">
        <v>2262465.8822911922</v>
      </c>
      <c r="AR35" s="616">
        <v>0</v>
      </c>
      <c r="AS35" s="616"/>
      <c r="AT35" s="621">
        <v>67576.215640193026</v>
      </c>
      <c r="AU35" s="616"/>
      <c r="AV35" s="616">
        <v>0</v>
      </c>
      <c r="AW35" s="616"/>
      <c r="AX35" s="315">
        <v>0</v>
      </c>
      <c r="AY35" s="616"/>
      <c r="AZ35" s="315">
        <v>2194889.6666509993</v>
      </c>
      <c r="BA35" s="616"/>
      <c r="BB35" s="315">
        <v>0</v>
      </c>
      <c r="BC35" s="616"/>
      <c r="BD35" s="616">
        <v>2194889.6666509993</v>
      </c>
      <c r="BF35" s="616">
        <v>3047763.6575155091</v>
      </c>
      <c r="BI35" s="304">
        <v>301</v>
      </c>
    </row>
    <row r="36" spans="1:61" ht="14.5">
      <c r="A36" s="304">
        <v>302</v>
      </c>
      <c r="B36" s="620" t="s">
        <v>1472</v>
      </c>
      <c r="F36" s="624" t="s">
        <v>1443</v>
      </c>
      <c r="H36" s="621">
        <v>-147065142.85714287</v>
      </c>
      <c r="J36" s="621">
        <v>-51472800</v>
      </c>
      <c r="K36" s="616"/>
      <c r="L36" s="621">
        <v>-30883680.335588321</v>
      </c>
      <c r="M36" s="616"/>
      <c r="N36" s="621">
        <v>-20589119.664411679</v>
      </c>
      <c r="P36" s="626" t="s">
        <v>1444</v>
      </c>
      <c r="R36" s="616">
        <v>0</v>
      </c>
      <c r="S36" s="616"/>
      <c r="T36" s="616">
        <v>-20589119.664411679</v>
      </c>
      <c r="U36" s="616"/>
      <c r="V36" s="616">
        <v>0</v>
      </c>
      <c r="W36" s="616"/>
      <c r="X36" s="616">
        <v>-20589119.664411679</v>
      </c>
      <c r="Y36" s="616"/>
      <c r="Z36" s="316" t="s">
        <v>1471</v>
      </c>
      <c r="AA36" s="616"/>
      <c r="AB36" s="616">
        <v>0</v>
      </c>
      <c r="AC36" s="616"/>
      <c r="AD36" s="621">
        <v>-1521883.323146625</v>
      </c>
      <c r="AE36" s="616"/>
      <c r="AF36" s="616">
        <v>0</v>
      </c>
      <c r="AG36" s="616"/>
      <c r="AH36" s="316" t="s">
        <v>1446</v>
      </c>
      <c r="AI36" s="616"/>
      <c r="AJ36" s="315">
        <v>0</v>
      </c>
      <c r="AK36" s="616"/>
      <c r="AL36" s="315">
        <v>-19067236.341265053</v>
      </c>
      <c r="AM36" s="616"/>
      <c r="AN36" s="315">
        <v>0</v>
      </c>
      <c r="AO36" s="616"/>
      <c r="AP36" s="616">
        <v>-19067236.341265053</v>
      </c>
      <c r="AR36" s="616">
        <v>0</v>
      </c>
      <c r="AS36" s="616"/>
      <c r="AT36" s="621">
        <v>-569507.6706991049</v>
      </c>
      <c r="AU36" s="616"/>
      <c r="AV36" s="616">
        <v>0</v>
      </c>
      <c r="AW36" s="616"/>
      <c r="AX36" s="315">
        <v>0</v>
      </c>
      <c r="AY36" s="616"/>
      <c r="AZ36" s="315">
        <v>-18497728.670565948</v>
      </c>
      <c r="BA36" s="616"/>
      <c r="BB36" s="315">
        <v>0</v>
      </c>
      <c r="BC36" s="616"/>
      <c r="BD36" s="616">
        <v>-18497728.670565948</v>
      </c>
      <c r="BF36" s="616">
        <v>-25685439.247957334</v>
      </c>
      <c r="BI36" s="304">
        <v>302</v>
      </c>
    </row>
    <row r="37" spans="1:61" ht="14.5">
      <c r="A37" s="304">
        <v>303</v>
      </c>
      <c r="B37" s="620" t="s">
        <v>1473</v>
      </c>
      <c r="F37" s="624" t="s">
        <v>1443</v>
      </c>
      <c r="H37" s="621">
        <v>-274950118.55085713</v>
      </c>
      <c r="J37" s="621">
        <v>-96232541.492799997</v>
      </c>
      <c r="K37" s="616"/>
      <c r="L37" s="621">
        <v>-57739525.206700422</v>
      </c>
      <c r="M37" s="616"/>
      <c r="N37" s="621">
        <v>-38493016.286099583</v>
      </c>
      <c r="P37" s="626" t="s">
        <v>1444</v>
      </c>
      <c r="R37" s="616">
        <v>0</v>
      </c>
      <c r="S37" s="616"/>
      <c r="T37" s="616">
        <v>-38493016.286099583</v>
      </c>
      <c r="U37" s="616"/>
      <c r="V37" s="616">
        <v>0</v>
      </c>
      <c r="W37" s="616"/>
      <c r="X37" s="616">
        <v>-38493016.286099583</v>
      </c>
      <c r="Y37" s="616"/>
      <c r="Z37" s="316" t="s">
        <v>1471</v>
      </c>
      <c r="AA37" s="616"/>
      <c r="AB37" s="616">
        <v>0</v>
      </c>
      <c r="AC37" s="616"/>
      <c r="AD37" s="621">
        <v>-2845283.3583111009</v>
      </c>
      <c r="AE37" s="616"/>
      <c r="AF37" s="616">
        <v>0</v>
      </c>
      <c r="AG37" s="616"/>
      <c r="AH37" s="316" t="s">
        <v>1446</v>
      </c>
      <c r="AI37" s="616"/>
      <c r="AJ37" s="315">
        <v>0</v>
      </c>
      <c r="AK37" s="616"/>
      <c r="AL37" s="315">
        <v>-35647732.927788481</v>
      </c>
      <c r="AM37" s="616"/>
      <c r="AN37" s="315">
        <v>0</v>
      </c>
      <c r="AO37" s="616"/>
      <c r="AP37" s="616">
        <v>-35647732.927788481</v>
      </c>
      <c r="AR37" s="616">
        <v>0</v>
      </c>
      <c r="AS37" s="616"/>
      <c r="AT37" s="621">
        <v>-1064740.4260402455</v>
      </c>
      <c r="AU37" s="616"/>
      <c r="AV37" s="616">
        <v>0</v>
      </c>
      <c r="AW37" s="616"/>
      <c r="AX37" s="315">
        <v>0</v>
      </c>
      <c r="AY37" s="616"/>
      <c r="AZ37" s="315">
        <v>-34582992.501748234</v>
      </c>
      <c r="BA37" s="616"/>
      <c r="BB37" s="315">
        <v>0</v>
      </c>
      <c r="BC37" s="616"/>
      <c r="BD37" s="616">
        <v>-34582992.501748234</v>
      </c>
      <c r="BF37" s="616">
        <v>-48020995.914469801</v>
      </c>
      <c r="BI37" s="304">
        <v>303</v>
      </c>
    </row>
    <row r="38" spans="1:61" ht="14.5">
      <c r="A38" s="304">
        <v>304</v>
      </c>
      <c r="B38" s="620" t="s">
        <v>1474</v>
      </c>
      <c r="F38" s="624" t="s">
        <v>1443</v>
      </c>
      <c r="H38" s="621">
        <v>-158580905.14514288</v>
      </c>
      <c r="J38" s="621">
        <v>-55503316.800800003</v>
      </c>
      <c r="K38" s="616"/>
      <c r="L38" s="621">
        <v>-33301990.229054164</v>
      </c>
      <c r="M38" s="616"/>
      <c r="N38" s="621">
        <v>-22201326.571745835</v>
      </c>
      <c r="P38" s="626" t="s">
        <v>1444</v>
      </c>
      <c r="R38" s="616">
        <v>0</v>
      </c>
      <c r="S38" s="616"/>
      <c r="T38" s="616">
        <v>-22201326.571745835</v>
      </c>
      <c r="U38" s="616"/>
      <c r="V38" s="616">
        <v>0</v>
      </c>
      <c r="W38" s="616"/>
      <c r="X38" s="616">
        <v>-22201326.571745835</v>
      </c>
      <c r="Y38" s="616"/>
      <c r="Z38" s="316" t="s">
        <v>1471</v>
      </c>
      <c r="AA38" s="616"/>
      <c r="AB38" s="616">
        <v>0</v>
      </c>
      <c r="AC38" s="616"/>
      <c r="AD38" s="621">
        <v>-1641052.6147785876</v>
      </c>
      <c r="AE38" s="616"/>
      <c r="AF38" s="616">
        <v>0</v>
      </c>
      <c r="AG38" s="616"/>
      <c r="AH38" s="316" t="s">
        <v>1446</v>
      </c>
      <c r="AI38" s="616"/>
      <c r="AJ38" s="315">
        <v>0</v>
      </c>
      <c r="AK38" s="616"/>
      <c r="AL38" s="315">
        <v>-20560273.95696725</v>
      </c>
      <c r="AM38" s="616"/>
      <c r="AN38" s="315">
        <v>0</v>
      </c>
      <c r="AO38" s="616"/>
      <c r="AP38" s="616">
        <v>-20560273.95696725</v>
      </c>
      <c r="AR38" s="616">
        <v>0</v>
      </c>
      <c r="AS38" s="616"/>
      <c r="AT38" s="621">
        <v>-614102.30201148358</v>
      </c>
      <c r="AU38" s="616"/>
      <c r="AV38" s="616">
        <v>0</v>
      </c>
      <c r="AW38" s="616"/>
      <c r="AX38" s="315">
        <v>0</v>
      </c>
      <c r="AY38" s="616"/>
      <c r="AZ38" s="315">
        <v>-19946171.654955767</v>
      </c>
      <c r="BA38" s="616"/>
      <c r="BB38" s="315">
        <v>0</v>
      </c>
      <c r="BC38" s="616"/>
      <c r="BD38" s="616">
        <v>-19946171.654955767</v>
      </c>
      <c r="BF38" s="616">
        <v>-27696707.492954057</v>
      </c>
      <c r="BI38" s="304">
        <v>304</v>
      </c>
    </row>
    <row r="39" spans="1:61" ht="14.5">
      <c r="A39" s="304">
        <v>305</v>
      </c>
      <c r="B39" s="620" t="s">
        <v>1475</v>
      </c>
      <c r="F39" s="624" t="s">
        <v>1443</v>
      </c>
      <c r="H39" s="621">
        <v>-3991847.7600000002</v>
      </c>
      <c r="J39" s="621">
        <v>-1397146.716</v>
      </c>
      <c r="K39" s="616"/>
      <c r="L39" s="621">
        <v>-838288.11376799992</v>
      </c>
      <c r="M39" s="616"/>
      <c r="N39" s="621">
        <v>-558858.60223200009</v>
      </c>
      <c r="P39" s="626" t="s">
        <v>1444</v>
      </c>
      <c r="R39" s="616">
        <v>0</v>
      </c>
      <c r="S39" s="616"/>
      <c r="T39" s="616">
        <v>-558858.60223200009</v>
      </c>
      <c r="U39" s="616"/>
      <c r="V39" s="616">
        <v>0</v>
      </c>
      <c r="W39" s="616"/>
      <c r="X39" s="616">
        <v>-558858.60223200009</v>
      </c>
      <c r="Y39" s="616"/>
      <c r="Z39" s="316" t="s">
        <v>1471</v>
      </c>
      <c r="AA39" s="616"/>
      <c r="AB39" s="616">
        <v>0</v>
      </c>
      <c r="AC39" s="616"/>
      <c r="AD39" s="621">
        <v>-41309.079775957347</v>
      </c>
      <c r="AE39" s="616"/>
      <c r="AF39" s="616">
        <v>0</v>
      </c>
      <c r="AG39" s="616"/>
      <c r="AH39" s="316" t="s">
        <v>1446</v>
      </c>
      <c r="AI39" s="616"/>
      <c r="AJ39" s="315">
        <v>0</v>
      </c>
      <c r="AK39" s="616"/>
      <c r="AL39" s="315">
        <v>-517549.52245604276</v>
      </c>
      <c r="AM39" s="616"/>
      <c r="AN39" s="315">
        <v>0</v>
      </c>
      <c r="AO39" s="616"/>
      <c r="AP39" s="616">
        <v>-517549.52245604276</v>
      </c>
      <c r="AR39" s="616">
        <v>0</v>
      </c>
      <c r="AS39" s="616"/>
      <c r="AT39" s="621">
        <v>-15458.371508590602</v>
      </c>
      <c r="AU39" s="616"/>
      <c r="AV39" s="616">
        <v>0</v>
      </c>
      <c r="AW39" s="616"/>
      <c r="AX39" s="315">
        <v>0</v>
      </c>
      <c r="AY39" s="616"/>
      <c r="AZ39" s="315">
        <v>-502091.15094745217</v>
      </c>
      <c r="BA39" s="616"/>
      <c r="BB39" s="315">
        <v>0</v>
      </c>
      <c r="BC39" s="616"/>
      <c r="BD39" s="616">
        <v>-502091.15094745217</v>
      </c>
      <c r="BF39" s="616">
        <v>-697190.01636773313</v>
      </c>
      <c r="BI39" s="304">
        <v>305</v>
      </c>
    </row>
    <row r="40" spans="1:61" ht="14.5">
      <c r="A40" s="304">
        <v>306</v>
      </c>
      <c r="B40" s="620" t="s">
        <v>1476</v>
      </c>
      <c r="F40" s="624" t="s">
        <v>1443</v>
      </c>
      <c r="H40" s="621">
        <v>380491.42857142858</v>
      </c>
      <c r="J40" s="621">
        <v>133172</v>
      </c>
      <c r="K40" s="616"/>
      <c r="L40" s="621">
        <v>79903.251144966285</v>
      </c>
      <c r="M40" s="616"/>
      <c r="N40" s="621">
        <v>53268.748855033715</v>
      </c>
      <c r="P40" s="626" t="s">
        <v>1444</v>
      </c>
      <c r="R40" s="616">
        <v>0</v>
      </c>
      <c r="S40" s="616"/>
      <c r="T40" s="616">
        <v>53268.748855033715</v>
      </c>
      <c r="U40" s="616"/>
      <c r="V40" s="616">
        <v>0</v>
      </c>
      <c r="W40" s="616"/>
      <c r="X40" s="616">
        <v>53268.748855033715</v>
      </c>
      <c r="Y40" s="616"/>
      <c r="Z40" s="316" t="s">
        <v>1471</v>
      </c>
      <c r="AA40" s="616"/>
      <c r="AB40" s="616">
        <v>0</v>
      </c>
      <c r="AC40" s="616"/>
      <c r="AD40" s="621">
        <v>3937.4592915446137</v>
      </c>
      <c r="AE40" s="616"/>
      <c r="AF40" s="616">
        <v>0</v>
      </c>
      <c r="AG40" s="616"/>
      <c r="AH40" s="316" t="s">
        <v>1446</v>
      </c>
      <c r="AI40" s="616"/>
      <c r="AJ40" s="315">
        <v>0</v>
      </c>
      <c r="AK40" s="616"/>
      <c r="AL40" s="315">
        <v>49331.289563489103</v>
      </c>
      <c r="AM40" s="616"/>
      <c r="AN40" s="315">
        <v>0</v>
      </c>
      <c r="AO40" s="616"/>
      <c r="AP40" s="616">
        <v>49331.289563489103</v>
      </c>
      <c r="AR40" s="616">
        <v>0</v>
      </c>
      <c r="AS40" s="616"/>
      <c r="AT40" s="621">
        <v>1473.446246170658</v>
      </c>
      <c r="AU40" s="616"/>
      <c r="AV40" s="616">
        <v>0</v>
      </c>
      <c r="AW40" s="616"/>
      <c r="AX40" s="315">
        <v>0</v>
      </c>
      <c r="AY40" s="616"/>
      <c r="AZ40" s="315">
        <v>47857.843317318446</v>
      </c>
      <c r="BA40" s="616"/>
      <c r="BB40" s="315">
        <v>0</v>
      </c>
      <c r="BC40" s="616"/>
      <c r="BD40" s="616">
        <v>47857.843317318446</v>
      </c>
      <c r="BF40" s="616">
        <v>66454.090064649776</v>
      </c>
      <c r="BI40" s="304">
        <v>306</v>
      </c>
    </row>
    <row r="41" spans="1:61" ht="14.5">
      <c r="A41" s="304">
        <v>307</v>
      </c>
      <c r="B41" s="620" t="s">
        <v>1477</v>
      </c>
      <c r="F41" s="624" t="s">
        <v>1443</v>
      </c>
      <c r="H41" s="621">
        <v>-834502531.42857146</v>
      </c>
      <c r="J41" s="621">
        <v>-292075886</v>
      </c>
      <c r="K41" s="616"/>
      <c r="L41" s="621">
        <v>-175245531.22331384</v>
      </c>
      <c r="M41" s="616"/>
      <c r="N41" s="621">
        <v>-116830354.77668616</v>
      </c>
      <c r="P41" s="626" t="s">
        <v>1444</v>
      </c>
      <c r="R41" s="616">
        <v>0</v>
      </c>
      <c r="S41" s="616"/>
      <c r="T41" s="616">
        <v>-116830354.77668616</v>
      </c>
      <c r="U41" s="616"/>
      <c r="V41" s="616">
        <v>0</v>
      </c>
      <c r="W41" s="616"/>
      <c r="X41" s="616">
        <v>-116830354.77668616</v>
      </c>
      <c r="Y41" s="616"/>
      <c r="Z41" s="316" t="s">
        <v>1471</v>
      </c>
      <c r="AA41" s="616"/>
      <c r="AB41" s="616">
        <v>0</v>
      </c>
      <c r="AC41" s="616"/>
      <c r="AD41" s="621">
        <v>-8635734.3815565649</v>
      </c>
      <c r="AE41" s="616"/>
      <c r="AF41" s="616">
        <v>0</v>
      </c>
      <c r="AG41" s="616"/>
      <c r="AH41" s="316" t="s">
        <v>1446</v>
      </c>
      <c r="AI41" s="616"/>
      <c r="AJ41" s="315">
        <v>0</v>
      </c>
      <c r="AK41" s="616"/>
      <c r="AL41" s="315">
        <v>-108194620.39512959</v>
      </c>
      <c r="AM41" s="616"/>
      <c r="AN41" s="315">
        <v>0</v>
      </c>
      <c r="AO41" s="616"/>
      <c r="AP41" s="616">
        <v>-108194620.39512959</v>
      </c>
      <c r="AR41" s="616">
        <v>0</v>
      </c>
      <c r="AS41" s="616"/>
      <c r="AT41" s="621">
        <v>-3231599.2281509629</v>
      </c>
      <c r="AU41" s="616"/>
      <c r="AV41" s="616">
        <v>0</v>
      </c>
      <c r="AW41" s="616"/>
      <c r="AX41" s="315">
        <v>0</v>
      </c>
      <c r="AY41" s="616"/>
      <c r="AZ41" s="315">
        <v>-104963021.16697863</v>
      </c>
      <c r="BA41" s="616"/>
      <c r="BB41" s="315">
        <v>0</v>
      </c>
      <c r="BC41" s="616"/>
      <c r="BD41" s="616">
        <v>-104963021.16697863</v>
      </c>
      <c r="BF41" s="616">
        <v>-145748775.51082617</v>
      </c>
      <c r="BI41" s="304">
        <v>307</v>
      </c>
    </row>
    <row r="42" spans="1:61" ht="14.5">
      <c r="A42" s="304">
        <v>308</v>
      </c>
      <c r="B42" s="620" t="s">
        <v>1478</v>
      </c>
      <c r="F42" s="624" t="s">
        <v>1443</v>
      </c>
      <c r="H42" s="621">
        <v>1137009073.8537145</v>
      </c>
      <c r="J42" s="621">
        <v>397953175.8488</v>
      </c>
      <c r="K42" s="616"/>
      <c r="L42" s="621">
        <v>238771905.94613707</v>
      </c>
      <c r="M42" s="616"/>
      <c r="N42" s="621">
        <v>159181269.90266293</v>
      </c>
      <c r="P42" s="626" t="s">
        <v>1444</v>
      </c>
      <c r="R42" s="616">
        <v>159181269.90266293</v>
      </c>
      <c r="S42" s="616"/>
      <c r="T42" s="616"/>
      <c r="U42" s="616"/>
      <c r="V42" s="616">
        <v>0</v>
      </c>
      <c r="W42" s="616"/>
      <c r="X42" s="616">
        <v>159181269.90266293</v>
      </c>
      <c r="Y42" s="616"/>
      <c r="Z42" s="316" t="s">
        <v>1445</v>
      </c>
      <c r="AA42" s="616"/>
      <c r="AB42" s="621">
        <v>35037562.346263848</v>
      </c>
      <c r="AC42" s="616"/>
      <c r="AD42" s="616">
        <v>0</v>
      </c>
      <c r="AE42" s="616"/>
      <c r="AF42" s="616">
        <v>0</v>
      </c>
      <c r="AG42" s="616"/>
      <c r="AH42" s="316" t="s">
        <v>1446</v>
      </c>
      <c r="AI42" s="616"/>
      <c r="AJ42" s="315">
        <v>124143707.55639908</v>
      </c>
      <c r="AK42" s="616"/>
      <c r="AL42" s="315">
        <v>0</v>
      </c>
      <c r="AM42" s="616"/>
      <c r="AN42" s="315">
        <v>0</v>
      </c>
      <c r="AO42" s="616"/>
      <c r="AP42" s="616">
        <v>124143707.55639908</v>
      </c>
      <c r="AR42" s="621">
        <v>15415034.821418487</v>
      </c>
      <c r="AS42" s="616"/>
      <c r="AT42" s="616"/>
      <c r="AU42" s="616"/>
      <c r="AV42" s="616">
        <v>0</v>
      </c>
      <c r="AW42" s="616"/>
      <c r="AX42" s="315">
        <v>108728672.73498058</v>
      </c>
      <c r="AY42" s="616"/>
      <c r="AZ42" s="315">
        <v>0</v>
      </c>
      <c r="BA42" s="616"/>
      <c r="BB42" s="315">
        <v>0</v>
      </c>
      <c r="BC42" s="616"/>
      <c r="BD42" s="616">
        <v>108728672.73498058</v>
      </c>
      <c r="BF42" s="616">
        <v>150977656.11024791</v>
      </c>
      <c r="BI42" s="304">
        <v>308</v>
      </c>
    </row>
    <row r="43" spans="1:61" ht="14.5">
      <c r="A43" s="304">
        <v>309</v>
      </c>
      <c r="B43" s="620" t="s">
        <v>1479</v>
      </c>
      <c r="F43" s="624" t="s">
        <v>1443</v>
      </c>
      <c r="H43" s="621">
        <v>-1894448.5714285716</v>
      </c>
      <c r="J43" s="621">
        <v>-663057</v>
      </c>
      <c r="K43" s="616"/>
      <c r="L43" s="621">
        <v>-397834</v>
      </c>
      <c r="M43" s="616"/>
      <c r="N43" s="621">
        <v>-265223</v>
      </c>
      <c r="P43" s="626" t="s">
        <v>1444</v>
      </c>
      <c r="R43" s="616">
        <v>0</v>
      </c>
      <c r="S43" s="616"/>
      <c r="T43" s="616">
        <v>-265223</v>
      </c>
      <c r="U43" s="616"/>
      <c r="V43" s="616">
        <v>0</v>
      </c>
      <c r="W43" s="616"/>
      <c r="X43" s="616">
        <v>-265223</v>
      </c>
      <c r="Y43" s="616"/>
      <c r="Z43" s="316" t="s">
        <v>1471</v>
      </c>
      <c r="AA43" s="616"/>
      <c r="AB43" s="616">
        <v>0</v>
      </c>
      <c r="AC43" s="616"/>
      <c r="AD43" s="621">
        <v>-19604.454546573299</v>
      </c>
      <c r="AE43" s="616"/>
      <c r="AF43" s="616">
        <v>0</v>
      </c>
      <c r="AG43" s="616"/>
      <c r="AH43" s="316" t="s">
        <v>1446</v>
      </c>
      <c r="AI43" s="616"/>
      <c r="AJ43" s="315">
        <v>0</v>
      </c>
      <c r="AK43" s="616"/>
      <c r="AL43" s="315">
        <v>-245618.54545342669</v>
      </c>
      <c r="AM43" s="616"/>
      <c r="AN43" s="315">
        <v>0</v>
      </c>
      <c r="AO43" s="616"/>
      <c r="AP43" s="616">
        <v>-245618.54545342669</v>
      </c>
      <c r="AR43" s="616">
        <v>0</v>
      </c>
      <c r="AS43" s="616"/>
      <c r="AT43" s="621">
        <v>-7336.2307572048767</v>
      </c>
      <c r="AU43" s="616"/>
      <c r="AV43" s="616">
        <v>0</v>
      </c>
      <c r="AW43" s="616"/>
      <c r="AX43" s="315">
        <v>0</v>
      </c>
      <c r="AY43" s="616"/>
      <c r="AZ43" s="315">
        <v>-238282.31469622182</v>
      </c>
      <c r="BA43" s="616"/>
      <c r="BB43" s="315">
        <v>0</v>
      </c>
      <c r="BC43" s="616"/>
      <c r="BD43" s="616">
        <v>-238282.31469622182</v>
      </c>
      <c r="BF43" s="616">
        <v>-330872.29394446517</v>
      </c>
      <c r="BI43" s="304">
        <v>309</v>
      </c>
    </row>
    <row r="44" spans="1:61" ht="14.5">
      <c r="A44" s="304">
        <v>310</v>
      </c>
      <c r="B44" s="620" t="s">
        <v>1480</v>
      </c>
      <c r="F44" s="624" t="s">
        <v>1443</v>
      </c>
      <c r="H44" s="621">
        <v>-9975239.2251428571</v>
      </c>
      <c r="J44" s="621">
        <v>-3491333.7287999997</v>
      </c>
      <c r="K44" s="616"/>
      <c r="L44" s="621">
        <v>-2094800.7143676016</v>
      </c>
      <c r="M44" s="616"/>
      <c r="N44" s="621">
        <v>-1396533.0144323986</v>
      </c>
      <c r="P44" s="626" t="s">
        <v>1444</v>
      </c>
      <c r="R44" s="616">
        <v>0</v>
      </c>
      <c r="S44" s="616"/>
      <c r="T44" s="616">
        <v>-1396533.0144323986</v>
      </c>
      <c r="U44" s="616"/>
      <c r="V44" s="616">
        <v>0</v>
      </c>
      <c r="W44" s="616"/>
      <c r="X44" s="616">
        <v>-1396533.0144323986</v>
      </c>
      <c r="Y44" s="616"/>
      <c r="Z44" s="316" t="s">
        <v>1471</v>
      </c>
      <c r="AA44" s="616"/>
      <c r="AB44" s="616">
        <v>0</v>
      </c>
      <c r="AC44" s="616"/>
      <c r="AD44" s="621">
        <v>-103227.35209325342</v>
      </c>
      <c r="AE44" s="616"/>
      <c r="AF44" s="616">
        <v>0</v>
      </c>
      <c r="AG44" s="616"/>
      <c r="AH44" s="316" t="s">
        <v>1446</v>
      </c>
      <c r="AI44" s="616"/>
      <c r="AJ44" s="315">
        <v>0</v>
      </c>
      <c r="AK44" s="616"/>
      <c r="AL44" s="315">
        <v>-1293305.6623391451</v>
      </c>
      <c r="AM44" s="616"/>
      <c r="AN44" s="315">
        <v>0</v>
      </c>
      <c r="AO44" s="616"/>
      <c r="AP44" s="616">
        <v>-1293305.6623391451</v>
      </c>
      <c r="AR44" s="616">
        <v>0</v>
      </c>
      <c r="AS44" s="616"/>
      <c r="AT44" s="621">
        <v>-38628.959230274166</v>
      </c>
      <c r="AU44" s="616"/>
      <c r="AV44" s="616">
        <v>0</v>
      </c>
      <c r="AW44" s="616"/>
      <c r="AX44" s="315">
        <v>0</v>
      </c>
      <c r="AY44" s="616"/>
      <c r="AZ44" s="315">
        <v>-1254676.7031088709</v>
      </c>
      <c r="BA44" s="616"/>
      <c r="BB44" s="315">
        <v>0</v>
      </c>
      <c r="BC44" s="616"/>
      <c r="BD44" s="616">
        <v>-1254676.7031088709</v>
      </c>
      <c r="BF44" s="616">
        <v>-1742209.695442803</v>
      </c>
      <c r="BI44" s="304">
        <v>310</v>
      </c>
    </row>
    <row r="45" spans="1:61" ht="14.5">
      <c r="A45" s="304">
        <v>311</v>
      </c>
      <c r="B45" s="620" t="s">
        <v>1481</v>
      </c>
      <c r="F45" s="624" t="s">
        <v>1443</v>
      </c>
      <c r="H45" s="621">
        <v>83031671.970285714</v>
      </c>
      <c r="J45" s="621">
        <v>29061085.189599998</v>
      </c>
      <c r="K45" s="616"/>
      <c r="L45" s="621">
        <v>17436650.112159714</v>
      </c>
      <c r="M45" s="616"/>
      <c r="N45" s="621">
        <v>11624435.077440288</v>
      </c>
      <c r="P45" s="626" t="s">
        <v>1444</v>
      </c>
      <c r="R45" s="616">
        <v>0</v>
      </c>
      <c r="S45" s="616"/>
      <c r="T45" s="616">
        <v>11624435.077440288</v>
      </c>
      <c r="U45" s="616"/>
      <c r="V45" s="616">
        <v>0</v>
      </c>
      <c r="W45" s="616"/>
      <c r="X45" s="616">
        <v>11624435.077440288</v>
      </c>
      <c r="Y45" s="616"/>
      <c r="Z45" s="316" t="s">
        <v>1471</v>
      </c>
      <c r="AA45" s="616"/>
      <c r="AB45" s="616">
        <v>0</v>
      </c>
      <c r="AC45" s="616"/>
      <c r="AD45" s="621">
        <v>859241.87987192068</v>
      </c>
      <c r="AE45" s="616"/>
      <c r="AF45" s="616">
        <v>0</v>
      </c>
      <c r="AG45" s="616"/>
      <c r="AH45" s="316" t="s">
        <v>1446</v>
      </c>
      <c r="AI45" s="616"/>
      <c r="AJ45" s="315">
        <v>0</v>
      </c>
      <c r="AK45" s="616"/>
      <c r="AL45" s="315">
        <v>10765193.197568368</v>
      </c>
      <c r="AM45" s="616"/>
      <c r="AN45" s="315">
        <v>0</v>
      </c>
      <c r="AO45" s="616"/>
      <c r="AP45" s="616">
        <v>10765193.197568368</v>
      </c>
      <c r="AR45" s="616">
        <v>0</v>
      </c>
      <c r="AS45" s="616"/>
      <c r="AT45" s="621">
        <v>321538.99982372834</v>
      </c>
      <c r="AU45" s="616"/>
      <c r="AV45" s="616">
        <v>0</v>
      </c>
      <c r="AW45" s="616"/>
      <c r="AX45" s="315">
        <v>0</v>
      </c>
      <c r="AY45" s="616"/>
      <c r="AZ45" s="315">
        <v>10443654.19774464</v>
      </c>
      <c r="BA45" s="616"/>
      <c r="BB45" s="315">
        <v>0</v>
      </c>
      <c r="BC45" s="616"/>
      <c r="BD45" s="616">
        <v>10443654.19774464</v>
      </c>
      <c r="BF45" s="616">
        <v>14501772.093224097</v>
      </c>
      <c r="BI45" s="304">
        <v>311</v>
      </c>
    </row>
    <row r="46" spans="1:61" ht="14.5">
      <c r="A46" s="304">
        <v>312</v>
      </c>
      <c r="B46" s="620" t="s">
        <v>1482</v>
      </c>
      <c r="F46" s="624" t="s">
        <v>1443</v>
      </c>
      <c r="H46" s="621">
        <v>-207909196.3177143</v>
      </c>
      <c r="J46" s="621">
        <v>-72768218.711199999</v>
      </c>
      <c r="K46" s="616"/>
      <c r="L46" s="621">
        <v>-43663363.94237633</v>
      </c>
      <c r="M46" s="616"/>
      <c r="N46" s="621">
        <v>-29104854.768823672</v>
      </c>
      <c r="P46" s="626" t="s">
        <v>1444</v>
      </c>
      <c r="R46" s="616">
        <v>0</v>
      </c>
      <c r="S46" s="616"/>
      <c r="T46" s="616">
        <v>-29104854.768823672</v>
      </c>
      <c r="U46" s="616"/>
      <c r="V46" s="616">
        <v>0</v>
      </c>
      <c r="W46" s="616"/>
      <c r="X46" s="616">
        <v>-29104854.768823672</v>
      </c>
      <c r="Y46" s="616"/>
      <c r="Z46" s="316" t="s">
        <v>1471</v>
      </c>
      <c r="AA46" s="616"/>
      <c r="AB46" s="616">
        <v>0</v>
      </c>
      <c r="AC46" s="616"/>
      <c r="AD46" s="621">
        <v>-2151339.8249775507</v>
      </c>
      <c r="AE46" s="616"/>
      <c r="AF46" s="616">
        <v>0</v>
      </c>
      <c r="AG46" s="616"/>
      <c r="AH46" s="316" t="s">
        <v>1446</v>
      </c>
      <c r="AI46" s="616"/>
      <c r="AJ46" s="315">
        <v>0</v>
      </c>
      <c r="AK46" s="616"/>
      <c r="AL46" s="315">
        <v>-26953514.943846121</v>
      </c>
      <c r="AM46" s="616"/>
      <c r="AN46" s="315">
        <v>0</v>
      </c>
      <c r="AO46" s="616"/>
      <c r="AP46" s="616">
        <v>-26953514.943846121</v>
      </c>
      <c r="AR46" s="616">
        <v>0</v>
      </c>
      <c r="AS46" s="616"/>
      <c r="AT46" s="621">
        <v>-805058.12368846324</v>
      </c>
      <c r="AU46" s="616"/>
      <c r="AV46" s="616">
        <v>0</v>
      </c>
      <c r="AW46" s="616"/>
      <c r="AX46" s="315">
        <v>0</v>
      </c>
      <c r="AY46" s="616"/>
      <c r="AZ46" s="315">
        <v>-26148456.820157658</v>
      </c>
      <c r="BA46" s="616"/>
      <c r="BB46" s="315">
        <v>0</v>
      </c>
      <c r="BC46" s="616"/>
      <c r="BD46" s="616">
        <v>-26148456.820157658</v>
      </c>
      <c r="BF46" s="616">
        <v>-36309030.748770639</v>
      </c>
      <c r="BI46" s="304">
        <v>312</v>
      </c>
    </row>
    <row r="47" spans="1:61" ht="14.5">
      <c r="A47" s="304">
        <v>313</v>
      </c>
      <c r="B47" s="620" t="s">
        <v>1483</v>
      </c>
      <c r="F47" s="624" t="s">
        <v>1443</v>
      </c>
      <c r="H47" s="621">
        <v>-1683355111.3371432</v>
      </c>
      <c r="J47" s="621">
        <v>-589174288.96800005</v>
      </c>
      <c r="K47" s="616"/>
      <c r="L47" s="621">
        <v>-371097719.70119721</v>
      </c>
      <c r="M47" s="616"/>
      <c r="N47" s="621">
        <v>-218076569.26680282</v>
      </c>
      <c r="P47" s="626" t="s">
        <v>1444</v>
      </c>
      <c r="R47" s="616">
        <v>0</v>
      </c>
      <c r="S47" s="616"/>
      <c r="T47" s="616">
        <v>-218076569.26680282</v>
      </c>
      <c r="U47" s="616"/>
      <c r="V47" s="616">
        <v>0</v>
      </c>
      <c r="W47" s="616"/>
      <c r="X47" s="616">
        <v>-218076569.26680282</v>
      </c>
      <c r="Y47" s="616"/>
      <c r="Z47" s="316" t="s">
        <v>1471</v>
      </c>
      <c r="AA47" s="616"/>
      <c r="AB47" s="616">
        <v>0</v>
      </c>
      <c r="AC47" s="616"/>
      <c r="AD47" s="621">
        <v>-16119537.8600788</v>
      </c>
      <c r="AE47" s="616"/>
      <c r="AF47" s="616">
        <v>0</v>
      </c>
      <c r="AG47" s="616"/>
      <c r="AH47" s="316" t="s">
        <v>1446</v>
      </c>
      <c r="AI47" s="616"/>
      <c r="AJ47" s="315">
        <v>0</v>
      </c>
      <c r="AK47" s="616"/>
      <c r="AL47" s="315">
        <v>-201957031.40672401</v>
      </c>
      <c r="AM47" s="616"/>
      <c r="AN47" s="315">
        <v>0</v>
      </c>
      <c r="AO47" s="616"/>
      <c r="AP47" s="616">
        <v>-201957031.40672401</v>
      </c>
      <c r="AR47" s="616">
        <v>0</v>
      </c>
      <c r="AS47" s="616"/>
      <c r="AT47" s="621">
        <v>-6032131.5831614854</v>
      </c>
      <c r="AU47" s="616"/>
      <c r="AV47" s="616">
        <v>0</v>
      </c>
      <c r="AW47" s="616"/>
      <c r="AX47" s="315">
        <v>0</v>
      </c>
      <c r="AY47" s="616"/>
      <c r="AZ47" s="315">
        <v>-195924899.82356253</v>
      </c>
      <c r="BA47" s="616"/>
      <c r="BB47" s="315">
        <v>0</v>
      </c>
      <c r="BC47" s="616"/>
      <c r="BD47" s="616">
        <v>-195924899.82356253</v>
      </c>
      <c r="BF47" s="616">
        <v>-272055948.12232006</v>
      </c>
      <c r="BI47" s="304">
        <v>313</v>
      </c>
    </row>
    <row r="48" spans="1:61" ht="14.5">
      <c r="A48" s="304">
        <v>314</v>
      </c>
      <c r="B48" s="620" t="s">
        <v>1484</v>
      </c>
      <c r="F48" s="624" t="s">
        <v>1443</v>
      </c>
      <c r="H48" s="621">
        <v>-101522514.08000001</v>
      </c>
      <c r="J48" s="621">
        <v>-35532879.928000003</v>
      </c>
      <c r="K48" s="616"/>
      <c r="L48" s="621">
        <v>-377579.07885599998</v>
      </c>
      <c r="M48" s="616"/>
      <c r="N48" s="621">
        <v>-35155300.849143997</v>
      </c>
      <c r="P48" s="626" t="s">
        <v>1444</v>
      </c>
      <c r="R48" s="616">
        <v>0</v>
      </c>
      <c r="S48" s="616"/>
      <c r="T48" s="616">
        <v>-35155300.849143997</v>
      </c>
      <c r="U48" s="616"/>
      <c r="V48" s="616">
        <v>0</v>
      </c>
      <c r="W48" s="616"/>
      <c r="X48" s="616">
        <v>-35155300.849143997</v>
      </c>
      <c r="Y48" s="616"/>
      <c r="Z48" s="316" t="s">
        <v>1471</v>
      </c>
      <c r="AA48" s="616"/>
      <c r="AB48" s="616">
        <v>0</v>
      </c>
      <c r="AC48" s="616"/>
      <c r="AD48" s="621">
        <v>-2598569.8735334165</v>
      </c>
      <c r="AE48" s="616"/>
      <c r="AF48" s="616">
        <v>0</v>
      </c>
      <c r="AG48" s="616"/>
      <c r="AH48" s="316" t="s">
        <v>1446</v>
      </c>
      <c r="AI48" s="616"/>
      <c r="AJ48" s="315">
        <v>0</v>
      </c>
      <c r="AK48" s="616"/>
      <c r="AL48" s="315">
        <v>-32556730.97561058</v>
      </c>
      <c r="AM48" s="616"/>
      <c r="AN48" s="315">
        <v>0</v>
      </c>
      <c r="AO48" s="616"/>
      <c r="AP48" s="616">
        <v>-32556730.97561058</v>
      </c>
      <c r="AR48" s="616">
        <v>0</v>
      </c>
      <c r="AS48" s="616"/>
      <c r="AT48" s="621">
        <v>-972417.1710910477</v>
      </c>
      <c r="AU48" s="616"/>
      <c r="AV48" s="616">
        <v>0</v>
      </c>
      <c r="AW48" s="616"/>
      <c r="AX48" s="315">
        <v>0</v>
      </c>
      <c r="AY48" s="616"/>
      <c r="AZ48" s="315">
        <v>-31584313.804519534</v>
      </c>
      <c r="BA48" s="616"/>
      <c r="BB48" s="315">
        <v>0</v>
      </c>
      <c r="BC48" s="616"/>
      <c r="BD48" s="616">
        <v>-31584313.804519534</v>
      </c>
      <c r="BF48" s="616">
        <v>-43857112.83057683</v>
      </c>
      <c r="BI48" s="304">
        <v>314</v>
      </c>
    </row>
    <row r="49" spans="1:61" ht="14.5">
      <c r="A49" s="304">
        <v>315</v>
      </c>
      <c r="B49" s="620" t="s">
        <v>1485</v>
      </c>
      <c r="F49" s="624" t="s">
        <v>1443</v>
      </c>
      <c r="H49" s="621">
        <v>-315858420</v>
      </c>
      <c r="J49" s="621">
        <v>-110550447</v>
      </c>
      <c r="K49" s="616"/>
      <c r="L49" s="621">
        <v>-66330267.945684917</v>
      </c>
      <c r="M49" s="616"/>
      <c r="N49" s="621">
        <v>-44220179.054315083</v>
      </c>
      <c r="P49" s="626" t="s">
        <v>1444</v>
      </c>
      <c r="R49" s="616">
        <v>0</v>
      </c>
      <c r="S49" s="616"/>
      <c r="T49" s="616">
        <v>-44220179.054315083</v>
      </c>
      <c r="U49" s="616"/>
      <c r="V49" s="616">
        <v>0</v>
      </c>
      <c r="W49" s="616"/>
      <c r="X49" s="616">
        <v>-44220179.054315083</v>
      </c>
      <c r="Y49" s="616"/>
      <c r="Z49" s="316" t="s">
        <v>1471</v>
      </c>
      <c r="AA49" s="616"/>
      <c r="AB49" s="616">
        <v>0</v>
      </c>
      <c r="AC49" s="616"/>
      <c r="AD49" s="621">
        <v>-3268617.31566136</v>
      </c>
      <c r="AE49" s="616"/>
      <c r="AF49" s="616">
        <v>0</v>
      </c>
      <c r="AG49" s="616"/>
      <c r="AH49" s="316" t="s">
        <v>1446</v>
      </c>
      <c r="AI49" s="616"/>
      <c r="AJ49" s="315">
        <v>0</v>
      </c>
      <c r="AK49" s="616"/>
      <c r="AL49" s="315">
        <v>-40951561.738653719</v>
      </c>
      <c r="AM49" s="616"/>
      <c r="AN49" s="315">
        <v>0</v>
      </c>
      <c r="AO49" s="616"/>
      <c r="AP49" s="616">
        <v>-40951561.738653719</v>
      </c>
      <c r="AR49" s="616">
        <v>0</v>
      </c>
      <c r="AS49" s="616"/>
      <c r="AT49" s="621">
        <v>-1223157.2588628181</v>
      </c>
      <c r="AU49" s="616"/>
      <c r="AV49" s="616">
        <v>0</v>
      </c>
      <c r="AW49" s="616"/>
      <c r="AX49" s="315">
        <v>0</v>
      </c>
      <c r="AY49" s="616"/>
      <c r="AZ49" s="315">
        <v>-39728404.479790904</v>
      </c>
      <c r="BA49" s="616"/>
      <c r="BB49" s="315">
        <v>0</v>
      </c>
      <c r="BC49" s="616"/>
      <c r="BD49" s="616">
        <v>-39728404.479790904</v>
      </c>
      <c r="BF49" s="616">
        <v>-55165774.017849959</v>
      </c>
      <c r="BI49" s="304">
        <v>315</v>
      </c>
    </row>
    <row r="50" spans="1:61" ht="14.5">
      <c r="A50" s="304">
        <v>316</v>
      </c>
      <c r="B50" s="620" t="s">
        <v>1486</v>
      </c>
      <c r="F50" s="624" t="s">
        <v>1443</v>
      </c>
      <c r="H50" s="621">
        <v>-571498734.28571427</v>
      </c>
      <c r="J50" s="621">
        <v>-200024557</v>
      </c>
      <c r="K50" s="616"/>
      <c r="L50" s="621">
        <v>-120014733.60428579</v>
      </c>
      <c r="M50" s="616"/>
      <c r="N50" s="621">
        <v>-80009823.395714208</v>
      </c>
      <c r="P50" s="626" t="s">
        <v>1444</v>
      </c>
      <c r="R50" s="616">
        <v>0</v>
      </c>
      <c r="S50" s="616"/>
      <c r="T50" s="616">
        <v>-80009823.395714208</v>
      </c>
      <c r="U50" s="616"/>
      <c r="V50" s="616">
        <v>0</v>
      </c>
      <c r="W50" s="616"/>
      <c r="X50" s="616">
        <v>-80009823.395714208</v>
      </c>
      <c r="Y50" s="616"/>
      <c r="Z50" s="316" t="s">
        <v>1471</v>
      </c>
      <c r="AA50" s="616"/>
      <c r="AB50" s="616">
        <v>0</v>
      </c>
      <c r="AC50" s="616"/>
      <c r="AD50" s="621">
        <v>-5914075.8759256788</v>
      </c>
      <c r="AE50" s="616"/>
      <c r="AF50" s="616">
        <v>0</v>
      </c>
      <c r="AG50" s="616"/>
      <c r="AH50" s="316" t="s">
        <v>1446</v>
      </c>
      <c r="AI50" s="616"/>
      <c r="AJ50" s="315">
        <v>0</v>
      </c>
      <c r="AK50" s="616"/>
      <c r="AL50" s="315">
        <v>-74095747.519788533</v>
      </c>
      <c r="AM50" s="616"/>
      <c r="AN50" s="315">
        <v>0</v>
      </c>
      <c r="AO50" s="616"/>
      <c r="AP50" s="616">
        <v>-74095747.519788533</v>
      </c>
      <c r="AR50" s="616">
        <v>0</v>
      </c>
      <c r="AS50" s="616"/>
      <c r="AT50" s="621">
        <v>-2213120.7597914548</v>
      </c>
      <c r="AU50" s="616"/>
      <c r="AV50" s="616">
        <v>0</v>
      </c>
      <c r="AW50" s="616"/>
      <c r="AX50" s="315">
        <v>0</v>
      </c>
      <c r="AY50" s="616"/>
      <c r="AZ50" s="315">
        <v>-71882626.759997085</v>
      </c>
      <c r="BA50" s="616"/>
      <c r="BB50" s="315">
        <v>0</v>
      </c>
      <c r="BC50" s="616"/>
      <c r="BD50" s="616">
        <v>-71882626.759997085</v>
      </c>
      <c r="BF50" s="616">
        <v>-99814246.143929824</v>
      </c>
      <c r="BI50" s="304">
        <v>316</v>
      </c>
    </row>
    <row r="51" spans="1:61" ht="14.5">
      <c r="A51" s="304">
        <v>317</v>
      </c>
      <c r="B51" s="620" t="s">
        <v>1487</v>
      </c>
      <c r="F51" s="624" t="s">
        <v>1443</v>
      </c>
      <c r="H51" s="621">
        <v>-25063667.280000001</v>
      </c>
      <c r="J51" s="621">
        <v>-8772283.5480000004</v>
      </c>
      <c r="K51" s="616"/>
      <c r="L51" s="621">
        <v>-5263370.0446319999</v>
      </c>
      <c r="M51" s="616"/>
      <c r="N51" s="621">
        <v>-3508913.5033680005</v>
      </c>
      <c r="P51" s="626" t="s">
        <v>1444</v>
      </c>
      <c r="R51" s="616">
        <v>0</v>
      </c>
      <c r="S51" s="616"/>
      <c r="T51" s="616">
        <v>-3508913.5033680005</v>
      </c>
      <c r="U51" s="616"/>
      <c r="V51" s="616">
        <v>0</v>
      </c>
      <c r="W51" s="616"/>
      <c r="X51" s="616">
        <v>-3508913.5033680005</v>
      </c>
      <c r="Y51" s="616"/>
      <c r="Z51" s="316" t="s">
        <v>1471</v>
      </c>
      <c r="AA51" s="616"/>
      <c r="AB51" s="616">
        <v>0</v>
      </c>
      <c r="AC51" s="616"/>
      <c r="AD51" s="621">
        <v>-259367.91034199618</v>
      </c>
      <c r="AE51" s="616"/>
      <c r="AF51" s="616">
        <v>0</v>
      </c>
      <c r="AG51" s="616"/>
      <c r="AH51" s="316" t="s">
        <v>1446</v>
      </c>
      <c r="AI51" s="616"/>
      <c r="AJ51" s="315">
        <v>0</v>
      </c>
      <c r="AK51" s="616"/>
      <c r="AL51" s="315">
        <v>-3249545.5930260043</v>
      </c>
      <c r="AM51" s="616"/>
      <c r="AN51" s="315">
        <v>0</v>
      </c>
      <c r="AO51" s="616"/>
      <c r="AP51" s="616">
        <v>-3249545.5930260043</v>
      </c>
      <c r="AR51" s="616">
        <v>0</v>
      </c>
      <c r="AS51" s="616"/>
      <c r="AT51" s="621">
        <v>-97058.698407678981</v>
      </c>
      <c r="AU51" s="616"/>
      <c r="AV51" s="616">
        <v>0</v>
      </c>
      <c r="AW51" s="616"/>
      <c r="AX51" s="315">
        <v>0</v>
      </c>
      <c r="AY51" s="616"/>
      <c r="AZ51" s="315">
        <v>-3152486.8946183254</v>
      </c>
      <c r="BA51" s="616"/>
      <c r="BB51" s="315">
        <v>0</v>
      </c>
      <c r="BC51" s="616"/>
      <c r="BD51" s="616">
        <v>-3152486.8946183254</v>
      </c>
      <c r="BF51" s="616">
        <v>-4377456.9328907374</v>
      </c>
      <c r="BI51" s="304">
        <v>317</v>
      </c>
    </row>
    <row r="52" spans="1:61" ht="14.5">
      <c r="A52" s="304">
        <v>318</v>
      </c>
      <c r="B52" s="620" t="s">
        <v>1488</v>
      </c>
      <c r="F52" s="624" t="s">
        <v>1443</v>
      </c>
      <c r="H52" s="621">
        <v>-9911892.7885714285</v>
      </c>
      <c r="J52" s="621">
        <v>-3469162.4759999998</v>
      </c>
      <c r="K52" s="616"/>
      <c r="L52" s="621">
        <v>-2081497.533696</v>
      </c>
      <c r="M52" s="616"/>
      <c r="N52" s="621">
        <v>-1387664.942304</v>
      </c>
      <c r="P52" s="626" t="s">
        <v>1444</v>
      </c>
      <c r="R52" s="616">
        <v>0</v>
      </c>
      <c r="S52" s="616"/>
      <c r="T52" s="616">
        <v>-1387664.942304</v>
      </c>
      <c r="U52" s="616"/>
      <c r="V52" s="616">
        <v>0</v>
      </c>
      <c r="W52" s="616"/>
      <c r="X52" s="616">
        <v>-1387664.942304</v>
      </c>
      <c r="Y52" s="616"/>
      <c r="Z52" s="316" t="s">
        <v>1471</v>
      </c>
      <c r="AA52" s="616"/>
      <c r="AB52" s="616">
        <v>0</v>
      </c>
      <c r="AC52" s="616"/>
      <c r="AD52" s="621">
        <v>-102571.85194071416</v>
      </c>
      <c r="AE52" s="616"/>
      <c r="AF52" s="616">
        <v>0</v>
      </c>
      <c r="AG52" s="616"/>
      <c r="AH52" s="316" t="s">
        <v>1446</v>
      </c>
      <c r="AI52" s="616"/>
      <c r="AJ52" s="315">
        <v>0</v>
      </c>
      <c r="AK52" s="616"/>
      <c r="AL52" s="315">
        <v>-1285093.090363286</v>
      </c>
      <c r="AM52" s="616"/>
      <c r="AN52" s="315">
        <v>0</v>
      </c>
      <c r="AO52" s="616"/>
      <c r="AP52" s="616">
        <v>-1285093.090363286</v>
      </c>
      <c r="AR52" s="616">
        <v>0</v>
      </c>
      <c r="AS52" s="616"/>
      <c r="AT52" s="621">
        <v>-38383.662919224713</v>
      </c>
      <c r="AU52" s="616"/>
      <c r="AV52" s="616">
        <v>0</v>
      </c>
      <c r="AW52" s="616"/>
      <c r="AX52" s="315">
        <v>0</v>
      </c>
      <c r="AY52" s="616"/>
      <c r="AZ52" s="315">
        <v>-1246709.4274440613</v>
      </c>
      <c r="BA52" s="616"/>
      <c r="BB52" s="315">
        <v>0</v>
      </c>
      <c r="BC52" s="616"/>
      <c r="BD52" s="616">
        <v>-1246709.4274440613</v>
      </c>
      <c r="BF52" s="616">
        <v>-1731146.5547348398</v>
      </c>
      <c r="BI52" s="304">
        <v>318</v>
      </c>
    </row>
    <row r="53" spans="1:61" ht="14.5">
      <c r="A53" s="304">
        <v>319</v>
      </c>
      <c r="B53" s="620" t="s">
        <v>1489</v>
      </c>
      <c r="F53" s="624" t="s">
        <v>1443</v>
      </c>
      <c r="H53" s="621">
        <v>-71671362.898285717</v>
      </c>
      <c r="J53" s="621">
        <v>-25084977.014399998</v>
      </c>
      <c r="K53" s="616"/>
      <c r="L53" s="621">
        <v>-15050986.064351998</v>
      </c>
      <c r="M53" s="616"/>
      <c r="N53" s="621">
        <v>-10033990.950048001</v>
      </c>
      <c r="P53" s="626" t="s">
        <v>1444</v>
      </c>
      <c r="R53" s="616">
        <v>0</v>
      </c>
      <c r="S53" s="616"/>
      <c r="T53" s="616">
        <v>-10033990.950048001</v>
      </c>
      <c r="U53" s="616"/>
      <c r="V53" s="616">
        <v>0</v>
      </c>
      <c r="W53" s="616"/>
      <c r="X53" s="616">
        <v>-10033990.950048001</v>
      </c>
      <c r="Y53" s="616"/>
      <c r="Z53" s="316" t="s">
        <v>1471</v>
      </c>
      <c r="AA53" s="616"/>
      <c r="AB53" s="616">
        <v>0</v>
      </c>
      <c r="AC53" s="616"/>
      <c r="AD53" s="621">
        <v>-741681.22485962347</v>
      </c>
      <c r="AE53" s="616"/>
      <c r="AF53" s="616">
        <v>0</v>
      </c>
      <c r="AG53" s="616"/>
      <c r="AH53" s="316" t="s">
        <v>1446</v>
      </c>
      <c r="AI53" s="616"/>
      <c r="AJ53" s="315">
        <v>0</v>
      </c>
      <c r="AK53" s="616"/>
      <c r="AL53" s="315">
        <v>-9292309.7251883782</v>
      </c>
      <c r="AM53" s="616"/>
      <c r="AN53" s="315">
        <v>0</v>
      </c>
      <c r="AO53" s="616"/>
      <c r="AP53" s="616">
        <v>-9292309.7251883782</v>
      </c>
      <c r="AR53" s="616">
        <v>0</v>
      </c>
      <c r="AS53" s="616"/>
      <c r="AT53" s="621">
        <v>-277546.34034475719</v>
      </c>
      <c r="AU53" s="616"/>
      <c r="AV53" s="616">
        <v>0</v>
      </c>
      <c r="AW53" s="616"/>
      <c r="AX53" s="315">
        <v>0</v>
      </c>
      <c r="AY53" s="616"/>
      <c r="AZ53" s="315">
        <v>-9014763.3848436214</v>
      </c>
      <c r="BA53" s="616"/>
      <c r="BB53" s="315">
        <v>0</v>
      </c>
      <c r="BC53" s="616"/>
      <c r="BD53" s="616">
        <v>-9014763.3848436214</v>
      </c>
      <c r="BF53" s="616">
        <v>-12517653.457884066</v>
      </c>
      <c r="BI53" s="304">
        <v>319</v>
      </c>
    </row>
    <row r="54" spans="1:61" ht="14.5">
      <c r="A54" s="304">
        <v>320</v>
      </c>
      <c r="B54" s="620" t="s">
        <v>1490</v>
      </c>
      <c r="F54" s="624" t="s">
        <v>1443</v>
      </c>
      <c r="H54" s="621">
        <v>52695788.404571429</v>
      </c>
      <c r="J54" s="621">
        <v>18443525.941599999</v>
      </c>
      <c r="K54" s="616"/>
      <c r="L54" s="621">
        <v>11066115.734552527</v>
      </c>
      <c r="M54" s="616"/>
      <c r="N54" s="621">
        <v>7377410.2070474727</v>
      </c>
      <c r="P54" s="626" t="s">
        <v>1444</v>
      </c>
      <c r="R54" s="616">
        <v>0</v>
      </c>
      <c r="S54" s="616"/>
      <c r="T54" s="616">
        <v>7377410.2070474727</v>
      </c>
      <c r="U54" s="616"/>
      <c r="V54" s="616">
        <v>0</v>
      </c>
      <c r="W54" s="616"/>
      <c r="X54" s="616">
        <v>7377410.2070474727</v>
      </c>
      <c r="Y54" s="616"/>
      <c r="Z54" s="316" t="s">
        <v>1471</v>
      </c>
      <c r="AA54" s="616"/>
      <c r="AB54" s="616">
        <v>0</v>
      </c>
      <c r="AC54" s="616"/>
      <c r="AD54" s="621">
        <v>545315.08608034789</v>
      </c>
      <c r="AE54" s="616"/>
      <c r="AF54" s="616">
        <v>0</v>
      </c>
      <c r="AG54" s="616"/>
      <c r="AH54" s="316" t="s">
        <v>1446</v>
      </c>
      <c r="AI54" s="616"/>
      <c r="AJ54" s="315">
        <v>0</v>
      </c>
      <c r="AK54" s="616"/>
      <c r="AL54" s="315">
        <v>6832095.1209671246</v>
      </c>
      <c r="AM54" s="616"/>
      <c r="AN54" s="315">
        <v>0</v>
      </c>
      <c r="AO54" s="616"/>
      <c r="AP54" s="616">
        <v>6832095.1209671246</v>
      </c>
      <c r="AR54" s="616">
        <v>0</v>
      </c>
      <c r="AS54" s="616"/>
      <c r="AT54" s="621">
        <v>204063.68855438204</v>
      </c>
      <c r="AU54" s="616"/>
      <c r="AV54" s="616">
        <v>0</v>
      </c>
      <c r="AW54" s="616"/>
      <c r="AX54" s="315">
        <v>0</v>
      </c>
      <c r="AY54" s="616"/>
      <c r="AZ54" s="315">
        <v>6628031.4324127426</v>
      </c>
      <c r="BA54" s="616"/>
      <c r="BB54" s="315">
        <v>0</v>
      </c>
      <c r="BC54" s="616"/>
      <c r="BD54" s="616">
        <v>6628031.4324127426</v>
      </c>
      <c r="BF54" s="616">
        <v>9203502.8582555391</v>
      </c>
      <c r="BI54" s="304">
        <v>320</v>
      </c>
    </row>
    <row r="55" spans="1:61" ht="14.5">
      <c r="A55" s="304">
        <v>321</v>
      </c>
      <c r="B55" s="620" t="s">
        <v>1491</v>
      </c>
      <c r="F55" s="624" t="s">
        <v>1443</v>
      </c>
      <c r="H55" s="621">
        <v>37674687.677714288</v>
      </c>
      <c r="J55" s="621">
        <v>13186140.687200001</v>
      </c>
      <c r="K55" s="616"/>
      <c r="L55" s="621">
        <v>7911685.1078593545</v>
      </c>
      <c r="M55" s="616"/>
      <c r="N55" s="621">
        <v>5274455.579340646</v>
      </c>
      <c r="P55" s="626" t="s">
        <v>1444</v>
      </c>
      <c r="R55" s="616">
        <v>0</v>
      </c>
      <c r="S55" s="616"/>
      <c r="T55" s="616">
        <v>5274455.579340646</v>
      </c>
      <c r="U55" s="616"/>
      <c r="V55" s="616">
        <v>0</v>
      </c>
      <c r="W55" s="616"/>
      <c r="X55" s="616">
        <v>5274455.579340646</v>
      </c>
      <c r="Y55" s="616"/>
      <c r="Z55" s="316" t="s">
        <v>1471</v>
      </c>
      <c r="AA55" s="616"/>
      <c r="AB55" s="616">
        <v>0</v>
      </c>
      <c r="AC55" s="616"/>
      <c r="AD55" s="621">
        <v>389871.25800968858</v>
      </c>
      <c r="AE55" s="616"/>
      <c r="AF55" s="616">
        <v>0</v>
      </c>
      <c r="AG55" s="616"/>
      <c r="AH55" s="316" t="s">
        <v>1446</v>
      </c>
      <c r="AI55" s="616"/>
      <c r="AJ55" s="315">
        <v>0</v>
      </c>
      <c r="AK55" s="616"/>
      <c r="AL55" s="315">
        <v>4884584.3213309571</v>
      </c>
      <c r="AM55" s="616"/>
      <c r="AN55" s="315">
        <v>0</v>
      </c>
      <c r="AO55" s="616"/>
      <c r="AP55" s="616">
        <v>4884584.3213309571</v>
      </c>
      <c r="AR55" s="616">
        <v>0</v>
      </c>
      <c r="AS55" s="616"/>
      <c r="AT55" s="621">
        <v>145894.67447645837</v>
      </c>
      <c r="AU55" s="616"/>
      <c r="AV55" s="616">
        <v>0</v>
      </c>
      <c r="AW55" s="616"/>
      <c r="AX55" s="315">
        <v>0</v>
      </c>
      <c r="AY55" s="616"/>
      <c r="AZ55" s="315">
        <v>4738689.6468544984</v>
      </c>
      <c r="BA55" s="616"/>
      <c r="BB55" s="315">
        <v>0</v>
      </c>
      <c r="BC55" s="616"/>
      <c r="BD55" s="616">
        <v>4738689.6468544984</v>
      </c>
      <c r="BF55" s="616">
        <v>6580014.6173017509</v>
      </c>
      <c r="BI55" s="304">
        <v>321</v>
      </c>
    </row>
    <row r="56" spans="1:61" ht="14.5">
      <c r="A56" s="304">
        <v>322</v>
      </c>
      <c r="B56" s="620" t="s">
        <v>1492</v>
      </c>
      <c r="F56" s="624" t="s">
        <v>1443</v>
      </c>
      <c r="H56" s="621">
        <v>-57733.115428571436</v>
      </c>
      <c r="J56" s="621">
        <v>-20206.590400000001</v>
      </c>
      <c r="K56" s="616"/>
      <c r="L56" s="621">
        <v>-12124.41925554987</v>
      </c>
      <c r="M56" s="616"/>
      <c r="N56" s="621">
        <v>-8082.1711444501288</v>
      </c>
      <c r="P56" s="626" t="s">
        <v>1444</v>
      </c>
      <c r="R56" s="616">
        <v>0</v>
      </c>
      <c r="S56" s="616"/>
      <c r="T56" s="616">
        <v>-8082.1711444501288</v>
      </c>
      <c r="U56" s="616"/>
      <c r="V56" s="616">
        <v>0</v>
      </c>
      <c r="W56" s="616"/>
      <c r="X56" s="616">
        <v>-8082.1711444501288</v>
      </c>
      <c r="Y56" s="616"/>
      <c r="Z56" s="316" t="s">
        <v>1471</v>
      </c>
      <c r="AA56" s="616"/>
      <c r="AB56" s="616">
        <v>0</v>
      </c>
      <c r="AC56" s="616"/>
      <c r="AD56" s="621">
        <v>-597.4088100918807</v>
      </c>
      <c r="AE56" s="616"/>
      <c r="AF56" s="616">
        <v>0</v>
      </c>
      <c r="AG56" s="616"/>
      <c r="AH56" s="316" t="s">
        <v>1446</v>
      </c>
      <c r="AI56" s="616"/>
      <c r="AJ56" s="315">
        <v>0</v>
      </c>
      <c r="AK56" s="616"/>
      <c r="AL56" s="315">
        <v>-7484.7623343582482</v>
      </c>
      <c r="AM56" s="616"/>
      <c r="AN56" s="315">
        <v>0</v>
      </c>
      <c r="AO56" s="616"/>
      <c r="AP56" s="616">
        <v>-7484.7623343582482</v>
      </c>
      <c r="AR56" s="616">
        <v>0</v>
      </c>
      <c r="AS56" s="616"/>
      <c r="AT56" s="621">
        <v>-223.55780808945218</v>
      </c>
      <c r="AU56" s="616"/>
      <c r="AV56" s="616">
        <v>0</v>
      </c>
      <c r="AW56" s="616"/>
      <c r="AX56" s="315">
        <v>0</v>
      </c>
      <c r="AY56" s="616"/>
      <c r="AZ56" s="315">
        <v>-7261.2045262687961</v>
      </c>
      <c r="BA56" s="616"/>
      <c r="BB56" s="315">
        <v>0</v>
      </c>
      <c r="BC56" s="616"/>
      <c r="BD56" s="616">
        <v>-7261.2045262687961</v>
      </c>
      <c r="BF56" s="616">
        <v>-10082.709669281991</v>
      </c>
      <c r="BI56" s="304">
        <v>322</v>
      </c>
    </row>
    <row r="57" spans="1:61" ht="14.5">
      <c r="A57" s="304">
        <v>323</v>
      </c>
      <c r="B57" s="620" t="s">
        <v>1493</v>
      </c>
      <c r="F57" s="624" t="s">
        <v>1443</v>
      </c>
      <c r="H57" s="621">
        <v>19203939.561142858</v>
      </c>
      <c r="J57" s="621">
        <v>6721378.8464000002</v>
      </c>
      <c r="K57" s="616"/>
      <c r="L57" s="621">
        <v>4032827.7427398837</v>
      </c>
      <c r="M57" s="616"/>
      <c r="N57" s="621">
        <v>2688551.1036601164</v>
      </c>
      <c r="P57" s="626" t="s">
        <v>1444</v>
      </c>
      <c r="R57" s="616">
        <v>0</v>
      </c>
      <c r="S57" s="616"/>
      <c r="T57" s="616">
        <v>2688551.1036601164</v>
      </c>
      <c r="U57" s="616"/>
      <c r="V57" s="616">
        <v>0</v>
      </c>
      <c r="W57" s="616"/>
      <c r="X57" s="616">
        <v>2688551.1036601164</v>
      </c>
      <c r="Y57" s="616"/>
      <c r="Z57" s="316" t="s">
        <v>1471</v>
      </c>
      <c r="AA57" s="616"/>
      <c r="AB57" s="616">
        <v>0</v>
      </c>
      <c r="AC57" s="616"/>
      <c r="AD57" s="621">
        <v>198729.28783644043</v>
      </c>
      <c r="AE57" s="616"/>
      <c r="AF57" s="616">
        <v>0</v>
      </c>
      <c r="AG57" s="616"/>
      <c r="AH57" s="316" t="s">
        <v>1446</v>
      </c>
      <c r="AI57" s="616"/>
      <c r="AJ57" s="315">
        <v>0</v>
      </c>
      <c r="AK57" s="616"/>
      <c r="AL57" s="315">
        <v>2489821.8158236761</v>
      </c>
      <c r="AM57" s="616"/>
      <c r="AN57" s="315">
        <v>0</v>
      </c>
      <c r="AO57" s="616"/>
      <c r="AP57" s="616">
        <v>2489821.8158236761</v>
      </c>
      <c r="AR57" s="616">
        <v>0</v>
      </c>
      <c r="AS57" s="616"/>
      <c r="AT57" s="621">
        <v>74366.97156350869</v>
      </c>
      <c r="AU57" s="616"/>
      <c r="AV57" s="616">
        <v>0</v>
      </c>
      <c r="AW57" s="616"/>
      <c r="AX57" s="315">
        <v>0</v>
      </c>
      <c r="AY57" s="616"/>
      <c r="AZ57" s="315">
        <v>2415454.8442601673</v>
      </c>
      <c r="BA57" s="616"/>
      <c r="BB57" s="315">
        <v>0</v>
      </c>
      <c r="BC57" s="616"/>
      <c r="BD57" s="616">
        <v>2415454.8442601673</v>
      </c>
      <c r="BF57" s="616">
        <v>3354034.4202989419</v>
      </c>
      <c r="BI57" s="304">
        <v>323</v>
      </c>
    </row>
    <row r="58" spans="1:61" ht="14.5">
      <c r="A58" s="304">
        <v>324</v>
      </c>
      <c r="B58" s="620" t="s">
        <v>1494</v>
      </c>
      <c r="F58" s="624" t="s">
        <v>1443</v>
      </c>
      <c r="H58" s="621">
        <v>-13574.660633484164</v>
      </c>
      <c r="J58" s="621">
        <v>420</v>
      </c>
      <c r="K58" s="616"/>
      <c r="L58" s="621">
        <v>251.82208</v>
      </c>
      <c r="M58" s="616"/>
      <c r="N58" s="621">
        <v>168</v>
      </c>
      <c r="P58" s="626" t="s">
        <v>1444</v>
      </c>
      <c r="R58" s="616">
        <v>0</v>
      </c>
      <c r="S58" s="616"/>
      <c r="T58" s="616">
        <v>168</v>
      </c>
      <c r="U58" s="616"/>
      <c r="V58" s="616">
        <v>0</v>
      </c>
      <c r="W58" s="616"/>
      <c r="X58" s="616">
        <v>168</v>
      </c>
      <c r="Y58" s="616"/>
      <c r="Z58" s="316" t="s">
        <v>1471</v>
      </c>
      <c r="AA58" s="616"/>
      <c r="AB58" s="616">
        <v>0</v>
      </c>
      <c r="AC58" s="616"/>
      <c r="AD58" s="621">
        <v>12.418034498608018</v>
      </c>
      <c r="AE58" s="616"/>
      <c r="AF58" s="616">
        <v>0</v>
      </c>
      <c r="AG58" s="616"/>
      <c r="AH58" s="316" t="s">
        <v>1446</v>
      </c>
      <c r="AI58" s="616"/>
      <c r="AJ58" s="315">
        <v>0</v>
      </c>
      <c r="AK58" s="616"/>
      <c r="AL58" s="315">
        <v>155.58196550139198</v>
      </c>
      <c r="AM58" s="616"/>
      <c r="AN58" s="315">
        <v>0</v>
      </c>
      <c r="AO58" s="616"/>
      <c r="AP58" s="616">
        <v>155.58196550139198</v>
      </c>
      <c r="AR58" s="616">
        <v>0</v>
      </c>
      <c r="AS58" s="616"/>
      <c r="AT58" s="621">
        <v>4.6469829811532914</v>
      </c>
      <c r="AU58" s="616"/>
      <c r="AV58" s="616">
        <v>0</v>
      </c>
      <c r="AW58" s="616"/>
      <c r="AX58" s="315">
        <v>0</v>
      </c>
      <c r="AY58" s="616"/>
      <c r="AZ58" s="315">
        <v>150.93498252023869</v>
      </c>
      <c r="BA58" s="616"/>
      <c r="BB58" s="315">
        <v>0</v>
      </c>
      <c r="BC58" s="616"/>
      <c r="BD58" s="616">
        <v>150.93498252023869</v>
      </c>
      <c r="BF58" s="616">
        <v>209.58418154786781</v>
      </c>
      <c r="BI58" s="304">
        <v>324</v>
      </c>
    </row>
    <row r="59" spans="1:61" ht="14.5">
      <c r="A59" s="304">
        <v>325</v>
      </c>
      <c r="B59" s="620" t="s">
        <v>1495</v>
      </c>
      <c r="F59" s="624" t="s">
        <v>1443</v>
      </c>
      <c r="H59" s="621">
        <v>-274950112.13962507</v>
      </c>
      <c r="J59" s="621">
        <v>8506956.4695999995</v>
      </c>
      <c r="K59" s="616"/>
      <c r="L59" s="621">
        <v>5103074.2178012161</v>
      </c>
      <c r="M59" s="616"/>
      <c r="N59" s="621">
        <v>3402793.7276601344</v>
      </c>
      <c r="P59" s="626" t="s">
        <v>1444</v>
      </c>
      <c r="R59" s="616">
        <v>0</v>
      </c>
      <c r="S59" s="616"/>
      <c r="T59" s="616">
        <v>3402793.7276601344</v>
      </c>
      <c r="U59" s="616"/>
      <c r="V59" s="616">
        <v>0</v>
      </c>
      <c r="W59" s="616"/>
      <c r="X59" s="616">
        <v>3402793.7276601344</v>
      </c>
      <c r="Y59" s="616"/>
      <c r="Z59" s="316" t="s">
        <v>1471</v>
      </c>
      <c r="AA59" s="616"/>
      <c r="AB59" s="616">
        <v>0</v>
      </c>
      <c r="AC59" s="616"/>
      <c r="AD59" s="621">
        <v>251523.86846268171</v>
      </c>
      <c r="AE59" s="616"/>
      <c r="AF59" s="616">
        <v>0</v>
      </c>
      <c r="AG59" s="616"/>
      <c r="AH59" s="316" t="s">
        <v>1446</v>
      </c>
      <c r="AI59" s="616"/>
      <c r="AJ59" s="315">
        <v>0</v>
      </c>
      <c r="AK59" s="616"/>
      <c r="AL59" s="315">
        <v>3151269.8591974527</v>
      </c>
      <c r="AM59" s="616"/>
      <c r="AN59" s="315">
        <v>0</v>
      </c>
      <c r="AO59" s="616"/>
      <c r="AP59" s="616">
        <v>3151269.8591974527</v>
      </c>
      <c r="AR59" s="616">
        <v>0</v>
      </c>
      <c r="AS59" s="616"/>
      <c r="AT59" s="621">
        <v>94123.360361975079</v>
      </c>
      <c r="AU59" s="616"/>
      <c r="AV59" s="616">
        <v>0</v>
      </c>
      <c r="AW59" s="616"/>
      <c r="AX59" s="315">
        <v>0</v>
      </c>
      <c r="AY59" s="616"/>
      <c r="AZ59" s="315">
        <v>3057146.4988354775</v>
      </c>
      <c r="BA59" s="616"/>
      <c r="BB59" s="315">
        <v>0</v>
      </c>
      <c r="BC59" s="616"/>
      <c r="BD59" s="616">
        <v>3057146.4988354775</v>
      </c>
      <c r="BF59" s="616">
        <v>4245069.8713563541</v>
      </c>
      <c r="BI59" s="304">
        <v>325</v>
      </c>
    </row>
    <row r="60" spans="1:61" ht="14.5">
      <c r="A60" s="304">
        <v>326</v>
      </c>
      <c r="B60" s="620" t="s">
        <v>1496</v>
      </c>
      <c r="F60" s="624" t="s">
        <v>1443</v>
      </c>
      <c r="H60" s="621">
        <v>-144745762.01680672</v>
      </c>
      <c r="J60" s="621">
        <v>4478433.8767999997</v>
      </c>
      <c r="K60" s="616"/>
      <c r="L60" s="621">
        <v>2686481.6133693438</v>
      </c>
      <c r="M60" s="616"/>
      <c r="N60" s="621">
        <v>1791373.7774865497</v>
      </c>
      <c r="P60" s="626" t="s">
        <v>1444</v>
      </c>
      <c r="R60" s="616">
        <v>0</v>
      </c>
      <c r="S60" s="616"/>
      <c r="T60" s="616">
        <v>1791373.7774865497</v>
      </c>
      <c r="U60" s="616"/>
      <c r="V60" s="616">
        <v>0</v>
      </c>
      <c r="W60" s="616"/>
      <c r="X60" s="616">
        <v>1791373.7774865497</v>
      </c>
      <c r="Y60" s="616"/>
      <c r="Z60" s="316" t="s">
        <v>1471</v>
      </c>
      <c r="AA60" s="616"/>
      <c r="AB60" s="616">
        <v>0</v>
      </c>
      <c r="AC60" s="616"/>
      <c r="AD60" s="621">
        <v>132412.74624243894</v>
      </c>
      <c r="AE60" s="616"/>
      <c r="AF60" s="616">
        <v>0</v>
      </c>
      <c r="AG60" s="616"/>
      <c r="AH60" s="316" t="s">
        <v>1446</v>
      </c>
      <c r="AI60" s="616"/>
      <c r="AJ60" s="315">
        <v>0</v>
      </c>
      <c r="AK60" s="616"/>
      <c r="AL60" s="315">
        <v>1658961.0312441108</v>
      </c>
      <c r="AM60" s="616"/>
      <c r="AN60" s="315">
        <v>0</v>
      </c>
      <c r="AO60" s="616"/>
      <c r="AP60" s="616">
        <v>1658961.0312441108</v>
      </c>
      <c r="AR60" s="616">
        <v>0</v>
      </c>
      <c r="AS60" s="616"/>
      <c r="AT60" s="621">
        <v>49550.496767049277</v>
      </c>
      <c r="AU60" s="616"/>
      <c r="AV60" s="616">
        <v>0</v>
      </c>
      <c r="AW60" s="616"/>
      <c r="AX60" s="315">
        <v>0</v>
      </c>
      <c r="AY60" s="616"/>
      <c r="AZ60" s="315">
        <v>1609410.5344770616</v>
      </c>
      <c r="BA60" s="616"/>
      <c r="BB60" s="315">
        <v>0</v>
      </c>
      <c r="BC60" s="616"/>
      <c r="BD60" s="616">
        <v>1609410.5344770616</v>
      </c>
      <c r="BF60" s="616">
        <v>2234783.3750049453</v>
      </c>
      <c r="BI60" s="304">
        <v>326</v>
      </c>
    </row>
    <row r="61" spans="1:61" ht="14.5">
      <c r="A61" s="304">
        <v>327</v>
      </c>
      <c r="B61" s="620" t="s">
        <v>1497</v>
      </c>
      <c r="F61" s="624" t="s">
        <v>1443</v>
      </c>
      <c r="H61" s="621">
        <v>-141115490.96315449</v>
      </c>
      <c r="J61" s="621">
        <v>4366113.2904000003</v>
      </c>
      <c r="K61" s="616"/>
      <c r="L61" s="621">
        <v>2619103.5449277442</v>
      </c>
      <c r="M61" s="616"/>
      <c r="N61" s="621">
        <v>1746445.7617024286</v>
      </c>
      <c r="P61" s="626" t="s">
        <v>1444</v>
      </c>
      <c r="R61" s="616">
        <v>0</v>
      </c>
      <c r="S61" s="616"/>
      <c r="T61" s="616">
        <v>1746445.7617024286</v>
      </c>
      <c r="U61" s="616"/>
      <c r="V61" s="616">
        <v>0</v>
      </c>
      <c r="W61" s="616"/>
      <c r="X61" s="616">
        <v>1746445.7617024286</v>
      </c>
      <c r="Y61" s="616"/>
      <c r="Z61" s="316" t="s">
        <v>1471</v>
      </c>
      <c r="AA61" s="616"/>
      <c r="AB61" s="616">
        <v>0</v>
      </c>
      <c r="AC61" s="616"/>
      <c r="AD61" s="621">
        <v>129091.80784981261</v>
      </c>
      <c r="AE61" s="616"/>
      <c r="AF61" s="616">
        <v>0</v>
      </c>
      <c r="AG61" s="616"/>
      <c r="AH61" s="316" t="s">
        <v>1446</v>
      </c>
      <c r="AI61" s="616"/>
      <c r="AJ61" s="315">
        <v>0</v>
      </c>
      <c r="AK61" s="616"/>
      <c r="AL61" s="315">
        <v>1617353.953852616</v>
      </c>
      <c r="AM61" s="616"/>
      <c r="AN61" s="315">
        <v>0</v>
      </c>
      <c r="AO61" s="616"/>
      <c r="AP61" s="616">
        <v>1617353.953852616</v>
      </c>
      <c r="AR61" s="616">
        <v>0</v>
      </c>
      <c r="AS61" s="616"/>
      <c r="AT61" s="621">
        <v>48307.760310348109</v>
      </c>
      <c r="AU61" s="616"/>
      <c r="AV61" s="616">
        <v>0</v>
      </c>
      <c r="AW61" s="616"/>
      <c r="AX61" s="315">
        <v>0</v>
      </c>
      <c r="AY61" s="616"/>
      <c r="AZ61" s="315">
        <v>1569046.1935422679</v>
      </c>
      <c r="BA61" s="616"/>
      <c r="BB61" s="315">
        <v>0</v>
      </c>
      <c r="BC61" s="616"/>
      <c r="BD61" s="616">
        <v>1569046.1935422679</v>
      </c>
      <c r="BF61" s="616">
        <v>2178734.5570484884</v>
      </c>
      <c r="BI61" s="304">
        <v>327</v>
      </c>
    </row>
    <row r="62" spans="1:61" ht="14.5">
      <c r="A62" s="304">
        <v>328</v>
      </c>
      <c r="B62" s="620" t="s">
        <v>1498</v>
      </c>
      <c r="F62" s="624" t="s">
        <v>1443</v>
      </c>
      <c r="H62" s="621">
        <v>-3968619.5216548159</v>
      </c>
      <c r="J62" s="621">
        <v>122789.088</v>
      </c>
      <c r="K62" s="616"/>
      <c r="L62" s="621">
        <v>74088.701864447998</v>
      </c>
      <c r="M62" s="616"/>
      <c r="N62" s="621">
        <v>48700.386135551998</v>
      </c>
      <c r="P62" s="626" t="s">
        <v>1444</v>
      </c>
      <c r="R62" s="616">
        <v>0</v>
      </c>
      <c r="S62" s="616"/>
      <c r="T62" s="616">
        <v>48700.386135551998</v>
      </c>
      <c r="U62" s="616"/>
      <c r="V62" s="616">
        <v>0</v>
      </c>
      <c r="W62" s="616"/>
      <c r="X62" s="616">
        <v>48700.386135551998</v>
      </c>
      <c r="Y62" s="616"/>
      <c r="Z62" s="316" t="s">
        <v>1471</v>
      </c>
      <c r="AA62" s="616"/>
      <c r="AB62" s="616">
        <v>0</v>
      </c>
      <c r="AC62" s="616"/>
      <c r="AD62" s="621">
        <v>3599.7802090881924</v>
      </c>
      <c r="AE62" s="616"/>
      <c r="AF62" s="616">
        <v>0</v>
      </c>
      <c r="AG62" s="616"/>
      <c r="AH62" s="316" t="s">
        <v>1446</v>
      </c>
      <c r="AI62" s="616"/>
      <c r="AJ62" s="315">
        <v>0</v>
      </c>
      <c r="AK62" s="616"/>
      <c r="AL62" s="315">
        <v>45100.605926463802</v>
      </c>
      <c r="AM62" s="616"/>
      <c r="AN62" s="315">
        <v>0</v>
      </c>
      <c r="AO62" s="616"/>
      <c r="AP62" s="616">
        <v>45100.605926463802</v>
      </c>
      <c r="AR62" s="616">
        <v>0</v>
      </c>
      <c r="AS62" s="616"/>
      <c r="AT62" s="621">
        <v>1347.0825330208563</v>
      </c>
      <c r="AU62" s="616"/>
      <c r="AV62" s="616">
        <v>0</v>
      </c>
      <c r="AW62" s="616"/>
      <c r="AX62" s="315">
        <v>0</v>
      </c>
      <c r="AY62" s="616"/>
      <c r="AZ62" s="315">
        <v>43753.523393442949</v>
      </c>
      <c r="BA62" s="616"/>
      <c r="BB62" s="315">
        <v>0</v>
      </c>
      <c r="BC62" s="616"/>
      <c r="BD62" s="616">
        <v>43753.523393442949</v>
      </c>
      <c r="BF62" s="616">
        <v>60754.943864790446</v>
      </c>
      <c r="BI62" s="304">
        <v>328</v>
      </c>
    </row>
    <row r="63" spans="1:61" ht="14.5">
      <c r="A63" s="304">
        <v>329</v>
      </c>
      <c r="B63" s="620" t="s">
        <v>1499</v>
      </c>
      <c r="F63" s="624" t="s">
        <v>1443</v>
      </c>
      <c r="H63" s="621">
        <v>-880.87912087912093</v>
      </c>
      <c r="J63" s="621">
        <v>27.2544</v>
      </c>
      <c r="K63" s="616"/>
      <c r="L63" s="621">
        <v>16.506803712</v>
      </c>
      <c r="M63" s="616"/>
      <c r="N63" s="621">
        <v>10.747596287999999</v>
      </c>
      <c r="P63" s="626" t="s">
        <v>1444</v>
      </c>
      <c r="R63" s="616">
        <v>0</v>
      </c>
      <c r="S63" s="616"/>
      <c r="T63" s="616">
        <v>10.747596287999999</v>
      </c>
      <c r="U63" s="616"/>
      <c r="V63" s="616">
        <v>0</v>
      </c>
      <c r="W63" s="616"/>
      <c r="X63" s="616">
        <v>10.747596287999999</v>
      </c>
      <c r="Y63" s="616"/>
      <c r="Z63" s="316" t="s">
        <v>1471</v>
      </c>
      <c r="AA63" s="616"/>
      <c r="AB63" s="616">
        <v>0</v>
      </c>
      <c r="AC63" s="616"/>
      <c r="AD63" s="621">
        <v>0.7944286992946159</v>
      </c>
      <c r="AE63" s="616"/>
      <c r="AF63" s="616">
        <v>0</v>
      </c>
      <c r="AG63" s="616"/>
      <c r="AH63" s="316" t="s">
        <v>1446</v>
      </c>
      <c r="AI63" s="616"/>
      <c r="AJ63" s="315">
        <v>0</v>
      </c>
      <c r="AK63" s="616"/>
      <c r="AL63" s="315">
        <v>9.9531675887053837</v>
      </c>
      <c r="AM63" s="616"/>
      <c r="AN63" s="315">
        <v>0</v>
      </c>
      <c r="AO63" s="616"/>
      <c r="AP63" s="616">
        <v>9.9531675887053837</v>
      </c>
      <c r="AR63" s="616">
        <v>0</v>
      </c>
      <c r="AS63" s="616"/>
      <c r="AT63" s="621">
        <v>0.29728510142048975</v>
      </c>
      <c r="AU63" s="616"/>
      <c r="AV63" s="616">
        <v>0</v>
      </c>
      <c r="AW63" s="616"/>
      <c r="AX63" s="315">
        <v>0</v>
      </c>
      <c r="AY63" s="616"/>
      <c r="AZ63" s="315">
        <v>9.6558824872848934</v>
      </c>
      <c r="BA63" s="616"/>
      <c r="BB63" s="315">
        <v>0</v>
      </c>
      <c r="BC63" s="616"/>
      <c r="BD63" s="616">
        <v>9.6558824872848934</v>
      </c>
      <c r="BF63" s="616">
        <v>13.407893878734416</v>
      </c>
      <c r="BI63" s="304">
        <v>329</v>
      </c>
    </row>
    <row r="64" spans="1:61" ht="14.5">
      <c r="A64" s="304">
        <v>330</v>
      </c>
      <c r="B64" s="620" t="s">
        <v>1500</v>
      </c>
      <c r="F64" s="624" t="s">
        <v>1443</v>
      </c>
      <c r="H64" s="621">
        <v>15589528.118939884</v>
      </c>
      <c r="J64" s="621">
        <v>-482340</v>
      </c>
      <c r="K64" s="616"/>
      <c r="L64" s="621">
        <v>-289341.62112000003</v>
      </c>
      <c r="M64" s="616"/>
      <c r="N64" s="621">
        <v>-192935.65226813068</v>
      </c>
      <c r="P64" s="626" t="s">
        <v>1444</v>
      </c>
      <c r="R64" s="616">
        <v>0</v>
      </c>
      <c r="S64" s="616"/>
      <c r="T64" s="616">
        <v>-192935.65226813068</v>
      </c>
      <c r="U64" s="616"/>
      <c r="V64" s="616">
        <v>0</v>
      </c>
      <c r="W64" s="616"/>
      <c r="X64" s="616">
        <v>-192935.65226813068</v>
      </c>
      <c r="Y64" s="616"/>
      <c r="Z64" s="316" t="s">
        <v>1471</v>
      </c>
      <c r="AA64" s="616"/>
      <c r="AB64" s="616">
        <v>0</v>
      </c>
      <c r="AC64" s="616"/>
      <c r="AD64" s="621">
        <v>-14261.199915935042</v>
      </c>
      <c r="AE64" s="616"/>
      <c r="AF64" s="616">
        <v>0</v>
      </c>
      <c r="AG64" s="616"/>
      <c r="AH64" s="316" t="s">
        <v>1446</v>
      </c>
      <c r="AI64" s="616"/>
      <c r="AJ64" s="315">
        <v>0</v>
      </c>
      <c r="AK64" s="616"/>
      <c r="AL64" s="315">
        <v>-178674.45235219563</v>
      </c>
      <c r="AM64" s="616"/>
      <c r="AN64" s="315">
        <v>0</v>
      </c>
      <c r="AO64" s="616"/>
      <c r="AP64" s="616">
        <v>-178674.45235219563</v>
      </c>
      <c r="AR64" s="616">
        <v>0</v>
      </c>
      <c r="AS64" s="616"/>
      <c r="AT64" s="621">
        <v>-5336.7184080220995</v>
      </c>
      <c r="AU64" s="616"/>
      <c r="AV64" s="616">
        <v>0</v>
      </c>
      <c r="AW64" s="616"/>
      <c r="AX64" s="315">
        <v>0</v>
      </c>
      <c r="AY64" s="616"/>
      <c r="AZ64" s="315">
        <v>-173337.73394417352</v>
      </c>
      <c r="BA64" s="616"/>
      <c r="BB64" s="315">
        <v>0</v>
      </c>
      <c r="BC64" s="616"/>
      <c r="BD64" s="616">
        <v>-173337.73394417352</v>
      </c>
      <c r="BF64" s="616">
        <v>-240692.02840488209</v>
      </c>
      <c r="BI64" s="304">
        <v>330</v>
      </c>
    </row>
    <row r="65" spans="1:61" ht="14.5">
      <c r="A65" s="304">
        <v>331</v>
      </c>
      <c r="B65" s="620" t="s">
        <v>1501</v>
      </c>
      <c r="F65" s="624" t="s">
        <v>1443</v>
      </c>
      <c r="H65" s="621">
        <v>-14443083.387201035</v>
      </c>
      <c r="J65" s="621">
        <v>446869</v>
      </c>
      <c r="K65" s="616"/>
      <c r="L65" s="621">
        <v>268063.47200000001</v>
      </c>
      <c r="M65" s="616"/>
      <c r="N65" s="621">
        <v>178747.69686545752</v>
      </c>
      <c r="P65" s="626" t="s">
        <v>1444</v>
      </c>
      <c r="R65" s="616">
        <v>0</v>
      </c>
      <c r="S65" s="616"/>
      <c r="T65" s="616">
        <v>178747.69686545752</v>
      </c>
      <c r="U65" s="616"/>
      <c r="V65" s="616">
        <v>0</v>
      </c>
      <c r="W65" s="616"/>
      <c r="X65" s="616">
        <v>178747.69686545752</v>
      </c>
      <c r="Y65" s="616"/>
      <c r="Z65" s="316" t="s">
        <v>1471</v>
      </c>
      <c r="AA65" s="616"/>
      <c r="AB65" s="616">
        <v>0</v>
      </c>
      <c r="AC65" s="616"/>
      <c r="AD65" s="621">
        <v>13212.470632273689</v>
      </c>
      <c r="AE65" s="616"/>
      <c r="AF65" s="616">
        <v>0</v>
      </c>
      <c r="AG65" s="616"/>
      <c r="AH65" s="316" t="s">
        <v>1446</v>
      </c>
      <c r="AI65" s="616"/>
      <c r="AJ65" s="315">
        <v>0</v>
      </c>
      <c r="AK65" s="616"/>
      <c r="AL65" s="315">
        <v>165535.22623318381</v>
      </c>
      <c r="AM65" s="616"/>
      <c r="AN65" s="315">
        <v>0</v>
      </c>
      <c r="AO65" s="616"/>
      <c r="AP65" s="616">
        <v>165535.22623318381</v>
      </c>
      <c r="AR65" s="616">
        <v>0</v>
      </c>
      <c r="AS65" s="616"/>
      <c r="AT65" s="621">
        <v>4944.2708646079082</v>
      </c>
      <c r="AU65" s="616"/>
      <c r="AV65" s="616">
        <v>0</v>
      </c>
      <c r="AW65" s="616"/>
      <c r="AX65" s="315">
        <v>0</v>
      </c>
      <c r="AY65" s="616"/>
      <c r="AZ65" s="315">
        <v>160590.9553685759</v>
      </c>
      <c r="BA65" s="616"/>
      <c r="BB65" s="315">
        <v>0</v>
      </c>
      <c r="BC65" s="616"/>
      <c r="BD65" s="616">
        <v>160590.9553685759</v>
      </c>
      <c r="BF65" s="616">
        <v>222992.20089948384</v>
      </c>
      <c r="BI65" s="304">
        <v>331</v>
      </c>
    </row>
    <row r="66" spans="1:61" ht="14.5">
      <c r="A66" s="304">
        <v>332</v>
      </c>
      <c r="B66" s="620" t="s">
        <v>1502</v>
      </c>
      <c r="F66" s="624" t="s">
        <v>1443</v>
      </c>
      <c r="H66" s="621">
        <v>-886600032.32062054</v>
      </c>
      <c r="J66" s="621">
        <v>27431405</v>
      </c>
      <c r="K66" s="616"/>
      <c r="L66" s="621">
        <v>16458843.48416</v>
      </c>
      <c r="M66" s="616"/>
      <c r="N66" s="621">
        <v>10969014.385444462</v>
      </c>
      <c r="P66" s="626" t="s">
        <v>1444</v>
      </c>
      <c r="R66" s="616">
        <v>0</v>
      </c>
      <c r="S66" s="616"/>
      <c r="T66" s="616">
        <v>10969014.385444462</v>
      </c>
      <c r="U66" s="616"/>
      <c r="V66" s="616">
        <v>0</v>
      </c>
      <c r="W66" s="616"/>
      <c r="X66" s="616">
        <v>10969014.385444462</v>
      </c>
      <c r="Y66" s="616"/>
      <c r="Z66" s="316" t="s">
        <v>1471</v>
      </c>
      <c r="AA66" s="616"/>
      <c r="AB66" s="616">
        <v>0</v>
      </c>
      <c r="AC66" s="616"/>
      <c r="AD66" s="621">
        <v>810795.23246533913</v>
      </c>
      <c r="AE66" s="616"/>
      <c r="AF66" s="616">
        <v>0</v>
      </c>
      <c r="AG66" s="616"/>
      <c r="AH66" s="316" t="s">
        <v>1446</v>
      </c>
      <c r="AI66" s="616"/>
      <c r="AJ66" s="315">
        <v>0</v>
      </c>
      <c r="AK66" s="616"/>
      <c r="AL66" s="315">
        <v>10158219.152979122</v>
      </c>
      <c r="AM66" s="616"/>
      <c r="AN66" s="315">
        <v>0</v>
      </c>
      <c r="AO66" s="616"/>
      <c r="AP66" s="616">
        <v>10158219.152979122</v>
      </c>
      <c r="AR66" s="616">
        <v>0</v>
      </c>
      <c r="AS66" s="616"/>
      <c r="AT66" s="621">
        <v>303409.6617213455</v>
      </c>
      <c r="AU66" s="616"/>
      <c r="AV66" s="616">
        <v>0</v>
      </c>
      <c r="AW66" s="616"/>
      <c r="AX66" s="315">
        <v>0</v>
      </c>
      <c r="AY66" s="616"/>
      <c r="AZ66" s="315">
        <v>9854809.4912577774</v>
      </c>
      <c r="BA66" s="616"/>
      <c r="BB66" s="315">
        <v>0</v>
      </c>
      <c r="BC66" s="616"/>
      <c r="BD66" s="616">
        <v>9854809.4912577774</v>
      </c>
      <c r="BF66" s="616">
        <v>13684118.466429558</v>
      </c>
      <c r="BI66" s="304">
        <v>332</v>
      </c>
    </row>
    <row r="67" spans="1:61" ht="14.5">
      <c r="A67" s="304">
        <v>333</v>
      </c>
      <c r="B67" s="620" t="s">
        <v>1503</v>
      </c>
      <c r="F67" s="624" t="s">
        <v>1443</v>
      </c>
      <c r="H67" s="621">
        <v>1286820103.4259858</v>
      </c>
      <c r="J67" s="621">
        <v>-39814214</v>
      </c>
      <c r="K67" s="616"/>
      <c r="L67" s="621">
        <v>-23929738.219519999</v>
      </c>
      <c r="M67" s="616"/>
      <c r="N67" s="621">
        <v>-15879318.904024091</v>
      </c>
      <c r="P67" s="626" t="s">
        <v>1444</v>
      </c>
      <c r="R67" s="616">
        <v>-15879318.904024091</v>
      </c>
      <c r="S67" s="616"/>
      <c r="T67" s="616"/>
      <c r="U67" s="616"/>
      <c r="V67" s="616">
        <v>0</v>
      </c>
      <c r="W67" s="616"/>
      <c r="X67" s="616">
        <v>-15879318.904024091</v>
      </c>
      <c r="Y67" s="616"/>
      <c r="Z67" s="316" t="s">
        <v>1445</v>
      </c>
      <c r="AA67" s="616"/>
      <c r="AB67" s="621">
        <v>-3495214.1445797235</v>
      </c>
      <c r="AC67" s="616"/>
      <c r="AD67" s="616">
        <v>0</v>
      </c>
      <c r="AE67" s="616"/>
      <c r="AF67" s="616">
        <v>0</v>
      </c>
      <c r="AG67" s="616"/>
      <c r="AH67" s="316" t="s">
        <v>1446</v>
      </c>
      <c r="AI67" s="616"/>
      <c r="AJ67" s="315">
        <v>-12384104.759444367</v>
      </c>
      <c r="AK67" s="616"/>
      <c r="AL67" s="315">
        <v>0</v>
      </c>
      <c r="AM67" s="616"/>
      <c r="AN67" s="315">
        <v>0</v>
      </c>
      <c r="AO67" s="616"/>
      <c r="AP67" s="616">
        <v>-12384104.759444367</v>
      </c>
      <c r="AR67" s="621">
        <v>-1537745.3264169826</v>
      </c>
      <c r="AS67" s="616"/>
      <c r="AT67" s="616"/>
      <c r="AU67" s="616"/>
      <c r="AV67" s="616">
        <v>0</v>
      </c>
      <c r="AW67" s="616"/>
      <c r="AX67" s="315">
        <v>-10846359.433027385</v>
      </c>
      <c r="AY67" s="616"/>
      <c r="AZ67" s="315">
        <v>0</v>
      </c>
      <c r="BA67" s="616"/>
      <c r="BB67" s="315">
        <v>0</v>
      </c>
      <c r="BC67" s="616"/>
      <c r="BD67" s="616">
        <v>-10846359.433027385</v>
      </c>
      <c r="BF67" s="616">
        <v>-15060957.54998498</v>
      </c>
      <c r="BI67" s="304">
        <v>333</v>
      </c>
    </row>
    <row r="68" spans="1:61" ht="14.5">
      <c r="A68" s="304">
        <v>334</v>
      </c>
      <c r="B68" s="620" t="s">
        <v>1504</v>
      </c>
      <c r="F68" s="624" t="s">
        <v>1443</v>
      </c>
      <c r="H68" s="621">
        <v>-1894440.8532643828</v>
      </c>
      <c r="J68" s="621">
        <v>58614</v>
      </c>
      <c r="K68" s="616"/>
      <c r="L68" s="621">
        <v>35160.973440000002</v>
      </c>
      <c r="M68" s="616"/>
      <c r="N68" s="621">
        <v>23445</v>
      </c>
      <c r="P68" s="626" t="s">
        <v>1444</v>
      </c>
      <c r="R68" s="616">
        <v>0</v>
      </c>
      <c r="S68" s="616"/>
      <c r="T68" s="616">
        <v>23445</v>
      </c>
      <c r="U68" s="616"/>
      <c r="V68" s="616">
        <v>0</v>
      </c>
      <c r="W68" s="616"/>
      <c r="X68" s="616">
        <v>23445</v>
      </c>
      <c r="Y68" s="616"/>
      <c r="Z68" s="316" t="s">
        <v>1471</v>
      </c>
      <c r="AA68" s="616"/>
      <c r="AB68" s="616">
        <v>0</v>
      </c>
      <c r="AC68" s="616"/>
      <c r="AD68" s="621">
        <v>1732.9810644039583</v>
      </c>
      <c r="AE68" s="616"/>
      <c r="AF68" s="616">
        <v>0</v>
      </c>
      <c r="AG68" s="616"/>
      <c r="AH68" s="316" t="s">
        <v>1446</v>
      </c>
      <c r="AI68" s="616"/>
      <c r="AJ68" s="315">
        <v>0</v>
      </c>
      <c r="AK68" s="616"/>
      <c r="AL68" s="315">
        <v>21712.018935596043</v>
      </c>
      <c r="AM68" s="616"/>
      <c r="AN68" s="315">
        <v>0</v>
      </c>
      <c r="AO68" s="616"/>
      <c r="AP68" s="616">
        <v>21712.018935596043</v>
      </c>
      <c r="AR68" s="616">
        <v>0</v>
      </c>
      <c r="AS68" s="616"/>
      <c r="AT68" s="621">
        <v>648.50307138773155</v>
      </c>
      <c r="AU68" s="616"/>
      <c r="AV68" s="616">
        <v>0</v>
      </c>
      <c r="AW68" s="616"/>
      <c r="AX68" s="315">
        <v>0</v>
      </c>
      <c r="AY68" s="616"/>
      <c r="AZ68" s="315">
        <v>21063.515864208312</v>
      </c>
      <c r="BA68" s="616"/>
      <c r="BB68" s="315">
        <v>0</v>
      </c>
      <c r="BC68" s="616"/>
      <c r="BD68" s="616">
        <v>21063.515864208312</v>
      </c>
      <c r="BF68" s="616">
        <v>29248.221049939057</v>
      </c>
      <c r="BI68" s="304">
        <v>334</v>
      </c>
    </row>
    <row r="69" spans="1:61" ht="14.5">
      <c r="A69" s="304">
        <v>335</v>
      </c>
      <c r="B69" s="620" t="s">
        <v>1505</v>
      </c>
      <c r="F69" s="624" t="s">
        <v>1443</v>
      </c>
      <c r="H69" s="621">
        <v>-9917200.7756948937</v>
      </c>
      <c r="J69" s="621">
        <v>306838.19199999998</v>
      </c>
      <c r="K69" s="616"/>
      <c r="L69" s="621">
        <v>185140.45328640001</v>
      </c>
      <c r="M69" s="616"/>
      <c r="N69" s="621">
        <v>121673.12137318996</v>
      </c>
      <c r="P69" s="626" t="s">
        <v>1444</v>
      </c>
      <c r="R69" s="616">
        <v>0</v>
      </c>
      <c r="S69" s="616"/>
      <c r="T69" s="616">
        <v>121673.12137318996</v>
      </c>
      <c r="U69" s="616"/>
      <c r="V69" s="616">
        <v>0</v>
      </c>
      <c r="W69" s="616"/>
      <c r="X69" s="616">
        <v>121673.12137318996</v>
      </c>
      <c r="Y69" s="616"/>
      <c r="Z69" s="316" t="s">
        <v>1471</v>
      </c>
      <c r="AA69" s="616"/>
      <c r="AB69" s="616">
        <v>0</v>
      </c>
      <c r="AC69" s="616"/>
      <c r="AD69" s="621">
        <v>8993.6965402713904</v>
      </c>
      <c r="AE69" s="616"/>
      <c r="AF69" s="616">
        <v>0</v>
      </c>
      <c r="AG69" s="616"/>
      <c r="AH69" s="316" t="s">
        <v>1446</v>
      </c>
      <c r="AI69" s="616"/>
      <c r="AJ69" s="315">
        <v>0</v>
      </c>
      <c r="AK69" s="616"/>
      <c r="AL69" s="315">
        <v>112679.42483291856</v>
      </c>
      <c r="AM69" s="616"/>
      <c r="AN69" s="315">
        <v>0</v>
      </c>
      <c r="AO69" s="616"/>
      <c r="AP69" s="616">
        <v>112679.42483291856</v>
      </c>
      <c r="AR69" s="616">
        <v>0</v>
      </c>
      <c r="AS69" s="616"/>
      <c r="AT69" s="621">
        <v>3365.5531207441227</v>
      </c>
      <c r="AU69" s="616"/>
      <c r="AV69" s="616">
        <v>0</v>
      </c>
      <c r="AW69" s="616"/>
      <c r="AX69" s="315">
        <v>0</v>
      </c>
      <c r="AY69" s="616"/>
      <c r="AZ69" s="315">
        <v>109313.87171217444</v>
      </c>
      <c r="BA69" s="616"/>
      <c r="BB69" s="315">
        <v>0</v>
      </c>
      <c r="BC69" s="616"/>
      <c r="BD69" s="616">
        <v>109313.87171217444</v>
      </c>
      <c r="BF69" s="616">
        <v>151790.24737722857</v>
      </c>
      <c r="BI69" s="304">
        <v>335</v>
      </c>
    </row>
    <row r="70" spans="1:61" ht="14.5">
      <c r="A70" s="304">
        <v>336</v>
      </c>
      <c r="B70" s="620" t="s">
        <v>1506</v>
      </c>
      <c r="F70" s="624" t="s">
        <v>1443</v>
      </c>
      <c r="H70" s="621">
        <v>3811317.8539107954</v>
      </c>
      <c r="J70" s="621">
        <v>-117922.1744</v>
      </c>
      <c r="K70" s="616"/>
      <c r="L70" s="621">
        <v>-71151.934237184003</v>
      </c>
      <c r="M70" s="616"/>
      <c r="N70" s="621">
        <v>-46771.162561949262</v>
      </c>
      <c r="P70" s="626" t="s">
        <v>1444</v>
      </c>
      <c r="R70" s="616">
        <v>0</v>
      </c>
      <c r="S70" s="616"/>
      <c r="T70" s="616">
        <v>-46771.162561949262</v>
      </c>
      <c r="U70" s="616"/>
      <c r="V70" s="616">
        <v>0</v>
      </c>
      <c r="W70" s="616"/>
      <c r="X70" s="616">
        <v>-46771.162561949262</v>
      </c>
      <c r="Y70" s="616"/>
      <c r="Z70" s="316" t="s">
        <v>1471</v>
      </c>
      <c r="AA70" s="616"/>
      <c r="AB70" s="616">
        <v>0</v>
      </c>
      <c r="AC70" s="616"/>
      <c r="AD70" s="621">
        <v>-3457.1780371088676</v>
      </c>
      <c r="AE70" s="616"/>
      <c r="AF70" s="616">
        <v>0</v>
      </c>
      <c r="AG70" s="616"/>
      <c r="AH70" s="316" t="s">
        <v>1446</v>
      </c>
      <c r="AI70" s="616"/>
      <c r="AJ70" s="315">
        <v>0</v>
      </c>
      <c r="AK70" s="616"/>
      <c r="AL70" s="315">
        <v>-43313.984524840394</v>
      </c>
      <c r="AM70" s="616"/>
      <c r="AN70" s="315">
        <v>0</v>
      </c>
      <c r="AO70" s="616"/>
      <c r="AP70" s="616">
        <v>-43313.984524840394</v>
      </c>
      <c r="AR70" s="616">
        <v>0</v>
      </c>
      <c r="AS70" s="616"/>
      <c r="AT70" s="621">
        <v>-1293.7190263936441</v>
      </c>
      <c r="AU70" s="616"/>
      <c r="AV70" s="616">
        <v>0</v>
      </c>
      <c r="AW70" s="616"/>
      <c r="AX70" s="315">
        <v>0</v>
      </c>
      <c r="AY70" s="616"/>
      <c r="AZ70" s="315">
        <v>-42020.265498446752</v>
      </c>
      <c r="BA70" s="616"/>
      <c r="BB70" s="315">
        <v>0</v>
      </c>
      <c r="BC70" s="616"/>
      <c r="BD70" s="616">
        <v>-42020.265498446752</v>
      </c>
      <c r="BF70" s="616">
        <v>-58348.189438026267</v>
      </c>
      <c r="BI70" s="304">
        <v>336</v>
      </c>
    </row>
    <row r="71" spans="1:61" ht="14.5">
      <c r="A71" s="304">
        <v>337</v>
      </c>
      <c r="B71" s="620" t="s">
        <v>1507</v>
      </c>
      <c r="F71" s="624" t="s">
        <v>1443</v>
      </c>
      <c r="H71" s="621">
        <v>82548642.301228195</v>
      </c>
      <c r="J71" s="621">
        <v>-2554054.9928000001</v>
      </c>
      <c r="K71" s="616"/>
      <c r="L71" s="621">
        <v>-1541067.8169226239</v>
      </c>
      <c r="M71" s="616"/>
      <c r="N71" s="621">
        <v>-1012669.8247086008</v>
      </c>
      <c r="P71" s="626" t="s">
        <v>1444</v>
      </c>
      <c r="R71" s="616">
        <v>0</v>
      </c>
      <c r="S71" s="616"/>
      <c r="T71" s="616">
        <v>-1012669.8247086008</v>
      </c>
      <c r="U71" s="616"/>
      <c r="V71" s="616">
        <v>0</v>
      </c>
      <c r="W71" s="616"/>
      <c r="X71" s="616">
        <v>-1012669.8247086008</v>
      </c>
      <c r="Y71" s="616"/>
      <c r="Z71" s="316" t="s">
        <v>1471</v>
      </c>
      <c r="AA71" s="616"/>
      <c r="AB71" s="616">
        <v>0</v>
      </c>
      <c r="AC71" s="616"/>
      <c r="AD71" s="621">
        <v>-74853.38582696869</v>
      </c>
      <c r="AE71" s="616"/>
      <c r="AF71" s="616">
        <v>0</v>
      </c>
      <c r="AG71" s="616"/>
      <c r="AH71" s="316" t="s">
        <v>1446</v>
      </c>
      <c r="AI71" s="616"/>
      <c r="AJ71" s="315">
        <v>0</v>
      </c>
      <c r="AK71" s="616"/>
      <c r="AL71" s="315">
        <v>-937816.43888163206</v>
      </c>
      <c r="AM71" s="616"/>
      <c r="AN71" s="315">
        <v>0</v>
      </c>
      <c r="AO71" s="616"/>
      <c r="AP71" s="616">
        <v>-937816.43888163206</v>
      </c>
      <c r="AR71" s="616">
        <v>0</v>
      </c>
      <c r="AS71" s="616"/>
      <c r="AT71" s="621">
        <v>-28011.068100883065</v>
      </c>
      <c r="AU71" s="616"/>
      <c r="AV71" s="616">
        <v>0</v>
      </c>
      <c r="AW71" s="616"/>
      <c r="AX71" s="315">
        <v>0</v>
      </c>
      <c r="AY71" s="616"/>
      <c r="AZ71" s="315">
        <v>-909805.37078074901</v>
      </c>
      <c r="BA71" s="616"/>
      <c r="BB71" s="315">
        <v>0</v>
      </c>
      <c r="BC71" s="616"/>
      <c r="BD71" s="616">
        <v>-909805.37078074901</v>
      </c>
      <c r="BF71" s="616">
        <v>-1263330.8118438979</v>
      </c>
      <c r="BI71" s="304">
        <v>337</v>
      </c>
    </row>
    <row r="72" spans="1:61" ht="14.5">
      <c r="A72" s="304">
        <v>338</v>
      </c>
      <c r="B72" s="620" t="s">
        <v>1508</v>
      </c>
      <c r="F72" s="624" t="s">
        <v>1443</v>
      </c>
      <c r="H72" s="621">
        <v>-206829414.58306399</v>
      </c>
      <c r="J72" s="621">
        <v>6399302.0872</v>
      </c>
      <c r="K72" s="616"/>
      <c r="L72" s="621">
        <v>3859009.5899391999</v>
      </c>
      <c r="M72" s="616"/>
      <c r="N72" s="621">
        <v>2539444.1115617389</v>
      </c>
      <c r="P72" s="626" t="s">
        <v>1444</v>
      </c>
      <c r="R72" s="616">
        <v>0</v>
      </c>
      <c r="S72" s="616"/>
      <c r="T72" s="616">
        <v>2539444.1115617389</v>
      </c>
      <c r="U72" s="616"/>
      <c r="V72" s="616">
        <v>0</v>
      </c>
      <c r="W72" s="616"/>
      <c r="X72" s="616">
        <v>2539444.1115617389</v>
      </c>
      <c r="Y72" s="616"/>
      <c r="Z72" s="316" t="s">
        <v>1471</v>
      </c>
      <c r="AA72" s="616"/>
      <c r="AB72" s="616">
        <v>0</v>
      </c>
      <c r="AC72" s="616"/>
      <c r="AD72" s="621">
        <v>187707.7653848849</v>
      </c>
      <c r="AE72" s="616"/>
      <c r="AF72" s="616">
        <v>0</v>
      </c>
      <c r="AG72" s="616"/>
      <c r="AH72" s="316" t="s">
        <v>1446</v>
      </c>
      <c r="AI72" s="616"/>
      <c r="AJ72" s="315">
        <v>0</v>
      </c>
      <c r="AK72" s="616"/>
      <c r="AL72" s="315">
        <v>2351736.3461768539</v>
      </c>
      <c r="AM72" s="616"/>
      <c r="AN72" s="315">
        <v>0</v>
      </c>
      <c r="AO72" s="616"/>
      <c r="AP72" s="616">
        <v>2351736.3461768539</v>
      </c>
      <c r="AR72" s="616">
        <v>0</v>
      </c>
      <c r="AS72" s="616"/>
      <c r="AT72" s="621">
        <v>70242.580762007972</v>
      </c>
      <c r="AU72" s="616"/>
      <c r="AV72" s="616">
        <v>0</v>
      </c>
      <c r="AW72" s="616"/>
      <c r="AX72" s="315">
        <v>0</v>
      </c>
      <c r="AY72" s="616"/>
      <c r="AZ72" s="315">
        <v>2281493.7654148461</v>
      </c>
      <c r="BA72" s="616"/>
      <c r="BB72" s="315">
        <v>0</v>
      </c>
      <c r="BC72" s="616"/>
      <c r="BD72" s="616">
        <v>2281493.7654148461</v>
      </c>
      <c r="BF72" s="616">
        <v>3168019.7363584489</v>
      </c>
      <c r="BI72" s="304">
        <v>338</v>
      </c>
    </row>
    <row r="73" spans="1:61" ht="14.5">
      <c r="A73" s="304">
        <v>339</v>
      </c>
      <c r="B73" s="620" t="s">
        <v>1509</v>
      </c>
      <c r="F73" s="624" t="s">
        <v>1443</v>
      </c>
      <c r="H73" s="621">
        <v>2780935.7983193276</v>
      </c>
      <c r="J73" s="621">
        <v>-86042.153599999991</v>
      </c>
      <c r="K73" s="616"/>
      <c r="L73" s="621">
        <v>-52236.797545984009</v>
      </c>
      <c r="M73" s="616"/>
      <c r="N73" s="621">
        <v>-33825.769305745198</v>
      </c>
      <c r="P73" s="626" t="s">
        <v>1444</v>
      </c>
      <c r="R73" s="616">
        <v>0</v>
      </c>
      <c r="S73" s="616"/>
      <c r="T73" s="616">
        <v>-33825.769305745198</v>
      </c>
      <c r="U73" s="616"/>
      <c r="V73" s="616">
        <v>0</v>
      </c>
      <c r="W73" s="616"/>
      <c r="X73" s="616">
        <v>-33825.769305745198</v>
      </c>
      <c r="Y73" s="616"/>
      <c r="Z73" s="316" t="s">
        <v>1471</v>
      </c>
      <c r="AA73" s="616"/>
      <c r="AB73" s="616">
        <v>0</v>
      </c>
      <c r="AC73" s="616"/>
      <c r="AD73" s="621">
        <v>-2500.2950605994056</v>
      </c>
      <c r="AE73" s="616"/>
      <c r="AF73" s="616">
        <v>0</v>
      </c>
      <c r="AG73" s="616"/>
      <c r="AH73" s="316" t="s">
        <v>1446</v>
      </c>
      <c r="AI73" s="616"/>
      <c r="AJ73" s="315">
        <v>0</v>
      </c>
      <c r="AK73" s="616"/>
      <c r="AL73" s="315">
        <v>-31325.474245145793</v>
      </c>
      <c r="AM73" s="616"/>
      <c r="AN73" s="315">
        <v>0</v>
      </c>
      <c r="AO73" s="616"/>
      <c r="AP73" s="616">
        <v>-31325.474245145793</v>
      </c>
      <c r="AR73" s="616">
        <v>0</v>
      </c>
      <c r="AS73" s="616"/>
      <c r="AT73" s="621">
        <v>-935.64151362032931</v>
      </c>
      <c r="AU73" s="616"/>
      <c r="AV73" s="616">
        <v>0</v>
      </c>
      <c r="AW73" s="616"/>
      <c r="AX73" s="315">
        <v>0</v>
      </c>
      <c r="AY73" s="616"/>
      <c r="AZ73" s="315">
        <v>-30389.832731525465</v>
      </c>
      <c r="BA73" s="616"/>
      <c r="BB73" s="315">
        <v>0</v>
      </c>
      <c r="BC73" s="616"/>
      <c r="BD73" s="616">
        <v>-30389.832731525465</v>
      </c>
      <c r="BF73" s="616">
        <v>-42198.489137926168</v>
      </c>
      <c r="BI73" s="304">
        <v>339</v>
      </c>
    </row>
    <row r="74" spans="1:61" ht="14.5">
      <c r="A74" s="304">
        <v>340</v>
      </c>
      <c r="B74" s="620" t="s">
        <v>1510</v>
      </c>
      <c r="F74" s="624" t="s">
        <v>1443</v>
      </c>
      <c r="H74" s="621">
        <v>20214246.877828054</v>
      </c>
      <c r="J74" s="621">
        <v>-625428.79839999997</v>
      </c>
      <c r="K74" s="616"/>
      <c r="L74" s="621">
        <v>-375176.48781004804</v>
      </c>
      <c r="M74" s="616"/>
      <c r="N74" s="621">
        <v>-250183.84381963813</v>
      </c>
      <c r="P74" s="626" t="s">
        <v>1444</v>
      </c>
      <c r="R74" s="616">
        <v>0</v>
      </c>
      <c r="S74" s="616"/>
      <c r="T74" s="616">
        <v>-250183.84381963813</v>
      </c>
      <c r="U74" s="616"/>
      <c r="V74" s="616">
        <v>0</v>
      </c>
      <c r="W74" s="616"/>
      <c r="X74" s="616">
        <v>-250183.84381963813</v>
      </c>
      <c r="Y74" s="616"/>
      <c r="Z74" s="316" t="s">
        <v>1471</v>
      </c>
      <c r="AA74" s="616"/>
      <c r="AB74" s="616">
        <v>0</v>
      </c>
      <c r="AC74" s="616"/>
      <c r="AD74" s="621">
        <v>-18492.80716396802</v>
      </c>
      <c r="AE74" s="616"/>
      <c r="AF74" s="616">
        <v>0</v>
      </c>
      <c r="AG74" s="616"/>
      <c r="AH74" s="316" t="s">
        <v>1446</v>
      </c>
      <c r="AI74" s="616"/>
      <c r="AJ74" s="315">
        <v>0</v>
      </c>
      <c r="AK74" s="616"/>
      <c r="AL74" s="315">
        <v>-231691.03665567012</v>
      </c>
      <c r="AM74" s="616"/>
      <c r="AN74" s="315">
        <v>0</v>
      </c>
      <c r="AO74" s="616"/>
      <c r="AP74" s="616">
        <v>-231691.03665567012</v>
      </c>
      <c r="AR74" s="616">
        <v>0</v>
      </c>
      <c r="AS74" s="616"/>
      <c r="AT74" s="621">
        <v>-6920.2384785081631</v>
      </c>
      <c r="AU74" s="616"/>
      <c r="AV74" s="616">
        <v>0</v>
      </c>
      <c r="AW74" s="616"/>
      <c r="AX74" s="315">
        <v>0</v>
      </c>
      <c r="AY74" s="616"/>
      <c r="AZ74" s="315">
        <v>-224770.79817716195</v>
      </c>
      <c r="BA74" s="616"/>
      <c r="BB74" s="315">
        <v>0</v>
      </c>
      <c r="BC74" s="616"/>
      <c r="BD74" s="616">
        <v>-224770.79817716195</v>
      </c>
      <c r="BF74" s="616">
        <v>-312110.57228237169</v>
      </c>
      <c r="BI74" s="304">
        <v>340</v>
      </c>
    </row>
    <row r="75" spans="1:61" ht="14.5">
      <c r="A75" s="304">
        <v>341</v>
      </c>
      <c r="B75" s="620" t="s">
        <v>1511</v>
      </c>
      <c r="F75" s="624" t="s">
        <v>1443</v>
      </c>
      <c r="H75" s="621">
        <v>-1683355106.5287654</v>
      </c>
      <c r="J75" s="621">
        <v>52083006.995999999</v>
      </c>
      <c r="K75" s="616"/>
      <c r="L75" s="621">
        <v>32797969.86714112</v>
      </c>
      <c r="M75" s="616"/>
      <c r="N75" s="621">
        <v>19278002.225408651</v>
      </c>
      <c r="P75" s="626" t="s">
        <v>1444</v>
      </c>
      <c r="R75" s="616">
        <v>0</v>
      </c>
      <c r="S75" s="616"/>
      <c r="T75" s="616">
        <v>19278002.225408651</v>
      </c>
      <c r="U75" s="616"/>
      <c r="V75" s="616">
        <v>0</v>
      </c>
      <c r="W75" s="616"/>
      <c r="X75" s="616">
        <v>19278002.225408651</v>
      </c>
      <c r="Y75" s="616"/>
      <c r="Z75" s="316" t="s">
        <v>1471</v>
      </c>
      <c r="AA75" s="616"/>
      <c r="AB75" s="616">
        <v>0</v>
      </c>
      <c r="AC75" s="616"/>
      <c r="AD75" s="621">
        <v>1424969.6232105165</v>
      </c>
      <c r="AE75" s="616"/>
      <c r="AF75" s="616">
        <v>0</v>
      </c>
      <c r="AG75" s="616"/>
      <c r="AH75" s="316" t="s">
        <v>1446</v>
      </c>
      <c r="AI75" s="616"/>
      <c r="AJ75" s="315">
        <v>0</v>
      </c>
      <c r="AK75" s="616"/>
      <c r="AL75" s="315">
        <v>17853032.602198135</v>
      </c>
      <c r="AM75" s="616"/>
      <c r="AN75" s="315">
        <v>0</v>
      </c>
      <c r="AO75" s="616"/>
      <c r="AP75" s="616">
        <v>17853032.602198135</v>
      </c>
      <c r="AR75" s="616">
        <v>0</v>
      </c>
      <c r="AS75" s="616"/>
      <c r="AT75" s="621">
        <v>533241.35864350758</v>
      </c>
      <c r="AU75" s="616"/>
      <c r="AV75" s="616">
        <v>0</v>
      </c>
      <c r="AW75" s="616"/>
      <c r="AX75" s="315">
        <v>0</v>
      </c>
      <c r="AY75" s="616"/>
      <c r="AZ75" s="315">
        <v>17319791.243554629</v>
      </c>
      <c r="BA75" s="616"/>
      <c r="BB75" s="315">
        <v>0</v>
      </c>
      <c r="BC75" s="616"/>
      <c r="BD75" s="616">
        <v>17319791.243554629</v>
      </c>
      <c r="BF75" s="616">
        <v>24049787.608870517</v>
      </c>
      <c r="BI75" s="304">
        <v>341</v>
      </c>
    </row>
    <row r="76" spans="1:61" ht="14.5">
      <c r="A76" s="304">
        <v>342</v>
      </c>
      <c r="B76" s="620" t="s">
        <v>1512</v>
      </c>
      <c r="F76" s="624" t="s">
        <v>1443</v>
      </c>
      <c r="H76" s="621">
        <v>-80030.458952811881</v>
      </c>
      <c r="J76" s="621">
        <v>2476.1423999999997</v>
      </c>
      <c r="K76" s="616"/>
      <c r="L76" s="621">
        <v>1485.4561182719999</v>
      </c>
      <c r="M76" s="616"/>
      <c r="N76" s="621">
        <v>990.68628172799993</v>
      </c>
      <c r="P76" s="626" t="s">
        <v>1444</v>
      </c>
      <c r="R76" s="616">
        <v>0</v>
      </c>
      <c r="S76" s="616"/>
      <c r="T76" s="616">
        <v>990.68628172799993</v>
      </c>
      <c r="U76" s="616"/>
      <c r="V76" s="616">
        <v>0</v>
      </c>
      <c r="W76" s="616"/>
      <c r="X76" s="616">
        <v>990.68628172799993</v>
      </c>
      <c r="Y76" s="616"/>
      <c r="Z76" s="316" t="s">
        <v>1471</v>
      </c>
      <c r="AA76" s="616"/>
      <c r="AB76" s="616">
        <v>0</v>
      </c>
      <c r="AC76" s="616"/>
      <c r="AD76" s="621">
        <v>73.228431094023847</v>
      </c>
      <c r="AE76" s="616"/>
      <c r="AF76" s="616">
        <v>0</v>
      </c>
      <c r="AG76" s="616"/>
      <c r="AH76" s="316" t="s">
        <v>1446</v>
      </c>
      <c r="AI76" s="616"/>
      <c r="AJ76" s="315">
        <v>0</v>
      </c>
      <c r="AK76" s="616"/>
      <c r="AL76" s="315">
        <v>917.45785063397602</v>
      </c>
      <c r="AM76" s="616"/>
      <c r="AN76" s="315">
        <v>0</v>
      </c>
      <c r="AO76" s="616"/>
      <c r="AP76" s="616">
        <v>917.45785063397602</v>
      </c>
      <c r="AR76" s="616">
        <v>0</v>
      </c>
      <c r="AS76" s="616"/>
      <c r="AT76" s="621">
        <v>27.402989826500303</v>
      </c>
      <c r="AU76" s="616"/>
      <c r="AV76" s="616">
        <v>0</v>
      </c>
      <c r="AW76" s="616"/>
      <c r="AX76" s="315">
        <v>0</v>
      </c>
      <c r="AY76" s="616"/>
      <c r="AZ76" s="315">
        <v>890.05486080747573</v>
      </c>
      <c r="BA76" s="616"/>
      <c r="BB76" s="315">
        <v>0</v>
      </c>
      <c r="BC76" s="616"/>
      <c r="BD76" s="616">
        <v>890.05486080747573</v>
      </c>
      <c r="BF76" s="616">
        <v>1235.905794801567</v>
      </c>
      <c r="BI76" s="304">
        <v>342</v>
      </c>
    </row>
    <row r="77" spans="1:61" ht="14.5">
      <c r="A77" s="304">
        <v>343</v>
      </c>
      <c r="B77" s="620" t="s">
        <v>1513</v>
      </c>
      <c r="F77" s="624" t="s">
        <v>1443</v>
      </c>
      <c r="H77" s="621">
        <v>-101522526.36069812</v>
      </c>
      <c r="J77" s="621">
        <v>3141106.9655999998</v>
      </c>
      <c r="K77" s="616"/>
      <c r="L77" s="621">
        <v>33370.798588416001</v>
      </c>
      <c r="M77" s="616"/>
      <c r="N77" s="621">
        <v>3107736.1670115842</v>
      </c>
      <c r="P77" s="626" t="s">
        <v>1444</v>
      </c>
      <c r="R77" s="616">
        <v>0</v>
      </c>
      <c r="S77" s="616"/>
      <c r="T77" s="616">
        <v>3107736.1670115842</v>
      </c>
      <c r="U77" s="616"/>
      <c r="V77" s="616">
        <v>0</v>
      </c>
      <c r="W77" s="616"/>
      <c r="X77" s="616">
        <v>3107736.1670115842</v>
      </c>
      <c r="Y77" s="616"/>
      <c r="Z77" s="316" t="s">
        <v>1471</v>
      </c>
      <c r="AA77" s="616"/>
      <c r="AB77" s="616">
        <v>0</v>
      </c>
      <c r="AC77" s="616"/>
      <c r="AD77" s="621">
        <v>229714.13651501015</v>
      </c>
      <c r="AE77" s="616"/>
      <c r="AF77" s="616">
        <v>0</v>
      </c>
      <c r="AG77" s="616"/>
      <c r="AH77" s="316" t="s">
        <v>1446</v>
      </c>
      <c r="AI77" s="616"/>
      <c r="AJ77" s="315">
        <v>0</v>
      </c>
      <c r="AK77" s="616"/>
      <c r="AL77" s="315">
        <v>2878022.030496574</v>
      </c>
      <c r="AM77" s="616"/>
      <c r="AN77" s="315">
        <v>0</v>
      </c>
      <c r="AO77" s="616"/>
      <c r="AP77" s="616">
        <v>2878022.030496574</v>
      </c>
      <c r="AR77" s="616">
        <v>0</v>
      </c>
      <c r="AS77" s="616"/>
      <c r="AT77" s="621">
        <v>85961.887369151154</v>
      </c>
      <c r="AU77" s="616"/>
      <c r="AV77" s="616">
        <v>0</v>
      </c>
      <c r="AW77" s="616"/>
      <c r="AX77" s="315">
        <v>0</v>
      </c>
      <c r="AY77" s="616"/>
      <c r="AZ77" s="315">
        <v>2792060.1431274228</v>
      </c>
      <c r="BA77" s="616"/>
      <c r="BB77" s="315">
        <v>0</v>
      </c>
      <c r="BC77" s="616"/>
      <c r="BD77" s="616">
        <v>2792060.1431274228</v>
      </c>
      <c r="BF77" s="616">
        <v>3876978.2204156588</v>
      </c>
      <c r="BI77" s="304">
        <v>343</v>
      </c>
    </row>
    <row r="78" spans="1:61" ht="14.5">
      <c r="A78" s="304">
        <v>344</v>
      </c>
      <c r="B78" s="620" t="s">
        <v>1514</v>
      </c>
      <c r="F78" s="624" t="s">
        <v>1443</v>
      </c>
      <c r="H78" s="621">
        <v>-316188914.02714932</v>
      </c>
      <c r="J78" s="621">
        <v>9782885</v>
      </c>
      <c r="K78" s="616"/>
      <c r="L78" s="621">
        <v>5862332.2937600007</v>
      </c>
      <c r="M78" s="616"/>
      <c r="N78" s="621">
        <v>3919288.6145502506</v>
      </c>
      <c r="P78" s="626" t="s">
        <v>1444</v>
      </c>
      <c r="R78" s="616">
        <v>0</v>
      </c>
      <c r="S78" s="616"/>
      <c r="T78" s="616">
        <v>3919288.6145502506</v>
      </c>
      <c r="U78" s="616"/>
      <c r="V78" s="616">
        <v>0</v>
      </c>
      <c r="W78" s="616"/>
      <c r="X78" s="616">
        <v>3919288.6145502506</v>
      </c>
      <c r="Y78" s="616"/>
      <c r="Z78" s="316" t="s">
        <v>1471</v>
      </c>
      <c r="AA78" s="616"/>
      <c r="AB78" s="616">
        <v>0</v>
      </c>
      <c r="AC78" s="616"/>
      <c r="AD78" s="621">
        <v>289701.55491361092</v>
      </c>
      <c r="AE78" s="616"/>
      <c r="AF78" s="616">
        <v>0</v>
      </c>
      <c r="AG78" s="616"/>
      <c r="AH78" s="316" t="s">
        <v>1446</v>
      </c>
      <c r="AI78" s="616"/>
      <c r="AJ78" s="315">
        <v>0</v>
      </c>
      <c r="AK78" s="616"/>
      <c r="AL78" s="315">
        <v>3629587.0596366394</v>
      </c>
      <c r="AM78" s="616"/>
      <c r="AN78" s="315">
        <v>0</v>
      </c>
      <c r="AO78" s="616"/>
      <c r="AP78" s="616">
        <v>3629587.0596366394</v>
      </c>
      <c r="AR78" s="616">
        <v>0</v>
      </c>
      <c r="AS78" s="616"/>
      <c r="AT78" s="621">
        <v>108409.92553596949</v>
      </c>
      <c r="AU78" s="616"/>
      <c r="AV78" s="616">
        <v>0</v>
      </c>
      <c r="AW78" s="616"/>
      <c r="AX78" s="315">
        <v>0</v>
      </c>
      <c r="AY78" s="616"/>
      <c r="AZ78" s="315">
        <v>3521177.13410067</v>
      </c>
      <c r="BA78" s="616"/>
      <c r="BB78" s="315">
        <v>0</v>
      </c>
      <c r="BC78" s="616"/>
      <c r="BD78" s="616">
        <v>3521177.13410067</v>
      </c>
      <c r="BF78" s="616">
        <v>4889410.0983951846</v>
      </c>
      <c r="BI78" s="304">
        <v>344</v>
      </c>
    </row>
    <row r="79" spans="1:61" ht="14.5">
      <c r="A79" s="304">
        <v>345</v>
      </c>
      <c r="B79" s="620" t="s">
        <v>1515</v>
      </c>
      <c r="F79" s="624" t="s">
        <v>1443</v>
      </c>
      <c r="H79" s="621">
        <v>-705076955.39754367</v>
      </c>
      <c r="J79" s="621">
        <v>21815081</v>
      </c>
      <c r="K79" s="616"/>
      <c r="L79" s="621">
        <v>13093466.90752</v>
      </c>
      <c r="M79" s="616"/>
      <c r="N79" s="621">
        <v>8718792.3050656114</v>
      </c>
      <c r="P79" s="626" t="s">
        <v>1444</v>
      </c>
      <c r="R79" s="616">
        <v>0</v>
      </c>
      <c r="S79" s="616"/>
      <c r="T79" s="616">
        <v>8718792.3050656114</v>
      </c>
      <c r="U79" s="616"/>
      <c r="V79" s="616">
        <v>0</v>
      </c>
      <c r="W79" s="616"/>
      <c r="X79" s="616">
        <v>8718792.3050656114</v>
      </c>
      <c r="Y79" s="616"/>
      <c r="Z79" s="316" t="s">
        <v>1471</v>
      </c>
      <c r="AA79" s="616"/>
      <c r="AB79" s="616">
        <v>0</v>
      </c>
      <c r="AC79" s="616"/>
      <c r="AD79" s="621">
        <v>644465.85494346952</v>
      </c>
      <c r="AE79" s="616"/>
      <c r="AF79" s="616">
        <v>0</v>
      </c>
      <c r="AG79" s="616"/>
      <c r="AH79" s="316" t="s">
        <v>1446</v>
      </c>
      <c r="AI79" s="616"/>
      <c r="AJ79" s="315">
        <v>0</v>
      </c>
      <c r="AK79" s="616"/>
      <c r="AL79" s="315">
        <v>8074326.4501221422</v>
      </c>
      <c r="AM79" s="616"/>
      <c r="AN79" s="315">
        <v>0</v>
      </c>
      <c r="AO79" s="616"/>
      <c r="AP79" s="616">
        <v>8074326.4501221422</v>
      </c>
      <c r="AR79" s="616">
        <v>0</v>
      </c>
      <c r="AS79" s="616"/>
      <c r="AT79" s="621">
        <v>241167.13963006056</v>
      </c>
      <c r="AU79" s="616"/>
      <c r="AV79" s="616">
        <v>0</v>
      </c>
      <c r="AW79" s="616"/>
      <c r="AX79" s="315">
        <v>0</v>
      </c>
      <c r="AY79" s="616"/>
      <c r="AZ79" s="315">
        <v>7833159.3104920816</v>
      </c>
      <c r="BA79" s="616"/>
      <c r="BB79" s="315">
        <v>0</v>
      </c>
      <c r="BC79" s="616"/>
      <c r="BD79" s="616">
        <v>7833159.3104920816</v>
      </c>
      <c r="BF79" s="616">
        <v>10876910.412756097</v>
      </c>
      <c r="BI79" s="304">
        <v>345</v>
      </c>
    </row>
    <row r="80" spans="1:61" ht="14.5">
      <c r="A80" s="304">
        <v>346</v>
      </c>
      <c r="B80" s="620" t="s">
        <v>1516</v>
      </c>
      <c r="F80" s="624" t="s">
        <v>1443</v>
      </c>
      <c r="H80" s="621">
        <v>396525958.06076276</v>
      </c>
      <c r="J80" s="621">
        <v>-12268513.1424</v>
      </c>
      <c r="K80" s="616"/>
      <c r="L80" s="621">
        <v>-7359521.8983582715</v>
      </c>
      <c r="M80" s="616"/>
      <c r="N80" s="621">
        <v>-4907405.0094369473</v>
      </c>
      <c r="P80" s="626" t="s">
        <v>1444</v>
      </c>
      <c r="R80" s="616">
        <v>0</v>
      </c>
      <c r="S80" s="616"/>
      <c r="T80" s="616">
        <v>-4907405.0094369473</v>
      </c>
      <c r="U80" s="616"/>
      <c r="V80" s="616">
        <v>0</v>
      </c>
      <c r="W80" s="616"/>
      <c r="X80" s="616">
        <v>-4907405.0094369473</v>
      </c>
      <c r="Y80" s="616"/>
      <c r="Z80" s="316" t="s">
        <v>1471</v>
      </c>
      <c r="AA80" s="616"/>
      <c r="AB80" s="616">
        <v>0</v>
      </c>
      <c r="AC80" s="616"/>
      <c r="AD80" s="621">
        <v>-362740.02801089175</v>
      </c>
      <c r="AE80" s="616"/>
      <c r="AF80" s="616">
        <v>0</v>
      </c>
      <c r="AG80" s="616"/>
      <c r="AH80" s="316" t="s">
        <v>1446</v>
      </c>
      <c r="AI80" s="616"/>
      <c r="AJ80" s="315">
        <v>0</v>
      </c>
      <c r="AK80" s="616"/>
      <c r="AL80" s="315">
        <v>-4544664.9814260555</v>
      </c>
      <c r="AM80" s="616"/>
      <c r="AN80" s="315">
        <v>0</v>
      </c>
      <c r="AO80" s="616"/>
      <c r="AP80" s="616">
        <v>-4544664.9814260555</v>
      </c>
      <c r="AR80" s="616">
        <v>0</v>
      </c>
      <c r="AS80" s="616"/>
      <c r="AT80" s="621">
        <v>-135741.83071714226</v>
      </c>
      <c r="AU80" s="616"/>
      <c r="AV80" s="616">
        <v>0</v>
      </c>
      <c r="AW80" s="616"/>
      <c r="AX80" s="315">
        <v>0</v>
      </c>
      <c r="AY80" s="616"/>
      <c r="AZ80" s="315">
        <v>-4408923.1507089129</v>
      </c>
      <c r="BA80" s="616"/>
      <c r="BB80" s="315">
        <v>0</v>
      </c>
      <c r="BC80" s="616"/>
      <c r="BD80" s="616">
        <v>-4408923.1507089129</v>
      </c>
      <c r="BF80" s="616">
        <v>-6122109.8953973157</v>
      </c>
      <c r="BI80" s="304">
        <v>346</v>
      </c>
    </row>
    <row r="81" spans="1:61" ht="14.5">
      <c r="A81" s="304">
        <v>347</v>
      </c>
      <c r="B81" s="620" t="s">
        <v>1517</v>
      </c>
      <c r="F81" s="624" t="s">
        <v>1443</v>
      </c>
      <c r="H81" s="621">
        <v>-818712863.60698128</v>
      </c>
      <c r="J81" s="621">
        <v>25330976</v>
      </c>
      <c r="K81" s="616"/>
      <c r="L81" s="621">
        <v>15195310.978560001</v>
      </c>
      <c r="M81" s="616"/>
      <c r="N81" s="621">
        <v>10132390.552993109</v>
      </c>
      <c r="P81" s="626" t="s">
        <v>1444</v>
      </c>
      <c r="R81" s="616">
        <v>0</v>
      </c>
      <c r="S81" s="616"/>
      <c r="T81" s="616">
        <v>10132390.552993109</v>
      </c>
      <c r="U81" s="616"/>
      <c r="V81" s="616">
        <v>0</v>
      </c>
      <c r="W81" s="616"/>
      <c r="X81" s="616">
        <v>10132390.552993109</v>
      </c>
      <c r="Y81" s="616"/>
      <c r="Z81" s="316" t="s">
        <v>1471</v>
      </c>
      <c r="AA81" s="616"/>
      <c r="AB81" s="616">
        <v>0</v>
      </c>
      <c r="AC81" s="616"/>
      <c r="AD81" s="621">
        <v>748954.61571689532</v>
      </c>
      <c r="AE81" s="616"/>
      <c r="AF81" s="616">
        <v>0</v>
      </c>
      <c r="AG81" s="616"/>
      <c r="AH81" s="316" t="s">
        <v>1446</v>
      </c>
      <c r="AI81" s="616"/>
      <c r="AJ81" s="315">
        <v>0</v>
      </c>
      <c r="AK81" s="616"/>
      <c r="AL81" s="315">
        <v>9383435.9372762144</v>
      </c>
      <c r="AM81" s="616"/>
      <c r="AN81" s="315">
        <v>0</v>
      </c>
      <c r="AO81" s="616"/>
      <c r="AP81" s="616">
        <v>9383435.9372762144</v>
      </c>
      <c r="AR81" s="616">
        <v>0</v>
      </c>
      <c r="AS81" s="616"/>
      <c r="AT81" s="621">
        <v>280268.13367950812</v>
      </c>
      <c r="AU81" s="616"/>
      <c r="AV81" s="616">
        <v>0</v>
      </c>
      <c r="AW81" s="616"/>
      <c r="AX81" s="315">
        <v>0</v>
      </c>
      <c r="AY81" s="616"/>
      <c r="AZ81" s="315">
        <v>9103167.8035967071</v>
      </c>
      <c r="BA81" s="616"/>
      <c r="BB81" s="315">
        <v>0</v>
      </c>
      <c r="BC81" s="616"/>
      <c r="BD81" s="616">
        <v>9103167.8035967071</v>
      </c>
      <c r="BF81" s="616">
        <v>12640409.411740528</v>
      </c>
      <c r="BI81" s="304">
        <v>347</v>
      </c>
    </row>
    <row r="82" spans="1:61" ht="14.5">
      <c r="A82" s="304">
        <v>348</v>
      </c>
      <c r="B82" s="620" t="s">
        <v>1518</v>
      </c>
      <c r="F82" s="624" t="s">
        <v>1443</v>
      </c>
      <c r="H82" s="621">
        <v>-25044326.102133159</v>
      </c>
      <c r="J82" s="621">
        <v>774871.44959999993</v>
      </c>
      <c r="K82" s="616"/>
      <c r="L82" s="621">
        <v>465181.65727795195</v>
      </c>
      <c r="M82" s="616"/>
      <c r="N82" s="621">
        <v>309689.79232204799</v>
      </c>
      <c r="P82" s="626" t="s">
        <v>1444</v>
      </c>
      <c r="R82" s="616">
        <v>0</v>
      </c>
      <c r="S82" s="616"/>
      <c r="T82" s="616">
        <v>309689.79232204799</v>
      </c>
      <c r="U82" s="616"/>
      <c r="V82" s="616">
        <v>0</v>
      </c>
      <c r="W82" s="616"/>
      <c r="X82" s="616">
        <v>309689.79232204799</v>
      </c>
      <c r="Y82" s="616"/>
      <c r="Z82" s="316" t="s">
        <v>1471</v>
      </c>
      <c r="AA82" s="616"/>
      <c r="AB82" s="616">
        <v>0</v>
      </c>
      <c r="AC82" s="616"/>
      <c r="AD82" s="621">
        <v>22891.300743583</v>
      </c>
      <c r="AE82" s="616"/>
      <c r="AF82" s="616">
        <v>0</v>
      </c>
      <c r="AG82" s="616"/>
      <c r="AH82" s="316" t="s">
        <v>1446</v>
      </c>
      <c r="AI82" s="616"/>
      <c r="AJ82" s="315">
        <v>0</v>
      </c>
      <c r="AK82" s="616"/>
      <c r="AL82" s="315">
        <v>286798.49157846498</v>
      </c>
      <c r="AM82" s="616"/>
      <c r="AN82" s="315">
        <v>0</v>
      </c>
      <c r="AO82" s="616"/>
      <c r="AP82" s="616">
        <v>286798.49157846498</v>
      </c>
      <c r="AR82" s="616">
        <v>0</v>
      </c>
      <c r="AS82" s="616"/>
      <c r="AT82" s="621">
        <v>8566.2094902229419</v>
      </c>
      <c r="AU82" s="616"/>
      <c r="AV82" s="616">
        <v>0</v>
      </c>
      <c r="AW82" s="616"/>
      <c r="AX82" s="315">
        <v>0</v>
      </c>
      <c r="AY82" s="616"/>
      <c r="AZ82" s="315">
        <v>278232.28208824206</v>
      </c>
      <c r="BA82" s="616"/>
      <c r="BB82" s="315">
        <v>0</v>
      </c>
      <c r="BC82" s="616"/>
      <c r="BD82" s="616">
        <v>278232.28208824206</v>
      </c>
      <c r="BF82" s="616">
        <v>386345.72415205708</v>
      </c>
      <c r="BI82" s="304">
        <v>348</v>
      </c>
    </row>
    <row r="83" spans="1:61" ht="14.5">
      <c r="A83" s="304">
        <v>349</v>
      </c>
      <c r="B83" s="620" t="s">
        <v>1519</v>
      </c>
      <c r="F83" s="624" t="s">
        <v>1443</v>
      </c>
      <c r="H83" s="621">
        <v>-9911897.9961215258</v>
      </c>
      <c r="J83" s="621">
        <v>306674.12400000001</v>
      </c>
      <c r="K83" s="616"/>
      <c r="L83" s="621">
        <v>183964.734406656</v>
      </c>
      <c r="M83" s="616"/>
      <c r="N83" s="621">
        <v>122709.38959334401</v>
      </c>
      <c r="P83" s="626" t="s">
        <v>1444</v>
      </c>
      <c r="R83" s="616">
        <v>0</v>
      </c>
      <c r="S83" s="616"/>
      <c r="T83" s="616">
        <v>122709.38959334401</v>
      </c>
      <c r="U83" s="616"/>
      <c r="V83" s="616">
        <v>0</v>
      </c>
      <c r="W83" s="616"/>
      <c r="X83" s="616">
        <v>122709.38959334401</v>
      </c>
      <c r="Y83" s="616"/>
      <c r="Z83" s="316" t="s">
        <v>1471</v>
      </c>
      <c r="AA83" s="616"/>
      <c r="AB83" s="616">
        <v>0</v>
      </c>
      <c r="AC83" s="616"/>
      <c r="AD83" s="621">
        <v>9070.2942456742712</v>
      </c>
      <c r="AE83" s="616"/>
      <c r="AF83" s="616">
        <v>0</v>
      </c>
      <c r="AG83" s="616"/>
      <c r="AH83" s="316" t="s">
        <v>1446</v>
      </c>
      <c r="AI83" s="616"/>
      <c r="AJ83" s="315">
        <v>0</v>
      </c>
      <c r="AK83" s="616"/>
      <c r="AL83" s="315">
        <v>113639.09534766973</v>
      </c>
      <c r="AM83" s="616"/>
      <c r="AN83" s="315">
        <v>0</v>
      </c>
      <c r="AO83" s="616"/>
      <c r="AP83" s="616">
        <v>113639.09534766973</v>
      </c>
      <c r="AR83" s="616">
        <v>0</v>
      </c>
      <c r="AS83" s="616"/>
      <c r="AT83" s="621">
        <v>3394.2169349284427</v>
      </c>
      <c r="AU83" s="616"/>
      <c r="AV83" s="616">
        <v>0</v>
      </c>
      <c r="AW83" s="616"/>
      <c r="AX83" s="315">
        <v>0</v>
      </c>
      <c r="AY83" s="616"/>
      <c r="AZ83" s="315">
        <v>110244.87841274129</v>
      </c>
      <c r="BA83" s="616"/>
      <c r="BB83" s="315">
        <v>0</v>
      </c>
      <c r="BC83" s="616"/>
      <c r="BD83" s="616">
        <v>110244.87841274129</v>
      </c>
      <c r="BF83" s="616">
        <v>153083.01777475866</v>
      </c>
      <c r="BI83" s="304">
        <v>349</v>
      </c>
    </row>
    <row r="84" spans="1:61" ht="14.5">
      <c r="A84" s="304">
        <v>350</v>
      </c>
      <c r="B84" s="620" t="s">
        <v>1520</v>
      </c>
      <c r="F84" s="624" t="s">
        <v>1443</v>
      </c>
      <c r="H84" s="621">
        <v>-71671356.535229474</v>
      </c>
      <c r="J84" s="621">
        <v>2217511.7711999998</v>
      </c>
      <c r="K84" s="616"/>
      <c r="L84" s="621">
        <v>1330220.482639872</v>
      </c>
      <c r="M84" s="616"/>
      <c r="N84" s="621">
        <v>887291.28856012796</v>
      </c>
      <c r="P84" s="626" t="s">
        <v>1444</v>
      </c>
      <c r="R84" s="616">
        <v>0</v>
      </c>
      <c r="S84" s="616"/>
      <c r="T84" s="616">
        <v>887291.28856012796</v>
      </c>
      <c r="U84" s="616"/>
      <c r="V84" s="616">
        <v>0</v>
      </c>
      <c r="W84" s="616"/>
      <c r="X84" s="616">
        <v>887291.28856012796</v>
      </c>
      <c r="Y84" s="616"/>
      <c r="Z84" s="316" t="s">
        <v>1471</v>
      </c>
      <c r="AA84" s="616"/>
      <c r="AB84" s="616">
        <v>0</v>
      </c>
      <c r="AC84" s="616"/>
      <c r="AD84" s="621">
        <v>65585.796616988286</v>
      </c>
      <c r="AE84" s="616"/>
      <c r="AF84" s="616">
        <v>0</v>
      </c>
      <c r="AG84" s="616"/>
      <c r="AH84" s="316" t="s">
        <v>1446</v>
      </c>
      <c r="AI84" s="616"/>
      <c r="AJ84" s="315">
        <v>0</v>
      </c>
      <c r="AK84" s="616"/>
      <c r="AL84" s="315">
        <v>821705.4919431397</v>
      </c>
      <c r="AM84" s="616"/>
      <c r="AN84" s="315">
        <v>0</v>
      </c>
      <c r="AO84" s="616"/>
      <c r="AP84" s="616">
        <v>821705.4919431397</v>
      </c>
      <c r="AR84" s="616">
        <v>0</v>
      </c>
      <c r="AS84" s="616"/>
      <c r="AT84" s="621">
        <v>24543.020936098146</v>
      </c>
      <c r="AU84" s="616"/>
      <c r="AV84" s="616">
        <v>0</v>
      </c>
      <c r="AW84" s="616"/>
      <c r="AX84" s="315">
        <v>0</v>
      </c>
      <c r="AY84" s="616"/>
      <c r="AZ84" s="315">
        <v>797162.47100704152</v>
      </c>
      <c r="BA84" s="616"/>
      <c r="BB84" s="315">
        <v>0</v>
      </c>
      <c r="BC84" s="616"/>
      <c r="BD84" s="616">
        <v>797162.47100704152</v>
      </c>
      <c r="BF84" s="616">
        <v>1106917.9673061157</v>
      </c>
      <c r="BI84" s="304">
        <v>350</v>
      </c>
    </row>
    <row r="85" spans="1:61" ht="14.5">
      <c r="A85" s="304">
        <v>351</v>
      </c>
      <c r="B85" s="620" t="s">
        <v>1521</v>
      </c>
      <c r="F85" s="624" t="s">
        <v>1443</v>
      </c>
      <c r="H85" s="621">
        <v>38249585.210084036</v>
      </c>
      <c r="J85" s="621">
        <v>-1183442.1664</v>
      </c>
      <c r="K85" s="616"/>
      <c r="L85" s="621">
        <v>-709912.49233152007</v>
      </c>
      <c r="M85" s="616"/>
      <c r="N85" s="621">
        <v>-473374.28936369304</v>
      </c>
      <c r="P85" s="626" t="s">
        <v>1444</v>
      </c>
      <c r="R85" s="616">
        <v>0</v>
      </c>
      <c r="S85" s="616"/>
      <c r="T85" s="616">
        <v>-473374.28936369304</v>
      </c>
      <c r="U85" s="616"/>
      <c r="V85" s="616">
        <v>0</v>
      </c>
      <c r="W85" s="616"/>
      <c r="X85" s="616">
        <v>-473374.28936369304</v>
      </c>
      <c r="Y85" s="616"/>
      <c r="Z85" s="316" t="s">
        <v>1471</v>
      </c>
      <c r="AA85" s="616"/>
      <c r="AB85" s="616">
        <v>0</v>
      </c>
      <c r="AC85" s="616"/>
      <c r="AD85" s="621">
        <v>-34990.346762335685</v>
      </c>
      <c r="AE85" s="616"/>
      <c r="AF85" s="616">
        <v>0</v>
      </c>
      <c r="AG85" s="616"/>
      <c r="AH85" s="316" t="s">
        <v>1446</v>
      </c>
      <c r="AI85" s="616"/>
      <c r="AJ85" s="315">
        <v>0</v>
      </c>
      <c r="AK85" s="616"/>
      <c r="AL85" s="315">
        <v>-438383.94260135735</v>
      </c>
      <c r="AM85" s="616"/>
      <c r="AN85" s="315">
        <v>0</v>
      </c>
      <c r="AO85" s="616"/>
      <c r="AP85" s="616">
        <v>-438383.94260135735</v>
      </c>
      <c r="AR85" s="616">
        <v>0</v>
      </c>
      <c r="AS85" s="616"/>
      <c r="AT85" s="621">
        <v>-13093.823014217947</v>
      </c>
      <c r="AU85" s="616"/>
      <c r="AV85" s="616">
        <v>0</v>
      </c>
      <c r="AW85" s="616"/>
      <c r="AX85" s="315">
        <v>0</v>
      </c>
      <c r="AY85" s="616"/>
      <c r="AZ85" s="315">
        <v>-425290.1195871394</v>
      </c>
      <c r="BA85" s="616"/>
      <c r="BB85" s="315">
        <v>0</v>
      </c>
      <c r="BC85" s="616"/>
      <c r="BD85" s="616">
        <v>-425290.1195871394</v>
      </c>
      <c r="BF85" s="616">
        <v>-590546.20834579261</v>
      </c>
      <c r="BI85" s="304">
        <v>351</v>
      </c>
    </row>
    <row r="86" spans="1:61" ht="14.5">
      <c r="A86" s="304">
        <v>352</v>
      </c>
      <c r="B86" s="620" t="s">
        <v>1522</v>
      </c>
      <c r="F86" s="624" t="s">
        <v>1443</v>
      </c>
      <c r="H86" s="621">
        <v>21102.236586942468</v>
      </c>
      <c r="J86" s="621">
        <v>-652.90319999999997</v>
      </c>
      <c r="K86" s="616"/>
      <c r="L86" s="621">
        <v>-391.595836416</v>
      </c>
      <c r="M86" s="616"/>
      <c r="N86" s="621">
        <v>-261.30736358399997</v>
      </c>
      <c r="P86" s="626" t="s">
        <v>1444</v>
      </c>
      <c r="R86" s="616">
        <v>0</v>
      </c>
      <c r="S86" s="616"/>
      <c r="T86" s="616">
        <v>-261.30736358399997</v>
      </c>
      <c r="U86" s="616"/>
      <c r="V86" s="616">
        <v>0</v>
      </c>
      <c r="W86" s="616"/>
      <c r="X86" s="616">
        <v>-261.30736358399997</v>
      </c>
      <c r="Y86" s="616"/>
      <c r="Z86" s="316" t="s">
        <v>1471</v>
      </c>
      <c r="AA86" s="616"/>
      <c r="AB86" s="616">
        <v>0</v>
      </c>
      <c r="AC86" s="616"/>
      <c r="AD86" s="621">
        <v>-19.3150229507525</v>
      </c>
      <c r="AE86" s="616"/>
      <c r="AF86" s="616">
        <v>0</v>
      </c>
      <c r="AG86" s="616"/>
      <c r="AH86" s="316" t="s">
        <v>1446</v>
      </c>
      <c r="AI86" s="616"/>
      <c r="AJ86" s="315">
        <v>0</v>
      </c>
      <c r="AK86" s="616"/>
      <c r="AL86" s="315">
        <v>-241.99234063324747</v>
      </c>
      <c r="AM86" s="616"/>
      <c r="AN86" s="315">
        <v>0</v>
      </c>
      <c r="AO86" s="616"/>
      <c r="AP86" s="616">
        <v>-241.99234063324747</v>
      </c>
      <c r="AR86" s="616">
        <v>0</v>
      </c>
      <c r="AS86" s="616"/>
      <c r="AT86" s="621">
        <v>-7.2279218537195424</v>
      </c>
      <c r="AU86" s="616"/>
      <c r="AV86" s="616">
        <v>0</v>
      </c>
      <c r="AW86" s="616"/>
      <c r="AX86" s="315">
        <v>0</v>
      </c>
      <c r="AY86" s="616"/>
      <c r="AZ86" s="315">
        <v>-234.76441877952792</v>
      </c>
      <c r="BA86" s="616"/>
      <c r="BB86" s="315">
        <v>0</v>
      </c>
      <c r="BC86" s="616"/>
      <c r="BD86" s="616">
        <v>-234.76441877952792</v>
      </c>
      <c r="BF86" s="616">
        <v>-325.98744005466517</v>
      </c>
      <c r="BI86" s="304">
        <v>352</v>
      </c>
    </row>
    <row r="87" spans="1:61" ht="14.5">
      <c r="A87" s="304">
        <v>353</v>
      </c>
      <c r="B87" s="620" t="s">
        <v>1523</v>
      </c>
      <c r="F87" s="624" t="s">
        <v>1443</v>
      </c>
      <c r="H87" s="621">
        <v>102566504.22753718</v>
      </c>
      <c r="J87" s="621">
        <v>-3173407.6408000002</v>
      </c>
      <c r="K87" s="616"/>
      <c r="L87" s="621">
        <v>-1905700.722070528</v>
      </c>
      <c r="M87" s="616"/>
      <c r="N87" s="621">
        <v>-1267301.6551422826</v>
      </c>
      <c r="P87" s="626" t="s">
        <v>1444</v>
      </c>
      <c r="R87" s="616">
        <v>0</v>
      </c>
      <c r="S87" s="616"/>
      <c r="T87" s="616">
        <v>-1267301.6551422826</v>
      </c>
      <c r="U87" s="616"/>
      <c r="V87" s="616">
        <v>0</v>
      </c>
      <c r="W87" s="616"/>
      <c r="X87" s="616">
        <v>-1267301.6551422826</v>
      </c>
      <c r="Y87" s="616"/>
      <c r="Z87" s="316" t="s">
        <v>1471</v>
      </c>
      <c r="AA87" s="616"/>
      <c r="AB87" s="616">
        <v>0</v>
      </c>
      <c r="AC87" s="616"/>
      <c r="AD87" s="621">
        <v>-93674.974248213723</v>
      </c>
      <c r="AE87" s="616"/>
      <c r="AF87" s="616">
        <v>0</v>
      </c>
      <c r="AG87" s="616"/>
      <c r="AH87" s="316" t="s">
        <v>1446</v>
      </c>
      <c r="AI87" s="616"/>
      <c r="AJ87" s="315">
        <v>0</v>
      </c>
      <c r="AK87" s="616"/>
      <c r="AL87" s="315">
        <v>-1173626.6808940689</v>
      </c>
      <c r="AM87" s="616"/>
      <c r="AN87" s="315">
        <v>0</v>
      </c>
      <c r="AO87" s="616"/>
      <c r="AP87" s="616">
        <v>-1173626.6808940689</v>
      </c>
      <c r="AR87" s="616">
        <v>0</v>
      </c>
      <c r="AS87" s="616"/>
      <c r="AT87" s="621">
        <v>-35054.340615676098</v>
      </c>
      <c r="AU87" s="616"/>
      <c r="AV87" s="616">
        <v>0</v>
      </c>
      <c r="AW87" s="616"/>
      <c r="AX87" s="315">
        <v>0</v>
      </c>
      <c r="AY87" s="616"/>
      <c r="AZ87" s="315">
        <v>-1138572.3402783929</v>
      </c>
      <c r="BA87" s="616"/>
      <c r="BB87" s="315">
        <v>0</v>
      </c>
      <c r="BC87" s="616"/>
      <c r="BD87" s="616">
        <v>-1138572.3402783929</v>
      </c>
      <c r="BF87" s="616">
        <v>-1580990.3581384141</v>
      </c>
      <c r="BI87" s="304">
        <v>353</v>
      </c>
    </row>
    <row r="88" spans="1:61" ht="14.5">
      <c r="A88" s="304">
        <v>354</v>
      </c>
      <c r="B88" s="620" t="s">
        <v>1524</v>
      </c>
      <c r="F88" s="624" t="s">
        <v>1443</v>
      </c>
      <c r="H88" s="621">
        <v>123.2579185520362</v>
      </c>
      <c r="J88" s="621">
        <v>-3.8136000000000001</v>
      </c>
      <c r="K88" s="616"/>
      <c r="L88" s="621">
        <v>-2.1798348799999996</v>
      </c>
      <c r="M88" s="616"/>
      <c r="N88" s="621">
        <v>0.35215487999999961</v>
      </c>
      <c r="P88" s="626" t="s">
        <v>1444</v>
      </c>
      <c r="R88" s="616">
        <v>0</v>
      </c>
      <c r="S88" s="616"/>
      <c r="T88" s="616">
        <v>0.35215487999999961</v>
      </c>
      <c r="U88" s="616"/>
      <c r="V88" s="616">
        <v>0</v>
      </c>
      <c r="W88" s="616"/>
      <c r="X88" s="616">
        <v>0.35215487999999961</v>
      </c>
      <c r="Y88" s="616"/>
      <c r="Z88" s="316" t="s">
        <v>1471</v>
      </c>
      <c r="AA88" s="616"/>
      <c r="AB88" s="616">
        <v>0</v>
      </c>
      <c r="AC88" s="616"/>
      <c r="AD88" s="621">
        <v>2.6030187194602157E-2</v>
      </c>
      <c r="AE88" s="616"/>
      <c r="AF88" s="616">
        <v>0</v>
      </c>
      <c r="AG88" s="616"/>
      <c r="AH88" s="316" t="s">
        <v>1446</v>
      </c>
      <c r="AI88" s="616"/>
      <c r="AJ88" s="315">
        <v>0</v>
      </c>
      <c r="AK88" s="616"/>
      <c r="AL88" s="315">
        <v>0.32612469280539746</v>
      </c>
      <c r="AM88" s="616"/>
      <c r="AN88" s="315">
        <v>0</v>
      </c>
      <c r="AO88" s="616"/>
      <c r="AP88" s="616">
        <v>0.32612469280539746</v>
      </c>
      <c r="AR88" s="616">
        <v>0</v>
      </c>
      <c r="AS88" s="616"/>
      <c r="AT88" s="621">
        <v>0</v>
      </c>
      <c r="AU88" s="616"/>
      <c r="AV88" s="616">
        <v>0</v>
      </c>
      <c r="AW88" s="616"/>
      <c r="AX88" s="315">
        <v>0</v>
      </c>
      <c r="AY88" s="616"/>
      <c r="AZ88" s="315">
        <v>0.32612469280539746</v>
      </c>
      <c r="BA88" s="616"/>
      <c r="BB88" s="315">
        <v>0</v>
      </c>
      <c r="BC88" s="616"/>
      <c r="BD88" s="616">
        <v>0.32612469280539746</v>
      </c>
      <c r="BF88" s="616">
        <v>0.45284781356107418</v>
      </c>
      <c r="BI88" s="304">
        <v>354</v>
      </c>
    </row>
    <row r="89" spans="1:61" ht="14.5">
      <c r="A89" s="304">
        <v>355</v>
      </c>
      <c r="B89" s="620" t="s">
        <v>1525</v>
      </c>
      <c r="F89" s="624" t="s">
        <v>1443</v>
      </c>
      <c r="H89" s="621">
        <v>-60668.054298642535</v>
      </c>
      <c r="J89" s="621">
        <v>1877.0696</v>
      </c>
      <c r="K89" s="616"/>
      <c r="L89" s="621">
        <v>1132.7570529279999</v>
      </c>
      <c r="M89" s="616"/>
      <c r="N89" s="621">
        <v>744.50171015989156</v>
      </c>
      <c r="P89" s="626" t="s">
        <v>1444</v>
      </c>
      <c r="R89" s="616">
        <v>0</v>
      </c>
      <c r="S89" s="616"/>
      <c r="T89" s="616">
        <v>744.50171015989156</v>
      </c>
      <c r="U89" s="616"/>
      <c r="V89" s="616">
        <v>0</v>
      </c>
      <c r="W89" s="616"/>
      <c r="X89" s="616">
        <v>744.50171015989156</v>
      </c>
      <c r="Y89" s="616"/>
      <c r="Z89" s="316" t="s">
        <v>1471</v>
      </c>
      <c r="AA89" s="616"/>
      <c r="AB89" s="616">
        <v>0</v>
      </c>
      <c r="AC89" s="616"/>
      <c r="AD89" s="621">
        <v>55.031237625227384</v>
      </c>
      <c r="AE89" s="616"/>
      <c r="AF89" s="616">
        <v>0</v>
      </c>
      <c r="AG89" s="616"/>
      <c r="AH89" s="316" t="s">
        <v>1446</v>
      </c>
      <c r="AI89" s="616"/>
      <c r="AJ89" s="315">
        <v>0</v>
      </c>
      <c r="AK89" s="616"/>
      <c r="AL89" s="315">
        <v>689.47047253466417</v>
      </c>
      <c r="AM89" s="616"/>
      <c r="AN89" s="315">
        <v>0</v>
      </c>
      <c r="AO89" s="616"/>
      <c r="AP89" s="616">
        <v>689.47047253466417</v>
      </c>
      <c r="AR89" s="616">
        <v>0</v>
      </c>
      <c r="AS89" s="616"/>
      <c r="AT89" s="621">
        <v>20.593373669955575</v>
      </c>
      <c r="AU89" s="616"/>
      <c r="AV89" s="616">
        <v>0</v>
      </c>
      <c r="AW89" s="616"/>
      <c r="AX89" s="315">
        <v>0</v>
      </c>
      <c r="AY89" s="616"/>
      <c r="AZ89" s="315">
        <v>668.87709886470861</v>
      </c>
      <c r="BA89" s="616"/>
      <c r="BB89" s="315">
        <v>0</v>
      </c>
      <c r="BC89" s="616"/>
      <c r="BD89" s="616">
        <v>668.87709886470861</v>
      </c>
      <c r="BF89" s="616">
        <v>928.78441419552848</v>
      </c>
      <c r="BI89" s="304">
        <v>355</v>
      </c>
    </row>
    <row r="90" spans="1:61" ht="14.5">
      <c r="A90" s="304">
        <v>356</v>
      </c>
      <c r="B90" s="622" t="s">
        <v>117</v>
      </c>
      <c r="F90" s="624"/>
      <c r="H90" s="621"/>
      <c r="J90" s="621"/>
      <c r="K90" s="616"/>
      <c r="L90" s="621"/>
      <c r="M90" s="616"/>
      <c r="N90" s="621"/>
      <c r="P90" s="626"/>
      <c r="R90" s="616">
        <v>0</v>
      </c>
      <c r="S90" s="616"/>
      <c r="T90" s="616">
        <v>0</v>
      </c>
      <c r="U90" s="616"/>
      <c r="V90" s="616">
        <v>0</v>
      </c>
      <c r="W90" s="616"/>
      <c r="X90" s="616">
        <v>0</v>
      </c>
      <c r="Y90" s="616"/>
      <c r="Z90" s="316"/>
      <c r="AA90" s="616"/>
      <c r="AB90" s="616">
        <v>0</v>
      </c>
      <c r="AC90" s="616"/>
      <c r="AD90" s="621"/>
      <c r="AE90" s="616"/>
      <c r="AF90" s="616">
        <v>0</v>
      </c>
      <c r="AG90" s="616"/>
      <c r="AH90" s="316"/>
      <c r="AI90" s="616"/>
      <c r="AJ90" s="315">
        <v>0</v>
      </c>
      <c r="AK90" s="616"/>
      <c r="AL90" s="315">
        <v>0</v>
      </c>
      <c r="AM90" s="616"/>
      <c r="AN90" s="315">
        <v>0</v>
      </c>
      <c r="AO90" s="616"/>
      <c r="AP90" s="616">
        <v>0</v>
      </c>
      <c r="AR90" s="616">
        <v>0</v>
      </c>
      <c r="AS90" s="616"/>
      <c r="AT90" s="621"/>
      <c r="AU90" s="616"/>
      <c r="AV90" s="616">
        <v>0</v>
      </c>
      <c r="AW90" s="616"/>
      <c r="AX90" s="315">
        <v>0</v>
      </c>
      <c r="AY90" s="616"/>
      <c r="AZ90" s="315">
        <v>0</v>
      </c>
      <c r="BA90" s="616"/>
      <c r="BB90" s="315">
        <v>0</v>
      </c>
      <c r="BC90" s="616"/>
      <c r="BD90" s="616">
        <v>0</v>
      </c>
      <c r="BF90" s="616">
        <v>0</v>
      </c>
      <c r="BI90" s="304">
        <v>356</v>
      </c>
    </row>
    <row r="91" spans="1:61" ht="14.5">
      <c r="A91" s="304">
        <v>357</v>
      </c>
      <c r="B91" s="622" t="s">
        <v>117</v>
      </c>
      <c r="F91" s="624"/>
      <c r="H91" s="621"/>
      <c r="J91" s="621"/>
      <c r="K91" s="616"/>
      <c r="L91" s="621"/>
      <c r="M91" s="616"/>
      <c r="N91" s="621"/>
      <c r="P91" s="626"/>
      <c r="R91" s="616">
        <v>0</v>
      </c>
      <c r="S91" s="616"/>
      <c r="T91" s="616">
        <v>0</v>
      </c>
      <c r="U91" s="616"/>
      <c r="V91" s="616">
        <v>0</v>
      </c>
      <c r="W91" s="616"/>
      <c r="X91" s="616">
        <v>0</v>
      </c>
      <c r="Y91" s="616"/>
      <c r="Z91" s="316"/>
      <c r="AA91" s="616"/>
      <c r="AB91" s="616">
        <v>0</v>
      </c>
      <c r="AC91" s="616"/>
      <c r="AD91" s="621"/>
      <c r="AE91" s="616"/>
      <c r="AF91" s="616">
        <v>0</v>
      </c>
      <c r="AG91" s="616"/>
      <c r="AH91" s="316"/>
      <c r="AI91" s="616"/>
      <c r="AJ91" s="315">
        <v>0</v>
      </c>
      <c r="AK91" s="616"/>
      <c r="AL91" s="315">
        <v>0</v>
      </c>
      <c r="AM91" s="616"/>
      <c r="AN91" s="315">
        <v>0</v>
      </c>
      <c r="AO91" s="616"/>
      <c r="AP91" s="616">
        <v>0</v>
      </c>
      <c r="AR91" s="616">
        <v>0</v>
      </c>
      <c r="AS91" s="616"/>
      <c r="AT91" s="621"/>
      <c r="AU91" s="616"/>
      <c r="AV91" s="616">
        <v>0</v>
      </c>
      <c r="AW91" s="616"/>
      <c r="AX91" s="315">
        <v>0</v>
      </c>
      <c r="AY91" s="616"/>
      <c r="AZ91" s="315">
        <v>0</v>
      </c>
      <c r="BA91" s="616"/>
      <c r="BB91" s="315">
        <v>0</v>
      </c>
      <c r="BC91" s="616"/>
      <c r="BD91" s="616">
        <v>0</v>
      </c>
      <c r="BF91" s="616">
        <v>0</v>
      </c>
      <c r="BI91" s="304">
        <v>357</v>
      </c>
    </row>
    <row r="92" spans="1:61" ht="14.5">
      <c r="A92" s="304"/>
      <c r="B92" s="523"/>
      <c r="F92" s="624"/>
      <c r="H92" s="616"/>
      <c r="J92" s="616"/>
      <c r="K92" s="616"/>
      <c r="L92" s="616"/>
      <c r="M92" s="616"/>
      <c r="N92" s="616"/>
      <c r="P92" s="626"/>
      <c r="R92" s="616"/>
      <c r="S92" s="616"/>
      <c r="T92" s="616"/>
      <c r="U92" s="616"/>
      <c r="V92" s="616"/>
      <c r="W92" s="616"/>
      <c r="X92" s="616"/>
      <c r="Y92" s="616"/>
      <c r="Z92" s="316"/>
      <c r="AA92" s="616"/>
      <c r="AB92" s="616"/>
      <c r="AC92" s="616"/>
      <c r="AD92" s="616"/>
      <c r="AE92" s="616"/>
      <c r="AF92" s="616"/>
      <c r="AG92" s="616"/>
      <c r="AH92" s="316"/>
      <c r="AI92" s="616"/>
      <c r="AJ92" s="616"/>
      <c r="AK92" s="616"/>
      <c r="AL92" s="616"/>
      <c r="AM92" s="616"/>
      <c r="AN92" s="616"/>
      <c r="AO92" s="616"/>
      <c r="AP92" s="616"/>
      <c r="AR92" s="616"/>
      <c r="AS92" s="616"/>
      <c r="AT92" s="616"/>
      <c r="AU92" s="616"/>
      <c r="AV92" s="616"/>
      <c r="AW92" s="616"/>
      <c r="AX92" s="616"/>
      <c r="AY92" s="616"/>
      <c r="AZ92" s="616"/>
      <c r="BA92" s="616"/>
      <c r="BB92" s="616"/>
      <c r="BC92" s="616"/>
      <c r="BD92" s="616"/>
      <c r="BF92" s="616"/>
      <c r="BI92" s="304"/>
    </row>
    <row r="93" spans="1:61" ht="14.5">
      <c r="A93" s="201" t="s">
        <v>90</v>
      </c>
      <c r="F93" s="624"/>
      <c r="H93" s="554"/>
      <c r="P93" s="626"/>
      <c r="X93" s="616"/>
      <c r="Z93" s="605"/>
      <c r="AH93" s="605"/>
      <c r="BI93" s="615" t="s">
        <v>90</v>
      </c>
    </row>
    <row r="94" spans="1:61" ht="14.5">
      <c r="A94" s="304">
        <v>400</v>
      </c>
      <c r="B94" s="609" t="s">
        <v>1526</v>
      </c>
      <c r="F94" s="624"/>
      <c r="H94" s="619">
        <v>93137648</v>
      </c>
      <c r="J94" s="619">
        <v>19293379</v>
      </c>
      <c r="K94" s="616"/>
      <c r="L94" s="619">
        <v>11576713</v>
      </c>
      <c r="M94" s="616"/>
      <c r="N94" s="619">
        <v>7716800</v>
      </c>
      <c r="O94" s="304"/>
      <c r="P94" s="626"/>
      <c r="Q94" s="304"/>
      <c r="R94" s="619">
        <v>0</v>
      </c>
      <c r="S94" s="616"/>
      <c r="T94" s="619">
        <v>0</v>
      </c>
      <c r="U94" s="616"/>
      <c r="V94" s="619">
        <v>7716800</v>
      </c>
      <c r="W94" s="616"/>
      <c r="X94" s="619">
        <v>7716800</v>
      </c>
      <c r="Y94" s="616"/>
      <c r="Z94" s="316"/>
      <c r="AA94" s="616"/>
      <c r="AB94" s="619">
        <v>0</v>
      </c>
      <c r="AC94" s="616"/>
      <c r="AD94" s="619">
        <v>0</v>
      </c>
      <c r="AE94" s="616"/>
      <c r="AF94" s="619">
        <v>6015457.8759244867</v>
      </c>
      <c r="AG94" s="616"/>
      <c r="AH94" s="316"/>
      <c r="AI94" s="616"/>
      <c r="AJ94" s="619">
        <v>0</v>
      </c>
      <c r="AK94" s="616"/>
      <c r="AL94" s="619">
        <v>0</v>
      </c>
      <c r="AM94" s="616"/>
      <c r="AN94" s="619">
        <v>1701342.2679340818</v>
      </c>
      <c r="AO94" s="616"/>
      <c r="AP94" s="619">
        <v>1701342.2679340818</v>
      </c>
      <c r="AR94" s="619">
        <v>0</v>
      </c>
      <c r="AS94" s="616"/>
      <c r="AT94" s="619">
        <v>0</v>
      </c>
      <c r="AU94" s="616"/>
      <c r="AV94" s="619">
        <v>50816.356116388662</v>
      </c>
      <c r="AW94" s="616"/>
      <c r="AX94" s="619">
        <v>0</v>
      </c>
      <c r="AY94" s="616"/>
      <c r="AZ94" s="619">
        <v>0</v>
      </c>
      <c r="BA94" s="616"/>
      <c r="BB94" s="619">
        <v>1650525.9118176927</v>
      </c>
      <c r="BC94" s="616"/>
      <c r="BD94" s="619">
        <v>1650525.9118176927</v>
      </c>
      <c r="BF94" s="619">
        <v>2291875</v>
      </c>
      <c r="BI94" s="304">
        <v>400</v>
      </c>
    </row>
    <row r="95" spans="1:61" ht="14.5">
      <c r="A95" s="304">
        <v>401</v>
      </c>
      <c r="B95" s="526" t="s">
        <v>1527</v>
      </c>
      <c r="F95" s="523" t="s">
        <v>1458</v>
      </c>
      <c r="H95" s="621">
        <v>41837921.444019467</v>
      </c>
      <c r="J95" s="621">
        <v>14643272.505406814</v>
      </c>
      <c r="K95" s="616"/>
      <c r="L95" s="621">
        <v>8785963.5032440871</v>
      </c>
      <c r="M95" s="616"/>
      <c r="N95" s="621">
        <v>5857309.0021627257</v>
      </c>
      <c r="P95" s="626" t="s">
        <v>1453</v>
      </c>
      <c r="R95" s="616">
        <v>0</v>
      </c>
      <c r="S95" s="616"/>
      <c r="T95" s="616">
        <v>0</v>
      </c>
      <c r="U95" s="616"/>
      <c r="V95" s="616">
        <v>5857309.0021627257</v>
      </c>
      <c r="W95" s="616"/>
      <c r="X95" s="616">
        <v>5857309.0021627257</v>
      </c>
      <c r="Y95" s="616"/>
      <c r="Z95" s="316" t="s">
        <v>1528</v>
      </c>
      <c r="AA95" s="616"/>
      <c r="AB95" s="616">
        <v>0</v>
      </c>
      <c r="AC95" s="616"/>
      <c r="AD95" s="616">
        <v>0</v>
      </c>
      <c r="AE95" s="616"/>
      <c r="AF95" s="621">
        <v>5857309.0021627257</v>
      </c>
      <c r="AG95" s="616"/>
      <c r="AH95" s="316" t="s">
        <v>1454</v>
      </c>
      <c r="AI95" s="616"/>
      <c r="AJ95" s="315">
        <v>0</v>
      </c>
      <c r="AK95" s="616"/>
      <c r="AL95" s="315">
        <v>0</v>
      </c>
      <c r="AM95" s="616"/>
      <c r="AN95" s="315">
        <v>0</v>
      </c>
      <c r="AO95" s="616"/>
      <c r="AP95" s="616">
        <v>0</v>
      </c>
      <c r="AR95" s="616">
        <v>0</v>
      </c>
      <c r="AS95" s="616"/>
      <c r="AT95" s="616">
        <v>0</v>
      </c>
      <c r="AU95" s="616"/>
      <c r="AV95" s="621"/>
      <c r="AW95" s="616"/>
      <c r="AX95" s="315">
        <v>0</v>
      </c>
      <c r="AY95" s="616"/>
      <c r="AZ95" s="315">
        <v>0</v>
      </c>
      <c r="BA95" s="616"/>
      <c r="BB95" s="315">
        <v>0</v>
      </c>
      <c r="BC95" s="616"/>
      <c r="BD95" s="616">
        <v>0</v>
      </c>
      <c r="BF95" s="616">
        <v>0</v>
      </c>
      <c r="BI95" s="304">
        <v>401</v>
      </c>
    </row>
    <row r="96" spans="1:61" ht="14.5">
      <c r="A96" s="304">
        <v>402</v>
      </c>
      <c r="B96" s="526" t="s">
        <v>1199</v>
      </c>
      <c r="F96" s="523" t="s">
        <v>1458</v>
      </c>
      <c r="H96" s="621">
        <v>122045506.50833847</v>
      </c>
      <c r="J96" s="621">
        <v>42715927.277918458</v>
      </c>
      <c r="K96" s="616"/>
      <c r="L96" s="621">
        <v>25629556.366751075</v>
      </c>
      <c r="M96" s="616"/>
      <c r="N96" s="621">
        <v>17086370.911167383</v>
      </c>
      <c r="P96" s="626" t="s">
        <v>1453</v>
      </c>
      <c r="R96" s="616">
        <v>0</v>
      </c>
      <c r="S96" s="616"/>
      <c r="T96" s="616">
        <v>0</v>
      </c>
      <c r="U96" s="616"/>
      <c r="V96" s="616">
        <v>17086370.911167383</v>
      </c>
      <c r="W96" s="616"/>
      <c r="X96" s="616">
        <v>17086370.911167383</v>
      </c>
      <c r="Y96" s="616"/>
      <c r="Z96" s="316" t="s">
        <v>1528</v>
      </c>
      <c r="AA96" s="616"/>
      <c r="AB96" s="616">
        <v>0</v>
      </c>
      <c r="AC96" s="616"/>
      <c r="AD96" s="616">
        <v>0</v>
      </c>
      <c r="AE96" s="616"/>
      <c r="AF96" s="621">
        <v>17086370.911167383</v>
      </c>
      <c r="AG96" s="616"/>
      <c r="AH96" s="316" t="s">
        <v>1454</v>
      </c>
      <c r="AI96" s="616"/>
      <c r="AJ96" s="315">
        <v>0</v>
      </c>
      <c r="AK96" s="616"/>
      <c r="AL96" s="315">
        <v>0</v>
      </c>
      <c r="AM96" s="616"/>
      <c r="AN96" s="315">
        <v>0</v>
      </c>
      <c r="AO96" s="616"/>
      <c r="AP96" s="616">
        <v>0</v>
      </c>
      <c r="AR96" s="616">
        <v>0</v>
      </c>
      <c r="AS96" s="616"/>
      <c r="AT96" s="616">
        <v>0</v>
      </c>
      <c r="AU96" s="616"/>
      <c r="AV96" s="621"/>
      <c r="AW96" s="616"/>
      <c r="AX96" s="315">
        <v>0</v>
      </c>
      <c r="AY96" s="616"/>
      <c r="AZ96" s="315">
        <v>0</v>
      </c>
      <c r="BA96" s="616"/>
      <c r="BB96" s="315">
        <v>0</v>
      </c>
      <c r="BC96" s="616"/>
      <c r="BD96" s="616">
        <v>0</v>
      </c>
      <c r="BF96" s="616">
        <v>0</v>
      </c>
      <c r="BI96" s="304">
        <v>402</v>
      </c>
    </row>
    <row r="97" spans="1:61" ht="14.5">
      <c r="A97" s="304" t="s">
        <v>1529</v>
      </c>
      <c r="B97" s="526" t="s">
        <v>1530</v>
      </c>
      <c r="F97" s="523" t="s">
        <v>1458</v>
      </c>
      <c r="H97" s="621">
        <v>-121885839.37756029</v>
      </c>
      <c r="J97" s="621">
        <v>-42660043.782146096</v>
      </c>
      <c r="K97" s="616"/>
      <c r="L97" s="621">
        <v>-25596026.269287657</v>
      </c>
      <c r="M97" s="616"/>
      <c r="N97" s="621">
        <v>-17064017.512858439</v>
      </c>
      <c r="P97" s="626" t="s">
        <v>1453</v>
      </c>
      <c r="R97" s="616">
        <v>0</v>
      </c>
      <c r="S97" s="616"/>
      <c r="T97" s="616">
        <v>0</v>
      </c>
      <c r="U97" s="616"/>
      <c r="V97" s="616">
        <v>-17064017.512858439</v>
      </c>
      <c r="W97" s="616"/>
      <c r="X97" s="616">
        <v>-17064017.512858439</v>
      </c>
      <c r="Y97" s="616"/>
      <c r="Z97" s="316" t="s">
        <v>1528</v>
      </c>
      <c r="AA97" s="616"/>
      <c r="AB97" s="616">
        <v>0</v>
      </c>
      <c r="AC97" s="616"/>
      <c r="AD97" s="616">
        <v>0</v>
      </c>
      <c r="AE97" s="616"/>
      <c r="AF97" s="621">
        <v>-17064017.512858439</v>
      </c>
      <c r="AG97" s="616"/>
      <c r="AH97" s="316" t="s">
        <v>1454</v>
      </c>
      <c r="AI97" s="616"/>
      <c r="AJ97" s="315">
        <v>0</v>
      </c>
      <c r="AK97" s="616"/>
      <c r="AL97" s="315">
        <v>0</v>
      </c>
      <c r="AM97" s="616"/>
      <c r="AN97" s="315">
        <v>0</v>
      </c>
      <c r="AO97" s="616"/>
      <c r="AP97" s="616">
        <v>0</v>
      </c>
      <c r="AR97" s="616">
        <v>0</v>
      </c>
      <c r="AS97" s="616"/>
      <c r="AT97" s="616">
        <v>0</v>
      </c>
      <c r="AU97" s="616"/>
      <c r="AV97" s="621"/>
      <c r="AW97" s="616"/>
      <c r="AX97" s="315">
        <v>0</v>
      </c>
      <c r="AY97" s="616"/>
      <c r="AZ97" s="315">
        <v>0</v>
      </c>
      <c r="BA97" s="616"/>
      <c r="BB97" s="315">
        <v>0</v>
      </c>
      <c r="BC97" s="616"/>
      <c r="BD97" s="616">
        <v>0</v>
      </c>
      <c r="BF97" s="616">
        <v>0</v>
      </c>
      <c r="BI97" s="304" t="s">
        <v>1529</v>
      </c>
    </row>
    <row r="98" spans="1:61" ht="14.5">
      <c r="A98" s="304">
        <v>403</v>
      </c>
      <c r="B98" s="620" t="s">
        <v>1531</v>
      </c>
      <c r="F98" s="523" t="s">
        <v>1443</v>
      </c>
      <c r="H98" s="621">
        <v>-83282905.177142859</v>
      </c>
      <c r="J98" s="621">
        <v>-29149016.811999999</v>
      </c>
      <c r="K98" s="616"/>
      <c r="L98" s="621">
        <v>-17489410.881795358</v>
      </c>
      <c r="M98" s="616"/>
      <c r="N98" s="621">
        <v>-11659605.930204641</v>
      </c>
      <c r="P98" s="626" t="s">
        <v>1444</v>
      </c>
      <c r="R98" s="616">
        <v>0</v>
      </c>
      <c r="S98" s="616"/>
      <c r="T98" s="616">
        <v>0</v>
      </c>
      <c r="U98" s="616"/>
      <c r="V98" s="616">
        <v>-11659605.930204641</v>
      </c>
      <c r="W98" s="616"/>
      <c r="X98" s="616">
        <v>-11659605.930204641</v>
      </c>
      <c r="Y98" s="616"/>
      <c r="Z98" s="316" t="s">
        <v>1471</v>
      </c>
      <c r="AA98" s="616"/>
      <c r="AB98" s="616">
        <v>0</v>
      </c>
      <c r="AC98" s="616"/>
      <c r="AD98" s="616">
        <v>0</v>
      </c>
      <c r="AE98" s="616"/>
      <c r="AF98" s="621">
        <v>-861841.59929438028</v>
      </c>
      <c r="AG98" s="616"/>
      <c r="AH98" s="316" t="s">
        <v>1446</v>
      </c>
      <c r="AI98" s="616"/>
      <c r="AJ98" s="315">
        <v>0</v>
      </c>
      <c r="AK98" s="616"/>
      <c r="AL98" s="315">
        <v>0</v>
      </c>
      <c r="AM98" s="616"/>
      <c r="AN98" s="315">
        <v>-10797764.330910262</v>
      </c>
      <c r="AO98" s="616"/>
      <c r="AP98" s="616">
        <v>-10797764.330910262</v>
      </c>
      <c r="AR98" s="616">
        <v>0</v>
      </c>
      <c r="AS98" s="616"/>
      <c r="AT98" s="616">
        <v>0</v>
      </c>
      <c r="AU98" s="616"/>
      <c r="AV98" s="621">
        <v>-322511.84717032715</v>
      </c>
      <c r="AW98" s="616"/>
      <c r="AX98" s="315">
        <v>0</v>
      </c>
      <c r="AY98" s="616"/>
      <c r="AZ98" s="315">
        <v>0</v>
      </c>
      <c r="BA98" s="616"/>
      <c r="BB98" s="315">
        <v>-10475252.483739935</v>
      </c>
      <c r="BC98" s="616"/>
      <c r="BD98" s="616">
        <v>-10475252.483739935</v>
      </c>
      <c r="BF98" s="616">
        <v>-14545648.607455987</v>
      </c>
      <c r="BI98" s="304">
        <v>403</v>
      </c>
    </row>
    <row r="99" spans="1:61" ht="14.5">
      <c r="A99" s="304">
        <v>404</v>
      </c>
      <c r="B99" s="620" t="s">
        <v>1532</v>
      </c>
      <c r="F99" s="624" t="s">
        <v>1443</v>
      </c>
      <c r="H99" s="621">
        <v>-268874.6537142857</v>
      </c>
      <c r="J99" s="621">
        <v>-94106.128799999991</v>
      </c>
      <c r="K99" s="616"/>
      <c r="L99" s="621">
        <v>-56463.31245544448</v>
      </c>
      <c r="M99" s="616"/>
      <c r="N99" s="621">
        <v>-37642.816344555518</v>
      </c>
      <c r="P99" s="626" t="s">
        <v>1444</v>
      </c>
      <c r="R99" s="616">
        <v>0</v>
      </c>
      <c r="S99" s="616"/>
      <c r="T99" s="616">
        <v>0</v>
      </c>
      <c r="U99" s="616"/>
      <c r="V99" s="616">
        <v>-37642.816344555518</v>
      </c>
      <c r="W99" s="616"/>
      <c r="X99" s="616">
        <v>-37642.816344555518</v>
      </c>
      <c r="Y99" s="616"/>
      <c r="Z99" s="316" t="s">
        <v>1471</v>
      </c>
      <c r="AA99" s="616"/>
      <c r="AB99" s="616">
        <v>0</v>
      </c>
      <c r="AC99" s="616"/>
      <c r="AD99" s="616">
        <v>0</v>
      </c>
      <c r="AE99" s="616"/>
      <c r="AF99" s="621">
        <v>-2782.4392380443824</v>
      </c>
      <c r="AG99" s="616"/>
      <c r="AH99" s="316" t="s">
        <v>1446</v>
      </c>
      <c r="AI99" s="616"/>
      <c r="AJ99" s="315">
        <v>0</v>
      </c>
      <c r="AK99" s="616"/>
      <c r="AL99" s="315">
        <v>0</v>
      </c>
      <c r="AM99" s="616"/>
      <c r="AN99" s="315">
        <v>-34860.377106511136</v>
      </c>
      <c r="AO99" s="616"/>
      <c r="AP99" s="616">
        <v>-34860.377106511136</v>
      </c>
      <c r="AR99" s="616">
        <v>0</v>
      </c>
      <c r="AS99" s="616"/>
      <c r="AT99" s="616">
        <v>0</v>
      </c>
      <c r="AU99" s="616"/>
      <c r="AV99" s="621">
        <v>-1041.2233744989787</v>
      </c>
      <c r="AW99" s="616"/>
      <c r="AX99" s="315">
        <v>0</v>
      </c>
      <c r="AY99" s="616"/>
      <c r="AZ99" s="315">
        <v>0</v>
      </c>
      <c r="BA99" s="616"/>
      <c r="BB99" s="315">
        <v>-33819.153732012157</v>
      </c>
      <c r="BC99" s="616"/>
      <c r="BD99" s="616">
        <v>-33819.153732012157</v>
      </c>
      <c r="BF99" s="616">
        <v>-46960.350325776009</v>
      </c>
      <c r="BI99" s="304">
        <v>404</v>
      </c>
    </row>
    <row r="100" spans="1:61" ht="14.5">
      <c r="A100" s="304">
        <v>405</v>
      </c>
      <c r="B100" s="620" t="s">
        <v>1533</v>
      </c>
      <c r="F100" s="624" t="s">
        <v>1443</v>
      </c>
      <c r="H100" s="621">
        <v>99765608.752000004</v>
      </c>
      <c r="J100" s="621">
        <v>34917963.063199997</v>
      </c>
      <c r="K100" s="616"/>
      <c r="L100" s="621">
        <v>20950777.168212995</v>
      </c>
      <c r="M100" s="616"/>
      <c r="N100" s="621">
        <v>13967185.894987006</v>
      </c>
      <c r="P100" s="626" t="s">
        <v>1444</v>
      </c>
      <c r="R100" s="616">
        <v>0</v>
      </c>
      <c r="S100" s="616"/>
      <c r="T100" s="616">
        <v>0</v>
      </c>
      <c r="U100" s="616"/>
      <c r="V100" s="616">
        <v>13967185.894987006</v>
      </c>
      <c r="W100" s="616"/>
      <c r="X100" s="616">
        <v>13967185.894987006</v>
      </c>
      <c r="Y100" s="616"/>
      <c r="Z100" s="316" t="s">
        <v>1471</v>
      </c>
      <c r="AA100" s="616"/>
      <c r="AB100" s="616">
        <v>0</v>
      </c>
      <c r="AC100" s="616"/>
      <c r="AD100" s="616">
        <v>0</v>
      </c>
      <c r="AE100" s="616"/>
      <c r="AF100" s="621">
        <v>1032410.6922167854</v>
      </c>
      <c r="AG100" s="616"/>
      <c r="AH100" s="316" t="s">
        <v>1446</v>
      </c>
      <c r="AI100" s="616"/>
      <c r="AJ100" s="315">
        <v>0</v>
      </c>
      <c r="AK100" s="616"/>
      <c r="AL100" s="315">
        <v>0</v>
      </c>
      <c r="AM100" s="616"/>
      <c r="AN100" s="315">
        <v>12934775.20277022</v>
      </c>
      <c r="AO100" s="616"/>
      <c r="AP100" s="616">
        <v>12934775.20277022</v>
      </c>
      <c r="AR100" s="616">
        <v>0</v>
      </c>
      <c r="AS100" s="616"/>
      <c r="AT100" s="616">
        <v>0</v>
      </c>
      <c r="AU100" s="616"/>
      <c r="AV100" s="621">
        <v>386340.92350362451</v>
      </c>
      <c r="AW100" s="616"/>
      <c r="AX100" s="315">
        <v>0</v>
      </c>
      <c r="AY100" s="616"/>
      <c r="AZ100" s="315">
        <v>0</v>
      </c>
      <c r="BA100" s="616"/>
      <c r="BB100" s="315">
        <v>12548434.279266596</v>
      </c>
      <c r="BC100" s="616"/>
      <c r="BD100" s="616">
        <v>12548434.279266596</v>
      </c>
      <c r="BF100" s="616">
        <v>17424412.049570091</v>
      </c>
      <c r="BI100" s="304">
        <v>405</v>
      </c>
    </row>
    <row r="101" spans="1:61" ht="14.5">
      <c r="A101" s="304">
        <v>406</v>
      </c>
      <c r="B101" s="620" t="s">
        <v>1534</v>
      </c>
      <c r="F101" s="624" t="s">
        <v>1443</v>
      </c>
      <c r="H101" s="621">
        <v>-83082302.262443438</v>
      </c>
      <c r="J101" s="621">
        <v>2570566.432</v>
      </c>
      <c r="K101" s="616"/>
      <c r="L101" s="621">
        <v>1545730.7397104639</v>
      </c>
      <c r="M101" s="616"/>
      <c r="N101" s="621">
        <v>1024565.7973965784</v>
      </c>
      <c r="P101" s="626" t="s">
        <v>1444</v>
      </c>
      <c r="R101" s="616">
        <v>0</v>
      </c>
      <c r="S101" s="616"/>
      <c r="T101" s="616">
        <v>0</v>
      </c>
      <c r="U101" s="616"/>
      <c r="V101" s="616">
        <v>1024565.7973965784</v>
      </c>
      <c r="W101" s="616"/>
      <c r="X101" s="616">
        <v>1024565.7973965784</v>
      </c>
      <c r="Y101" s="616"/>
      <c r="Z101" s="316" t="s">
        <v>1471</v>
      </c>
      <c r="AA101" s="616"/>
      <c r="AB101" s="616">
        <v>0</v>
      </c>
      <c r="AC101" s="616"/>
      <c r="AD101" s="616">
        <v>0</v>
      </c>
      <c r="AE101" s="616"/>
      <c r="AF101" s="621">
        <v>75732.698917646107</v>
      </c>
      <c r="AG101" s="616"/>
      <c r="AH101" s="316" t="s">
        <v>1446</v>
      </c>
      <c r="AI101" s="616"/>
      <c r="AJ101" s="315">
        <v>0</v>
      </c>
      <c r="AK101" s="616"/>
      <c r="AL101" s="315">
        <v>0</v>
      </c>
      <c r="AM101" s="616"/>
      <c r="AN101" s="315">
        <v>948833.09847893228</v>
      </c>
      <c r="AO101" s="616"/>
      <c r="AP101" s="616">
        <v>948833.09847893228</v>
      </c>
      <c r="AR101" s="616">
        <v>0</v>
      </c>
      <c r="AS101" s="616"/>
      <c r="AT101" s="616">
        <v>0</v>
      </c>
      <c r="AU101" s="616"/>
      <c r="AV101" s="621">
        <v>28340.117997462206</v>
      </c>
      <c r="AW101" s="616"/>
      <c r="AX101" s="315">
        <v>0</v>
      </c>
      <c r="AY101" s="616"/>
      <c r="AZ101" s="315">
        <v>0</v>
      </c>
      <c r="BA101" s="616"/>
      <c r="BB101" s="315">
        <v>920492.98048147012</v>
      </c>
      <c r="BC101" s="616"/>
      <c r="BD101" s="616">
        <v>920492.98048147012</v>
      </c>
      <c r="BF101" s="616">
        <v>1278171.3338648835</v>
      </c>
      <c r="BI101" s="304">
        <v>406</v>
      </c>
    </row>
    <row r="102" spans="1:61" ht="14.5">
      <c r="A102" s="304">
        <v>407</v>
      </c>
      <c r="B102" s="620" t="s">
        <v>1535</v>
      </c>
      <c r="F102" s="624" t="s">
        <v>1443</v>
      </c>
      <c r="H102" s="621">
        <v>-267315.21654815774</v>
      </c>
      <c r="J102" s="621">
        <v>8270.7327999999998</v>
      </c>
      <c r="K102" s="616"/>
      <c r="L102" s="621">
        <v>4990.2960650239993</v>
      </c>
      <c r="M102" s="616"/>
      <c r="N102" s="621">
        <v>3280.9595957260935</v>
      </c>
      <c r="P102" s="626" t="s">
        <v>1444</v>
      </c>
      <c r="R102" s="616">
        <v>0</v>
      </c>
      <c r="S102" s="616"/>
      <c r="T102" s="616">
        <v>0</v>
      </c>
      <c r="U102" s="616"/>
      <c r="V102" s="616">
        <v>3280.9595957260935</v>
      </c>
      <c r="W102" s="616"/>
      <c r="X102" s="616">
        <v>3280.9595957260935</v>
      </c>
      <c r="Y102" s="616"/>
      <c r="Z102" s="316" t="s">
        <v>1471</v>
      </c>
      <c r="AA102" s="616"/>
      <c r="AB102" s="616">
        <v>0</v>
      </c>
      <c r="AC102" s="616"/>
      <c r="AD102" s="616">
        <v>0</v>
      </c>
      <c r="AE102" s="616"/>
      <c r="AF102" s="621">
        <v>242.51827052539079</v>
      </c>
      <c r="AG102" s="616"/>
      <c r="AH102" s="316" t="s">
        <v>1446</v>
      </c>
      <c r="AI102" s="616"/>
      <c r="AJ102" s="315">
        <v>0</v>
      </c>
      <c r="AK102" s="616"/>
      <c r="AL102" s="315">
        <v>0</v>
      </c>
      <c r="AM102" s="616"/>
      <c r="AN102" s="315">
        <v>3038.4413252007025</v>
      </c>
      <c r="AO102" s="616"/>
      <c r="AP102" s="616">
        <v>3038.4413252007025</v>
      </c>
      <c r="AR102" s="616">
        <v>0</v>
      </c>
      <c r="AS102" s="616"/>
      <c r="AT102" s="616">
        <v>0</v>
      </c>
      <c r="AU102" s="616"/>
      <c r="AV102" s="621">
        <v>90.753353590421071</v>
      </c>
      <c r="AW102" s="616"/>
      <c r="AX102" s="315">
        <v>0</v>
      </c>
      <c r="AY102" s="616"/>
      <c r="AZ102" s="315">
        <v>0</v>
      </c>
      <c r="BA102" s="616"/>
      <c r="BB102" s="315">
        <v>2947.6879716102812</v>
      </c>
      <c r="BC102" s="616"/>
      <c r="BD102" s="616">
        <v>2947.6879716102812</v>
      </c>
      <c r="BF102" s="616">
        <v>4093.0787592968836</v>
      </c>
      <c r="BI102" s="304">
        <v>407</v>
      </c>
    </row>
    <row r="103" spans="1:61" ht="14.5">
      <c r="A103" s="304">
        <v>408</v>
      </c>
      <c r="B103" s="620" t="s">
        <v>1536</v>
      </c>
      <c r="F103" s="624" t="s">
        <v>1443</v>
      </c>
      <c r="H103" s="621">
        <v>118275848.37750486</v>
      </c>
      <c r="J103" s="621">
        <v>-3659454.7488000002</v>
      </c>
      <c r="K103" s="616"/>
      <c r="L103" s="621">
        <v>-2198404.9817031678</v>
      </c>
      <c r="M103" s="616"/>
      <c r="N103" s="621">
        <v>-1460646.162043212</v>
      </c>
      <c r="P103" s="626" t="s">
        <v>1537</v>
      </c>
      <c r="R103" s="616">
        <v>0</v>
      </c>
      <c r="S103" s="616"/>
      <c r="T103" s="616">
        <v>0</v>
      </c>
      <c r="U103" s="616"/>
      <c r="V103" s="616">
        <v>-1460646.162043212</v>
      </c>
      <c r="W103" s="616"/>
      <c r="X103" s="616">
        <v>-1460646.162043212</v>
      </c>
      <c r="Y103" s="616"/>
      <c r="Z103" s="316" t="s">
        <v>1471</v>
      </c>
      <c r="AA103" s="616"/>
      <c r="AB103" s="616">
        <v>0</v>
      </c>
      <c r="AC103" s="616"/>
      <c r="AD103" s="616">
        <v>0</v>
      </c>
      <c r="AE103" s="616"/>
      <c r="AF103" s="621">
        <v>-107966.39541971433</v>
      </c>
      <c r="AG103" s="616"/>
      <c r="AH103" s="316" t="s">
        <v>1446</v>
      </c>
      <c r="AI103" s="616"/>
      <c r="AJ103" s="315">
        <v>0</v>
      </c>
      <c r="AK103" s="616"/>
      <c r="AL103" s="315">
        <v>0</v>
      </c>
      <c r="AM103" s="616"/>
      <c r="AN103" s="315">
        <v>-1352679.7666234977</v>
      </c>
      <c r="AO103" s="616"/>
      <c r="AP103" s="616">
        <v>-1352679.7666234977</v>
      </c>
      <c r="AR103" s="616">
        <v>0</v>
      </c>
      <c r="AS103" s="616"/>
      <c r="AT103" s="616">
        <v>0</v>
      </c>
      <c r="AU103" s="616"/>
      <c r="AV103" s="621">
        <v>-40402.368193462375</v>
      </c>
      <c r="AW103" s="616"/>
      <c r="AX103" s="315">
        <v>0</v>
      </c>
      <c r="AY103" s="616"/>
      <c r="AZ103" s="315">
        <v>0</v>
      </c>
      <c r="BA103" s="616"/>
      <c r="BB103" s="315">
        <v>-1312277.3984300354</v>
      </c>
      <c r="BC103" s="616"/>
      <c r="BD103" s="616">
        <v>-1312277.3984300354</v>
      </c>
      <c r="BF103" s="616">
        <v>-1822192.4428741722</v>
      </c>
      <c r="BI103" s="304">
        <v>408</v>
      </c>
    </row>
    <row r="104" spans="1:61" ht="14.5">
      <c r="A104" s="304">
        <v>409</v>
      </c>
      <c r="B104" s="622" t="s">
        <v>117</v>
      </c>
      <c r="F104" s="624"/>
      <c r="H104" s="621"/>
      <c r="J104" s="621"/>
      <c r="K104" s="616"/>
      <c r="L104" s="621"/>
      <c r="M104" s="616"/>
      <c r="N104" s="621"/>
      <c r="P104" s="625"/>
      <c r="R104" s="616">
        <v>0</v>
      </c>
      <c r="S104" s="616"/>
      <c r="T104" s="616">
        <v>0</v>
      </c>
      <c r="U104" s="616"/>
      <c r="V104" s="616">
        <v>0</v>
      </c>
      <c r="W104" s="616"/>
      <c r="X104" s="616">
        <v>0</v>
      </c>
      <c r="Y104" s="616"/>
      <c r="Z104" s="316"/>
      <c r="AA104" s="616"/>
      <c r="AB104" s="616">
        <v>0</v>
      </c>
      <c r="AC104" s="616"/>
      <c r="AD104" s="616">
        <v>0</v>
      </c>
      <c r="AE104" s="616"/>
      <c r="AF104" s="621"/>
      <c r="AG104" s="616"/>
      <c r="AH104" s="316"/>
      <c r="AI104" s="616"/>
      <c r="AJ104" s="315">
        <v>0</v>
      </c>
      <c r="AK104" s="616"/>
      <c r="AL104" s="315">
        <v>0</v>
      </c>
      <c r="AM104" s="616"/>
      <c r="AN104" s="315">
        <v>0</v>
      </c>
      <c r="AO104" s="616"/>
      <c r="AP104" s="616">
        <v>0</v>
      </c>
      <c r="AR104" s="616">
        <v>0</v>
      </c>
      <c r="AS104" s="616"/>
      <c r="AT104" s="616">
        <v>0</v>
      </c>
      <c r="AU104" s="616"/>
      <c r="AV104" s="621"/>
      <c r="AW104" s="616"/>
      <c r="AX104" s="315">
        <v>0</v>
      </c>
      <c r="AY104" s="616"/>
      <c r="AZ104" s="315">
        <v>0</v>
      </c>
      <c r="BA104" s="616"/>
      <c r="BB104" s="315">
        <v>0</v>
      </c>
      <c r="BC104" s="616"/>
      <c r="BD104" s="616">
        <v>0</v>
      </c>
      <c r="BF104" s="616">
        <v>0</v>
      </c>
      <c r="BI104" s="304">
        <v>409</v>
      </c>
    </row>
    <row r="105" spans="1:61" ht="14.5">
      <c r="A105" s="304">
        <v>408</v>
      </c>
      <c r="B105" s="622" t="s">
        <v>117</v>
      </c>
      <c r="F105" s="624"/>
      <c r="H105" s="621"/>
      <c r="J105" s="621"/>
      <c r="K105" s="616"/>
      <c r="L105" s="621"/>
      <c r="M105" s="616"/>
      <c r="N105" s="621"/>
      <c r="P105" s="625"/>
      <c r="R105" s="616">
        <v>0</v>
      </c>
      <c r="S105" s="616"/>
      <c r="T105" s="616">
        <v>0</v>
      </c>
      <c r="U105" s="616"/>
      <c r="V105" s="616">
        <v>0</v>
      </c>
      <c r="W105" s="616"/>
      <c r="X105" s="616">
        <v>0</v>
      </c>
      <c r="Y105" s="616"/>
      <c r="Z105" s="316"/>
      <c r="AA105" s="616"/>
      <c r="AB105" s="616">
        <v>0</v>
      </c>
      <c r="AC105" s="616"/>
      <c r="AD105" s="616">
        <v>0</v>
      </c>
      <c r="AE105" s="616"/>
      <c r="AF105" s="621"/>
      <c r="AG105" s="616"/>
      <c r="AH105" s="316"/>
      <c r="AI105" s="616"/>
      <c r="AJ105" s="315">
        <v>0</v>
      </c>
      <c r="AK105" s="616"/>
      <c r="AL105" s="315">
        <v>0</v>
      </c>
      <c r="AM105" s="616"/>
      <c r="AN105" s="315">
        <v>0</v>
      </c>
      <c r="AO105" s="616"/>
      <c r="AP105" s="616">
        <v>0</v>
      </c>
      <c r="AR105" s="616">
        <v>0</v>
      </c>
      <c r="AS105" s="616"/>
      <c r="AT105" s="616">
        <v>0</v>
      </c>
      <c r="AU105" s="616"/>
      <c r="AV105" s="621"/>
      <c r="AW105" s="616"/>
      <c r="AX105" s="315">
        <v>0</v>
      </c>
      <c r="AY105" s="616"/>
      <c r="AZ105" s="315">
        <v>0</v>
      </c>
      <c r="BA105" s="616"/>
      <c r="BB105" s="315">
        <v>0</v>
      </c>
      <c r="BC105" s="616"/>
      <c r="BD105" s="616">
        <v>0</v>
      </c>
      <c r="BF105" s="616">
        <v>0</v>
      </c>
      <c r="BI105" s="304">
        <v>408</v>
      </c>
    </row>
    <row r="106" spans="1:61" ht="14.5">
      <c r="A106" s="304"/>
      <c r="B106" s="523"/>
      <c r="F106" s="624"/>
      <c r="H106" s="554"/>
      <c r="J106" s="616"/>
      <c r="K106" s="616"/>
      <c r="L106" s="616"/>
      <c r="M106" s="616"/>
      <c r="N106" s="616"/>
      <c r="P106" s="625"/>
      <c r="R106" s="616"/>
      <c r="S106" s="616"/>
      <c r="T106" s="616"/>
      <c r="U106" s="616"/>
      <c r="V106" s="616"/>
      <c r="W106" s="616"/>
      <c r="X106" s="616"/>
      <c r="Y106" s="616"/>
      <c r="Z106" s="316"/>
      <c r="AA106" s="616"/>
      <c r="AB106" s="616"/>
      <c r="AC106" s="616"/>
      <c r="AD106" s="616"/>
      <c r="AE106" s="616"/>
      <c r="AF106" s="616"/>
      <c r="AG106" s="616"/>
      <c r="AH106" s="316"/>
      <c r="AI106" s="616"/>
      <c r="AJ106" s="616"/>
      <c r="AK106" s="616"/>
      <c r="AL106" s="616"/>
      <c r="AM106" s="616"/>
      <c r="AN106" s="616"/>
      <c r="AO106" s="616"/>
      <c r="AP106" s="616"/>
      <c r="AR106" s="616"/>
      <c r="AS106" s="616"/>
      <c r="AT106" s="616"/>
      <c r="AU106" s="616"/>
      <c r="AV106" s="616"/>
      <c r="AW106" s="616"/>
      <c r="AX106" s="616"/>
      <c r="AY106" s="616"/>
      <c r="AZ106" s="616"/>
      <c r="BA106" s="616"/>
      <c r="BB106" s="616"/>
      <c r="BC106" s="616"/>
      <c r="BD106" s="616"/>
      <c r="BI106" s="304"/>
    </row>
    <row r="107" spans="1:61" ht="14.5">
      <c r="A107" s="201" t="s">
        <v>90</v>
      </c>
      <c r="F107" s="624"/>
      <c r="P107" s="625"/>
      <c r="Z107" s="605"/>
      <c r="AH107" s="605"/>
      <c r="BI107" s="615" t="s">
        <v>90</v>
      </c>
    </row>
    <row r="108" spans="1:61" ht="14.5">
      <c r="A108" s="304">
        <v>500</v>
      </c>
      <c r="B108" s="609" t="s">
        <v>1538</v>
      </c>
      <c r="F108" s="624"/>
      <c r="H108" s="619">
        <v>-83282905</v>
      </c>
      <c r="J108" s="619">
        <v>434750466</v>
      </c>
      <c r="K108" s="616"/>
      <c r="L108" s="619">
        <v>260850280</v>
      </c>
      <c r="M108" s="616"/>
      <c r="N108" s="619">
        <v>173900186</v>
      </c>
      <c r="O108" s="304"/>
      <c r="P108" s="523"/>
      <c r="Q108" s="304"/>
      <c r="R108" s="619">
        <v>173900186</v>
      </c>
      <c r="S108" s="616"/>
      <c r="T108" s="619">
        <v>0</v>
      </c>
      <c r="U108" s="616"/>
      <c r="V108" s="619">
        <v>0</v>
      </c>
      <c r="W108" s="616"/>
      <c r="X108" s="619">
        <v>173900186</v>
      </c>
      <c r="Y108" s="616"/>
      <c r="Z108" s="316"/>
      <c r="AA108" s="616"/>
      <c r="AB108" s="619">
        <v>12326933.935202882</v>
      </c>
      <c r="AC108" s="616"/>
      <c r="AD108" s="619">
        <v>0</v>
      </c>
      <c r="AE108" s="616"/>
      <c r="AF108" s="619">
        <v>0</v>
      </c>
      <c r="AG108" s="616"/>
      <c r="AH108" s="316"/>
      <c r="AI108" s="616"/>
      <c r="AJ108" s="619">
        <v>161573252.51337314</v>
      </c>
      <c r="AK108" s="616"/>
      <c r="AL108" s="619">
        <v>0</v>
      </c>
      <c r="AM108" s="616"/>
      <c r="AN108" s="619">
        <v>0</v>
      </c>
      <c r="AO108" s="616"/>
      <c r="AP108" s="619">
        <v>161573252.51337314</v>
      </c>
      <c r="AR108" s="619">
        <v>3875785.7180344383</v>
      </c>
      <c r="AS108" s="616"/>
      <c r="AT108" s="619">
        <v>0</v>
      </c>
      <c r="AU108" s="616"/>
      <c r="AV108" s="619">
        <v>0</v>
      </c>
      <c r="AW108" s="616"/>
      <c r="AX108" s="619">
        <v>157697466.79533869</v>
      </c>
      <c r="AY108" s="616"/>
      <c r="AZ108" s="619">
        <v>0</v>
      </c>
      <c r="BA108" s="616"/>
      <c r="BB108" s="619">
        <v>0</v>
      </c>
      <c r="BC108" s="616"/>
      <c r="BD108" s="619">
        <v>157697466.79533869</v>
      </c>
      <c r="BF108" s="619">
        <v>218974382</v>
      </c>
      <c r="BI108" s="304">
        <v>500</v>
      </c>
    </row>
    <row r="109" spans="1:61" ht="14.5">
      <c r="A109" s="304">
        <v>501</v>
      </c>
      <c r="B109" s="526" t="s">
        <v>1539</v>
      </c>
      <c r="F109" s="624" t="s">
        <v>1458</v>
      </c>
      <c r="H109" s="621">
        <v>-83282905</v>
      </c>
      <c r="J109" s="621">
        <v>434750466.12143999</v>
      </c>
      <c r="K109" s="616"/>
      <c r="L109" s="621">
        <v>260850279.67286399</v>
      </c>
      <c r="M109" s="616"/>
      <c r="N109" s="621">
        <v>173900186.448576</v>
      </c>
      <c r="P109" s="627" t="s">
        <v>1453</v>
      </c>
      <c r="R109" s="616">
        <v>173900186.448576</v>
      </c>
      <c r="S109" s="616"/>
      <c r="T109" s="616">
        <v>0</v>
      </c>
      <c r="U109" s="616"/>
      <c r="V109" s="616">
        <v>0</v>
      </c>
      <c r="W109" s="616"/>
      <c r="X109" s="616">
        <v>173900186.448576</v>
      </c>
      <c r="Y109" s="616"/>
      <c r="Z109" s="316" t="s">
        <v>1445</v>
      </c>
      <c r="AA109" s="616"/>
      <c r="AB109" s="621">
        <v>12326933.935202882</v>
      </c>
      <c r="AC109" s="616"/>
      <c r="AD109" s="616">
        <v>0</v>
      </c>
      <c r="AE109" s="616"/>
      <c r="AF109" s="616">
        <v>0</v>
      </c>
      <c r="AG109" s="616"/>
      <c r="AH109" s="316" t="s">
        <v>1454</v>
      </c>
      <c r="AI109" s="616"/>
      <c r="AJ109" s="315">
        <v>161573252.51337314</v>
      </c>
      <c r="AK109" s="616"/>
      <c r="AL109" s="315">
        <v>0</v>
      </c>
      <c r="AM109" s="616"/>
      <c r="AN109" s="315">
        <v>0</v>
      </c>
      <c r="AO109" s="616"/>
      <c r="AP109" s="616">
        <v>161573252.51337314</v>
      </c>
      <c r="AR109" s="621">
        <v>3875785.7180344383</v>
      </c>
      <c r="AS109" s="616"/>
      <c r="AT109" s="616">
        <v>0</v>
      </c>
      <c r="AU109" s="616"/>
      <c r="AV109" s="616">
        <v>0</v>
      </c>
      <c r="AW109" s="616"/>
      <c r="AX109" s="315">
        <v>157697466.79533869</v>
      </c>
      <c r="AY109" s="616"/>
      <c r="AZ109" s="315">
        <v>0</v>
      </c>
      <c r="BA109" s="616"/>
      <c r="BB109" s="315">
        <v>0</v>
      </c>
      <c r="BC109" s="616"/>
      <c r="BD109" s="616">
        <v>157697466.79533869</v>
      </c>
      <c r="BF109" s="616">
        <v>218974381.93986186</v>
      </c>
      <c r="BI109" s="304">
        <v>501</v>
      </c>
    </row>
    <row r="110" spans="1:61" ht="14.5">
      <c r="A110" s="304">
        <v>502</v>
      </c>
      <c r="B110" s="622" t="s">
        <v>117</v>
      </c>
      <c r="F110" s="624"/>
      <c r="H110" s="621"/>
      <c r="J110" s="621">
        <v>0</v>
      </c>
      <c r="K110" s="616"/>
      <c r="L110" s="621">
        <v>0</v>
      </c>
      <c r="M110" s="616"/>
      <c r="N110" s="621">
        <v>0</v>
      </c>
      <c r="P110" s="627"/>
      <c r="R110" s="616">
        <v>0</v>
      </c>
      <c r="S110" s="616"/>
      <c r="T110" s="616">
        <v>0</v>
      </c>
      <c r="U110" s="616"/>
      <c r="V110" s="616">
        <v>0</v>
      </c>
      <c r="W110" s="616"/>
      <c r="X110" s="616">
        <v>0</v>
      </c>
      <c r="Y110" s="616"/>
      <c r="Z110" s="316"/>
      <c r="AA110" s="616"/>
      <c r="AB110" s="621"/>
      <c r="AC110" s="616"/>
      <c r="AD110" s="616">
        <v>0</v>
      </c>
      <c r="AE110" s="616"/>
      <c r="AF110" s="616">
        <v>0</v>
      </c>
      <c r="AG110" s="616"/>
      <c r="AH110" s="316"/>
      <c r="AI110" s="616"/>
      <c r="AJ110" s="315">
        <v>0</v>
      </c>
      <c r="AK110" s="616"/>
      <c r="AL110" s="315">
        <v>0</v>
      </c>
      <c r="AM110" s="616"/>
      <c r="AN110" s="315">
        <v>0</v>
      </c>
      <c r="AO110" s="616"/>
      <c r="AP110" s="616">
        <v>0</v>
      </c>
      <c r="AR110" s="621"/>
      <c r="AS110" s="616"/>
      <c r="AT110" s="616">
        <v>0</v>
      </c>
      <c r="AU110" s="616"/>
      <c r="AV110" s="616">
        <v>0</v>
      </c>
      <c r="AW110" s="616"/>
      <c r="AX110" s="315">
        <v>0</v>
      </c>
      <c r="AY110" s="616"/>
      <c r="AZ110" s="315">
        <v>0</v>
      </c>
      <c r="BA110" s="616"/>
      <c r="BB110" s="315">
        <v>0</v>
      </c>
      <c r="BC110" s="616"/>
      <c r="BD110" s="616">
        <v>0</v>
      </c>
      <c r="BF110" s="616">
        <v>0</v>
      </c>
      <c r="BI110" s="304">
        <v>502</v>
      </c>
    </row>
    <row r="111" spans="1:61" ht="14.5">
      <c r="A111" s="304">
        <v>503</v>
      </c>
      <c r="B111" s="622" t="s">
        <v>117</v>
      </c>
      <c r="F111" s="624"/>
      <c r="H111" s="621"/>
      <c r="J111" s="621">
        <v>0</v>
      </c>
      <c r="K111" s="616"/>
      <c r="L111" s="621">
        <v>0</v>
      </c>
      <c r="M111" s="616"/>
      <c r="N111" s="621">
        <v>0</v>
      </c>
      <c r="P111" s="627"/>
      <c r="R111" s="616">
        <v>0</v>
      </c>
      <c r="S111" s="616"/>
      <c r="T111" s="616">
        <v>0</v>
      </c>
      <c r="U111" s="616"/>
      <c r="V111" s="616">
        <v>0</v>
      </c>
      <c r="W111" s="616"/>
      <c r="X111" s="616">
        <v>0</v>
      </c>
      <c r="Y111" s="616"/>
      <c r="Z111" s="316"/>
      <c r="AA111" s="616"/>
      <c r="AB111" s="621"/>
      <c r="AC111" s="616"/>
      <c r="AD111" s="616">
        <v>0</v>
      </c>
      <c r="AE111" s="616"/>
      <c r="AF111" s="616">
        <v>0</v>
      </c>
      <c r="AG111" s="616"/>
      <c r="AH111" s="316"/>
      <c r="AI111" s="616"/>
      <c r="AJ111" s="315">
        <v>0</v>
      </c>
      <c r="AK111" s="616"/>
      <c r="AL111" s="315">
        <v>0</v>
      </c>
      <c r="AM111" s="616"/>
      <c r="AN111" s="315">
        <v>0</v>
      </c>
      <c r="AO111" s="616"/>
      <c r="AP111" s="616">
        <v>0</v>
      </c>
      <c r="AR111" s="621"/>
      <c r="AS111" s="616"/>
      <c r="AT111" s="616">
        <v>0</v>
      </c>
      <c r="AU111" s="616"/>
      <c r="AV111" s="616">
        <v>0</v>
      </c>
      <c r="AW111" s="616"/>
      <c r="AX111" s="315">
        <v>0</v>
      </c>
      <c r="AY111" s="616"/>
      <c r="AZ111" s="315">
        <v>0</v>
      </c>
      <c r="BA111" s="616"/>
      <c r="BB111" s="315">
        <v>0</v>
      </c>
      <c r="BC111" s="616"/>
      <c r="BD111" s="616">
        <v>0</v>
      </c>
      <c r="BF111" s="616">
        <v>0</v>
      </c>
      <c r="BI111" s="304">
        <v>503</v>
      </c>
    </row>
    <row r="112" spans="1:61" ht="14.5">
      <c r="A112" s="304">
        <v>504</v>
      </c>
      <c r="B112" s="622" t="s">
        <v>117</v>
      </c>
      <c r="F112" s="617"/>
      <c r="H112" s="621"/>
      <c r="J112" s="621">
        <v>0</v>
      </c>
      <c r="K112" s="616"/>
      <c r="L112" s="621">
        <v>0</v>
      </c>
      <c r="M112" s="616"/>
      <c r="N112" s="621">
        <v>0</v>
      </c>
      <c r="P112" s="625"/>
      <c r="R112" s="616">
        <v>0</v>
      </c>
      <c r="S112" s="616"/>
      <c r="T112" s="616">
        <v>0</v>
      </c>
      <c r="U112" s="616"/>
      <c r="V112" s="616">
        <v>0</v>
      </c>
      <c r="W112" s="616"/>
      <c r="X112" s="616">
        <v>0</v>
      </c>
      <c r="Y112" s="616"/>
      <c r="Z112" s="316"/>
      <c r="AA112" s="616"/>
      <c r="AB112" s="621"/>
      <c r="AC112" s="616"/>
      <c r="AD112" s="616">
        <v>0</v>
      </c>
      <c r="AE112" s="616"/>
      <c r="AF112" s="616">
        <v>0</v>
      </c>
      <c r="AG112" s="616"/>
      <c r="AH112" s="316"/>
      <c r="AI112" s="616"/>
      <c r="AJ112" s="315">
        <v>0</v>
      </c>
      <c r="AK112" s="616"/>
      <c r="AL112" s="315">
        <v>0</v>
      </c>
      <c r="AM112" s="616"/>
      <c r="AN112" s="315">
        <v>0</v>
      </c>
      <c r="AO112" s="616"/>
      <c r="AP112" s="616">
        <v>0</v>
      </c>
      <c r="AR112" s="621"/>
      <c r="AS112" s="616"/>
      <c r="AT112" s="616">
        <v>0</v>
      </c>
      <c r="AU112" s="616"/>
      <c r="AV112" s="616">
        <v>0</v>
      </c>
      <c r="AW112" s="616"/>
      <c r="AX112" s="315">
        <v>0</v>
      </c>
      <c r="AY112" s="616"/>
      <c r="AZ112" s="315">
        <v>0</v>
      </c>
      <c r="BA112" s="616"/>
      <c r="BB112" s="315">
        <v>0</v>
      </c>
      <c r="BC112" s="616"/>
      <c r="BD112" s="616">
        <v>0</v>
      </c>
      <c r="BF112" s="616">
        <v>0</v>
      </c>
      <c r="BI112" s="304">
        <v>504</v>
      </c>
    </row>
    <row r="113" spans="1:61" ht="14.5">
      <c r="A113" s="304">
        <v>505</v>
      </c>
      <c r="B113" s="622" t="s">
        <v>117</v>
      </c>
      <c r="F113" s="617"/>
      <c r="H113" s="621"/>
      <c r="J113" s="621">
        <v>0</v>
      </c>
      <c r="K113" s="616"/>
      <c r="L113" s="621">
        <v>0</v>
      </c>
      <c r="M113" s="616"/>
      <c r="N113" s="621">
        <v>0</v>
      </c>
      <c r="P113" s="625"/>
      <c r="R113" s="616">
        <v>0</v>
      </c>
      <c r="S113" s="616"/>
      <c r="T113" s="616">
        <v>0</v>
      </c>
      <c r="U113" s="616"/>
      <c r="V113" s="616">
        <v>0</v>
      </c>
      <c r="W113" s="616"/>
      <c r="X113" s="616">
        <v>0</v>
      </c>
      <c r="Y113" s="616"/>
      <c r="Z113" s="316"/>
      <c r="AA113" s="616"/>
      <c r="AB113" s="621"/>
      <c r="AC113" s="616"/>
      <c r="AD113" s="616">
        <v>0</v>
      </c>
      <c r="AE113" s="616"/>
      <c r="AF113" s="616">
        <v>0</v>
      </c>
      <c r="AG113" s="616"/>
      <c r="AH113" s="316"/>
      <c r="AI113" s="616"/>
      <c r="AJ113" s="315">
        <v>0</v>
      </c>
      <c r="AK113" s="616"/>
      <c r="AL113" s="315">
        <v>0</v>
      </c>
      <c r="AM113" s="616"/>
      <c r="AN113" s="315">
        <v>0</v>
      </c>
      <c r="AO113" s="616"/>
      <c r="AP113" s="616">
        <v>0</v>
      </c>
      <c r="AR113" s="621"/>
      <c r="AS113" s="616"/>
      <c r="AT113" s="616">
        <v>0</v>
      </c>
      <c r="AU113" s="616"/>
      <c r="AV113" s="616">
        <v>0</v>
      </c>
      <c r="AW113" s="616"/>
      <c r="AX113" s="315">
        <v>0</v>
      </c>
      <c r="AY113" s="616"/>
      <c r="AZ113" s="315">
        <v>0</v>
      </c>
      <c r="BA113" s="616"/>
      <c r="BB113" s="315">
        <v>0</v>
      </c>
      <c r="BC113" s="616"/>
      <c r="BD113" s="616">
        <v>0</v>
      </c>
      <c r="BF113" s="616">
        <v>0</v>
      </c>
      <c r="BI113" s="304">
        <v>505</v>
      </c>
    </row>
    <row r="114" spans="1:61" ht="14.5">
      <c r="A114" s="304"/>
      <c r="B114" s="523"/>
      <c r="F114" s="617"/>
      <c r="H114" s="616"/>
      <c r="J114" s="616"/>
      <c r="K114" s="616"/>
      <c r="L114" s="616"/>
      <c r="M114" s="616"/>
      <c r="N114" s="616"/>
      <c r="P114" s="625"/>
      <c r="R114" s="616"/>
      <c r="S114" s="616"/>
      <c r="T114" s="616"/>
      <c r="U114" s="616"/>
      <c r="V114" s="616"/>
      <c r="W114" s="616"/>
      <c r="X114" s="616"/>
      <c r="Y114" s="616"/>
      <c r="Z114" s="316"/>
      <c r="AA114" s="616"/>
      <c r="AB114" s="616"/>
      <c r="AC114" s="616"/>
      <c r="AD114" s="616"/>
      <c r="AE114" s="616"/>
      <c r="AF114" s="616"/>
      <c r="AG114" s="616"/>
      <c r="AH114" s="316"/>
      <c r="AI114" s="616"/>
      <c r="AJ114" s="616">
        <v>0</v>
      </c>
      <c r="AK114" s="616"/>
      <c r="AL114" s="616">
        <v>0</v>
      </c>
      <c r="AM114" s="616"/>
      <c r="AN114" s="616">
        <v>0</v>
      </c>
      <c r="AO114" s="616"/>
      <c r="AP114" s="616">
        <v>0</v>
      </c>
      <c r="AR114" s="616"/>
      <c r="AS114" s="616"/>
      <c r="AT114" s="616"/>
      <c r="AU114" s="616"/>
      <c r="AV114" s="616"/>
      <c r="AW114" s="616"/>
      <c r="AX114" s="616">
        <v>0</v>
      </c>
      <c r="AY114" s="616"/>
      <c r="AZ114" s="616">
        <v>0</v>
      </c>
      <c r="BA114" s="616"/>
      <c r="BB114" s="616">
        <v>0</v>
      </c>
      <c r="BC114" s="616"/>
      <c r="BD114" s="616"/>
      <c r="BF114" s="616"/>
      <c r="BI114" s="304"/>
    </row>
    <row r="115" spans="1:61" ht="14.5">
      <c r="A115" s="201" t="s">
        <v>90</v>
      </c>
      <c r="F115" s="617"/>
      <c r="H115" s="554"/>
      <c r="P115" s="625"/>
      <c r="Z115" s="605"/>
      <c r="AH115" s="605"/>
      <c r="BI115" s="615" t="s">
        <v>90</v>
      </c>
    </row>
    <row r="116" spans="1:61" ht="14.5">
      <c r="A116" s="304">
        <v>600</v>
      </c>
      <c r="B116" s="618" t="s">
        <v>1459</v>
      </c>
      <c r="F116" s="617"/>
      <c r="H116" s="619">
        <v>-400413354</v>
      </c>
      <c r="J116" s="619">
        <v>-140144673.792</v>
      </c>
      <c r="K116" s="616"/>
      <c r="L116" s="619">
        <v>-84086803.483769998</v>
      </c>
      <c r="M116" s="616"/>
      <c r="N116" s="619">
        <v>-56057870.308230013</v>
      </c>
      <c r="O116" s="304"/>
      <c r="P116" s="523"/>
      <c r="Q116" s="304"/>
      <c r="R116" s="619">
        <v>0</v>
      </c>
      <c r="S116" s="616"/>
      <c r="T116" s="619">
        <v>-56057870.308230013</v>
      </c>
      <c r="U116" s="616"/>
      <c r="V116" s="619">
        <v>0</v>
      </c>
      <c r="W116" s="616"/>
      <c r="X116" s="619">
        <v>-56057870.308230013</v>
      </c>
      <c r="Y116" s="616"/>
      <c r="Z116" s="316"/>
      <c r="AA116" s="616"/>
      <c r="AB116" s="619">
        <v>0</v>
      </c>
      <c r="AC116" s="616"/>
      <c r="AD116" s="619">
        <v>-4143622.4250362762</v>
      </c>
      <c r="AE116" s="616"/>
      <c r="AF116" s="619">
        <v>0</v>
      </c>
      <c r="AG116" s="616"/>
      <c r="AH116" s="316"/>
      <c r="AI116" s="616"/>
      <c r="AJ116" s="619">
        <v>0</v>
      </c>
      <c r="AK116" s="616"/>
      <c r="AL116" s="619">
        <v>-51914247.883193739</v>
      </c>
      <c r="AM116" s="616"/>
      <c r="AN116" s="619">
        <v>0</v>
      </c>
      <c r="AO116" s="616"/>
      <c r="AP116" s="619">
        <v>-51914247.883193739</v>
      </c>
      <c r="AR116" s="619">
        <v>0</v>
      </c>
      <c r="AS116" s="616"/>
      <c r="AT116" s="619">
        <v>-1550595.0552502577</v>
      </c>
      <c r="AU116" s="616"/>
      <c r="AV116" s="619">
        <v>0</v>
      </c>
      <c r="AW116" s="616"/>
      <c r="AX116" s="619">
        <v>0</v>
      </c>
      <c r="AY116" s="616"/>
      <c r="AZ116" s="619">
        <v>-50363652.827943482</v>
      </c>
      <c r="BA116" s="616"/>
      <c r="BB116" s="619">
        <v>0</v>
      </c>
      <c r="BC116" s="616"/>
      <c r="BD116" s="619">
        <v>-50363652.827943482</v>
      </c>
      <c r="BF116" s="619">
        <v>-69933588.49920778</v>
      </c>
      <c r="BI116" s="304">
        <v>600</v>
      </c>
    </row>
    <row r="117" spans="1:61" ht="14.5">
      <c r="A117" s="304">
        <v>601</v>
      </c>
      <c r="B117" s="620" t="s">
        <v>1540</v>
      </c>
      <c r="F117" s="625" t="s">
        <v>1443</v>
      </c>
      <c r="H117" s="621">
        <v>-503886394</v>
      </c>
      <c r="J117" s="621">
        <v>-176360237.792</v>
      </c>
      <c r="K117" s="616"/>
      <c r="L117" s="621">
        <v>-105816142.47279657</v>
      </c>
      <c r="M117" s="616"/>
      <c r="N117" s="621">
        <v>-70544095.319203436</v>
      </c>
      <c r="P117" s="625" t="s">
        <v>1444</v>
      </c>
      <c r="R117" s="616">
        <v>0</v>
      </c>
      <c r="S117" s="616"/>
      <c r="T117" s="616">
        <v>-70544095.319203436</v>
      </c>
      <c r="U117" s="616"/>
      <c r="V117" s="616">
        <v>0</v>
      </c>
      <c r="W117" s="616"/>
      <c r="X117" s="616">
        <v>-70544095.319203436</v>
      </c>
      <c r="Y117" s="616"/>
      <c r="Z117" s="316" t="s">
        <v>1471</v>
      </c>
      <c r="AA117" s="616"/>
      <c r="AB117" s="621"/>
      <c r="AC117" s="616"/>
      <c r="AD117" s="621">
        <v>-5214398.8651604801</v>
      </c>
      <c r="AE117" s="616"/>
      <c r="AF117" s="621"/>
      <c r="AG117" s="616"/>
      <c r="AH117" s="316" t="s">
        <v>1446</v>
      </c>
      <c r="AI117" s="616"/>
      <c r="AJ117" s="315">
        <v>0</v>
      </c>
      <c r="AK117" s="616"/>
      <c r="AL117" s="315">
        <v>-65329696.454042956</v>
      </c>
      <c r="AM117" s="616"/>
      <c r="AN117" s="315">
        <v>0</v>
      </c>
      <c r="AO117" s="616"/>
      <c r="AP117" s="616">
        <v>-65329696.454042956</v>
      </c>
      <c r="AR117" s="621"/>
      <c r="AS117" s="616"/>
      <c r="AT117" s="621">
        <v>-1951292.9188642495</v>
      </c>
      <c r="AU117" s="616"/>
      <c r="AV117" s="621"/>
      <c r="AW117" s="616"/>
      <c r="AX117" s="315">
        <v>0</v>
      </c>
      <c r="AY117" s="616"/>
      <c r="AZ117" s="315">
        <v>-63378403.535178706</v>
      </c>
      <c r="BA117" s="616"/>
      <c r="BB117" s="315">
        <v>0</v>
      </c>
      <c r="BC117" s="616"/>
      <c r="BD117" s="616">
        <v>-63378403.535178706</v>
      </c>
      <c r="BF117" s="616">
        <v>-88005514.764940619</v>
      </c>
      <c r="BI117" s="304">
        <v>601</v>
      </c>
    </row>
    <row r="118" spans="1:61" ht="14.5">
      <c r="A118" s="304">
        <v>602</v>
      </c>
      <c r="B118" s="620" t="s">
        <v>1541</v>
      </c>
      <c r="F118" s="625" t="s">
        <v>1443</v>
      </c>
      <c r="H118" s="621">
        <v>103473040</v>
      </c>
      <c r="J118" s="621">
        <v>36215564</v>
      </c>
      <c r="K118" s="616"/>
      <c r="L118" s="621">
        <v>21729338.98902658</v>
      </c>
      <c r="M118" s="616"/>
      <c r="N118" s="621">
        <v>14486225.01097342</v>
      </c>
      <c r="P118" s="625" t="s">
        <v>1444</v>
      </c>
      <c r="R118" s="616">
        <v>0</v>
      </c>
      <c r="S118" s="616"/>
      <c r="T118" s="616">
        <v>14486225.01097342</v>
      </c>
      <c r="U118" s="616"/>
      <c r="V118" s="616">
        <v>0</v>
      </c>
      <c r="W118" s="616"/>
      <c r="X118" s="616">
        <v>14486225.01097342</v>
      </c>
      <c r="Y118" s="616"/>
      <c r="Z118" s="316" t="s">
        <v>1471</v>
      </c>
      <c r="AA118" s="616"/>
      <c r="AB118" s="621"/>
      <c r="AC118" s="616"/>
      <c r="AD118" s="621">
        <v>1070776.4401242039</v>
      </c>
      <c r="AE118" s="616"/>
      <c r="AF118" s="621"/>
      <c r="AG118" s="616"/>
      <c r="AH118" s="316" t="s">
        <v>1446</v>
      </c>
      <c r="AI118" s="616"/>
      <c r="AJ118" s="315">
        <v>0</v>
      </c>
      <c r="AK118" s="616"/>
      <c r="AL118" s="315">
        <v>13415448.570849216</v>
      </c>
      <c r="AM118" s="616"/>
      <c r="AN118" s="315">
        <v>0</v>
      </c>
      <c r="AO118" s="616"/>
      <c r="AP118" s="616">
        <v>13415448.570849216</v>
      </c>
      <c r="AR118" s="621"/>
      <c r="AS118" s="616"/>
      <c r="AT118" s="621">
        <v>400697.86361399188</v>
      </c>
      <c r="AU118" s="616"/>
      <c r="AV118" s="621"/>
      <c r="AW118" s="616"/>
      <c r="AX118" s="315">
        <v>0</v>
      </c>
      <c r="AY118" s="616"/>
      <c r="AZ118" s="315">
        <v>13014750.707235225</v>
      </c>
      <c r="BA118" s="616"/>
      <c r="BB118" s="315">
        <v>0</v>
      </c>
      <c r="BC118" s="616"/>
      <c r="BD118" s="616">
        <v>13014750.707235225</v>
      </c>
      <c r="BF118" s="616">
        <v>18071926.26573284</v>
      </c>
      <c r="BI118" s="304">
        <v>602</v>
      </c>
    </row>
    <row r="119" spans="1:61" ht="14.5">
      <c r="A119" s="304">
        <v>603</v>
      </c>
      <c r="B119" s="620" t="s">
        <v>1542</v>
      </c>
      <c r="F119" s="625" t="s">
        <v>1443</v>
      </c>
      <c r="H119" s="621">
        <v>0</v>
      </c>
      <c r="J119" s="621">
        <v>0</v>
      </c>
      <c r="K119" s="616"/>
      <c r="L119" s="621">
        <v>0</v>
      </c>
      <c r="M119" s="616"/>
      <c r="N119" s="621">
        <v>0</v>
      </c>
      <c r="P119" s="625" t="s">
        <v>1444</v>
      </c>
      <c r="R119" s="616">
        <v>0</v>
      </c>
      <c r="S119" s="616"/>
      <c r="T119" s="616">
        <v>0</v>
      </c>
      <c r="U119" s="616"/>
      <c r="V119" s="616">
        <v>0</v>
      </c>
      <c r="W119" s="616"/>
      <c r="X119" s="616">
        <v>0</v>
      </c>
      <c r="Y119" s="616"/>
      <c r="Z119" s="316"/>
      <c r="AA119" s="616"/>
      <c r="AB119" s="621"/>
      <c r="AC119" s="616"/>
      <c r="AD119" s="621">
        <v>0</v>
      </c>
      <c r="AE119" s="616"/>
      <c r="AF119" s="621"/>
      <c r="AG119" s="616"/>
      <c r="AH119" s="316"/>
      <c r="AI119" s="616"/>
      <c r="AJ119" s="315">
        <v>0</v>
      </c>
      <c r="AK119" s="616"/>
      <c r="AL119" s="315">
        <v>0</v>
      </c>
      <c r="AM119" s="616"/>
      <c r="AN119" s="315">
        <v>0</v>
      </c>
      <c r="AO119" s="616"/>
      <c r="AP119" s="616">
        <v>0</v>
      </c>
      <c r="AR119" s="621"/>
      <c r="AS119" s="616"/>
      <c r="AT119" s="621">
        <v>0</v>
      </c>
      <c r="AU119" s="616"/>
      <c r="AV119" s="621"/>
      <c r="AW119" s="616"/>
      <c r="AX119" s="315">
        <v>0</v>
      </c>
      <c r="AY119" s="616"/>
      <c r="AZ119" s="315">
        <v>0</v>
      </c>
      <c r="BA119" s="616"/>
      <c r="BB119" s="315">
        <v>0</v>
      </c>
      <c r="BC119" s="616"/>
      <c r="BD119" s="616">
        <v>0</v>
      </c>
      <c r="BF119" s="616">
        <v>0</v>
      </c>
      <c r="BI119" s="304">
        <v>603</v>
      </c>
    </row>
    <row r="120" spans="1:61" ht="14.5">
      <c r="A120" s="304">
        <v>604</v>
      </c>
      <c r="B120" s="622" t="s">
        <v>117</v>
      </c>
      <c r="F120" s="617"/>
      <c r="H120" s="621"/>
      <c r="J120" s="621">
        <v>0</v>
      </c>
      <c r="K120" s="616"/>
      <c r="L120" s="621">
        <v>0</v>
      </c>
      <c r="M120" s="616"/>
      <c r="N120" s="621">
        <v>0</v>
      </c>
      <c r="P120" s="625"/>
      <c r="R120" s="616">
        <v>0</v>
      </c>
      <c r="S120" s="616"/>
      <c r="T120" s="616">
        <v>0</v>
      </c>
      <c r="U120" s="616"/>
      <c r="V120" s="616">
        <v>0</v>
      </c>
      <c r="W120" s="616"/>
      <c r="X120" s="616">
        <v>0</v>
      </c>
      <c r="Y120" s="616"/>
      <c r="Z120" s="316"/>
      <c r="AA120" s="616"/>
      <c r="AB120" s="621"/>
      <c r="AC120" s="616"/>
      <c r="AD120" s="621"/>
      <c r="AE120" s="616"/>
      <c r="AF120" s="621"/>
      <c r="AG120" s="616"/>
      <c r="AH120" s="616"/>
      <c r="AI120" s="616"/>
      <c r="AJ120" s="315">
        <v>0</v>
      </c>
      <c r="AK120" s="616"/>
      <c r="AL120" s="315">
        <v>0</v>
      </c>
      <c r="AM120" s="616"/>
      <c r="AN120" s="315">
        <v>0</v>
      </c>
      <c r="AO120" s="616"/>
      <c r="AP120" s="616">
        <v>0</v>
      </c>
      <c r="AR120" s="621"/>
      <c r="AS120" s="616"/>
      <c r="AT120" s="621"/>
      <c r="AU120" s="616"/>
      <c r="AV120" s="621"/>
      <c r="AW120" s="616"/>
      <c r="AX120" s="315">
        <v>0</v>
      </c>
      <c r="AY120" s="616"/>
      <c r="AZ120" s="315">
        <v>0</v>
      </c>
      <c r="BA120" s="616"/>
      <c r="BB120" s="315">
        <v>0</v>
      </c>
      <c r="BC120" s="616"/>
      <c r="BD120" s="616">
        <v>0</v>
      </c>
      <c r="BF120" s="616">
        <v>0</v>
      </c>
      <c r="BI120" s="304">
        <v>604</v>
      </c>
    </row>
    <row r="121" spans="1:61" ht="14.5">
      <c r="A121" s="304">
        <v>605</v>
      </c>
      <c r="B121" s="622" t="s">
        <v>117</v>
      </c>
      <c r="F121" s="617"/>
      <c r="H121" s="621"/>
      <c r="J121" s="621">
        <v>0</v>
      </c>
      <c r="K121" s="616"/>
      <c r="L121" s="621">
        <v>0</v>
      </c>
      <c r="M121" s="616"/>
      <c r="N121" s="621">
        <v>0</v>
      </c>
      <c r="P121" s="617"/>
      <c r="R121" s="616">
        <v>0</v>
      </c>
      <c r="S121" s="616"/>
      <c r="T121" s="616">
        <v>0</v>
      </c>
      <c r="U121" s="616"/>
      <c r="V121" s="616">
        <v>0</v>
      </c>
      <c r="W121" s="616"/>
      <c r="X121" s="616">
        <v>0</v>
      </c>
      <c r="Y121" s="616"/>
      <c r="Z121" s="316"/>
      <c r="AA121" s="616"/>
      <c r="AB121" s="621"/>
      <c r="AC121" s="616"/>
      <c r="AD121" s="621"/>
      <c r="AE121" s="616"/>
      <c r="AF121" s="621"/>
      <c r="AG121" s="616"/>
      <c r="AH121" s="616"/>
      <c r="AI121" s="616"/>
      <c r="AJ121" s="315">
        <v>0</v>
      </c>
      <c r="AK121" s="616"/>
      <c r="AL121" s="315">
        <v>0</v>
      </c>
      <c r="AM121" s="616"/>
      <c r="AN121" s="315">
        <v>0</v>
      </c>
      <c r="AO121" s="616"/>
      <c r="AP121" s="616">
        <v>0</v>
      </c>
      <c r="AR121" s="621"/>
      <c r="AS121" s="616"/>
      <c r="AT121" s="621"/>
      <c r="AU121" s="616"/>
      <c r="AV121" s="621"/>
      <c r="AW121" s="616"/>
      <c r="AX121" s="315">
        <v>0</v>
      </c>
      <c r="AY121" s="616"/>
      <c r="AZ121" s="315">
        <v>0</v>
      </c>
      <c r="BA121" s="616"/>
      <c r="BB121" s="315">
        <v>0</v>
      </c>
      <c r="BC121" s="616"/>
      <c r="BD121" s="616">
        <v>0</v>
      </c>
      <c r="BF121" s="616">
        <v>0</v>
      </c>
      <c r="BI121" s="304">
        <v>605</v>
      </c>
    </row>
    <row r="122" spans="1:61" ht="14.5">
      <c r="A122" s="304"/>
      <c r="B122" s="523"/>
      <c r="H122" s="616"/>
      <c r="J122" s="616"/>
      <c r="K122" s="616"/>
      <c r="L122" s="616"/>
      <c r="M122" s="616"/>
      <c r="N122" s="616"/>
      <c r="R122" s="616"/>
      <c r="S122" s="616"/>
      <c r="T122" s="616"/>
      <c r="U122" s="616"/>
      <c r="V122" s="616"/>
      <c r="W122" s="616"/>
      <c r="X122" s="616"/>
      <c r="Y122" s="616"/>
      <c r="Z122" s="316"/>
      <c r="AA122" s="616"/>
      <c r="AB122" s="616"/>
      <c r="AC122" s="616"/>
      <c r="AD122" s="616"/>
      <c r="AE122" s="616"/>
      <c r="AF122" s="616"/>
      <c r="AG122" s="616"/>
      <c r="AH122" s="616"/>
      <c r="AI122" s="616"/>
      <c r="AJ122" s="315"/>
      <c r="AK122" s="616"/>
      <c r="AL122" s="315"/>
      <c r="AM122" s="616"/>
      <c r="AN122" s="315"/>
      <c r="AO122" s="616"/>
      <c r="AP122" s="616"/>
      <c r="AR122" s="616"/>
      <c r="AS122" s="616"/>
      <c r="AT122" s="616"/>
      <c r="AU122" s="616"/>
      <c r="AV122" s="616"/>
      <c r="AW122" s="616"/>
      <c r="AX122" s="315"/>
      <c r="AY122" s="616"/>
      <c r="AZ122" s="315"/>
      <c r="BA122" s="616"/>
      <c r="BB122" s="315"/>
      <c r="BC122" s="616"/>
      <c r="BD122" s="616"/>
      <c r="BI122" s="304"/>
    </row>
    <row r="123" spans="1:61" ht="14.5">
      <c r="A123" s="304"/>
      <c r="B123" s="523"/>
      <c r="H123" s="616"/>
      <c r="J123" s="616"/>
      <c r="K123" s="616"/>
      <c r="L123" s="616"/>
      <c r="M123" s="616"/>
      <c r="N123" s="616"/>
      <c r="R123" s="616"/>
      <c r="S123" s="616"/>
      <c r="T123" s="616"/>
      <c r="U123" s="616"/>
      <c r="V123" s="616"/>
      <c r="W123" s="616"/>
      <c r="X123" s="616"/>
      <c r="Y123" s="616"/>
      <c r="Z123" s="316"/>
      <c r="AA123" s="616"/>
      <c r="AB123" s="616"/>
      <c r="AC123" s="616"/>
      <c r="AD123" s="616"/>
      <c r="AE123" s="616"/>
      <c r="AF123" s="616"/>
      <c r="AG123" s="616"/>
      <c r="AH123" s="616"/>
      <c r="AI123" s="616"/>
      <c r="AJ123" s="315"/>
      <c r="AK123" s="616"/>
      <c r="AL123" s="315"/>
      <c r="AM123" s="616"/>
      <c r="AN123" s="315"/>
      <c r="AO123" s="616"/>
      <c r="AP123" s="616"/>
      <c r="AR123" s="616"/>
      <c r="AS123" s="616"/>
      <c r="AT123" s="616"/>
      <c r="AU123" s="616"/>
      <c r="AV123" s="616"/>
      <c r="AW123" s="616"/>
      <c r="AX123" s="315"/>
      <c r="AY123" s="616"/>
      <c r="AZ123" s="315"/>
      <c r="BA123" s="616"/>
      <c r="BB123" s="315"/>
      <c r="BC123" s="616"/>
      <c r="BD123" s="616"/>
      <c r="BI123" s="304"/>
    </row>
    <row r="124" spans="1:61">
      <c r="A124" s="553" t="s">
        <v>101</v>
      </c>
      <c r="B124" s="759" t="s">
        <v>1543</v>
      </c>
      <c r="C124" s="759"/>
      <c r="D124" s="759"/>
      <c r="E124" s="759"/>
      <c r="F124" s="759"/>
      <c r="G124" s="759"/>
      <c r="H124" s="759"/>
      <c r="I124" s="759"/>
      <c r="J124" s="759"/>
      <c r="K124" s="759"/>
      <c r="L124" s="759"/>
      <c r="Z124" s="605"/>
    </row>
    <row r="125" spans="1:61">
      <c r="A125" s="553" t="s">
        <v>1442</v>
      </c>
      <c r="B125" s="759" t="s">
        <v>1544</v>
      </c>
      <c r="C125" s="759"/>
      <c r="D125" s="759"/>
      <c r="Z125" s="605"/>
    </row>
    <row r="126" spans="1:61">
      <c r="A126" s="553" t="s">
        <v>1545</v>
      </c>
      <c r="B126" s="759" t="s">
        <v>1546</v>
      </c>
      <c r="C126" s="759"/>
      <c r="D126" s="759"/>
      <c r="Z126" s="605"/>
    </row>
    <row r="127" spans="1:61">
      <c r="A127" s="553" t="s">
        <v>1448</v>
      </c>
      <c r="B127" s="759" t="s">
        <v>1547</v>
      </c>
      <c r="C127" s="759"/>
      <c r="D127" s="759"/>
      <c r="Z127" s="605"/>
    </row>
    <row r="128" spans="1:61">
      <c r="A128" s="553" t="s">
        <v>1451</v>
      </c>
      <c r="B128" s="759" t="s">
        <v>1548</v>
      </c>
      <c r="C128" s="759"/>
      <c r="D128" s="759"/>
    </row>
    <row r="129" spans="1:10">
      <c r="A129" s="553" t="s">
        <v>1457</v>
      </c>
      <c r="B129" s="759" t="s">
        <v>1549</v>
      </c>
      <c r="C129" s="759"/>
      <c r="D129" s="759"/>
    </row>
    <row r="130" spans="1:10">
      <c r="A130" s="553" t="s">
        <v>1420</v>
      </c>
      <c r="B130" s="759" t="s">
        <v>1550</v>
      </c>
      <c r="C130" s="759"/>
      <c r="D130" s="759"/>
    </row>
    <row r="131" spans="1:10">
      <c r="A131" s="553" t="s">
        <v>1551</v>
      </c>
      <c r="B131" s="759" t="s">
        <v>1552</v>
      </c>
      <c r="C131" s="759"/>
      <c r="D131" s="759"/>
    </row>
    <row r="132" spans="1:10" ht="12.75" customHeight="1">
      <c r="A132" s="553" t="s">
        <v>1425</v>
      </c>
      <c r="B132" s="759" t="s">
        <v>1553</v>
      </c>
      <c r="C132" s="759"/>
      <c r="D132" s="759"/>
      <c r="E132" s="759"/>
      <c r="F132" s="759"/>
      <c r="G132" s="759"/>
      <c r="H132" s="759"/>
      <c r="I132" s="759"/>
      <c r="J132" s="759"/>
    </row>
    <row r="133" spans="1:10">
      <c r="A133" s="553" t="s">
        <v>1554</v>
      </c>
      <c r="B133" s="554" t="s">
        <v>1555</v>
      </c>
      <c r="C133" s="554"/>
      <c r="D133" s="554"/>
    </row>
  </sheetData>
  <mergeCells count="18">
    <mergeCell ref="B131:D131"/>
    <mergeCell ref="B132:J132"/>
    <mergeCell ref="B126:D126"/>
    <mergeCell ref="B127:D127"/>
    <mergeCell ref="B128:D128"/>
    <mergeCell ref="B129:D129"/>
    <mergeCell ref="B130:D130"/>
    <mergeCell ref="R7:X7"/>
    <mergeCell ref="AJ7:AP7"/>
    <mergeCell ref="AX7:BD7"/>
    <mergeCell ref="B124:L124"/>
    <mergeCell ref="B125:D125"/>
    <mergeCell ref="J4:N4"/>
    <mergeCell ref="R4:V4"/>
    <mergeCell ref="AJ4:AN4"/>
    <mergeCell ref="AX4:BB4"/>
    <mergeCell ref="AB6:AF6"/>
    <mergeCell ref="AR6:AV6"/>
  </mergeCells>
  <printOptions horizontalCentered="1"/>
  <pageMargins left="1" right="1" top="1" bottom="1" header="0.5" footer="0.5"/>
  <pageSetup scale="13" orientation="landscape" r:id="rId1"/>
  <headerFooter>
    <oddHeader>&amp;RDocket No. ER20-2878-000, et al.- Annual Update RY2024
&amp;F</oddHeader>
  </headerFooter>
  <colBreaks count="2" manualBreakCount="2">
    <brk id="25" max="142" man="1"/>
    <brk id="43" max="142"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0C332-EE45-4FD9-9890-9172B781A573}">
  <sheetPr>
    <pageSetUpPr fitToPage="1"/>
  </sheetPr>
  <dimension ref="A1:BI132"/>
  <sheetViews>
    <sheetView view="pageBreakPreview" zoomScale="10" zoomScaleNormal="55" zoomScaleSheetLayoutView="10" zoomScalePageLayoutView="70" workbookViewId="0">
      <selection activeCell="W98" sqref="W98"/>
    </sheetView>
  </sheetViews>
  <sheetFormatPr defaultColWidth="9.1796875" defaultRowHeight="12.5"/>
  <cols>
    <col min="1" max="1" width="7.54296875" style="604" bestFit="1" customWidth="1"/>
    <col min="2" max="2" width="44.54296875" style="604" customWidth="1"/>
    <col min="3" max="3" width="29.81640625" style="604" customWidth="1"/>
    <col min="4" max="4" width="38.81640625" style="604" customWidth="1"/>
    <col min="5" max="5" width="1.7265625" style="604" customWidth="1"/>
    <col min="6" max="6" width="21" style="604" bestFit="1" customWidth="1"/>
    <col min="7" max="7" width="2.26953125" style="604" customWidth="1"/>
    <col min="8" max="8" width="18.54296875" style="604" bestFit="1" customWidth="1"/>
    <col min="9" max="9" width="1.81640625" style="604" customWidth="1"/>
    <col min="10" max="10" width="19.1796875" style="604" customWidth="1"/>
    <col min="11" max="11" width="1.7265625" style="604" customWidth="1"/>
    <col min="12" max="12" width="20.453125" style="604" bestFit="1" customWidth="1"/>
    <col min="13" max="13" width="1.7265625" style="604" customWidth="1"/>
    <col min="14" max="14" width="23.26953125" style="604" customWidth="1"/>
    <col min="15" max="15" width="1.7265625" style="604" customWidth="1"/>
    <col min="16" max="16" width="22.1796875" style="604" customWidth="1"/>
    <col min="17" max="17" width="1.7265625" style="604" customWidth="1"/>
    <col min="18" max="18" width="21" style="604" customWidth="1"/>
    <col min="19" max="19" width="1.7265625" style="604" customWidth="1"/>
    <col min="20" max="20" width="20.453125" style="604" customWidth="1"/>
    <col min="21" max="21" width="1.7265625" style="604" customWidth="1"/>
    <col min="22" max="22" width="21.26953125" style="604" customWidth="1"/>
    <col min="23" max="23" width="1.7265625" style="604" customWidth="1"/>
    <col min="24" max="24" width="22.453125" style="604" customWidth="1"/>
    <col min="25" max="25" width="1.7265625" style="604" customWidth="1"/>
    <col min="26" max="26" width="25.81640625" style="604" bestFit="1" customWidth="1"/>
    <col min="27" max="27" width="1.7265625" style="604" customWidth="1"/>
    <col min="28" max="28" width="17.26953125" style="604" customWidth="1"/>
    <col min="29" max="29" width="1.7265625" style="604" customWidth="1"/>
    <col min="30" max="30" width="17.26953125" style="604" customWidth="1"/>
    <col min="31" max="31" width="1.7265625" style="604" customWidth="1"/>
    <col min="32" max="32" width="17.26953125" style="604" customWidth="1"/>
    <col min="33" max="33" width="1.7265625" style="604" customWidth="1"/>
    <col min="34" max="34" width="21.81640625" style="604" bestFit="1" customWidth="1"/>
    <col min="35" max="35" width="1.7265625" style="604" customWidth="1"/>
    <col min="36" max="36" width="21.81640625" style="604" customWidth="1"/>
    <col min="37" max="37" width="1.7265625" style="604" customWidth="1"/>
    <col min="38" max="38" width="21.81640625" style="604" customWidth="1"/>
    <col min="39" max="39" width="1.7265625" style="604" customWidth="1"/>
    <col min="40" max="40" width="21.81640625" style="604" customWidth="1"/>
    <col min="41" max="41" width="1.7265625" style="604" customWidth="1"/>
    <col min="42" max="42" width="21.81640625" style="604" customWidth="1"/>
    <col min="43" max="43" width="1.7265625" style="604" customWidth="1"/>
    <col min="44" max="44" width="17.26953125" style="604" customWidth="1"/>
    <col min="45" max="45" width="1.7265625" style="604" customWidth="1"/>
    <col min="46" max="46" width="17.26953125" style="604" customWidth="1"/>
    <col min="47" max="47" width="1.7265625" style="604" customWidth="1"/>
    <col min="48" max="48" width="17.26953125" style="604" customWidth="1"/>
    <col min="49" max="49" width="1.7265625" style="604" customWidth="1"/>
    <col min="50" max="50" width="30.1796875" style="604" customWidth="1"/>
    <col min="51" max="51" width="1.7265625" style="604" customWidth="1"/>
    <col min="52" max="52" width="27.81640625" style="604" customWidth="1"/>
    <col min="53" max="53" width="1.7265625" style="604" customWidth="1"/>
    <col min="54" max="54" width="27.81640625" style="604" customWidth="1"/>
    <col min="55" max="55" width="1.7265625" style="604" customWidth="1"/>
    <col min="56" max="56" width="25.26953125" style="604" customWidth="1"/>
    <col min="57" max="57" width="1.7265625" style="604" customWidth="1"/>
    <col min="58" max="58" width="25.54296875" style="554" customWidth="1"/>
    <col min="59" max="59" width="1.7265625" style="604" customWidth="1"/>
    <col min="60" max="60" width="22.7265625" style="604" bestFit="1" customWidth="1"/>
    <col min="61" max="61" width="7.54296875" style="604" bestFit="1" customWidth="1"/>
    <col min="62" max="16384" width="9.1796875" style="604"/>
  </cols>
  <sheetData>
    <row r="1" spans="1:61" ht="14.5">
      <c r="B1" s="54" t="s">
        <v>1387</v>
      </c>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90" t="str">
        <f>CONCATENATE("Prior Year: ",'1-DRR Corrected'!$K$2)</f>
        <v>Prior Year: 2021</v>
      </c>
    </row>
    <row r="2" spans="1:61" ht="14.5">
      <c r="A2" s="54"/>
      <c r="B2" s="320" t="s">
        <v>120</v>
      </c>
      <c r="C2" s="320"/>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row>
    <row r="3" spans="1:61" ht="14.5">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row>
    <row r="4" spans="1:61" ht="12" customHeight="1">
      <c r="J4" s="761" t="s">
        <v>1388</v>
      </c>
      <c r="K4" s="761"/>
      <c r="L4" s="761"/>
      <c r="M4" s="761"/>
      <c r="N4" s="761"/>
      <c r="O4" s="605"/>
      <c r="P4" s="606" t="s">
        <v>1389</v>
      </c>
      <c r="R4" s="761" t="s">
        <v>1390</v>
      </c>
      <c r="S4" s="761"/>
      <c r="T4" s="761"/>
      <c r="U4" s="761"/>
      <c r="V4" s="761"/>
      <c r="Z4" s="607" t="s">
        <v>1391</v>
      </c>
      <c r="AH4" s="606" t="s">
        <v>1392</v>
      </c>
      <c r="AI4" s="605"/>
      <c r="AJ4" s="761" t="s">
        <v>1390</v>
      </c>
      <c r="AK4" s="761"/>
      <c r="AL4" s="761"/>
      <c r="AM4" s="761"/>
      <c r="AN4" s="761"/>
      <c r="AO4" s="605"/>
      <c r="AP4" s="605"/>
      <c r="AX4" s="761" t="s">
        <v>1390</v>
      </c>
      <c r="AY4" s="761"/>
      <c r="AZ4" s="761"/>
      <c r="BA4" s="761"/>
      <c r="BB4" s="761"/>
      <c r="BC4" s="605"/>
      <c r="BD4" s="605"/>
      <c r="BF4" s="608"/>
    </row>
    <row r="5" spans="1:61" ht="21" customHeight="1">
      <c r="A5" s="609"/>
      <c r="B5" s="609"/>
      <c r="C5" s="609"/>
      <c r="D5" s="609"/>
      <c r="E5" s="609"/>
      <c r="F5" s="523"/>
      <c r="G5" s="609"/>
      <c r="H5" s="303" t="s">
        <v>1393</v>
      </c>
      <c r="I5" s="609"/>
      <c r="J5" s="303" t="s">
        <v>122</v>
      </c>
      <c r="K5" s="303"/>
      <c r="L5" s="303" t="s">
        <v>123</v>
      </c>
      <c r="M5" s="303"/>
      <c r="N5" s="303" t="s">
        <v>124</v>
      </c>
      <c r="O5" s="303"/>
      <c r="P5" s="303" t="s">
        <v>125</v>
      </c>
      <c r="Q5" s="303"/>
      <c r="R5" s="303" t="s">
        <v>490</v>
      </c>
      <c r="S5" s="303"/>
      <c r="T5" s="303" t="s">
        <v>491</v>
      </c>
      <c r="U5" s="303"/>
      <c r="V5" s="303" t="s">
        <v>492</v>
      </c>
      <c r="W5" s="303"/>
      <c r="X5" s="303" t="s">
        <v>493</v>
      </c>
      <c r="Y5" s="303"/>
      <c r="Z5" s="303" t="s">
        <v>494</v>
      </c>
      <c r="AA5" s="304"/>
      <c r="AB5" s="304" t="s">
        <v>768</v>
      </c>
      <c r="AC5" s="304"/>
      <c r="AD5" s="304" t="s">
        <v>769</v>
      </c>
      <c r="AE5" s="304"/>
      <c r="AF5" s="304" t="s">
        <v>770</v>
      </c>
      <c r="AG5" s="304"/>
      <c r="AH5" s="524" t="s">
        <v>771</v>
      </c>
      <c r="AI5" s="304"/>
      <c r="AJ5" s="304" t="s">
        <v>772</v>
      </c>
      <c r="AK5" s="304"/>
      <c r="AL5" s="304" t="s">
        <v>773</v>
      </c>
      <c r="AM5" s="304"/>
      <c r="AN5" s="304" t="s">
        <v>774</v>
      </c>
      <c r="AO5" s="304"/>
      <c r="AP5" s="304" t="s">
        <v>775</v>
      </c>
      <c r="AQ5" s="304"/>
      <c r="AR5" s="304" t="s">
        <v>776</v>
      </c>
      <c r="AS5" s="304"/>
      <c r="AT5" s="304" t="s">
        <v>777</v>
      </c>
      <c r="AU5" s="304"/>
      <c r="AV5" s="304" t="s">
        <v>778</v>
      </c>
      <c r="AW5" s="304"/>
      <c r="AX5" s="304" t="s">
        <v>779</v>
      </c>
      <c r="AY5" s="304"/>
      <c r="AZ5" s="304" t="s">
        <v>780</v>
      </c>
      <c r="BA5" s="304"/>
      <c r="BB5" s="304" t="s">
        <v>781</v>
      </c>
      <c r="BC5" s="304"/>
      <c r="BD5" s="304" t="s">
        <v>782</v>
      </c>
      <c r="BE5" s="304"/>
      <c r="BF5" s="303" t="s">
        <v>783</v>
      </c>
      <c r="BG5" s="304"/>
      <c r="BH5" s="609"/>
      <c r="BI5" s="609"/>
    </row>
    <row r="6" spans="1:61" ht="51.75" customHeight="1">
      <c r="A6" s="609"/>
      <c r="B6" s="609"/>
      <c r="C6" s="609"/>
      <c r="D6" s="609"/>
      <c r="E6" s="609"/>
      <c r="F6" s="523"/>
      <c r="G6" s="609"/>
      <c r="H6" s="304"/>
      <c r="I6" s="609"/>
      <c r="J6" s="304"/>
      <c r="K6" s="304"/>
      <c r="L6" s="304"/>
      <c r="M6" s="304"/>
      <c r="N6" s="304" t="s">
        <v>1394</v>
      </c>
      <c r="O6" s="304"/>
      <c r="P6" s="304"/>
      <c r="Q6" s="304"/>
      <c r="R6" s="303"/>
      <c r="S6" s="303"/>
      <c r="T6" s="303"/>
      <c r="U6" s="303"/>
      <c r="V6" s="303"/>
      <c r="W6" s="303"/>
      <c r="X6" s="303" t="s">
        <v>1395</v>
      </c>
      <c r="Y6" s="304"/>
      <c r="Z6" s="304"/>
      <c r="AA6" s="304"/>
      <c r="AB6" s="762" t="s">
        <v>1396</v>
      </c>
      <c r="AC6" s="762"/>
      <c r="AD6" s="762"/>
      <c r="AE6" s="762"/>
      <c r="AF6" s="762"/>
      <c r="AG6" s="304"/>
      <c r="AH6" s="304"/>
      <c r="AI6" s="304"/>
      <c r="AJ6" s="304" t="s">
        <v>1397</v>
      </c>
      <c r="AK6" s="304"/>
      <c r="AL6" s="304" t="s">
        <v>1398</v>
      </c>
      <c r="AM6" s="304"/>
      <c r="AN6" s="304" t="s">
        <v>1399</v>
      </c>
      <c r="AO6" s="304"/>
      <c r="AP6" s="304" t="s">
        <v>1400</v>
      </c>
      <c r="AQ6" s="304"/>
      <c r="AR6" s="762" t="s">
        <v>1401</v>
      </c>
      <c r="AS6" s="762"/>
      <c r="AT6" s="762"/>
      <c r="AU6" s="762"/>
      <c r="AV6" s="762"/>
      <c r="AW6" s="304"/>
      <c r="AX6" s="304" t="s">
        <v>1402</v>
      </c>
      <c r="AY6" s="304"/>
      <c r="AZ6" s="304" t="s">
        <v>1403</v>
      </c>
      <c r="BA6" s="304"/>
      <c r="BB6" s="304" t="s">
        <v>1404</v>
      </c>
      <c r="BC6" s="304"/>
      <c r="BD6" s="304" t="s">
        <v>1405</v>
      </c>
      <c r="BE6" s="304"/>
      <c r="BF6" s="525" t="s">
        <v>1406</v>
      </c>
      <c r="BG6" s="304"/>
      <c r="BH6" s="609"/>
      <c r="BI6" s="609"/>
    </row>
    <row r="7" spans="1:61" ht="31.5" customHeight="1">
      <c r="B7" s="305"/>
      <c r="C7" s="305"/>
      <c r="D7" s="305"/>
      <c r="E7" s="305"/>
      <c r="F7" s="307" t="s">
        <v>1407</v>
      </c>
      <c r="G7" s="305"/>
      <c r="H7" s="306" t="s">
        <v>1408</v>
      </c>
      <c r="I7" s="305"/>
      <c r="J7" s="306" t="s">
        <v>1409</v>
      </c>
      <c r="K7" s="305"/>
      <c r="L7" s="306" t="s">
        <v>1410</v>
      </c>
      <c r="M7" s="305"/>
      <c r="N7" s="525" t="s">
        <v>1411</v>
      </c>
      <c r="O7" s="307"/>
      <c r="P7" s="307" t="s">
        <v>684</v>
      </c>
      <c r="Q7" s="305"/>
      <c r="R7" s="760" t="s">
        <v>1412</v>
      </c>
      <c r="S7" s="760"/>
      <c r="T7" s="760"/>
      <c r="U7" s="760"/>
      <c r="V7" s="760"/>
      <c r="W7" s="760"/>
      <c r="X7" s="760"/>
      <c r="Y7" s="306"/>
      <c r="Z7" s="306"/>
      <c r="AA7" s="306"/>
      <c r="AB7" s="306" t="s">
        <v>1413</v>
      </c>
      <c r="AC7" s="306"/>
      <c r="AD7" s="306" t="s">
        <v>1413</v>
      </c>
      <c r="AE7" s="306"/>
      <c r="AF7" s="306" t="s">
        <v>1413</v>
      </c>
      <c r="AG7" s="306"/>
      <c r="AH7" s="306" t="s">
        <v>684</v>
      </c>
      <c r="AI7" s="306"/>
      <c r="AJ7" s="760" t="s">
        <v>1414</v>
      </c>
      <c r="AK7" s="760"/>
      <c r="AL7" s="760"/>
      <c r="AM7" s="760"/>
      <c r="AN7" s="760"/>
      <c r="AO7" s="760"/>
      <c r="AP7" s="760"/>
      <c r="AQ7" s="306"/>
      <c r="AR7" s="306" t="s">
        <v>1413</v>
      </c>
      <c r="AS7" s="306"/>
      <c r="AT7" s="306" t="s">
        <v>1413</v>
      </c>
      <c r="AU7" s="306"/>
      <c r="AV7" s="306" t="s">
        <v>1413</v>
      </c>
      <c r="AW7" s="306"/>
      <c r="AX7" s="760" t="s">
        <v>1415</v>
      </c>
      <c r="AY7" s="760"/>
      <c r="AZ7" s="760"/>
      <c r="BA7" s="760"/>
      <c r="BB7" s="760"/>
      <c r="BC7" s="760"/>
      <c r="BD7" s="760"/>
      <c r="BE7" s="306"/>
      <c r="BF7" s="525" t="s">
        <v>1411</v>
      </c>
      <c r="BG7" s="306"/>
      <c r="BH7" s="305"/>
    </row>
    <row r="8" spans="1:61" ht="12.75" customHeight="1">
      <c r="B8" s="305"/>
      <c r="C8" s="305"/>
      <c r="D8" s="305"/>
      <c r="E8" s="305"/>
      <c r="F8" s="307" t="s">
        <v>1416</v>
      </c>
      <c r="G8" s="305"/>
      <c r="H8" s="306" t="s">
        <v>1417</v>
      </c>
      <c r="I8" s="305"/>
      <c r="J8" s="306" t="s">
        <v>1418</v>
      </c>
      <c r="K8" s="305"/>
      <c r="L8" s="306" t="s">
        <v>1419</v>
      </c>
      <c r="M8" s="305"/>
      <c r="N8" s="307" t="s">
        <v>1420</v>
      </c>
      <c r="O8" s="307"/>
      <c r="P8" s="307" t="s">
        <v>1416</v>
      </c>
      <c r="Q8" s="305"/>
      <c r="R8" s="306" t="s">
        <v>1421</v>
      </c>
      <c r="S8" s="306"/>
      <c r="T8" s="306" t="s">
        <v>1421</v>
      </c>
      <c r="U8" s="306"/>
      <c r="V8" s="306" t="s">
        <v>1421</v>
      </c>
      <c r="W8" s="306"/>
      <c r="X8" s="306"/>
      <c r="Y8" s="306"/>
      <c r="Z8" s="306" t="s">
        <v>1413</v>
      </c>
      <c r="AA8" s="306"/>
      <c r="AB8" s="306" t="s">
        <v>1422</v>
      </c>
      <c r="AC8" s="306"/>
      <c r="AD8" s="306" t="s">
        <v>1422</v>
      </c>
      <c r="AE8" s="306"/>
      <c r="AF8" s="306" t="s">
        <v>1422</v>
      </c>
      <c r="AG8" s="306"/>
      <c r="AH8" s="306" t="s">
        <v>1423</v>
      </c>
      <c r="AI8" s="306"/>
      <c r="AJ8" s="306" t="s">
        <v>1424</v>
      </c>
      <c r="AK8" s="306"/>
      <c r="AL8" s="306" t="s">
        <v>1424</v>
      </c>
      <c r="AM8" s="306"/>
      <c r="AN8" s="306" t="s">
        <v>1424</v>
      </c>
      <c r="AO8" s="306"/>
      <c r="AP8" s="306"/>
      <c r="AQ8" s="306"/>
      <c r="AR8" s="306" t="s">
        <v>1422</v>
      </c>
      <c r="AS8" s="306"/>
      <c r="AT8" s="306" t="s">
        <v>1422</v>
      </c>
      <c r="AU8" s="306"/>
      <c r="AV8" s="306" t="s">
        <v>1422</v>
      </c>
      <c r="AW8" s="306"/>
      <c r="AX8" s="306" t="s">
        <v>1424</v>
      </c>
      <c r="AY8" s="306"/>
      <c r="AZ8" s="306" t="s">
        <v>1424</v>
      </c>
      <c r="BA8" s="306"/>
      <c r="BB8" s="306" t="s">
        <v>1424</v>
      </c>
      <c r="BC8" s="306"/>
      <c r="BD8" s="306"/>
      <c r="BE8" s="306"/>
      <c r="BF8" s="608" t="s">
        <v>1425</v>
      </c>
      <c r="BG8" s="306"/>
      <c r="BH8" s="305"/>
    </row>
    <row r="9" spans="1:61" ht="14.5">
      <c r="A9" s="304"/>
      <c r="B9" s="609"/>
      <c r="C9" s="609"/>
      <c r="D9" s="609"/>
      <c r="E9" s="609"/>
      <c r="F9" s="307" t="s">
        <v>1426</v>
      </c>
      <c r="G9" s="609"/>
      <c r="H9" s="306" t="s">
        <v>1427</v>
      </c>
      <c r="I9" s="609"/>
      <c r="J9" s="610" t="s">
        <v>1428</v>
      </c>
      <c r="K9" s="609"/>
      <c r="L9" s="610" t="s">
        <v>1429</v>
      </c>
      <c r="M9" s="609"/>
      <c r="N9" s="523" t="s">
        <v>738</v>
      </c>
      <c r="O9" s="523"/>
      <c r="P9" s="523" t="s">
        <v>1426</v>
      </c>
      <c r="Q9" s="609"/>
      <c r="R9" s="306" t="s">
        <v>1430</v>
      </c>
      <c r="S9" s="306"/>
      <c r="T9" s="304" t="s">
        <v>1431</v>
      </c>
      <c r="U9" s="304"/>
      <c r="V9" s="308" t="s">
        <v>1431</v>
      </c>
      <c r="W9" s="308"/>
      <c r="X9" s="308" t="s">
        <v>1421</v>
      </c>
      <c r="Y9" s="308"/>
      <c r="Z9" s="308" t="s">
        <v>1432</v>
      </c>
      <c r="AA9" s="308"/>
      <c r="AB9" s="306" t="s">
        <v>1430</v>
      </c>
      <c r="AC9" s="306"/>
      <c r="AD9" s="304" t="s">
        <v>1431</v>
      </c>
      <c r="AE9" s="304"/>
      <c r="AF9" s="308" t="s">
        <v>1431</v>
      </c>
      <c r="AG9" s="308"/>
      <c r="AH9" s="308" t="s">
        <v>1433</v>
      </c>
      <c r="AI9" s="308"/>
      <c r="AJ9" s="306" t="s">
        <v>1430</v>
      </c>
      <c r="AK9" s="306"/>
      <c r="AL9" s="304" t="s">
        <v>1431</v>
      </c>
      <c r="AM9" s="304"/>
      <c r="AN9" s="308" t="s">
        <v>1431</v>
      </c>
      <c r="AO9" s="308"/>
      <c r="AP9" s="308" t="s">
        <v>1424</v>
      </c>
      <c r="AQ9" s="308"/>
      <c r="AR9" s="306" t="s">
        <v>1430</v>
      </c>
      <c r="AS9" s="306"/>
      <c r="AT9" s="304" t="s">
        <v>1431</v>
      </c>
      <c r="AU9" s="304"/>
      <c r="AV9" s="308" t="s">
        <v>1431</v>
      </c>
      <c r="AW9" s="308"/>
      <c r="AX9" s="306" t="s">
        <v>1430</v>
      </c>
      <c r="AY9" s="306"/>
      <c r="AZ9" s="304" t="s">
        <v>1431</v>
      </c>
      <c r="BA9" s="304"/>
      <c r="BB9" s="308" t="s">
        <v>1431</v>
      </c>
      <c r="BC9" s="308"/>
      <c r="BD9" s="308" t="s">
        <v>1424</v>
      </c>
      <c r="BE9" s="308"/>
      <c r="BF9" s="611" t="s">
        <v>1434</v>
      </c>
      <c r="BG9" s="308"/>
      <c r="BH9" s="304"/>
      <c r="BI9" s="304"/>
    </row>
    <row r="10" spans="1:61" ht="15" thickBot="1">
      <c r="A10" s="201" t="s">
        <v>90</v>
      </c>
      <c r="B10" s="612" t="s">
        <v>1175</v>
      </c>
      <c r="C10" s="612"/>
      <c r="D10" s="612"/>
      <c r="E10" s="612"/>
      <c r="F10" s="312" t="s">
        <v>1156</v>
      </c>
      <c r="G10" s="612"/>
      <c r="H10" s="613">
        <v>43100</v>
      </c>
      <c r="I10" s="612"/>
      <c r="J10" s="613">
        <v>43100</v>
      </c>
      <c r="K10" s="612"/>
      <c r="L10" s="613">
        <v>43100</v>
      </c>
      <c r="M10" s="612"/>
      <c r="N10" s="613">
        <v>43100</v>
      </c>
      <c r="O10" s="613"/>
      <c r="P10" s="613" t="s">
        <v>1435</v>
      </c>
      <c r="Q10" s="612"/>
      <c r="R10" s="309" t="s">
        <v>1436</v>
      </c>
      <c r="S10" s="309"/>
      <c r="T10" s="310" t="s">
        <v>1436</v>
      </c>
      <c r="U10" s="310"/>
      <c r="V10" s="311" t="s">
        <v>1437</v>
      </c>
      <c r="W10" s="311"/>
      <c r="X10" s="311" t="s">
        <v>1438</v>
      </c>
      <c r="Y10" s="311"/>
      <c r="Z10" s="311" t="s">
        <v>1439</v>
      </c>
      <c r="AA10" s="311"/>
      <c r="AB10" s="309" t="s">
        <v>1436</v>
      </c>
      <c r="AC10" s="309"/>
      <c r="AD10" s="310" t="s">
        <v>1436</v>
      </c>
      <c r="AE10" s="310"/>
      <c r="AF10" s="311" t="s">
        <v>1437</v>
      </c>
      <c r="AG10" s="311"/>
      <c r="AH10" s="311" t="s">
        <v>1440</v>
      </c>
      <c r="AI10" s="311"/>
      <c r="AJ10" s="309" t="s">
        <v>1436</v>
      </c>
      <c r="AK10" s="309"/>
      <c r="AL10" s="310" t="s">
        <v>1436</v>
      </c>
      <c r="AM10" s="310"/>
      <c r="AN10" s="311" t="s">
        <v>1437</v>
      </c>
      <c r="AO10" s="311"/>
      <c r="AP10" s="311" t="s">
        <v>1438</v>
      </c>
      <c r="AQ10" s="311"/>
      <c r="AR10" s="309" t="s">
        <v>1436</v>
      </c>
      <c r="AS10" s="309"/>
      <c r="AT10" s="310" t="s">
        <v>1436</v>
      </c>
      <c r="AU10" s="310"/>
      <c r="AV10" s="311" t="s">
        <v>1437</v>
      </c>
      <c r="AW10" s="311"/>
      <c r="AX10" s="309" t="s">
        <v>1436</v>
      </c>
      <c r="AY10" s="309"/>
      <c r="AZ10" s="310" t="s">
        <v>1436</v>
      </c>
      <c r="BA10" s="310"/>
      <c r="BB10" s="311" t="s">
        <v>1437</v>
      </c>
      <c r="BC10" s="311"/>
      <c r="BD10" s="311" t="s">
        <v>1438</v>
      </c>
      <c r="BE10" s="311"/>
      <c r="BF10" s="614">
        <f>1/(1-(0.21+0.0884-(0.21*0.0884)))</f>
        <v>1.3885726029071155</v>
      </c>
      <c r="BG10" s="311"/>
      <c r="BH10" s="312" t="s">
        <v>631</v>
      </c>
      <c r="BI10" s="615" t="s">
        <v>90</v>
      </c>
    </row>
    <row r="11" spans="1:61" ht="14.5">
      <c r="A11" s="304"/>
      <c r="B11" s="609"/>
      <c r="C11" s="609"/>
      <c r="D11" s="609"/>
      <c r="E11" s="609"/>
      <c r="F11" s="523"/>
      <c r="G11" s="609"/>
      <c r="H11" s="609"/>
      <c r="I11" s="609"/>
      <c r="J11" s="609"/>
      <c r="K11" s="609"/>
      <c r="L11" s="609"/>
      <c r="M11" s="609"/>
      <c r="N11" s="609"/>
      <c r="O11" s="609"/>
      <c r="P11" s="609"/>
      <c r="Q11" s="609"/>
      <c r="R11" s="306"/>
      <c r="S11" s="306"/>
      <c r="T11" s="313"/>
      <c r="U11" s="313"/>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G11" s="314"/>
      <c r="BH11" s="304"/>
      <c r="BI11" s="304"/>
    </row>
    <row r="12" spans="1:61" ht="14.5">
      <c r="A12" s="304">
        <v>100</v>
      </c>
      <c r="B12" s="609" t="s">
        <v>1441</v>
      </c>
      <c r="C12" s="609"/>
      <c r="D12" s="609" t="s">
        <v>1442</v>
      </c>
      <c r="E12" s="609"/>
      <c r="F12" s="523" t="s">
        <v>1443</v>
      </c>
      <c r="G12" s="609"/>
      <c r="H12" s="315">
        <f>+H25</f>
        <v>0</v>
      </c>
      <c r="I12" s="609"/>
      <c r="J12" s="315">
        <f>+J25</f>
        <v>0</v>
      </c>
      <c r="K12" s="609"/>
      <c r="L12" s="315">
        <f>+L25</f>
        <v>0</v>
      </c>
      <c r="M12" s="609"/>
      <c r="N12" s="315">
        <f>+N25</f>
        <v>0</v>
      </c>
      <c r="O12" s="609"/>
      <c r="P12" s="523" t="s">
        <v>1444</v>
      </c>
      <c r="Q12" s="609"/>
      <c r="R12" s="315">
        <f>R25</f>
        <v>0</v>
      </c>
      <c r="S12" s="315"/>
      <c r="T12" s="315">
        <f>T25</f>
        <v>0</v>
      </c>
      <c r="U12" s="315"/>
      <c r="V12" s="315">
        <f>V25</f>
        <v>0</v>
      </c>
      <c r="W12" s="315"/>
      <c r="X12" s="315">
        <f>SUM(R12:V12)</f>
        <v>0</v>
      </c>
      <c r="Y12" s="315"/>
      <c r="Z12" s="316" t="s">
        <v>1445</v>
      </c>
      <c r="AA12" s="315"/>
      <c r="AB12" s="315">
        <f>AB25</f>
        <v>0</v>
      </c>
      <c r="AC12" s="315"/>
      <c r="AD12" s="315">
        <f>AD25</f>
        <v>0</v>
      </c>
      <c r="AE12" s="315"/>
      <c r="AF12" s="315">
        <f>AF25</f>
        <v>0</v>
      </c>
      <c r="AG12" s="315"/>
      <c r="AH12" s="523" t="s">
        <v>1446</v>
      </c>
      <c r="AI12" s="315"/>
      <c r="AJ12" s="315">
        <f>AJ25</f>
        <v>0</v>
      </c>
      <c r="AK12" s="315"/>
      <c r="AL12" s="315">
        <f>AL25</f>
        <v>0</v>
      </c>
      <c r="AM12" s="315"/>
      <c r="AN12" s="315">
        <f>AN25</f>
        <v>0</v>
      </c>
      <c r="AO12" s="315"/>
      <c r="AP12" s="315">
        <f>SUM(AJ12:AN12)</f>
        <v>0</v>
      </c>
      <c r="AQ12" s="315"/>
      <c r="AR12" s="315">
        <f>AR25</f>
        <v>0</v>
      </c>
      <c r="AS12" s="315"/>
      <c r="AT12" s="315">
        <f>AT25</f>
        <v>0</v>
      </c>
      <c r="AU12" s="315"/>
      <c r="AV12" s="315">
        <f>AV25</f>
        <v>0</v>
      </c>
      <c r="AW12" s="315"/>
      <c r="AX12" s="315">
        <f>AX25</f>
        <v>0</v>
      </c>
      <c r="AY12" s="315"/>
      <c r="AZ12" s="315">
        <f>AZ25</f>
        <v>0</v>
      </c>
      <c r="BA12" s="315"/>
      <c r="BB12" s="315">
        <f>BB25</f>
        <v>0</v>
      </c>
      <c r="BC12" s="315"/>
      <c r="BD12" s="315">
        <f>SUM(AX12:BB12)</f>
        <v>0</v>
      </c>
      <c r="BE12" s="315"/>
      <c r="BF12" s="315">
        <f>BF25</f>
        <v>0</v>
      </c>
      <c r="BG12" s="315"/>
      <c r="BH12" s="304"/>
      <c r="BI12" s="304">
        <f t="shared" ref="BI12:BI16" si="0">A12</f>
        <v>100</v>
      </c>
    </row>
    <row r="13" spans="1:61" ht="14.5">
      <c r="A13" s="304">
        <f>A12+1</f>
        <v>101</v>
      </c>
      <c r="B13" s="609" t="s">
        <v>1447</v>
      </c>
      <c r="C13" s="609"/>
      <c r="D13" s="609" t="s">
        <v>1448</v>
      </c>
      <c r="E13" s="609"/>
      <c r="F13" s="523" t="s">
        <v>1443</v>
      </c>
      <c r="G13" s="609"/>
      <c r="H13" s="315">
        <f>+H33</f>
        <v>0</v>
      </c>
      <c r="I13" s="609"/>
      <c r="J13" s="315">
        <f>+J33</f>
        <v>0</v>
      </c>
      <c r="K13" s="609"/>
      <c r="L13" s="315">
        <f>+L33</f>
        <v>0</v>
      </c>
      <c r="M13" s="609"/>
      <c r="N13" s="315">
        <f>+N33</f>
        <v>0</v>
      </c>
      <c r="O13" s="609"/>
      <c r="P13" s="523" t="s">
        <v>1444</v>
      </c>
      <c r="Q13" s="609"/>
      <c r="R13" s="315">
        <f>R33</f>
        <v>0</v>
      </c>
      <c r="S13" s="315"/>
      <c r="T13" s="315">
        <f>T33</f>
        <v>0</v>
      </c>
      <c r="U13" s="315"/>
      <c r="V13" s="315">
        <f>V33</f>
        <v>0</v>
      </c>
      <c r="W13" s="315"/>
      <c r="X13" s="315">
        <f t="shared" ref="X13:X15" si="1">SUM(R13:V13)</f>
        <v>0</v>
      </c>
      <c r="Y13" s="315"/>
      <c r="Z13" s="316" t="s">
        <v>1449</v>
      </c>
      <c r="AA13" s="315"/>
      <c r="AB13" s="315">
        <f>AB33</f>
        <v>0</v>
      </c>
      <c r="AC13" s="315"/>
      <c r="AD13" s="315">
        <f>AD33</f>
        <v>0</v>
      </c>
      <c r="AE13" s="315"/>
      <c r="AF13" s="315">
        <f>AF33</f>
        <v>0</v>
      </c>
      <c r="AG13" s="315"/>
      <c r="AH13" s="523" t="s">
        <v>1446</v>
      </c>
      <c r="AI13" s="315"/>
      <c r="AJ13" s="315">
        <f>AJ33</f>
        <v>0</v>
      </c>
      <c r="AK13" s="315"/>
      <c r="AL13" s="315">
        <f>AL33</f>
        <v>0</v>
      </c>
      <c r="AM13" s="315"/>
      <c r="AN13" s="315">
        <f>AN33</f>
        <v>0</v>
      </c>
      <c r="AO13" s="315"/>
      <c r="AP13" s="315">
        <f t="shared" ref="AP13:AP15" si="2">SUM(AJ13:AN13)</f>
        <v>0</v>
      </c>
      <c r="AQ13" s="315"/>
      <c r="AR13" s="315">
        <f>AR33</f>
        <v>0</v>
      </c>
      <c r="AS13" s="315"/>
      <c r="AT13" s="315">
        <f>AT33</f>
        <v>0</v>
      </c>
      <c r="AU13" s="315"/>
      <c r="AV13" s="315">
        <f>AV33</f>
        <v>0</v>
      </c>
      <c r="AW13" s="315"/>
      <c r="AX13" s="315">
        <f>AX33</f>
        <v>0</v>
      </c>
      <c r="AY13" s="315"/>
      <c r="AZ13" s="315">
        <f>AZ33</f>
        <v>0</v>
      </c>
      <c r="BA13" s="315"/>
      <c r="BB13" s="315">
        <f>BB33</f>
        <v>0</v>
      </c>
      <c r="BC13" s="315"/>
      <c r="BD13" s="315">
        <f t="shared" ref="BD13:BD15" si="3">SUM(AX13:BB13)</f>
        <v>0</v>
      </c>
      <c r="BE13" s="315"/>
      <c r="BF13" s="315">
        <f>BF33</f>
        <v>0</v>
      </c>
      <c r="BG13" s="315"/>
      <c r="BH13" s="304"/>
      <c r="BI13" s="304">
        <f t="shared" si="0"/>
        <v>101</v>
      </c>
    </row>
    <row r="14" spans="1:61" ht="14.5">
      <c r="A14" s="304">
        <f t="shared" ref="A14" si="4">+A13+1</f>
        <v>102</v>
      </c>
      <c r="B14" s="609" t="s">
        <v>1450</v>
      </c>
      <c r="C14" s="609"/>
      <c r="D14" s="609" t="s">
        <v>1451</v>
      </c>
      <c r="E14" s="609"/>
      <c r="F14" s="523" t="s">
        <v>1452</v>
      </c>
      <c r="G14" s="609"/>
      <c r="H14" s="315">
        <f>+H93</f>
        <v>0</v>
      </c>
      <c r="I14" s="609"/>
      <c r="J14" s="315">
        <f>+J93</f>
        <v>0</v>
      </c>
      <c r="K14" s="609"/>
      <c r="L14" s="315">
        <f>+L93</f>
        <v>0</v>
      </c>
      <c r="M14" s="609"/>
      <c r="N14" s="315">
        <f>+N93</f>
        <v>0</v>
      </c>
      <c r="O14" s="609"/>
      <c r="P14" s="523" t="s">
        <v>1453</v>
      </c>
      <c r="Q14" s="609"/>
      <c r="R14" s="315">
        <f>R93</f>
        <v>0</v>
      </c>
      <c r="S14" s="315"/>
      <c r="T14" s="315">
        <f>T93</f>
        <v>0</v>
      </c>
      <c r="U14" s="315"/>
      <c r="V14" s="315">
        <f>V93</f>
        <v>0</v>
      </c>
      <c r="W14" s="315"/>
      <c r="X14" s="315">
        <f>SUM(R14:V14)</f>
        <v>0</v>
      </c>
      <c r="Y14" s="315"/>
      <c r="Z14" s="316" t="s">
        <v>1449</v>
      </c>
      <c r="AA14" s="315"/>
      <c r="AB14" s="315">
        <f>AB93</f>
        <v>0</v>
      </c>
      <c r="AC14" s="315"/>
      <c r="AD14" s="315">
        <f>AD93</f>
        <v>0</v>
      </c>
      <c r="AE14" s="315"/>
      <c r="AF14" s="315">
        <f>AF93</f>
        <v>0</v>
      </c>
      <c r="AG14" s="315"/>
      <c r="AH14" s="523" t="s">
        <v>1454</v>
      </c>
      <c r="AI14" s="315"/>
      <c r="AJ14" s="315">
        <f>AJ93</f>
        <v>0</v>
      </c>
      <c r="AK14" s="315"/>
      <c r="AL14" s="315">
        <f>AL93</f>
        <v>0</v>
      </c>
      <c r="AM14" s="315"/>
      <c r="AN14" s="315">
        <f>AN93</f>
        <v>0</v>
      </c>
      <c r="AO14" s="315"/>
      <c r="AP14" s="315">
        <f t="shared" si="2"/>
        <v>0</v>
      </c>
      <c r="AQ14" s="315"/>
      <c r="AR14" s="315">
        <f>AR93</f>
        <v>0</v>
      </c>
      <c r="AS14" s="315"/>
      <c r="AT14" s="315">
        <f>AT93</f>
        <v>0</v>
      </c>
      <c r="AU14" s="315"/>
      <c r="AV14" s="315">
        <f>AV93</f>
        <v>0</v>
      </c>
      <c r="AW14" s="315"/>
      <c r="AX14" s="315">
        <f>AX93</f>
        <v>0</v>
      </c>
      <c r="AY14" s="315"/>
      <c r="AZ14" s="315">
        <f>AZ93</f>
        <v>0</v>
      </c>
      <c r="BA14" s="315"/>
      <c r="BB14" s="315">
        <f>BB93</f>
        <v>0</v>
      </c>
      <c r="BC14" s="315"/>
      <c r="BD14" s="315">
        <f t="shared" si="3"/>
        <v>0</v>
      </c>
      <c r="BE14" s="315"/>
      <c r="BF14" s="315">
        <f>BF93</f>
        <v>0</v>
      </c>
      <c r="BG14" s="315"/>
      <c r="BH14" s="304"/>
      <c r="BI14" s="304">
        <f t="shared" si="0"/>
        <v>102</v>
      </c>
    </row>
    <row r="15" spans="1:61" ht="14.5">
      <c r="A15" s="304">
        <f>+A14+1</f>
        <v>103</v>
      </c>
      <c r="B15" s="609" t="s">
        <v>1455</v>
      </c>
      <c r="C15" s="609" t="s">
        <v>1456</v>
      </c>
      <c r="D15" s="609" t="s">
        <v>1457</v>
      </c>
      <c r="E15" s="609"/>
      <c r="F15" s="523" t="s">
        <v>1458</v>
      </c>
      <c r="G15" s="609"/>
      <c r="H15" s="317">
        <f>+H107</f>
        <v>0</v>
      </c>
      <c r="I15" s="609"/>
      <c r="J15" s="317">
        <f>+J107</f>
        <v>0</v>
      </c>
      <c r="K15" s="609"/>
      <c r="L15" s="317">
        <f>+L107</f>
        <v>0</v>
      </c>
      <c r="M15" s="609"/>
      <c r="N15" s="317">
        <f>+N107</f>
        <v>0</v>
      </c>
      <c r="O15" s="609"/>
      <c r="P15" s="523" t="s">
        <v>1453</v>
      </c>
      <c r="Q15" s="609"/>
      <c r="R15" s="317">
        <f>R107</f>
        <v>0</v>
      </c>
      <c r="S15" s="317"/>
      <c r="T15" s="317">
        <f t="shared" ref="T15" si="5">T107</f>
        <v>0</v>
      </c>
      <c r="U15" s="317"/>
      <c r="V15" s="317">
        <f t="shared" ref="V15" si="6">V107</f>
        <v>0</v>
      </c>
      <c r="W15" s="317"/>
      <c r="X15" s="317">
        <f t="shared" si="1"/>
        <v>0</v>
      </c>
      <c r="Y15" s="315"/>
      <c r="Z15" s="316" t="s">
        <v>1445</v>
      </c>
      <c r="AA15" s="315"/>
      <c r="AB15" s="317">
        <f>AB107</f>
        <v>0</v>
      </c>
      <c r="AC15" s="317"/>
      <c r="AD15" s="317">
        <f t="shared" ref="AD15:AF15" si="7">AD107</f>
        <v>0</v>
      </c>
      <c r="AE15" s="317"/>
      <c r="AF15" s="317">
        <f t="shared" si="7"/>
        <v>0</v>
      </c>
      <c r="AG15" s="315"/>
      <c r="AH15" s="523" t="s">
        <v>1454</v>
      </c>
      <c r="AI15" s="315"/>
      <c r="AJ15" s="317">
        <f>AJ107</f>
        <v>0</v>
      </c>
      <c r="AK15" s="317"/>
      <c r="AL15" s="317">
        <f t="shared" ref="AL15" si="8">AL107</f>
        <v>0</v>
      </c>
      <c r="AM15" s="317"/>
      <c r="AN15" s="317">
        <f t="shared" ref="AN15" si="9">AN107</f>
        <v>0</v>
      </c>
      <c r="AO15" s="317"/>
      <c r="AP15" s="317">
        <f t="shared" si="2"/>
        <v>0</v>
      </c>
      <c r="AQ15" s="315"/>
      <c r="AR15" s="317">
        <f>AR107</f>
        <v>0</v>
      </c>
      <c r="AS15" s="317"/>
      <c r="AT15" s="317">
        <f t="shared" ref="AT15:AV15" si="10">AT107</f>
        <v>0</v>
      </c>
      <c r="AU15" s="317"/>
      <c r="AV15" s="317">
        <f t="shared" si="10"/>
        <v>0</v>
      </c>
      <c r="AW15" s="315"/>
      <c r="AX15" s="317">
        <f>AX107</f>
        <v>0</v>
      </c>
      <c r="AY15" s="317"/>
      <c r="AZ15" s="317">
        <f t="shared" ref="AZ15" si="11">AZ107</f>
        <v>0</v>
      </c>
      <c r="BA15" s="317"/>
      <c r="BB15" s="317">
        <f t="shared" ref="BB15" si="12">BB107</f>
        <v>0</v>
      </c>
      <c r="BC15" s="317"/>
      <c r="BD15" s="317">
        <f t="shared" si="3"/>
        <v>0</v>
      </c>
      <c r="BE15" s="315"/>
      <c r="BF15" s="317">
        <f t="shared" ref="BF15" si="13">BF107</f>
        <v>0</v>
      </c>
      <c r="BG15" s="315"/>
      <c r="BH15" s="304"/>
      <c r="BI15" s="304">
        <f t="shared" si="0"/>
        <v>103</v>
      </c>
    </row>
    <row r="16" spans="1:61" ht="14.5">
      <c r="A16" s="304">
        <f>+A15+1</f>
        <v>104</v>
      </c>
      <c r="B16" s="609" t="s">
        <v>534</v>
      </c>
      <c r="C16" s="609"/>
      <c r="D16" s="304"/>
      <c r="E16" s="304"/>
      <c r="F16" s="304"/>
      <c r="G16" s="304"/>
      <c r="H16" s="616">
        <f>SUM(H12:H15)</f>
        <v>0</v>
      </c>
      <c r="I16" s="304"/>
      <c r="J16" s="616">
        <f>SUM(J12:J15)</f>
        <v>0</v>
      </c>
      <c r="K16" s="304"/>
      <c r="L16" s="616">
        <f>SUM(L12:L15)</f>
        <v>0</v>
      </c>
      <c r="M16" s="304"/>
      <c r="N16" s="616">
        <f>SUM(N12:N15)</f>
        <v>0</v>
      </c>
      <c r="O16" s="304"/>
      <c r="P16" s="523"/>
      <c r="Q16" s="304"/>
      <c r="R16" s="616">
        <f>SUM(R12:R15)</f>
        <v>0</v>
      </c>
      <c r="S16" s="616"/>
      <c r="T16" s="616">
        <f>SUM(T12:T15)</f>
        <v>0</v>
      </c>
      <c r="U16" s="616"/>
      <c r="V16" s="616">
        <f>SUM(V12:V15)</f>
        <v>0</v>
      </c>
      <c r="W16" s="616"/>
      <c r="X16" s="616">
        <f>SUM(X12:X15)</f>
        <v>0</v>
      </c>
      <c r="Y16" s="616"/>
      <c r="Z16" s="616"/>
      <c r="AA16" s="616"/>
      <c r="AB16" s="616">
        <f>SUM(AB12:AB15)</f>
        <v>0</v>
      </c>
      <c r="AC16" s="616"/>
      <c r="AD16" s="616">
        <f>SUM(AD12:AD15)</f>
        <v>0</v>
      </c>
      <c r="AE16" s="616"/>
      <c r="AF16" s="616">
        <f>SUM(AF12:AF15)</f>
        <v>0</v>
      </c>
      <c r="AG16" s="616"/>
      <c r="AH16" s="304"/>
      <c r="AI16" s="616"/>
      <c r="AJ16" s="616">
        <f>SUM(AJ12:AJ15)</f>
        <v>0</v>
      </c>
      <c r="AK16" s="616"/>
      <c r="AL16" s="616">
        <f>SUM(AL12:AL15)</f>
        <v>0</v>
      </c>
      <c r="AM16" s="616"/>
      <c r="AN16" s="616">
        <f>SUM(AN12:AN15)</f>
        <v>0</v>
      </c>
      <c r="AO16" s="616"/>
      <c r="AP16" s="616">
        <f>SUM(AP12:AP15)</f>
        <v>0</v>
      </c>
      <c r="AQ16" s="616"/>
      <c r="AR16" s="616">
        <f>SUM(AR12:AR15)</f>
        <v>0</v>
      </c>
      <c r="AS16" s="616"/>
      <c r="AT16" s="616">
        <f>SUM(AT12:AT15)</f>
        <v>0</v>
      </c>
      <c r="AU16" s="616"/>
      <c r="AV16" s="616">
        <f>SUM(AV12:AV15)</f>
        <v>0</v>
      </c>
      <c r="AW16" s="616"/>
      <c r="AX16" s="616">
        <f>SUM(AX12:AX15)</f>
        <v>0</v>
      </c>
      <c r="AY16" s="616"/>
      <c r="AZ16" s="616">
        <f>SUM(AZ12:AZ15)</f>
        <v>0</v>
      </c>
      <c r="BA16" s="616"/>
      <c r="BB16" s="616">
        <f>SUM(BB12:BB15)</f>
        <v>0</v>
      </c>
      <c r="BC16" s="616"/>
      <c r="BD16" s="616">
        <f>SUM(BD12:BD15)</f>
        <v>0</v>
      </c>
      <c r="BE16" s="616"/>
      <c r="BF16" s="616">
        <f>SUM(BF12:BF15)</f>
        <v>0</v>
      </c>
      <c r="BG16" s="616"/>
      <c r="BH16" s="617"/>
      <c r="BI16" s="304">
        <f t="shared" si="0"/>
        <v>104</v>
      </c>
    </row>
    <row r="17" spans="1:61" ht="14.5">
      <c r="A17" s="304"/>
      <c r="B17" s="609"/>
      <c r="C17" s="609"/>
      <c r="D17" s="304"/>
      <c r="E17" s="304"/>
      <c r="F17" s="304"/>
      <c r="G17" s="304"/>
      <c r="H17" s="304"/>
      <c r="I17" s="304"/>
      <c r="J17" s="304"/>
      <c r="K17" s="304"/>
      <c r="L17" s="304"/>
      <c r="M17" s="304"/>
      <c r="N17" s="304"/>
      <c r="O17" s="304"/>
      <c r="P17" s="523"/>
      <c r="Q17" s="304"/>
      <c r="R17" s="609"/>
      <c r="S17" s="609"/>
      <c r="T17" s="609"/>
      <c r="U17" s="609"/>
      <c r="V17" s="609"/>
      <c r="W17" s="609"/>
      <c r="X17" s="609"/>
      <c r="Y17" s="609"/>
      <c r="Z17" s="609"/>
      <c r="AA17" s="609"/>
      <c r="AB17" s="609"/>
      <c r="AC17" s="609"/>
      <c r="AD17" s="609"/>
      <c r="AE17" s="609"/>
      <c r="AF17" s="609"/>
      <c r="AG17" s="609"/>
      <c r="AH17" s="304"/>
      <c r="AI17" s="609"/>
      <c r="AJ17" s="609"/>
      <c r="AK17" s="609"/>
      <c r="AL17" s="609"/>
      <c r="AM17" s="609"/>
      <c r="AN17" s="609"/>
      <c r="AO17" s="609"/>
      <c r="AP17" s="609"/>
      <c r="AQ17" s="609"/>
      <c r="AR17" s="609"/>
      <c r="AS17" s="609"/>
      <c r="AT17" s="609"/>
      <c r="AU17" s="609"/>
      <c r="AV17" s="609"/>
      <c r="AW17" s="609"/>
      <c r="AX17" s="609"/>
      <c r="AY17" s="609"/>
      <c r="AZ17" s="609"/>
      <c r="BA17" s="609"/>
      <c r="BB17" s="609"/>
      <c r="BC17" s="609"/>
      <c r="BD17" s="609"/>
      <c r="BE17" s="609"/>
      <c r="BF17" s="304"/>
      <c r="BG17" s="609"/>
      <c r="BH17" s="617"/>
      <c r="BI17" s="304"/>
    </row>
    <row r="18" spans="1:61" ht="14.5">
      <c r="A18" s="304">
        <f>+A16+1</f>
        <v>105</v>
      </c>
      <c r="B18" s="618" t="s">
        <v>1459</v>
      </c>
      <c r="C18" s="618"/>
      <c r="D18" s="303"/>
      <c r="E18" s="304"/>
      <c r="F18" s="304"/>
      <c r="G18" s="304"/>
      <c r="H18" s="304"/>
      <c r="I18" s="304"/>
      <c r="J18" s="304"/>
      <c r="K18" s="304"/>
      <c r="L18" s="304"/>
      <c r="M18" s="304"/>
      <c r="N18" s="304"/>
      <c r="O18" s="304"/>
      <c r="P18" s="523"/>
      <c r="Q18" s="304"/>
      <c r="R18" s="609"/>
      <c r="S18" s="609"/>
      <c r="T18" s="609"/>
      <c r="U18" s="609"/>
      <c r="V18" s="609"/>
      <c r="W18" s="609"/>
      <c r="X18" s="609"/>
      <c r="Y18" s="609"/>
      <c r="Z18" s="609"/>
      <c r="AA18" s="609"/>
      <c r="AB18" s="609"/>
      <c r="AC18" s="609"/>
      <c r="AD18" s="609"/>
      <c r="AE18" s="609"/>
      <c r="AF18" s="609"/>
      <c r="AG18" s="609"/>
      <c r="AH18" s="304"/>
      <c r="AI18" s="609"/>
      <c r="AJ18" s="609"/>
      <c r="AK18" s="609"/>
      <c r="AL18" s="609"/>
      <c r="AM18" s="609"/>
      <c r="AN18" s="609"/>
      <c r="AO18" s="609"/>
      <c r="AP18" s="609"/>
      <c r="AQ18" s="609"/>
      <c r="AR18" s="609"/>
      <c r="AS18" s="609"/>
      <c r="AT18" s="609"/>
      <c r="AU18" s="609"/>
      <c r="AV18" s="609"/>
      <c r="AW18" s="609"/>
      <c r="AX18" s="609"/>
      <c r="AY18" s="609"/>
      <c r="AZ18" s="609"/>
      <c r="BA18" s="609"/>
      <c r="BB18" s="609"/>
      <c r="BC18" s="609"/>
      <c r="BD18" s="609"/>
      <c r="BE18" s="609"/>
      <c r="BF18" s="304"/>
      <c r="BG18" s="609"/>
      <c r="BH18" s="318"/>
      <c r="BI18" s="304">
        <f>A18</f>
        <v>105</v>
      </c>
    </row>
    <row r="19" spans="1:61" ht="14.5">
      <c r="A19" s="304">
        <f>+A18+1</f>
        <v>106</v>
      </c>
      <c r="B19" s="523" t="s">
        <v>1460</v>
      </c>
      <c r="C19" s="609" t="s">
        <v>1461</v>
      </c>
      <c r="D19" s="304"/>
      <c r="E19" s="304"/>
      <c r="F19" s="523" t="s">
        <v>1443</v>
      </c>
      <c r="G19" s="304"/>
      <c r="H19" s="616">
        <f>+H115</f>
        <v>0</v>
      </c>
      <c r="I19" s="304"/>
      <c r="J19" s="616">
        <f>+J115</f>
        <v>0</v>
      </c>
      <c r="K19" s="616"/>
      <c r="L19" s="616">
        <f>+L115</f>
        <v>0</v>
      </c>
      <c r="M19" s="616"/>
      <c r="N19" s="616">
        <f>+N115</f>
        <v>0</v>
      </c>
      <c r="O19" s="616"/>
      <c r="P19" s="523" t="s">
        <v>1444</v>
      </c>
      <c r="Q19" s="304"/>
      <c r="R19" s="616">
        <f>R115</f>
        <v>0</v>
      </c>
      <c r="S19" s="616"/>
      <c r="T19" s="616">
        <f>+T115</f>
        <v>0</v>
      </c>
      <c r="U19" s="616"/>
      <c r="V19" s="616">
        <f>+V115</f>
        <v>0</v>
      </c>
      <c r="W19" s="616"/>
      <c r="X19" s="616">
        <f>SUM(R19:V19)</f>
        <v>0</v>
      </c>
      <c r="Y19" s="616"/>
      <c r="Z19" s="316"/>
      <c r="AA19" s="616"/>
      <c r="AB19" s="616">
        <f>+AB115</f>
        <v>0</v>
      </c>
      <c r="AC19" s="616"/>
      <c r="AD19" s="616">
        <f>+AD115</f>
        <v>0</v>
      </c>
      <c r="AE19" s="616"/>
      <c r="AF19" s="616">
        <f>+AF115</f>
        <v>0</v>
      </c>
      <c r="AG19" s="616"/>
      <c r="AH19" s="523" t="s">
        <v>1446</v>
      </c>
      <c r="AI19" s="616"/>
      <c r="AJ19" s="616">
        <f>+AJ115</f>
        <v>0</v>
      </c>
      <c r="AK19" s="616"/>
      <c r="AL19" s="616">
        <f>+AL115</f>
        <v>0</v>
      </c>
      <c r="AM19" s="616"/>
      <c r="AN19" s="616">
        <f>+AN115</f>
        <v>0</v>
      </c>
      <c r="AO19" s="616"/>
      <c r="AP19" s="616">
        <f t="shared" ref="AP19:AP21" si="14">SUM(AJ19:AN19)</f>
        <v>0</v>
      </c>
      <c r="AQ19" s="616"/>
      <c r="AR19" s="616">
        <f>+AR115</f>
        <v>0</v>
      </c>
      <c r="AS19" s="616"/>
      <c r="AT19" s="616">
        <f>+AT115</f>
        <v>0</v>
      </c>
      <c r="AU19" s="616"/>
      <c r="AV19" s="616">
        <f>+AV115</f>
        <v>0</v>
      </c>
      <c r="AW19" s="616"/>
      <c r="AX19" s="616">
        <f>+AX115</f>
        <v>0</v>
      </c>
      <c r="AY19" s="616"/>
      <c r="AZ19" s="616">
        <f>+AZ115</f>
        <v>0</v>
      </c>
      <c r="BA19" s="616"/>
      <c r="BB19" s="616">
        <f>+BB115</f>
        <v>0</v>
      </c>
      <c r="BC19" s="616"/>
      <c r="BD19" s="616">
        <f>SUM(AX19:BB19)</f>
        <v>0</v>
      </c>
      <c r="BE19" s="616"/>
      <c r="BF19" s="616">
        <f>+BF115</f>
        <v>0</v>
      </c>
      <c r="BG19" s="616"/>
      <c r="BH19" s="617"/>
      <c r="BI19" s="304">
        <f>A19</f>
        <v>106</v>
      </c>
    </row>
    <row r="20" spans="1:61" ht="14.5">
      <c r="A20" s="304">
        <f t="shared" ref="A20:A29" si="15">A19+1</f>
        <v>107</v>
      </c>
      <c r="B20" s="523" t="s">
        <v>117</v>
      </c>
      <c r="C20" s="609"/>
      <c r="D20" s="304"/>
      <c r="E20" s="304"/>
      <c r="F20" s="304"/>
      <c r="G20" s="304"/>
      <c r="H20" s="616">
        <v>0</v>
      </c>
      <c r="I20" s="304"/>
      <c r="J20" s="616">
        <v>0</v>
      </c>
      <c r="K20" s="616"/>
      <c r="L20" s="616">
        <v>0</v>
      </c>
      <c r="M20" s="616"/>
      <c r="N20" s="616">
        <v>0</v>
      </c>
      <c r="O20" s="616"/>
      <c r="P20" s="523"/>
      <c r="Q20" s="304"/>
      <c r="R20" s="616">
        <v>0</v>
      </c>
      <c r="S20" s="616"/>
      <c r="T20" s="616">
        <v>0</v>
      </c>
      <c r="U20" s="616"/>
      <c r="V20" s="616">
        <v>0</v>
      </c>
      <c r="W20" s="616"/>
      <c r="X20" s="616">
        <f t="shared" ref="X20:X21" si="16">SUM(R20:V20)</f>
        <v>0</v>
      </c>
      <c r="Y20" s="616"/>
      <c r="Z20" s="316"/>
      <c r="AA20" s="616"/>
      <c r="AB20" s="616">
        <v>0</v>
      </c>
      <c r="AC20" s="616"/>
      <c r="AD20" s="616">
        <v>0</v>
      </c>
      <c r="AE20" s="616"/>
      <c r="AF20" s="616">
        <v>0</v>
      </c>
      <c r="AG20" s="616"/>
      <c r="AH20" s="523"/>
      <c r="AI20" s="616"/>
      <c r="AJ20" s="616">
        <v>0</v>
      </c>
      <c r="AK20" s="616"/>
      <c r="AL20" s="616">
        <v>0</v>
      </c>
      <c r="AM20" s="616"/>
      <c r="AN20" s="616">
        <v>0</v>
      </c>
      <c r="AO20" s="616"/>
      <c r="AP20" s="616">
        <f t="shared" si="14"/>
        <v>0</v>
      </c>
      <c r="AQ20" s="616"/>
      <c r="AR20" s="616">
        <v>0</v>
      </c>
      <c r="AS20" s="616"/>
      <c r="AT20" s="616">
        <v>0</v>
      </c>
      <c r="AU20" s="616"/>
      <c r="AV20" s="616">
        <v>0</v>
      </c>
      <c r="AW20" s="616"/>
      <c r="AX20" s="616">
        <v>0</v>
      </c>
      <c r="AY20" s="616"/>
      <c r="AZ20" s="616">
        <v>0</v>
      </c>
      <c r="BA20" s="616"/>
      <c r="BB20" s="616">
        <v>0</v>
      </c>
      <c r="BC20" s="616"/>
      <c r="BD20" s="616">
        <f t="shared" ref="BD20:BD21" si="17">SUM(AX20:BB20)</f>
        <v>0</v>
      </c>
      <c r="BE20" s="616"/>
      <c r="BF20" s="616">
        <v>0</v>
      </c>
      <c r="BG20" s="616"/>
      <c r="BH20" s="318"/>
      <c r="BI20" s="304">
        <f>A20</f>
        <v>107</v>
      </c>
    </row>
    <row r="21" spans="1:61" ht="14.5">
      <c r="A21" s="304">
        <f t="shared" si="15"/>
        <v>108</v>
      </c>
      <c r="B21" s="523" t="s">
        <v>117</v>
      </c>
      <c r="C21" s="609"/>
      <c r="D21" s="304"/>
      <c r="E21" s="304"/>
      <c r="F21" s="304"/>
      <c r="G21" s="304"/>
      <c r="H21" s="619">
        <v>0</v>
      </c>
      <c r="I21" s="304"/>
      <c r="J21" s="619">
        <v>0</v>
      </c>
      <c r="K21" s="619"/>
      <c r="L21" s="619">
        <v>0</v>
      </c>
      <c r="M21" s="619"/>
      <c r="N21" s="619">
        <v>0</v>
      </c>
      <c r="O21" s="619"/>
      <c r="P21" s="523"/>
      <c r="Q21" s="304"/>
      <c r="R21" s="619">
        <v>0</v>
      </c>
      <c r="S21" s="619"/>
      <c r="T21" s="619">
        <v>0</v>
      </c>
      <c r="U21" s="619"/>
      <c r="V21" s="619">
        <v>0</v>
      </c>
      <c r="W21" s="619"/>
      <c r="X21" s="619">
        <f t="shared" si="16"/>
        <v>0</v>
      </c>
      <c r="Y21" s="616"/>
      <c r="Z21" s="316"/>
      <c r="AA21" s="616"/>
      <c r="AB21" s="619">
        <v>0</v>
      </c>
      <c r="AC21" s="619"/>
      <c r="AD21" s="619">
        <v>0</v>
      </c>
      <c r="AE21" s="619"/>
      <c r="AF21" s="619">
        <v>0</v>
      </c>
      <c r="AG21" s="616"/>
      <c r="AH21" s="523"/>
      <c r="AI21" s="616"/>
      <c r="AJ21" s="619">
        <v>0</v>
      </c>
      <c r="AK21" s="619"/>
      <c r="AL21" s="619">
        <v>0</v>
      </c>
      <c r="AM21" s="619"/>
      <c r="AN21" s="619">
        <v>0</v>
      </c>
      <c r="AO21" s="619"/>
      <c r="AP21" s="619">
        <f t="shared" si="14"/>
        <v>0</v>
      </c>
      <c r="AQ21" s="616"/>
      <c r="AR21" s="619">
        <v>0</v>
      </c>
      <c r="AS21" s="619"/>
      <c r="AT21" s="619">
        <v>0</v>
      </c>
      <c r="AU21" s="619"/>
      <c r="AV21" s="619">
        <v>0</v>
      </c>
      <c r="AW21" s="616"/>
      <c r="AX21" s="619">
        <v>0</v>
      </c>
      <c r="AY21" s="619"/>
      <c r="AZ21" s="619">
        <v>0</v>
      </c>
      <c r="BA21" s="619"/>
      <c r="BB21" s="619">
        <v>0</v>
      </c>
      <c r="BC21" s="619"/>
      <c r="BD21" s="619">
        <f t="shared" si="17"/>
        <v>0</v>
      </c>
      <c r="BE21" s="616"/>
      <c r="BF21" s="619">
        <v>0</v>
      </c>
      <c r="BG21" s="616"/>
      <c r="BH21" s="318"/>
      <c r="BI21" s="304">
        <f>A21</f>
        <v>108</v>
      </c>
    </row>
    <row r="22" spans="1:61" ht="14.5">
      <c r="A22" s="304">
        <f t="shared" si="15"/>
        <v>109</v>
      </c>
      <c r="B22" s="609" t="s">
        <v>1462</v>
      </c>
      <c r="C22" s="609"/>
      <c r="D22" s="304"/>
      <c r="E22" s="304"/>
      <c r="F22" s="304"/>
      <c r="G22" s="304"/>
      <c r="H22" s="616">
        <f>SUM(H16:H21)</f>
        <v>0</v>
      </c>
      <c r="I22" s="304"/>
      <c r="J22" s="616">
        <f>SUM(J16:J21)</f>
        <v>0</v>
      </c>
      <c r="K22" s="616"/>
      <c r="L22" s="616">
        <f t="shared" ref="L22" si="18">SUM(L16:L21)</f>
        <v>0</v>
      </c>
      <c r="M22" s="616"/>
      <c r="N22" s="616">
        <f t="shared" ref="N22" si="19">SUM(N16:N21)</f>
        <v>0</v>
      </c>
      <c r="O22" s="616"/>
      <c r="P22" s="316"/>
      <c r="Q22" s="304"/>
      <c r="R22" s="616">
        <f>SUM(R16:R21)</f>
        <v>0</v>
      </c>
      <c r="S22" s="616"/>
      <c r="T22" s="616">
        <f t="shared" ref="T22" si="20">SUM(T16:T21)</f>
        <v>0</v>
      </c>
      <c r="U22" s="616"/>
      <c r="V22" s="616">
        <f t="shared" ref="V22" si="21">SUM(V16:V21)</f>
        <v>0</v>
      </c>
      <c r="W22" s="616"/>
      <c r="X22" s="616">
        <f>SUM(X16:X21)</f>
        <v>0</v>
      </c>
      <c r="Y22" s="616"/>
      <c r="Z22" s="616"/>
      <c r="AA22" s="616"/>
      <c r="AB22" s="616">
        <f>SUM(AB16:AB21)</f>
        <v>0</v>
      </c>
      <c r="AC22" s="616"/>
      <c r="AD22" s="616">
        <f t="shared" ref="AD22" si="22">SUM(AD16:AD21)</f>
        <v>0</v>
      </c>
      <c r="AE22" s="616"/>
      <c r="AF22" s="616">
        <f t="shared" ref="AF22" si="23">SUM(AF16:AF21)</f>
        <v>0</v>
      </c>
      <c r="AG22" s="616"/>
      <c r="AH22" s="316"/>
      <c r="AI22" s="616"/>
      <c r="AJ22" s="616">
        <f>SUM(AJ16:AJ21)</f>
        <v>0</v>
      </c>
      <c r="AK22" s="616"/>
      <c r="AL22" s="616">
        <f t="shared" ref="AL22" si="24">SUM(AL16:AL21)</f>
        <v>0</v>
      </c>
      <c r="AM22" s="616"/>
      <c r="AN22" s="616">
        <f t="shared" ref="AN22" si="25">SUM(AN16:AN21)</f>
        <v>0</v>
      </c>
      <c r="AO22" s="616"/>
      <c r="AP22" s="616">
        <f t="shared" ref="AP22" si="26">SUM(AP16:AP21)</f>
        <v>0</v>
      </c>
      <c r="AQ22" s="616"/>
      <c r="AR22" s="616">
        <f>SUM(AR16:AR21)</f>
        <v>0</v>
      </c>
      <c r="AS22" s="616"/>
      <c r="AT22" s="616">
        <f t="shared" ref="AT22" si="27">SUM(AT16:AT21)</f>
        <v>0</v>
      </c>
      <c r="AU22" s="616"/>
      <c r="AV22" s="616">
        <f t="shared" ref="AV22" si="28">SUM(AV16:AV21)</f>
        <v>0</v>
      </c>
      <c r="AW22" s="616"/>
      <c r="AX22" s="616">
        <f>SUM(AX16:AX21)</f>
        <v>0</v>
      </c>
      <c r="AY22" s="616"/>
      <c r="AZ22" s="616">
        <f t="shared" ref="AZ22" si="29">SUM(AZ16:AZ21)</f>
        <v>0</v>
      </c>
      <c r="BA22" s="616"/>
      <c r="BB22" s="616">
        <f t="shared" ref="BB22" si="30">SUM(BB16:BB21)</f>
        <v>0</v>
      </c>
      <c r="BC22" s="616"/>
      <c r="BD22" s="616">
        <f t="shared" ref="BD22" si="31">SUM(BD16:BD21)</f>
        <v>0</v>
      </c>
      <c r="BE22" s="616"/>
      <c r="BF22" s="616">
        <f>SUM(BF16:BF21)</f>
        <v>0</v>
      </c>
      <c r="BG22" s="616"/>
      <c r="BH22" s="318"/>
      <c r="BI22" s="304">
        <f>A22</f>
        <v>109</v>
      </c>
    </row>
    <row r="23" spans="1:61" ht="14.5">
      <c r="A23" s="304"/>
      <c r="B23" s="609"/>
      <c r="C23" s="609"/>
      <c r="D23" s="304"/>
      <c r="E23" s="304"/>
      <c r="F23" s="304"/>
      <c r="G23" s="304"/>
      <c r="H23" s="304"/>
      <c r="I23" s="304"/>
      <c r="J23" s="304"/>
      <c r="K23" s="304"/>
      <c r="L23" s="304"/>
      <c r="M23" s="304"/>
      <c r="N23" s="304"/>
      <c r="O23" s="304"/>
      <c r="P23" s="523"/>
      <c r="Q23" s="304"/>
      <c r="R23" s="616"/>
      <c r="S23" s="616"/>
      <c r="T23" s="616"/>
      <c r="U23" s="616"/>
      <c r="V23" s="616"/>
      <c r="W23" s="616"/>
      <c r="X23" s="616"/>
      <c r="Y23" s="616"/>
      <c r="Z23" s="616"/>
      <c r="AA23" s="616"/>
      <c r="AB23" s="616"/>
      <c r="AC23" s="616"/>
      <c r="AD23" s="616"/>
      <c r="AE23" s="616"/>
      <c r="AF23" s="616"/>
      <c r="AG23" s="616"/>
      <c r="AH23" s="316"/>
      <c r="AI23" s="616"/>
      <c r="AJ23" s="616"/>
      <c r="AK23" s="616"/>
      <c r="AL23" s="616"/>
      <c r="AM23" s="616"/>
      <c r="AN23" s="616"/>
      <c r="AO23" s="616"/>
      <c r="AP23" s="616"/>
      <c r="AQ23" s="616"/>
      <c r="AR23" s="616"/>
      <c r="AS23" s="616"/>
      <c r="AT23" s="616"/>
      <c r="AU23" s="616"/>
      <c r="AV23" s="616"/>
      <c r="AW23" s="616"/>
      <c r="AX23" s="616"/>
      <c r="AY23" s="616"/>
      <c r="AZ23" s="616"/>
      <c r="BA23" s="616"/>
      <c r="BB23" s="616"/>
      <c r="BC23" s="616"/>
      <c r="BD23" s="616"/>
      <c r="BE23" s="616"/>
      <c r="BF23" s="304"/>
      <c r="BG23" s="616"/>
      <c r="BH23" s="318"/>
      <c r="BI23" s="304"/>
    </row>
    <row r="24" spans="1:61" ht="14.5">
      <c r="A24" s="201" t="s">
        <v>90</v>
      </c>
      <c r="B24" s="618" t="s">
        <v>1463</v>
      </c>
      <c r="C24" s="319"/>
      <c r="D24" s="303" t="s">
        <v>101</v>
      </c>
      <c r="E24" s="304"/>
      <c r="F24" s="304"/>
      <c r="G24" s="304"/>
      <c r="H24" s="304"/>
      <c r="I24" s="304"/>
      <c r="J24" s="304"/>
      <c r="K24" s="304"/>
      <c r="L24" s="304"/>
      <c r="M24" s="304"/>
      <c r="N24" s="304"/>
      <c r="O24" s="304"/>
      <c r="P24" s="523"/>
      <c r="Q24" s="304"/>
      <c r="R24" s="616"/>
      <c r="S24" s="616"/>
      <c r="T24" s="616"/>
      <c r="U24" s="616"/>
      <c r="V24" s="609"/>
      <c r="W24" s="609"/>
      <c r="X24" s="609"/>
      <c r="Y24" s="609"/>
      <c r="Z24" s="609"/>
      <c r="AA24" s="609"/>
      <c r="AB24" s="609"/>
      <c r="AC24" s="609"/>
      <c r="AD24" s="609"/>
      <c r="AE24" s="609"/>
      <c r="AF24" s="609"/>
      <c r="AG24" s="609"/>
      <c r="AH24" s="523"/>
      <c r="AI24" s="609"/>
      <c r="AJ24" s="616"/>
      <c r="AK24" s="616"/>
      <c r="AL24" s="616"/>
      <c r="AM24" s="616"/>
      <c r="AN24" s="609"/>
      <c r="AO24" s="609"/>
      <c r="AP24" s="609"/>
      <c r="AQ24" s="609"/>
      <c r="AR24" s="609"/>
      <c r="AS24" s="609"/>
      <c r="AT24" s="609"/>
      <c r="AU24" s="609"/>
      <c r="AV24" s="609"/>
      <c r="AW24" s="609"/>
      <c r="AX24" s="616"/>
      <c r="AY24" s="616"/>
      <c r="AZ24" s="616"/>
      <c r="BA24" s="616"/>
      <c r="BB24" s="609"/>
      <c r="BC24" s="609"/>
      <c r="BD24" s="609"/>
      <c r="BE24" s="609"/>
      <c r="BF24" s="304"/>
      <c r="BG24" s="609"/>
      <c r="BH24" s="318"/>
      <c r="BI24" s="615" t="s">
        <v>90</v>
      </c>
    </row>
    <row r="25" spans="1:61" ht="14.5">
      <c r="A25" s="304">
        <f>A12+100</f>
        <v>200</v>
      </c>
      <c r="B25" s="609" t="s">
        <v>1464</v>
      </c>
      <c r="C25" s="609"/>
      <c r="D25" s="304"/>
      <c r="E25" s="304"/>
      <c r="F25" s="304"/>
      <c r="G25" s="304"/>
      <c r="H25" s="619">
        <f>ROUND(SUM(H26:H30),0)</f>
        <v>0</v>
      </c>
      <c r="I25" s="304"/>
      <c r="J25" s="619">
        <f>ROUND(SUM(J26:J30),0)</f>
        <v>0</v>
      </c>
      <c r="K25" s="616"/>
      <c r="L25" s="619">
        <f>ROUND(SUM(L26:L30),0)</f>
        <v>0</v>
      </c>
      <c r="M25" s="616"/>
      <c r="N25" s="619">
        <f>ROUND(SUM(N26:N30),0)</f>
        <v>0</v>
      </c>
      <c r="O25" s="304"/>
      <c r="P25" s="523"/>
      <c r="Q25" s="304"/>
      <c r="R25" s="619">
        <f>ROUND(SUM(R26:R30),0)</f>
        <v>0</v>
      </c>
      <c r="S25" s="616"/>
      <c r="T25" s="619">
        <f>ROUND(SUM(T26:T30),0)</f>
        <v>0</v>
      </c>
      <c r="U25" s="616"/>
      <c r="V25" s="619">
        <f>ROUND(SUM(V26:V30),0)</f>
        <v>0</v>
      </c>
      <c r="W25" s="616"/>
      <c r="X25" s="619">
        <f>ROUND(SUM(X26:X30),0)</f>
        <v>0</v>
      </c>
      <c r="Y25" s="616"/>
      <c r="Z25" s="616"/>
      <c r="AA25" s="616"/>
      <c r="AB25" s="619">
        <f>SUM(AB26:AB30)</f>
        <v>0</v>
      </c>
      <c r="AC25" s="616"/>
      <c r="AD25" s="619">
        <f>SUM(AD26:AD30)</f>
        <v>0</v>
      </c>
      <c r="AE25" s="616"/>
      <c r="AF25" s="619">
        <f>SUM(AF26:AF30)</f>
        <v>0</v>
      </c>
      <c r="AG25" s="616"/>
      <c r="AH25" s="316"/>
      <c r="AI25" s="616"/>
      <c r="AJ25" s="619">
        <f>SUM(AJ26:AJ30)</f>
        <v>0</v>
      </c>
      <c r="AK25" s="616"/>
      <c r="AL25" s="619">
        <f>SUM(AL26:AL30)</f>
        <v>0</v>
      </c>
      <c r="AM25" s="616"/>
      <c r="AN25" s="619">
        <f>SUM(AN26:AN30)</f>
        <v>0</v>
      </c>
      <c r="AO25" s="616"/>
      <c r="AP25" s="619">
        <f>SUM(AP26:AP30)</f>
        <v>0</v>
      </c>
      <c r="AQ25" s="616"/>
      <c r="AR25" s="619">
        <f>SUM(AR26:AR30)</f>
        <v>0</v>
      </c>
      <c r="AS25" s="616"/>
      <c r="AT25" s="619">
        <f>SUM(AT26:AT30)</f>
        <v>0</v>
      </c>
      <c r="AU25" s="616"/>
      <c r="AV25" s="619">
        <f>SUM(AV26:AV30)</f>
        <v>0</v>
      </c>
      <c r="AW25" s="616"/>
      <c r="AX25" s="619">
        <f>SUM(AX26:AX30)</f>
        <v>0</v>
      </c>
      <c r="AY25" s="616"/>
      <c r="AZ25" s="619">
        <f>SUM(AZ26:AZ30)</f>
        <v>0</v>
      </c>
      <c r="BA25" s="616"/>
      <c r="BB25" s="619">
        <f>SUM(BB26:BB30)</f>
        <v>0</v>
      </c>
      <c r="BC25" s="616"/>
      <c r="BD25" s="619">
        <f>SUM(BD26:BD30)</f>
        <v>0</v>
      </c>
      <c r="BE25" s="616"/>
      <c r="BF25" s="619">
        <f>ROUND(SUM(BF26:BF30),0)</f>
        <v>0</v>
      </c>
      <c r="BG25" s="616"/>
      <c r="BH25" s="617"/>
      <c r="BI25" s="304">
        <f t="shared" ref="BI25:BI30" si="32">A25</f>
        <v>200</v>
      </c>
    </row>
    <row r="26" spans="1:61" ht="14.5">
      <c r="A26" s="304">
        <f t="shared" si="15"/>
        <v>201</v>
      </c>
      <c r="B26" s="620"/>
      <c r="C26" s="609"/>
      <c r="D26" s="609" t="s">
        <v>1466</v>
      </c>
      <c r="E26" s="304"/>
      <c r="F26" s="523" t="s">
        <v>1443</v>
      </c>
      <c r="G26" s="304"/>
      <c r="H26" s="621"/>
      <c r="I26" s="304"/>
      <c r="J26" s="621"/>
      <c r="K26" s="616"/>
      <c r="L26" s="621"/>
      <c r="M26" s="616"/>
      <c r="N26" s="621"/>
      <c r="O26" s="304"/>
      <c r="P26" s="523" t="s">
        <v>1444</v>
      </c>
      <c r="Q26" s="304"/>
      <c r="R26" s="616">
        <f>N26</f>
        <v>0</v>
      </c>
      <c r="S26" s="616"/>
      <c r="T26" s="616">
        <v>0</v>
      </c>
      <c r="U26" s="616"/>
      <c r="V26" s="616">
        <v>0</v>
      </c>
      <c r="W26" s="616"/>
      <c r="X26" s="616">
        <f t="shared" ref="X26:X30" si="33">SUM(R26:V26)</f>
        <v>0</v>
      </c>
      <c r="Y26" s="616"/>
      <c r="Z26" s="316" t="s">
        <v>1445</v>
      </c>
      <c r="AA26" s="616"/>
      <c r="AB26" s="621"/>
      <c r="AC26" s="616"/>
      <c r="AD26" s="616">
        <v>0</v>
      </c>
      <c r="AE26" s="616"/>
      <c r="AF26" s="616">
        <v>0</v>
      </c>
      <c r="AG26" s="616"/>
      <c r="AH26" s="316" t="s">
        <v>1446</v>
      </c>
      <c r="AI26" s="616"/>
      <c r="AJ26" s="315">
        <f t="shared" ref="AJ26:AJ30" si="34">+R26-AB26</f>
        <v>0</v>
      </c>
      <c r="AK26" s="616"/>
      <c r="AL26" s="315">
        <f t="shared" ref="AL26:AL30" si="35">+T26-AD26</f>
        <v>0</v>
      </c>
      <c r="AM26" s="616"/>
      <c r="AN26" s="315">
        <f t="shared" ref="AN26:AN30" si="36">+V26-AF26</f>
        <v>0</v>
      </c>
      <c r="AO26" s="616"/>
      <c r="AP26" s="616">
        <f t="shared" ref="AP26:AP30" si="37">SUM(AJ26:AN26)</f>
        <v>0</v>
      </c>
      <c r="AQ26" s="616"/>
      <c r="AR26" s="621"/>
      <c r="AS26" s="616"/>
      <c r="AT26" s="616">
        <v>0</v>
      </c>
      <c r="AU26" s="616"/>
      <c r="AV26" s="616">
        <v>0</v>
      </c>
      <c r="AW26" s="616"/>
      <c r="AX26" s="315">
        <f>+AJ26-AR26</f>
        <v>0</v>
      </c>
      <c r="AY26" s="616"/>
      <c r="AZ26" s="315">
        <f>+AL26-AT26</f>
        <v>0</v>
      </c>
      <c r="BA26" s="616"/>
      <c r="BB26" s="315">
        <f>+AN26-AV26</f>
        <v>0</v>
      </c>
      <c r="BC26" s="616"/>
      <c r="BD26" s="616">
        <f t="shared" ref="BD26:BD30" si="38">SUM(AX26:BB26)</f>
        <v>0</v>
      </c>
      <c r="BE26" s="616"/>
      <c r="BF26" s="616">
        <f>+BD26*$BF$10</f>
        <v>0</v>
      </c>
      <c r="BG26" s="616"/>
      <c r="BH26" s="617"/>
      <c r="BI26" s="304">
        <f t="shared" si="32"/>
        <v>201</v>
      </c>
    </row>
    <row r="27" spans="1:61" ht="14.5">
      <c r="A27" s="304">
        <f t="shared" si="15"/>
        <v>202</v>
      </c>
      <c r="B27" s="620"/>
      <c r="C27" s="609"/>
      <c r="D27" s="609" t="s">
        <v>1466</v>
      </c>
      <c r="E27" s="304"/>
      <c r="F27" s="523" t="s">
        <v>1443</v>
      </c>
      <c r="G27" s="304"/>
      <c r="H27" s="621"/>
      <c r="I27" s="304"/>
      <c r="J27" s="621"/>
      <c r="K27" s="616"/>
      <c r="L27" s="621"/>
      <c r="M27" s="616"/>
      <c r="N27" s="621"/>
      <c r="O27" s="304"/>
      <c r="P27" s="523" t="s">
        <v>1444</v>
      </c>
      <c r="Q27" s="304"/>
      <c r="R27" s="616">
        <f t="shared" ref="R27:R28" si="39">N27</f>
        <v>0</v>
      </c>
      <c r="S27" s="616"/>
      <c r="T27" s="616">
        <v>0</v>
      </c>
      <c r="U27" s="616"/>
      <c r="V27" s="616">
        <v>0</v>
      </c>
      <c r="W27" s="616"/>
      <c r="X27" s="616">
        <f t="shared" si="33"/>
        <v>0</v>
      </c>
      <c r="Y27" s="616"/>
      <c r="Z27" s="316" t="s">
        <v>1445</v>
      </c>
      <c r="AA27" s="616"/>
      <c r="AB27" s="621"/>
      <c r="AC27" s="616"/>
      <c r="AD27" s="616">
        <v>0</v>
      </c>
      <c r="AE27" s="616"/>
      <c r="AF27" s="616">
        <v>0</v>
      </c>
      <c r="AG27" s="616"/>
      <c r="AH27" s="316" t="s">
        <v>1446</v>
      </c>
      <c r="AI27" s="616"/>
      <c r="AJ27" s="315">
        <f t="shared" si="34"/>
        <v>0</v>
      </c>
      <c r="AK27" s="616"/>
      <c r="AL27" s="315">
        <f t="shared" si="35"/>
        <v>0</v>
      </c>
      <c r="AM27" s="616"/>
      <c r="AN27" s="315">
        <f t="shared" si="36"/>
        <v>0</v>
      </c>
      <c r="AO27" s="616"/>
      <c r="AP27" s="616">
        <f t="shared" si="37"/>
        <v>0</v>
      </c>
      <c r="AQ27" s="616"/>
      <c r="AR27" s="621"/>
      <c r="AS27" s="616"/>
      <c r="AT27" s="616">
        <v>0</v>
      </c>
      <c r="AU27" s="616"/>
      <c r="AV27" s="616">
        <v>0</v>
      </c>
      <c r="AW27" s="616"/>
      <c r="AX27" s="315">
        <f>+AJ27-AR27</f>
        <v>0</v>
      </c>
      <c r="AY27" s="616"/>
      <c r="AZ27" s="315">
        <f>+AL27-AT27</f>
        <v>0</v>
      </c>
      <c r="BA27" s="616"/>
      <c r="BB27" s="315">
        <f>+AN27-AV27</f>
        <v>0</v>
      </c>
      <c r="BC27" s="616"/>
      <c r="BD27" s="616">
        <f t="shared" si="38"/>
        <v>0</v>
      </c>
      <c r="BE27" s="616"/>
      <c r="BF27" s="616">
        <f>+BD27*$BF$10</f>
        <v>0</v>
      </c>
      <c r="BG27" s="616"/>
      <c r="BH27" s="617"/>
      <c r="BI27" s="304">
        <f t="shared" si="32"/>
        <v>202</v>
      </c>
    </row>
    <row r="28" spans="1:61" ht="14.5">
      <c r="A28" s="304">
        <f t="shared" si="15"/>
        <v>203</v>
      </c>
      <c r="B28" s="620"/>
      <c r="C28" s="609"/>
      <c r="D28" s="609" t="s">
        <v>1466</v>
      </c>
      <c r="E28" s="304"/>
      <c r="F28" s="523" t="s">
        <v>1443</v>
      </c>
      <c r="G28" s="304"/>
      <c r="H28" s="621"/>
      <c r="I28" s="304"/>
      <c r="J28" s="621"/>
      <c r="K28" s="616"/>
      <c r="L28" s="621"/>
      <c r="M28" s="616"/>
      <c r="N28" s="621"/>
      <c r="O28" s="304"/>
      <c r="P28" s="523" t="s">
        <v>1444</v>
      </c>
      <c r="Q28" s="304"/>
      <c r="R28" s="616">
        <f t="shared" si="39"/>
        <v>0</v>
      </c>
      <c r="S28" s="616"/>
      <c r="T28" s="616">
        <v>0</v>
      </c>
      <c r="U28" s="616"/>
      <c r="V28" s="616">
        <v>0</v>
      </c>
      <c r="W28" s="616"/>
      <c r="X28" s="616">
        <f t="shared" si="33"/>
        <v>0</v>
      </c>
      <c r="Y28" s="616"/>
      <c r="Z28" s="316" t="s">
        <v>1445</v>
      </c>
      <c r="AA28" s="616"/>
      <c r="AB28" s="621"/>
      <c r="AC28" s="616"/>
      <c r="AD28" s="616">
        <v>0</v>
      </c>
      <c r="AE28" s="616"/>
      <c r="AF28" s="616">
        <v>0</v>
      </c>
      <c r="AG28" s="616"/>
      <c r="AH28" s="316" t="s">
        <v>1446</v>
      </c>
      <c r="AI28" s="616"/>
      <c r="AJ28" s="315">
        <f t="shared" si="34"/>
        <v>0</v>
      </c>
      <c r="AK28" s="616"/>
      <c r="AL28" s="315">
        <f t="shared" si="35"/>
        <v>0</v>
      </c>
      <c r="AM28" s="616"/>
      <c r="AN28" s="315">
        <f t="shared" si="36"/>
        <v>0</v>
      </c>
      <c r="AO28" s="616"/>
      <c r="AP28" s="616">
        <f t="shared" si="37"/>
        <v>0</v>
      </c>
      <c r="AQ28" s="616"/>
      <c r="AR28" s="621"/>
      <c r="AS28" s="616"/>
      <c r="AT28" s="616">
        <v>0</v>
      </c>
      <c r="AU28" s="616"/>
      <c r="AV28" s="616">
        <v>0</v>
      </c>
      <c r="AW28" s="616"/>
      <c r="AX28" s="315">
        <f>+AJ28-AR28</f>
        <v>0</v>
      </c>
      <c r="AY28" s="616"/>
      <c r="AZ28" s="315">
        <f>+AL28-AT28</f>
        <v>0</v>
      </c>
      <c r="BA28" s="616"/>
      <c r="BB28" s="315">
        <f>+AN28-AV28</f>
        <v>0</v>
      </c>
      <c r="BC28" s="616"/>
      <c r="BD28" s="616">
        <f t="shared" si="38"/>
        <v>0</v>
      </c>
      <c r="BE28" s="616"/>
      <c r="BF28" s="616">
        <f>+BD28*$BF$10</f>
        <v>0</v>
      </c>
      <c r="BG28" s="616"/>
      <c r="BH28" s="617"/>
      <c r="BI28" s="304">
        <f t="shared" si="32"/>
        <v>203</v>
      </c>
    </row>
    <row r="29" spans="1:61" ht="14.5">
      <c r="A29" s="304">
        <f t="shared" si="15"/>
        <v>204</v>
      </c>
      <c r="B29" s="622" t="s">
        <v>117</v>
      </c>
      <c r="C29" s="609"/>
      <c r="D29" s="304"/>
      <c r="E29" s="304"/>
      <c r="F29" s="304"/>
      <c r="G29" s="304"/>
      <c r="H29" s="621"/>
      <c r="I29" s="304"/>
      <c r="J29" s="621"/>
      <c r="K29" s="616"/>
      <c r="L29" s="621"/>
      <c r="M29" s="616"/>
      <c r="N29" s="621"/>
      <c r="O29" s="304"/>
      <c r="P29" s="523"/>
      <c r="Q29" s="304"/>
      <c r="R29" s="616">
        <v>0</v>
      </c>
      <c r="S29" s="616"/>
      <c r="T29" s="616">
        <v>0</v>
      </c>
      <c r="U29" s="616"/>
      <c r="V29" s="616">
        <v>0</v>
      </c>
      <c r="W29" s="616"/>
      <c r="X29" s="616">
        <f t="shared" si="33"/>
        <v>0</v>
      </c>
      <c r="Y29" s="616"/>
      <c r="Z29" s="316"/>
      <c r="AA29" s="616"/>
      <c r="AB29" s="621"/>
      <c r="AC29" s="616"/>
      <c r="AD29" s="616">
        <v>0</v>
      </c>
      <c r="AE29" s="616"/>
      <c r="AF29" s="616">
        <v>0</v>
      </c>
      <c r="AG29" s="616"/>
      <c r="AH29" s="316"/>
      <c r="AI29" s="616"/>
      <c r="AJ29" s="315">
        <f t="shared" si="34"/>
        <v>0</v>
      </c>
      <c r="AK29" s="616"/>
      <c r="AL29" s="315">
        <f t="shared" si="35"/>
        <v>0</v>
      </c>
      <c r="AM29" s="616"/>
      <c r="AN29" s="315">
        <f t="shared" si="36"/>
        <v>0</v>
      </c>
      <c r="AO29" s="616"/>
      <c r="AP29" s="616">
        <f t="shared" si="37"/>
        <v>0</v>
      </c>
      <c r="AQ29" s="616"/>
      <c r="AR29" s="621"/>
      <c r="AS29" s="616"/>
      <c r="AT29" s="616">
        <v>0</v>
      </c>
      <c r="AU29" s="616"/>
      <c r="AV29" s="616">
        <v>0</v>
      </c>
      <c r="AW29" s="616"/>
      <c r="AX29" s="315">
        <f>+AJ29-AR29</f>
        <v>0</v>
      </c>
      <c r="AY29" s="616"/>
      <c r="AZ29" s="315">
        <f>+AL29-AT29</f>
        <v>0</v>
      </c>
      <c r="BA29" s="616"/>
      <c r="BB29" s="315">
        <f>+AN29-AV29</f>
        <v>0</v>
      </c>
      <c r="BC29" s="616"/>
      <c r="BD29" s="616">
        <f t="shared" si="38"/>
        <v>0</v>
      </c>
      <c r="BE29" s="616"/>
      <c r="BF29" s="616">
        <f>+BD29*$BF$10</f>
        <v>0</v>
      </c>
      <c r="BG29" s="616"/>
      <c r="BH29" s="617"/>
      <c r="BI29" s="304">
        <f t="shared" si="32"/>
        <v>204</v>
      </c>
    </row>
    <row r="30" spans="1:61" ht="14.5">
      <c r="A30" s="304">
        <f>+A29+1</f>
        <v>205</v>
      </c>
      <c r="B30" s="622" t="s">
        <v>117</v>
      </c>
      <c r="C30" s="623"/>
      <c r="D30" s="609"/>
      <c r="E30" s="609"/>
      <c r="F30" s="523"/>
      <c r="G30" s="609"/>
      <c r="H30" s="621"/>
      <c r="I30" s="609"/>
      <c r="J30" s="621"/>
      <c r="K30" s="616"/>
      <c r="L30" s="621"/>
      <c r="M30" s="616"/>
      <c r="N30" s="621"/>
      <c r="O30" s="609"/>
      <c r="P30" s="523"/>
      <c r="Q30" s="609"/>
      <c r="R30" s="616">
        <v>0</v>
      </c>
      <c r="S30" s="616"/>
      <c r="T30" s="616">
        <v>0</v>
      </c>
      <c r="U30" s="616"/>
      <c r="V30" s="616">
        <v>0</v>
      </c>
      <c r="W30" s="616"/>
      <c r="X30" s="616">
        <f t="shared" si="33"/>
        <v>0</v>
      </c>
      <c r="Y30" s="616"/>
      <c r="Z30" s="316"/>
      <c r="AA30" s="616"/>
      <c r="AB30" s="621"/>
      <c r="AC30" s="616"/>
      <c r="AD30" s="616">
        <v>0</v>
      </c>
      <c r="AE30" s="616"/>
      <c r="AF30" s="616">
        <v>0</v>
      </c>
      <c r="AG30" s="616"/>
      <c r="AH30" s="316"/>
      <c r="AI30" s="616"/>
      <c r="AJ30" s="315">
        <f t="shared" si="34"/>
        <v>0</v>
      </c>
      <c r="AK30" s="616"/>
      <c r="AL30" s="315">
        <f t="shared" si="35"/>
        <v>0</v>
      </c>
      <c r="AM30" s="616"/>
      <c r="AN30" s="315">
        <f t="shared" si="36"/>
        <v>0</v>
      </c>
      <c r="AO30" s="616"/>
      <c r="AP30" s="616">
        <f t="shared" si="37"/>
        <v>0</v>
      </c>
      <c r="AQ30" s="305"/>
      <c r="AR30" s="621"/>
      <c r="AS30" s="616"/>
      <c r="AT30" s="616">
        <v>0</v>
      </c>
      <c r="AU30" s="616"/>
      <c r="AV30" s="616">
        <v>0</v>
      </c>
      <c r="AW30" s="616"/>
      <c r="AX30" s="315">
        <f>+AJ30-AR30</f>
        <v>0</v>
      </c>
      <c r="AY30" s="616"/>
      <c r="AZ30" s="315">
        <f>+AL30-AT30</f>
        <v>0</v>
      </c>
      <c r="BA30" s="616"/>
      <c r="BB30" s="315">
        <f>+AN30-AV30</f>
        <v>0</v>
      </c>
      <c r="BC30" s="616"/>
      <c r="BD30" s="616">
        <f t="shared" si="38"/>
        <v>0</v>
      </c>
      <c r="BE30" s="305"/>
      <c r="BF30" s="616">
        <f>+BD30*$BF$10</f>
        <v>0</v>
      </c>
      <c r="BG30" s="305"/>
      <c r="BH30" s="609"/>
      <c r="BI30" s="304">
        <f t="shared" si="32"/>
        <v>205</v>
      </c>
    </row>
    <row r="31" spans="1:61" ht="14.5">
      <c r="A31" s="304"/>
      <c r="B31" s="523"/>
      <c r="C31" s="623"/>
      <c r="D31" s="609"/>
      <c r="E31" s="609"/>
      <c r="F31" s="523"/>
      <c r="G31" s="609"/>
      <c r="H31" s="616"/>
      <c r="I31" s="609"/>
      <c r="J31" s="616"/>
      <c r="K31" s="616"/>
      <c r="L31" s="616"/>
      <c r="M31" s="616"/>
      <c r="N31" s="616"/>
      <c r="O31" s="609"/>
      <c r="P31" s="523"/>
      <c r="Q31" s="609"/>
      <c r="R31" s="616"/>
      <c r="S31" s="616"/>
      <c r="T31" s="616"/>
      <c r="U31" s="616"/>
      <c r="V31" s="616"/>
      <c r="W31" s="616"/>
      <c r="X31" s="616"/>
      <c r="Y31" s="616"/>
      <c r="Z31" s="316"/>
      <c r="AA31" s="616"/>
      <c r="AB31" s="616"/>
      <c r="AC31" s="616"/>
      <c r="AD31" s="616"/>
      <c r="AE31" s="616"/>
      <c r="AF31" s="616"/>
      <c r="AG31" s="616"/>
      <c r="AH31" s="316"/>
      <c r="AI31" s="616"/>
      <c r="AJ31" s="616"/>
      <c r="AK31" s="616"/>
      <c r="AL31" s="616"/>
      <c r="AM31" s="616"/>
      <c r="AN31" s="616"/>
      <c r="AO31" s="616"/>
      <c r="AP31" s="616"/>
      <c r="AQ31" s="305"/>
      <c r="AR31" s="616"/>
      <c r="AS31" s="616"/>
      <c r="AT31" s="616"/>
      <c r="AU31" s="616"/>
      <c r="AV31" s="616"/>
      <c r="AW31" s="616"/>
      <c r="AX31" s="616"/>
      <c r="AY31" s="616"/>
      <c r="AZ31" s="616"/>
      <c r="BA31" s="616"/>
      <c r="BB31" s="616"/>
      <c r="BC31" s="616"/>
      <c r="BD31" s="616"/>
      <c r="BE31" s="305"/>
      <c r="BF31" s="616"/>
      <c r="BG31" s="305"/>
      <c r="BH31" s="609"/>
      <c r="BI31" s="304"/>
    </row>
    <row r="32" spans="1:61" ht="14.5">
      <c r="A32" s="201" t="s">
        <v>90</v>
      </c>
      <c r="F32" s="624"/>
      <c r="H32" s="554"/>
      <c r="P32" s="625"/>
      <c r="R32" s="616"/>
      <c r="S32" s="616"/>
      <c r="T32" s="616"/>
      <c r="U32" s="616"/>
      <c r="V32" s="616"/>
      <c r="W32" s="616"/>
      <c r="X32" s="616"/>
      <c r="Y32" s="616"/>
      <c r="Z32" s="316"/>
      <c r="AA32" s="616"/>
      <c r="AC32" s="616"/>
      <c r="AE32" s="616"/>
      <c r="AG32" s="616"/>
      <c r="AH32" s="316"/>
      <c r="AI32" s="616"/>
      <c r="AJ32" s="616"/>
      <c r="AK32" s="616"/>
      <c r="AL32" s="616"/>
      <c r="AM32" s="616"/>
      <c r="AN32" s="616"/>
      <c r="AO32" s="616"/>
      <c r="AP32" s="616"/>
      <c r="AS32" s="616"/>
      <c r="AU32" s="616"/>
      <c r="AW32" s="616"/>
      <c r="AX32" s="616"/>
      <c r="AY32" s="616"/>
      <c r="AZ32" s="616"/>
      <c r="BA32" s="616"/>
      <c r="BB32" s="616"/>
      <c r="BC32" s="616"/>
      <c r="BD32" s="616"/>
      <c r="BI32" s="201" t="s">
        <v>90</v>
      </c>
    </row>
    <row r="33" spans="1:61" ht="14.5">
      <c r="A33" s="304">
        <f>A25+100</f>
        <v>300</v>
      </c>
      <c r="B33" s="609" t="s">
        <v>1469</v>
      </c>
      <c r="F33" s="624"/>
      <c r="H33" s="619">
        <f>ROUND(SUM(H34:H90),0)</f>
        <v>0</v>
      </c>
      <c r="J33" s="619">
        <f>ROUND(SUM(J34:J90),0)</f>
        <v>0</v>
      </c>
      <c r="K33" s="616"/>
      <c r="L33" s="619">
        <f>ROUND(SUM(L34:L90),0)</f>
        <v>0</v>
      </c>
      <c r="M33" s="616"/>
      <c r="N33" s="619">
        <f>ROUND(SUM(N34:N90),0)</f>
        <v>0</v>
      </c>
      <c r="O33" s="304"/>
      <c r="P33" s="523"/>
      <c r="Q33" s="304"/>
      <c r="R33" s="619">
        <f>ROUND(SUM(R34:R90),0)</f>
        <v>0</v>
      </c>
      <c r="S33" s="616"/>
      <c r="T33" s="619">
        <f>ROUND(SUM(T34:T90),0)</f>
        <v>0</v>
      </c>
      <c r="U33" s="616"/>
      <c r="V33" s="619">
        <f>ROUND(SUM(V34:V90),0)</f>
        <v>0</v>
      </c>
      <c r="W33" s="616"/>
      <c r="X33" s="619">
        <f>ROUND(SUM(X34:X90),0)</f>
        <v>0</v>
      </c>
      <c r="Y33" s="616"/>
      <c r="Z33" s="316"/>
      <c r="AA33" s="616"/>
      <c r="AB33" s="619">
        <f>SUM(AB34:AB90)</f>
        <v>0</v>
      </c>
      <c r="AC33" s="616"/>
      <c r="AD33" s="619">
        <f>SUM(AD34:AD90)</f>
        <v>0</v>
      </c>
      <c r="AE33" s="616"/>
      <c r="AF33" s="619">
        <f>SUM(AF34:AF90)</f>
        <v>0</v>
      </c>
      <c r="AG33" s="616"/>
      <c r="AH33" s="316"/>
      <c r="AI33" s="616"/>
      <c r="AJ33" s="619">
        <f>SUM(AJ34:AJ90)</f>
        <v>0</v>
      </c>
      <c r="AK33" s="616"/>
      <c r="AL33" s="619">
        <f>SUM(AL34:AL90)</f>
        <v>0</v>
      </c>
      <c r="AM33" s="616"/>
      <c r="AN33" s="619">
        <f>SUM(AN34:AN90)</f>
        <v>0</v>
      </c>
      <c r="AO33" s="616"/>
      <c r="AP33" s="619">
        <f>SUM(AP34:AP90)</f>
        <v>0</v>
      </c>
      <c r="AR33" s="619">
        <f>SUM(AR34:AR90)</f>
        <v>0</v>
      </c>
      <c r="AS33" s="616"/>
      <c r="AT33" s="619">
        <f>SUM(AT34:AT90)</f>
        <v>0</v>
      </c>
      <c r="AU33" s="616"/>
      <c r="AV33" s="619">
        <f>SUM(AV34:AV90)</f>
        <v>0</v>
      </c>
      <c r="AW33" s="616"/>
      <c r="AX33" s="619">
        <f>SUM(AX34:AX90)</f>
        <v>0</v>
      </c>
      <c r="AY33" s="616"/>
      <c r="AZ33" s="619">
        <f>SUM(AZ34:AZ90)</f>
        <v>0</v>
      </c>
      <c r="BA33" s="616"/>
      <c r="BB33" s="619">
        <f>SUM(BB34:BB90)</f>
        <v>0</v>
      </c>
      <c r="BC33" s="616"/>
      <c r="BD33" s="619">
        <f>SUM(BD34:BD90)</f>
        <v>0</v>
      </c>
      <c r="BF33" s="619">
        <f>ROUND(SUM(BF34:BF90),0)</f>
        <v>0</v>
      </c>
      <c r="BI33" s="304">
        <f t="shared" ref="BI33:BI90" si="40">A33</f>
        <v>300</v>
      </c>
    </row>
    <row r="34" spans="1:61" ht="14.5">
      <c r="A34" s="304">
        <f t="shared" ref="A34:A90" si="41">A33+1</f>
        <v>301</v>
      </c>
      <c r="B34" s="620"/>
      <c r="F34" s="624" t="s">
        <v>1443</v>
      </c>
      <c r="H34" s="621"/>
      <c r="J34" s="621"/>
      <c r="K34" s="616"/>
      <c r="L34" s="621"/>
      <c r="M34" s="616"/>
      <c r="N34" s="621"/>
      <c r="P34" s="626" t="s">
        <v>1444</v>
      </c>
      <c r="R34" s="616">
        <v>0</v>
      </c>
      <c r="S34" s="616"/>
      <c r="T34" s="616">
        <f>N34</f>
        <v>0</v>
      </c>
      <c r="U34" s="616"/>
      <c r="V34" s="616">
        <v>0</v>
      </c>
      <c r="W34" s="616"/>
      <c r="X34" s="616">
        <f>SUM(R34:V34)</f>
        <v>0</v>
      </c>
      <c r="Y34" s="616"/>
      <c r="Z34" s="316" t="s">
        <v>1471</v>
      </c>
      <c r="AA34" s="616"/>
      <c r="AB34" s="616">
        <v>0</v>
      </c>
      <c r="AC34" s="616"/>
      <c r="AD34" s="621"/>
      <c r="AE34" s="616"/>
      <c r="AF34" s="616">
        <v>0</v>
      </c>
      <c r="AG34" s="616"/>
      <c r="AH34" s="316" t="s">
        <v>1446</v>
      </c>
      <c r="AI34" s="616"/>
      <c r="AJ34" s="315">
        <f t="shared" ref="AJ34:AJ90" si="42">+R34-AB34</f>
        <v>0</v>
      </c>
      <c r="AK34" s="616"/>
      <c r="AL34" s="315">
        <f t="shared" ref="AL34:AL90" si="43">+T34-AD34</f>
        <v>0</v>
      </c>
      <c r="AM34" s="616"/>
      <c r="AN34" s="315">
        <f t="shared" ref="AN34:AN90" si="44">+V34-AF34</f>
        <v>0</v>
      </c>
      <c r="AO34" s="616"/>
      <c r="AP34" s="616">
        <f t="shared" ref="AP34:AP90" si="45">SUM(AJ34:AN34)</f>
        <v>0</v>
      </c>
      <c r="AR34" s="616">
        <v>0</v>
      </c>
      <c r="AS34" s="616"/>
      <c r="AT34" s="621"/>
      <c r="AU34" s="616"/>
      <c r="AV34" s="616">
        <v>0</v>
      </c>
      <c r="AW34" s="616"/>
      <c r="AX34" s="315">
        <f t="shared" ref="AX34:AX90" si="46">+AJ34-AR34</f>
        <v>0</v>
      </c>
      <c r="AY34" s="616"/>
      <c r="AZ34" s="315">
        <f t="shared" ref="AZ34:AZ90" si="47">+AL34-AT34</f>
        <v>0</v>
      </c>
      <c r="BA34" s="616"/>
      <c r="BB34" s="315">
        <f t="shared" ref="BB34:BB90" si="48">+AN34-AV34</f>
        <v>0</v>
      </c>
      <c r="BC34" s="616"/>
      <c r="BD34" s="616">
        <f t="shared" ref="BD34:BD90" si="49">SUM(AX34:BB34)</f>
        <v>0</v>
      </c>
      <c r="BF34" s="616">
        <f t="shared" ref="BF34:BF90" si="50">+BD34*$BF$10</f>
        <v>0</v>
      </c>
      <c r="BI34" s="304">
        <f t="shared" si="40"/>
        <v>301</v>
      </c>
    </row>
    <row r="35" spans="1:61" ht="14.5">
      <c r="A35" s="304">
        <f t="shared" si="41"/>
        <v>302</v>
      </c>
      <c r="B35" s="620"/>
      <c r="F35" s="624" t="s">
        <v>1443</v>
      </c>
      <c r="H35" s="621"/>
      <c r="J35" s="621"/>
      <c r="K35" s="616"/>
      <c r="L35" s="621"/>
      <c r="M35" s="616"/>
      <c r="N35" s="621"/>
      <c r="P35" s="626" t="s">
        <v>1444</v>
      </c>
      <c r="R35" s="616">
        <v>0</v>
      </c>
      <c r="S35" s="616"/>
      <c r="T35" s="616">
        <f t="shared" ref="T35:T90" si="51">N35</f>
        <v>0</v>
      </c>
      <c r="U35" s="616"/>
      <c r="V35" s="616">
        <v>0</v>
      </c>
      <c r="W35" s="616"/>
      <c r="X35" s="616">
        <f t="shared" ref="X35:X96" si="52">SUM(R35:V35)</f>
        <v>0</v>
      </c>
      <c r="Y35" s="616"/>
      <c r="Z35" s="316" t="s">
        <v>1471</v>
      </c>
      <c r="AA35" s="616"/>
      <c r="AB35" s="616">
        <v>0</v>
      </c>
      <c r="AC35" s="616"/>
      <c r="AD35" s="621"/>
      <c r="AE35" s="616"/>
      <c r="AF35" s="616">
        <v>0</v>
      </c>
      <c r="AG35" s="616"/>
      <c r="AH35" s="316" t="s">
        <v>1446</v>
      </c>
      <c r="AI35" s="616"/>
      <c r="AJ35" s="315">
        <f t="shared" si="42"/>
        <v>0</v>
      </c>
      <c r="AK35" s="616"/>
      <c r="AL35" s="315">
        <f t="shared" si="43"/>
        <v>0</v>
      </c>
      <c r="AM35" s="616"/>
      <c r="AN35" s="315">
        <f t="shared" si="44"/>
        <v>0</v>
      </c>
      <c r="AO35" s="616"/>
      <c r="AP35" s="616">
        <f t="shared" si="45"/>
        <v>0</v>
      </c>
      <c r="AR35" s="616">
        <v>0</v>
      </c>
      <c r="AS35" s="616"/>
      <c r="AT35" s="621"/>
      <c r="AU35" s="616"/>
      <c r="AV35" s="616">
        <v>0</v>
      </c>
      <c r="AW35" s="616"/>
      <c r="AX35" s="315">
        <f t="shared" si="46"/>
        <v>0</v>
      </c>
      <c r="AY35" s="616"/>
      <c r="AZ35" s="315">
        <f t="shared" si="47"/>
        <v>0</v>
      </c>
      <c r="BA35" s="616"/>
      <c r="BB35" s="315">
        <f t="shared" si="48"/>
        <v>0</v>
      </c>
      <c r="BC35" s="616"/>
      <c r="BD35" s="616">
        <f t="shared" si="49"/>
        <v>0</v>
      </c>
      <c r="BF35" s="616">
        <f t="shared" si="50"/>
        <v>0</v>
      </c>
      <c r="BI35" s="304">
        <f t="shared" si="40"/>
        <v>302</v>
      </c>
    </row>
    <row r="36" spans="1:61" ht="14.5">
      <c r="A36" s="304">
        <f t="shared" si="41"/>
        <v>303</v>
      </c>
      <c r="B36" s="620"/>
      <c r="F36" s="624" t="s">
        <v>1443</v>
      </c>
      <c r="H36" s="621"/>
      <c r="J36" s="621"/>
      <c r="K36" s="616"/>
      <c r="L36" s="621"/>
      <c r="M36" s="616"/>
      <c r="N36" s="621"/>
      <c r="P36" s="626" t="s">
        <v>1444</v>
      </c>
      <c r="R36" s="616">
        <v>0</v>
      </c>
      <c r="S36" s="616"/>
      <c r="T36" s="616">
        <f t="shared" si="51"/>
        <v>0</v>
      </c>
      <c r="U36" s="616"/>
      <c r="V36" s="616">
        <v>0</v>
      </c>
      <c r="W36" s="616"/>
      <c r="X36" s="616">
        <f t="shared" si="52"/>
        <v>0</v>
      </c>
      <c r="Y36" s="616"/>
      <c r="Z36" s="316" t="s">
        <v>1471</v>
      </c>
      <c r="AA36" s="616"/>
      <c r="AB36" s="616">
        <v>0</v>
      </c>
      <c r="AC36" s="616"/>
      <c r="AD36" s="621"/>
      <c r="AE36" s="616"/>
      <c r="AF36" s="616">
        <v>0</v>
      </c>
      <c r="AG36" s="616"/>
      <c r="AH36" s="316" t="s">
        <v>1446</v>
      </c>
      <c r="AI36" s="616"/>
      <c r="AJ36" s="315">
        <f t="shared" si="42"/>
        <v>0</v>
      </c>
      <c r="AK36" s="616"/>
      <c r="AL36" s="315">
        <f t="shared" si="43"/>
        <v>0</v>
      </c>
      <c r="AM36" s="616"/>
      <c r="AN36" s="315">
        <f t="shared" si="44"/>
        <v>0</v>
      </c>
      <c r="AO36" s="616"/>
      <c r="AP36" s="616">
        <f t="shared" si="45"/>
        <v>0</v>
      </c>
      <c r="AR36" s="616">
        <v>0</v>
      </c>
      <c r="AS36" s="616"/>
      <c r="AT36" s="621"/>
      <c r="AU36" s="616"/>
      <c r="AV36" s="616">
        <v>0</v>
      </c>
      <c r="AW36" s="616"/>
      <c r="AX36" s="315">
        <f t="shared" si="46"/>
        <v>0</v>
      </c>
      <c r="AY36" s="616"/>
      <c r="AZ36" s="315">
        <f t="shared" si="47"/>
        <v>0</v>
      </c>
      <c r="BA36" s="616"/>
      <c r="BB36" s="315">
        <f t="shared" si="48"/>
        <v>0</v>
      </c>
      <c r="BC36" s="616"/>
      <c r="BD36" s="616">
        <f t="shared" si="49"/>
        <v>0</v>
      </c>
      <c r="BF36" s="616">
        <f t="shared" si="50"/>
        <v>0</v>
      </c>
      <c r="BI36" s="304">
        <f t="shared" si="40"/>
        <v>303</v>
      </c>
    </row>
    <row r="37" spans="1:61" ht="14.5">
      <c r="A37" s="304">
        <f t="shared" si="41"/>
        <v>304</v>
      </c>
      <c r="B37" s="620"/>
      <c r="F37" s="624" t="s">
        <v>1443</v>
      </c>
      <c r="H37" s="621"/>
      <c r="J37" s="621"/>
      <c r="K37" s="616"/>
      <c r="L37" s="621"/>
      <c r="M37" s="616"/>
      <c r="N37" s="621"/>
      <c r="P37" s="626" t="s">
        <v>1444</v>
      </c>
      <c r="R37" s="616">
        <v>0</v>
      </c>
      <c r="S37" s="616"/>
      <c r="T37" s="616">
        <f t="shared" si="51"/>
        <v>0</v>
      </c>
      <c r="U37" s="616"/>
      <c r="V37" s="616">
        <v>0</v>
      </c>
      <c r="W37" s="616"/>
      <c r="X37" s="616">
        <f t="shared" si="52"/>
        <v>0</v>
      </c>
      <c r="Y37" s="616"/>
      <c r="Z37" s="316" t="s">
        <v>1471</v>
      </c>
      <c r="AA37" s="616"/>
      <c r="AB37" s="616">
        <v>0</v>
      </c>
      <c r="AC37" s="616"/>
      <c r="AD37" s="621"/>
      <c r="AE37" s="616"/>
      <c r="AF37" s="616">
        <v>0</v>
      </c>
      <c r="AG37" s="616"/>
      <c r="AH37" s="316" t="s">
        <v>1446</v>
      </c>
      <c r="AI37" s="616"/>
      <c r="AJ37" s="315">
        <f t="shared" si="42"/>
        <v>0</v>
      </c>
      <c r="AK37" s="616"/>
      <c r="AL37" s="315">
        <f t="shared" si="43"/>
        <v>0</v>
      </c>
      <c r="AM37" s="616"/>
      <c r="AN37" s="315">
        <f t="shared" si="44"/>
        <v>0</v>
      </c>
      <c r="AO37" s="616"/>
      <c r="AP37" s="616">
        <f t="shared" si="45"/>
        <v>0</v>
      </c>
      <c r="AR37" s="616">
        <v>0</v>
      </c>
      <c r="AS37" s="616"/>
      <c r="AT37" s="621"/>
      <c r="AU37" s="616"/>
      <c r="AV37" s="616">
        <v>0</v>
      </c>
      <c r="AW37" s="616"/>
      <c r="AX37" s="315">
        <f t="shared" si="46"/>
        <v>0</v>
      </c>
      <c r="AY37" s="616"/>
      <c r="AZ37" s="315">
        <f t="shared" si="47"/>
        <v>0</v>
      </c>
      <c r="BA37" s="616"/>
      <c r="BB37" s="315">
        <f t="shared" si="48"/>
        <v>0</v>
      </c>
      <c r="BC37" s="616"/>
      <c r="BD37" s="616">
        <f t="shared" si="49"/>
        <v>0</v>
      </c>
      <c r="BF37" s="616">
        <f t="shared" si="50"/>
        <v>0</v>
      </c>
      <c r="BI37" s="304">
        <f t="shared" si="40"/>
        <v>304</v>
      </c>
    </row>
    <row r="38" spans="1:61" ht="14.5">
      <c r="A38" s="304">
        <f t="shared" si="41"/>
        <v>305</v>
      </c>
      <c r="B38" s="620"/>
      <c r="F38" s="624" t="s">
        <v>1443</v>
      </c>
      <c r="H38" s="621"/>
      <c r="J38" s="621"/>
      <c r="K38" s="616"/>
      <c r="L38" s="621"/>
      <c r="M38" s="616"/>
      <c r="N38" s="621"/>
      <c r="P38" s="626" t="s">
        <v>1444</v>
      </c>
      <c r="R38" s="616">
        <v>0</v>
      </c>
      <c r="S38" s="616"/>
      <c r="T38" s="616">
        <f t="shared" si="51"/>
        <v>0</v>
      </c>
      <c r="U38" s="616"/>
      <c r="V38" s="616">
        <v>0</v>
      </c>
      <c r="W38" s="616"/>
      <c r="X38" s="616">
        <f t="shared" si="52"/>
        <v>0</v>
      </c>
      <c r="Y38" s="616"/>
      <c r="Z38" s="316" t="s">
        <v>1471</v>
      </c>
      <c r="AA38" s="616"/>
      <c r="AB38" s="616">
        <v>0</v>
      </c>
      <c r="AC38" s="616"/>
      <c r="AD38" s="621"/>
      <c r="AE38" s="616"/>
      <c r="AF38" s="616">
        <v>0</v>
      </c>
      <c r="AG38" s="616"/>
      <c r="AH38" s="316" t="s">
        <v>1446</v>
      </c>
      <c r="AI38" s="616"/>
      <c r="AJ38" s="315">
        <f t="shared" si="42"/>
        <v>0</v>
      </c>
      <c r="AK38" s="616"/>
      <c r="AL38" s="315">
        <f t="shared" si="43"/>
        <v>0</v>
      </c>
      <c r="AM38" s="616"/>
      <c r="AN38" s="315">
        <f t="shared" si="44"/>
        <v>0</v>
      </c>
      <c r="AO38" s="616"/>
      <c r="AP38" s="616">
        <f t="shared" si="45"/>
        <v>0</v>
      </c>
      <c r="AR38" s="616">
        <v>0</v>
      </c>
      <c r="AS38" s="616"/>
      <c r="AT38" s="621"/>
      <c r="AU38" s="616"/>
      <c r="AV38" s="616">
        <v>0</v>
      </c>
      <c r="AW38" s="616"/>
      <c r="AX38" s="315">
        <f t="shared" si="46"/>
        <v>0</v>
      </c>
      <c r="AY38" s="616"/>
      <c r="AZ38" s="315">
        <f t="shared" si="47"/>
        <v>0</v>
      </c>
      <c r="BA38" s="616"/>
      <c r="BB38" s="315">
        <f t="shared" si="48"/>
        <v>0</v>
      </c>
      <c r="BC38" s="616"/>
      <c r="BD38" s="616">
        <f t="shared" si="49"/>
        <v>0</v>
      </c>
      <c r="BF38" s="616">
        <f t="shared" si="50"/>
        <v>0</v>
      </c>
      <c r="BI38" s="304">
        <f t="shared" si="40"/>
        <v>305</v>
      </c>
    </row>
    <row r="39" spans="1:61" ht="14.5">
      <c r="A39" s="304">
        <f t="shared" si="41"/>
        <v>306</v>
      </c>
      <c r="B39" s="620"/>
      <c r="F39" s="624" t="s">
        <v>1443</v>
      </c>
      <c r="H39" s="621"/>
      <c r="J39" s="621"/>
      <c r="K39" s="616"/>
      <c r="L39" s="621"/>
      <c r="M39" s="616"/>
      <c r="N39" s="621"/>
      <c r="P39" s="626" t="s">
        <v>1444</v>
      </c>
      <c r="R39" s="616">
        <v>0</v>
      </c>
      <c r="S39" s="616"/>
      <c r="T39" s="616">
        <f t="shared" si="51"/>
        <v>0</v>
      </c>
      <c r="U39" s="616"/>
      <c r="V39" s="616">
        <v>0</v>
      </c>
      <c r="W39" s="616"/>
      <c r="X39" s="616">
        <f t="shared" si="52"/>
        <v>0</v>
      </c>
      <c r="Y39" s="616"/>
      <c r="Z39" s="316" t="s">
        <v>1471</v>
      </c>
      <c r="AA39" s="616"/>
      <c r="AB39" s="616">
        <v>0</v>
      </c>
      <c r="AC39" s="616"/>
      <c r="AD39" s="621"/>
      <c r="AE39" s="616"/>
      <c r="AF39" s="616">
        <v>0</v>
      </c>
      <c r="AG39" s="616"/>
      <c r="AH39" s="316" t="s">
        <v>1446</v>
      </c>
      <c r="AI39" s="616"/>
      <c r="AJ39" s="315">
        <f t="shared" si="42"/>
        <v>0</v>
      </c>
      <c r="AK39" s="616"/>
      <c r="AL39" s="315">
        <f t="shared" si="43"/>
        <v>0</v>
      </c>
      <c r="AM39" s="616"/>
      <c r="AN39" s="315">
        <f t="shared" si="44"/>
        <v>0</v>
      </c>
      <c r="AO39" s="616"/>
      <c r="AP39" s="616">
        <f t="shared" si="45"/>
        <v>0</v>
      </c>
      <c r="AR39" s="616">
        <v>0</v>
      </c>
      <c r="AS39" s="616"/>
      <c r="AT39" s="621"/>
      <c r="AU39" s="616"/>
      <c r="AV39" s="616">
        <v>0</v>
      </c>
      <c r="AW39" s="616"/>
      <c r="AX39" s="315">
        <f t="shared" si="46"/>
        <v>0</v>
      </c>
      <c r="AY39" s="616"/>
      <c r="AZ39" s="315">
        <f t="shared" si="47"/>
        <v>0</v>
      </c>
      <c r="BA39" s="616"/>
      <c r="BB39" s="315">
        <f t="shared" si="48"/>
        <v>0</v>
      </c>
      <c r="BC39" s="616"/>
      <c r="BD39" s="616">
        <f t="shared" si="49"/>
        <v>0</v>
      </c>
      <c r="BF39" s="616">
        <f t="shared" si="50"/>
        <v>0</v>
      </c>
      <c r="BI39" s="304">
        <f t="shared" si="40"/>
        <v>306</v>
      </c>
    </row>
    <row r="40" spans="1:61" ht="14.5">
      <c r="A40" s="304">
        <f t="shared" si="41"/>
        <v>307</v>
      </c>
      <c r="B40" s="620"/>
      <c r="F40" s="624" t="s">
        <v>1443</v>
      </c>
      <c r="H40" s="621"/>
      <c r="J40" s="621"/>
      <c r="K40" s="616"/>
      <c r="L40" s="621"/>
      <c r="M40" s="616"/>
      <c r="N40" s="621"/>
      <c r="P40" s="626" t="s">
        <v>1444</v>
      </c>
      <c r="R40" s="616">
        <v>0</v>
      </c>
      <c r="S40" s="616"/>
      <c r="T40" s="616">
        <f t="shared" si="51"/>
        <v>0</v>
      </c>
      <c r="U40" s="616"/>
      <c r="V40" s="616">
        <v>0</v>
      </c>
      <c r="W40" s="616"/>
      <c r="X40" s="616">
        <f t="shared" si="52"/>
        <v>0</v>
      </c>
      <c r="Y40" s="616"/>
      <c r="Z40" s="316" t="s">
        <v>1471</v>
      </c>
      <c r="AA40" s="616"/>
      <c r="AB40" s="616">
        <v>0</v>
      </c>
      <c r="AC40" s="616"/>
      <c r="AD40" s="621"/>
      <c r="AE40" s="616"/>
      <c r="AF40" s="616">
        <v>0</v>
      </c>
      <c r="AG40" s="616"/>
      <c r="AH40" s="316" t="s">
        <v>1446</v>
      </c>
      <c r="AI40" s="616"/>
      <c r="AJ40" s="315">
        <f t="shared" si="42"/>
        <v>0</v>
      </c>
      <c r="AK40" s="616"/>
      <c r="AL40" s="315">
        <f t="shared" si="43"/>
        <v>0</v>
      </c>
      <c r="AM40" s="616"/>
      <c r="AN40" s="315">
        <f t="shared" si="44"/>
        <v>0</v>
      </c>
      <c r="AO40" s="616"/>
      <c r="AP40" s="616">
        <f t="shared" si="45"/>
        <v>0</v>
      </c>
      <c r="AR40" s="616">
        <v>0</v>
      </c>
      <c r="AS40" s="616"/>
      <c r="AT40" s="621"/>
      <c r="AU40" s="616"/>
      <c r="AV40" s="616">
        <v>0</v>
      </c>
      <c r="AW40" s="616"/>
      <c r="AX40" s="315">
        <f t="shared" si="46"/>
        <v>0</v>
      </c>
      <c r="AY40" s="616"/>
      <c r="AZ40" s="315">
        <f t="shared" si="47"/>
        <v>0</v>
      </c>
      <c r="BA40" s="616"/>
      <c r="BB40" s="315">
        <f t="shared" si="48"/>
        <v>0</v>
      </c>
      <c r="BC40" s="616"/>
      <c r="BD40" s="616">
        <f t="shared" si="49"/>
        <v>0</v>
      </c>
      <c r="BF40" s="616">
        <f t="shared" si="50"/>
        <v>0</v>
      </c>
      <c r="BI40" s="304">
        <f t="shared" si="40"/>
        <v>307</v>
      </c>
    </row>
    <row r="41" spans="1:61" ht="14.5">
      <c r="A41" s="304">
        <f t="shared" si="41"/>
        <v>308</v>
      </c>
      <c r="B41" s="620"/>
      <c r="F41" s="624" t="s">
        <v>1443</v>
      </c>
      <c r="H41" s="621"/>
      <c r="J41" s="621"/>
      <c r="K41" s="616"/>
      <c r="L41" s="621"/>
      <c r="M41" s="616"/>
      <c r="N41" s="621"/>
      <c r="P41" s="626" t="s">
        <v>1444</v>
      </c>
      <c r="R41" s="616">
        <f>N41</f>
        <v>0</v>
      </c>
      <c r="S41" s="616"/>
      <c r="T41" s="616"/>
      <c r="U41" s="616"/>
      <c r="V41" s="616">
        <v>0</v>
      </c>
      <c r="W41" s="616"/>
      <c r="X41" s="616">
        <f t="shared" si="52"/>
        <v>0</v>
      </c>
      <c r="Y41" s="616"/>
      <c r="Z41" s="316" t="s">
        <v>1471</v>
      </c>
      <c r="AA41" s="616"/>
      <c r="AB41" s="616">
        <v>0</v>
      </c>
      <c r="AC41" s="616"/>
      <c r="AD41" s="621"/>
      <c r="AE41" s="616"/>
      <c r="AF41" s="616">
        <v>0</v>
      </c>
      <c r="AG41" s="616"/>
      <c r="AH41" s="316" t="s">
        <v>1446</v>
      </c>
      <c r="AI41" s="616"/>
      <c r="AJ41" s="315">
        <f t="shared" si="42"/>
        <v>0</v>
      </c>
      <c r="AK41" s="616"/>
      <c r="AL41" s="315">
        <f t="shared" si="43"/>
        <v>0</v>
      </c>
      <c r="AM41" s="616"/>
      <c r="AN41" s="315">
        <f t="shared" si="44"/>
        <v>0</v>
      </c>
      <c r="AO41" s="616"/>
      <c r="AP41" s="616">
        <f t="shared" si="45"/>
        <v>0</v>
      </c>
      <c r="AR41" s="616">
        <v>0</v>
      </c>
      <c r="AS41" s="616"/>
      <c r="AT41" s="621"/>
      <c r="AU41" s="616"/>
      <c r="AV41" s="616">
        <v>0</v>
      </c>
      <c r="AW41" s="616"/>
      <c r="AX41" s="315">
        <f t="shared" si="46"/>
        <v>0</v>
      </c>
      <c r="AY41" s="616"/>
      <c r="AZ41" s="315">
        <f t="shared" si="47"/>
        <v>0</v>
      </c>
      <c r="BA41" s="616"/>
      <c r="BB41" s="315">
        <f t="shared" si="48"/>
        <v>0</v>
      </c>
      <c r="BC41" s="616"/>
      <c r="BD41" s="616">
        <f t="shared" si="49"/>
        <v>0</v>
      </c>
      <c r="BF41" s="616">
        <f t="shared" si="50"/>
        <v>0</v>
      </c>
      <c r="BI41" s="304">
        <f t="shared" si="40"/>
        <v>308</v>
      </c>
    </row>
    <row r="42" spans="1:61" ht="14.5">
      <c r="A42" s="304">
        <f t="shared" si="41"/>
        <v>309</v>
      </c>
      <c r="B42" s="620"/>
      <c r="F42" s="624" t="s">
        <v>1443</v>
      </c>
      <c r="H42" s="621"/>
      <c r="J42" s="621"/>
      <c r="K42" s="616"/>
      <c r="L42" s="621"/>
      <c r="M42" s="616"/>
      <c r="N42" s="621"/>
      <c r="P42" s="626" t="s">
        <v>1444</v>
      </c>
      <c r="R42" s="616">
        <v>0</v>
      </c>
      <c r="S42" s="616"/>
      <c r="T42" s="616">
        <f t="shared" si="51"/>
        <v>0</v>
      </c>
      <c r="U42" s="616"/>
      <c r="V42" s="616">
        <v>0</v>
      </c>
      <c r="W42" s="616"/>
      <c r="X42" s="616">
        <f t="shared" si="52"/>
        <v>0</v>
      </c>
      <c r="Y42" s="616"/>
      <c r="Z42" s="316" t="s">
        <v>1471</v>
      </c>
      <c r="AA42" s="616"/>
      <c r="AB42" s="616">
        <v>0</v>
      </c>
      <c r="AC42" s="616"/>
      <c r="AD42" s="621"/>
      <c r="AE42" s="616"/>
      <c r="AF42" s="616">
        <v>0</v>
      </c>
      <c r="AG42" s="616"/>
      <c r="AH42" s="316" t="s">
        <v>1446</v>
      </c>
      <c r="AI42" s="616"/>
      <c r="AJ42" s="315">
        <f t="shared" si="42"/>
        <v>0</v>
      </c>
      <c r="AK42" s="616"/>
      <c r="AL42" s="315">
        <f t="shared" si="43"/>
        <v>0</v>
      </c>
      <c r="AM42" s="616"/>
      <c r="AN42" s="315">
        <f t="shared" si="44"/>
        <v>0</v>
      </c>
      <c r="AO42" s="616"/>
      <c r="AP42" s="616">
        <f t="shared" si="45"/>
        <v>0</v>
      </c>
      <c r="AR42" s="616">
        <v>0</v>
      </c>
      <c r="AS42" s="616"/>
      <c r="AT42" s="621"/>
      <c r="AU42" s="616"/>
      <c r="AV42" s="616">
        <v>0</v>
      </c>
      <c r="AW42" s="616"/>
      <c r="AX42" s="315">
        <f t="shared" si="46"/>
        <v>0</v>
      </c>
      <c r="AY42" s="616"/>
      <c r="AZ42" s="315">
        <f t="shared" si="47"/>
        <v>0</v>
      </c>
      <c r="BA42" s="616"/>
      <c r="BB42" s="315">
        <f t="shared" si="48"/>
        <v>0</v>
      </c>
      <c r="BC42" s="616"/>
      <c r="BD42" s="616">
        <f t="shared" si="49"/>
        <v>0</v>
      </c>
      <c r="BF42" s="616">
        <f t="shared" si="50"/>
        <v>0</v>
      </c>
      <c r="BI42" s="304">
        <f t="shared" si="40"/>
        <v>309</v>
      </c>
    </row>
    <row r="43" spans="1:61" ht="14.5">
      <c r="A43" s="304">
        <f t="shared" si="41"/>
        <v>310</v>
      </c>
      <c r="B43" s="620"/>
      <c r="F43" s="624" t="s">
        <v>1443</v>
      </c>
      <c r="H43" s="621"/>
      <c r="J43" s="621"/>
      <c r="K43" s="616"/>
      <c r="L43" s="621"/>
      <c r="M43" s="616"/>
      <c r="N43" s="621"/>
      <c r="P43" s="626" t="s">
        <v>1444</v>
      </c>
      <c r="R43" s="616">
        <v>0</v>
      </c>
      <c r="S43" s="616"/>
      <c r="T43" s="616">
        <f t="shared" si="51"/>
        <v>0</v>
      </c>
      <c r="U43" s="616"/>
      <c r="V43" s="616">
        <v>0</v>
      </c>
      <c r="W43" s="616"/>
      <c r="X43" s="616">
        <f t="shared" si="52"/>
        <v>0</v>
      </c>
      <c r="Y43" s="616"/>
      <c r="Z43" s="316" t="s">
        <v>1471</v>
      </c>
      <c r="AA43" s="616"/>
      <c r="AB43" s="616">
        <v>0</v>
      </c>
      <c r="AC43" s="616"/>
      <c r="AD43" s="621"/>
      <c r="AE43" s="616"/>
      <c r="AF43" s="616">
        <v>0</v>
      </c>
      <c r="AG43" s="616"/>
      <c r="AH43" s="316" t="s">
        <v>1446</v>
      </c>
      <c r="AI43" s="616"/>
      <c r="AJ43" s="315">
        <f t="shared" si="42"/>
        <v>0</v>
      </c>
      <c r="AK43" s="616"/>
      <c r="AL43" s="315">
        <f t="shared" si="43"/>
        <v>0</v>
      </c>
      <c r="AM43" s="616"/>
      <c r="AN43" s="315">
        <f t="shared" si="44"/>
        <v>0</v>
      </c>
      <c r="AO43" s="616"/>
      <c r="AP43" s="616">
        <f t="shared" si="45"/>
        <v>0</v>
      </c>
      <c r="AR43" s="616">
        <v>0</v>
      </c>
      <c r="AS43" s="616"/>
      <c r="AT43" s="621"/>
      <c r="AU43" s="616"/>
      <c r="AV43" s="616">
        <v>0</v>
      </c>
      <c r="AW43" s="616"/>
      <c r="AX43" s="315">
        <f t="shared" si="46"/>
        <v>0</v>
      </c>
      <c r="AY43" s="616"/>
      <c r="AZ43" s="315">
        <f t="shared" si="47"/>
        <v>0</v>
      </c>
      <c r="BA43" s="616"/>
      <c r="BB43" s="315">
        <f t="shared" si="48"/>
        <v>0</v>
      </c>
      <c r="BC43" s="616"/>
      <c r="BD43" s="616">
        <f t="shared" si="49"/>
        <v>0</v>
      </c>
      <c r="BF43" s="616">
        <f t="shared" si="50"/>
        <v>0</v>
      </c>
      <c r="BI43" s="304">
        <f t="shared" si="40"/>
        <v>310</v>
      </c>
    </row>
    <row r="44" spans="1:61" ht="14.5">
      <c r="A44" s="304">
        <f t="shared" si="41"/>
        <v>311</v>
      </c>
      <c r="B44" s="620"/>
      <c r="F44" s="624" t="s">
        <v>1443</v>
      </c>
      <c r="H44" s="621"/>
      <c r="J44" s="621"/>
      <c r="K44" s="616"/>
      <c r="L44" s="621"/>
      <c r="M44" s="616"/>
      <c r="N44" s="621"/>
      <c r="P44" s="626" t="s">
        <v>1444</v>
      </c>
      <c r="R44" s="616">
        <v>0</v>
      </c>
      <c r="S44" s="616"/>
      <c r="T44" s="616">
        <f t="shared" si="51"/>
        <v>0</v>
      </c>
      <c r="U44" s="616"/>
      <c r="V44" s="616">
        <v>0</v>
      </c>
      <c r="W44" s="616"/>
      <c r="X44" s="616">
        <f t="shared" si="52"/>
        <v>0</v>
      </c>
      <c r="Y44" s="616"/>
      <c r="Z44" s="316" t="s">
        <v>1471</v>
      </c>
      <c r="AA44" s="616"/>
      <c r="AB44" s="616">
        <v>0</v>
      </c>
      <c r="AC44" s="616"/>
      <c r="AD44" s="621"/>
      <c r="AE44" s="616"/>
      <c r="AF44" s="616">
        <v>0</v>
      </c>
      <c r="AG44" s="616"/>
      <c r="AH44" s="316" t="s">
        <v>1446</v>
      </c>
      <c r="AI44" s="616"/>
      <c r="AJ44" s="315">
        <f t="shared" si="42"/>
        <v>0</v>
      </c>
      <c r="AK44" s="616"/>
      <c r="AL44" s="315">
        <f t="shared" si="43"/>
        <v>0</v>
      </c>
      <c r="AM44" s="616"/>
      <c r="AN44" s="315">
        <f t="shared" si="44"/>
        <v>0</v>
      </c>
      <c r="AO44" s="616"/>
      <c r="AP44" s="616">
        <f t="shared" si="45"/>
        <v>0</v>
      </c>
      <c r="AR44" s="616">
        <v>0</v>
      </c>
      <c r="AS44" s="616"/>
      <c r="AT44" s="621"/>
      <c r="AU44" s="616"/>
      <c r="AV44" s="616">
        <v>0</v>
      </c>
      <c r="AW44" s="616"/>
      <c r="AX44" s="315">
        <f t="shared" si="46"/>
        <v>0</v>
      </c>
      <c r="AY44" s="616"/>
      <c r="AZ44" s="315">
        <f t="shared" si="47"/>
        <v>0</v>
      </c>
      <c r="BA44" s="616"/>
      <c r="BB44" s="315">
        <f t="shared" si="48"/>
        <v>0</v>
      </c>
      <c r="BC44" s="616"/>
      <c r="BD44" s="616">
        <f t="shared" si="49"/>
        <v>0</v>
      </c>
      <c r="BF44" s="616">
        <f t="shared" si="50"/>
        <v>0</v>
      </c>
      <c r="BI44" s="304">
        <f t="shared" si="40"/>
        <v>311</v>
      </c>
    </row>
    <row r="45" spans="1:61" ht="14.5">
      <c r="A45" s="304">
        <f t="shared" si="41"/>
        <v>312</v>
      </c>
      <c r="B45" s="620"/>
      <c r="F45" s="624" t="s">
        <v>1443</v>
      </c>
      <c r="H45" s="621"/>
      <c r="J45" s="621"/>
      <c r="K45" s="616"/>
      <c r="L45" s="621"/>
      <c r="M45" s="616"/>
      <c r="N45" s="621"/>
      <c r="P45" s="626" t="s">
        <v>1444</v>
      </c>
      <c r="R45" s="616">
        <v>0</v>
      </c>
      <c r="S45" s="616"/>
      <c r="T45" s="616">
        <f t="shared" si="51"/>
        <v>0</v>
      </c>
      <c r="U45" s="616"/>
      <c r="V45" s="616">
        <v>0</v>
      </c>
      <c r="W45" s="616"/>
      <c r="X45" s="616">
        <f t="shared" si="52"/>
        <v>0</v>
      </c>
      <c r="Y45" s="616"/>
      <c r="Z45" s="316" t="s">
        <v>1471</v>
      </c>
      <c r="AA45" s="616"/>
      <c r="AB45" s="616">
        <v>0</v>
      </c>
      <c r="AC45" s="616"/>
      <c r="AD45" s="621"/>
      <c r="AE45" s="616"/>
      <c r="AF45" s="616">
        <v>0</v>
      </c>
      <c r="AG45" s="616"/>
      <c r="AH45" s="316" t="s">
        <v>1446</v>
      </c>
      <c r="AI45" s="616"/>
      <c r="AJ45" s="315">
        <f t="shared" si="42"/>
        <v>0</v>
      </c>
      <c r="AK45" s="616"/>
      <c r="AL45" s="315">
        <f t="shared" si="43"/>
        <v>0</v>
      </c>
      <c r="AM45" s="616"/>
      <c r="AN45" s="315">
        <f t="shared" si="44"/>
        <v>0</v>
      </c>
      <c r="AO45" s="616"/>
      <c r="AP45" s="616">
        <f t="shared" si="45"/>
        <v>0</v>
      </c>
      <c r="AR45" s="616">
        <v>0</v>
      </c>
      <c r="AS45" s="616"/>
      <c r="AT45" s="621"/>
      <c r="AU45" s="616"/>
      <c r="AV45" s="616">
        <v>0</v>
      </c>
      <c r="AW45" s="616"/>
      <c r="AX45" s="315">
        <f t="shared" si="46"/>
        <v>0</v>
      </c>
      <c r="AY45" s="616"/>
      <c r="AZ45" s="315">
        <f t="shared" si="47"/>
        <v>0</v>
      </c>
      <c r="BA45" s="616"/>
      <c r="BB45" s="315">
        <f t="shared" si="48"/>
        <v>0</v>
      </c>
      <c r="BC45" s="616"/>
      <c r="BD45" s="616">
        <f t="shared" si="49"/>
        <v>0</v>
      </c>
      <c r="BF45" s="616">
        <f t="shared" si="50"/>
        <v>0</v>
      </c>
      <c r="BI45" s="304">
        <f t="shared" si="40"/>
        <v>312</v>
      </c>
    </row>
    <row r="46" spans="1:61" ht="14.5">
      <c r="A46" s="304">
        <f t="shared" si="41"/>
        <v>313</v>
      </c>
      <c r="B46" s="620"/>
      <c r="F46" s="624" t="s">
        <v>1443</v>
      </c>
      <c r="H46" s="621"/>
      <c r="J46" s="621"/>
      <c r="K46" s="616"/>
      <c r="L46" s="621"/>
      <c r="M46" s="616"/>
      <c r="N46" s="621"/>
      <c r="P46" s="626" t="s">
        <v>1444</v>
      </c>
      <c r="R46" s="616">
        <v>0</v>
      </c>
      <c r="S46" s="616"/>
      <c r="T46" s="616">
        <f t="shared" si="51"/>
        <v>0</v>
      </c>
      <c r="U46" s="616"/>
      <c r="V46" s="616">
        <v>0</v>
      </c>
      <c r="W46" s="616"/>
      <c r="X46" s="616">
        <f t="shared" si="52"/>
        <v>0</v>
      </c>
      <c r="Y46" s="616"/>
      <c r="Z46" s="316" t="s">
        <v>1471</v>
      </c>
      <c r="AA46" s="616"/>
      <c r="AB46" s="616">
        <v>0</v>
      </c>
      <c r="AC46" s="616"/>
      <c r="AD46" s="621"/>
      <c r="AE46" s="616"/>
      <c r="AF46" s="616">
        <v>0</v>
      </c>
      <c r="AG46" s="616"/>
      <c r="AH46" s="316" t="s">
        <v>1446</v>
      </c>
      <c r="AI46" s="616"/>
      <c r="AJ46" s="315">
        <f t="shared" si="42"/>
        <v>0</v>
      </c>
      <c r="AK46" s="616"/>
      <c r="AL46" s="315">
        <f t="shared" si="43"/>
        <v>0</v>
      </c>
      <c r="AM46" s="616"/>
      <c r="AN46" s="315">
        <f t="shared" si="44"/>
        <v>0</v>
      </c>
      <c r="AO46" s="616"/>
      <c r="AP46" s="616">
        <f t="shared" si="45"/>
        <v>0</v>
      </c>
      <c r="AR46" s="616">
        <v>0</v>
      </c>
      <c r="AS46" s="616"/>
      <c r="AT46" s="621"/>
      <c r="AU46" s="616"/>
      <c r="AV46" s="616">
        <v>0</v>
      </c>
      <c r="AW46" s="616"/>
      <c r="AX46" s="315">
        <f t="shared" si="46"/>
        <v>0</v>
      </c>
      <c r="AY46" s="616"/>
      <c r="AZ46" s="315">
        <f t="shared" si="47"/>
        <v>0</v>
      </c>
      <c r="BA46" s="616"/>
      <c r="BB46" s="315">
        <f t="shared" si="48"/>
        <v>0</v>
      </c>
      <c r="BC46" s="616"/>
      <c r="BD46" s="616">
        <f t="shared" si="49"/>
        <v>0</v>
      </c>
      <c r="BF46" s="616">
        <f t="shared" si="50"/>
        <v>0</v>
      </c>
      <c r="BI46" s="304">
        <f t="shared" si="40"/>
        <v>313</v>
      </c>
    </row>
    <row r="47" spans="1:61" ht="14.5">
      <c r="A47" s="304">
        <f t="shared" si="41"/>
        <v>314</v>
      </c>
      <c r="B47" s="620"/>
      <c r="F47" s="624" t="s">
        <v>1443</v>
      </c>
      <c r="H47" s="621"/>
      <c r="J47" s="621"/>
      <c r="K47" s="616"/>
      <c r="L47" s="621"/>
      <c r="M47" s="616"/>
      <c r="N47" s="621"/>
      <c r="P47" s="626" t="s">
        <v>1444</v>
      </c>
      <c r="R47" s="616">
        <v>0</v>
      </c>
      <c r="S47" s="616"/>
      <c r="T47" s="616">
        <f t="shared" si="51"/>
        <v>0</v>
      </c>
      <c r="U47" s="616"/>
      <c r="V47" s="616">
        <v>0</v>
      </c>
      <c r="W47" s="616"/>
      <c r="X47" s="616">
        <f t="shared" si="52"/>
        <v>0</v>
      </c>
      <c r="Y47" s="616"/>
      <c r="Z47" s="316" t="s">
        <v>1471</v>
      </c>
      <c r="AA47" s="616"/>
      <c r="AB47" s="616">
        <v>0</v>
      </c>
      <c r="AC47" s="616"/>
      <c r="AD47" s="621"/>
      <c r="AE47" s="616"/>
      <c r="AF47" s="616">
        <v>0</v>
      </c>
      <c r="AG47" s="616"/>
      <c r="AH47" s="316" t="s">
        <v>1446</v>
      </c>
      <c r="AI47" s="616"/>
      <c r="AJ47" s="315">
        <f t="shared" si="42"/>
        <v>0</v>
      </c>
      <c r="AK47" s="616"/>
      <c r="AL47" s="315">
        <f t="shared" si="43"/>
        <v>0</v>
      </c>
      <c r="AM47" s="616"/>
      <c r="AN47" s="315">
        <f t="shared" si="44"/>
        <v>0</v>
      </c>
      <c r="AO47" s="616"/>
      <c r="AP47" s="616">
        <f t="shared" si="45"/>
        <v>0</v>
      </c>
      <c r="AR47" s="616">
        <v>0</v>
      </c>
      <c r="AS47" s="616"/>
      <c r="AT47" s="621"/>
      <c r="AU47" s="616"/>
      <c r="AV47" s="616">
        <v>0</v>
      </c>
      <c r="AW47" s="616"/>
      <c r="AX47" s="315">
        <f t="shared" si="46"/>
        <v>0</v>
      </c>
      <c r="AY47" s="616"/>
      <c r="AZ47" s="315">
        <f t="shared" si="47"/>
        <v>0</v>
      </c>
      <c r="BA47" s="616"/>
      <c r="BB47" s="315">
        <f t="shared" si="48"/>
        <v>0</v>
      </c>
      <c r="BC47" s="616"/>
      <c r="BD47" s="616">
        <f t="shared" si="49"/>
        <v>0</v>
      </c>
      <c r="BF47" s="616">
        <f t="shared" si="50"/>
        <v>0</v>
      </c>
      <c r="BI47" s="304">
        <f t="shared" si="40"/>
        <v>314</v>
      </c>
    </row>
    <row r="48" spans="1:61" ht="14.5">
      <c r="A48" s="304">
        <f t="shared" si="41"/>
        <v>315</v>
      </c>
      <c r="B48" s="620"/>
      <c r="F48" s="624" t="s">
        <v>1443</v>
      </c>
      <c r="H48" s="621"/>
      <c r="J48" s="621"/>
      <c r="K48" s="616"/>
      <c r="L48" s="621"/>
      <c r="M48" s="616"/>
      <c r="N48" s="621"/>
      <c r="P48" s="626" t="s">
        <v>1444</v>
      </c>
      <c r="R48" s="616">
        <v>0</v>
      </c>
      <c r="S48" s="616"/>
      <c r="T48" s="616">
        <f t="shared" si="51"/>
        <v>0</v>
      </c>
      <c r="U48" s="616"/>
      <c r="V48" s="616">
        <v>0</v>
      </c>
      <c r="W48" s="616"/>
      <c r="X48" s="616">
        <f t="shared" si="52"/>
        <v>0</v>
      </c>
      <c r="Y48" s="616"/>
      <c r="Z48" s="316" t="s">
        <v>1471</v>
      </c>
      <c r="AA48" s="616"/>
      <c r="AB48" s="616">
        <v>0</v>
      </c>
      <c r="AC48" s="616"/>
      <c r="AD48" s="621"/>
      <c r="AE48" s="616"/>
      <c r="AF48" s="616">
        <v>0</v>
      </c>
      <c r="AG48" s="616"/>
      <c r="AH48" s="316" t="s">
        <v>1446</v>
      </c>
      <c r="AI48" s="616"/>
      <c r="AJ48" s="315">
        <f t="shared" si="42"/>
        <v>0</v>
      </c>
      <c r="AK48" s="616"/>
      <c r="AL48" s="315">
        <f t="shared" si="43"/>
        <v>0</v>
      </c>
      <c r="AM48" s="616"/>
      <c r="AN48" s="315">
        <f t="shared" si="44"/>
        <v>0</v>
      </c>
      <c r="AO48" s="616"/>
      <c r="AP48" s="616">
        <f t="shared" si="45"/>
        <v>0</v>
      </c>
      <c r="AR48" s="616">
        <v>0</v>
      </c>
      <c r="AS48" s="616"/>
      <c r="AT48" s="621"/>
      <c r="AU48" s="616"/>
      <c r="AV48" s="616">
        <v>0</v>
      </c>
      <c r="AW48" s="616"/>
      <c r="AX48" s="315">
        <f t="shared" si="46"/>
        <v>0</v>
      </c>
      <c r="AY48" s="616"/>
      <c r="AZ48" s="315">
        <f t="shared" si="47"/>
        <v>0</v>
      </c>
      <c r="BA48" s="616"/>
      <c r="BB48" s="315">
        <f t="shared" si="48"/>
        <v>0</v>
      </c>
      <c r="BC48" s="616"/>
      <c r="BD48" s="616">
        <f t="shared" si="49"/>
        <v>0</v>
      </c>
      <c r="BF48" s="616">
        <f t="shared" si="50"/>
        <v>0</v>
      </c>
      <c r="BI48" s="304">
        <f t="shared" si="40"/>
        <v>315</v>
      </c>
    </row>
    <row r="49" spans="1:61" ht="14.5">
      <c r="A49" s="304">
        <f t="shared" si="41"/>
        <v>316</v>
      </c>
      <c r="B49" s="620"/>
      <c r="F49" s="624" t="s">
        <v>1443</v>
      </c>
      <c r="H49" s="621"/>
      <c r="J49" s="621"/>
      <c r="K49" s="616"/>
      <c r="L49" s="621"/>
      <c r="M49" s="616"/>
      <c r="N49" s="621"/>
      <c r="P49" s="626" t="s">
        <v>1444</v>
      </c>
      <c r="R49" s="616">
        <v>0</v>
      </c>
      <c r="S49" s="616"/>
      <c r="T49" s="616">
        <f t="shared" si="51"/>
        <v>0</v>
      </c>
      <c r="U49" s="616"/>
      <c r="V49" s="616">
        <v>0</v>
      </c>
      <c r="W49" s="616"/>
      <c r="X49" s="616">
        <f t="shared" si="52"/>
        <v>0</v>
      </c>
      <c r="Y49" s="616"/>
      <c r="Z49" s="316" t="s">
        <v>1471</v>
      </c>
      <c r="AA49" s="616"/>
      <c r="AB49" s="616">
        <v>0</v>
      </c>
      <c r="AC49" s="616"/>
      <c r="AD49" s="621"/>
      <c r="AE49" s="616"/>
      <c r="AF49" s="616">
        <v>0</v>
      </c>
      <c r="AG49" s="616"/>
      <c r="AH49" s="316" t="s">
        <v>1446</v>
      </c>
      <c r="AI49" s="616"/>
      <c r="AJ49" s="315">
        <f t="shared" si="42"/>
        <v>0</v>
      </c>
      <c r="AK49" s="616"/>
      <c r="AL49" s="315">
        <f t="shared" si="43"/>
        <v>0</v>
      </c>
      <c r="AM49" s="616"/>
      <c r="AN49" s="315">
        <f t="shared" si="44"/>
        <v>0</v>
      </c>
      <c r="AO49" s="616"/>
      <c r="AP49" s="616">
        <f t="shared" si="45"/>
        <v>0</v>
      </c>
      <c r="AR49" s="616">
        <v>0</v>
      </c>
      <c r="AS49" s="616"/>
      <c r="AT49" s="621"/>
      <c r="AU49" s="616"/>
      <c r="AV49" s="616">
        <v>0</v>
      </c>
      <c r="AW49" s="616"/>
      <c r="AX49" s="315">
        <f t="shared" si="46"/>
        <v>0</v>
      </c>
      <c r="AY49" s="616"/>
      <c r="AZ49" s="315">
        <f t="shared" si="47"/>
        <v>0</v>
      </c>
      <c r="BA49" s="616"/>
      <c r="BB49" s="315">
        <f t="shared" si="48"/>
        <v>0</v>
      </c>
      <c r="BC49" s="616"/>
      <c r="BD49" s="616">
        <f t="shared" si="49"/>
        <v>0</v>
      </c>
      <c r="BF49" s="616">
        <f t="shared" si="50"/>
        <v>0</v>
      </c>
      <c r="BI49" s="304">
        <f t="shared" si="40"/>
        <v>316</v>
      </c>
    </row>
    <row r="50" spans="1:61" ht="14.5">
      <c r="A50" s="304">
        <f t="shared" si="41"/>
        <v>317</v>
      </c>
      <c r="B50" s="620"/>
      <c r="F50" s="624" t="s">
        <v>1443</v>
      </c>
      <c r="H50" s="621"/>
      <c r="J50" s="621"/>
      <c r="K50" s="616"/>
      <c r="L50" s="621"/>
      <c r="M50" s="616"/>
      <c r="N50" s="621"/>
      <c r="P50" s="626" t="s">
        <v>1444</v>
      </c>
      <c r="R50" s="616">
        <v>0</v>
      </c>
      <c r="S50" s="616"/>
      <c r="T50" s="616">
        <f t="shared" si="51"/>
        <v>0</v>
      </c>
      <c r="U50" s="616"/>
      <c r="V50" s="616">
        <v>0</v>
      </c>
      <c r="W50" s="616"/>
      <c r="X50" s="616">
        <f t="shared" si="52"/>
        <v>0</v>
      </c>
      <c r="Y50" s="616"/>
      <c r="Z50" s="316" t="s">
        <v>1471</v>
      </c>
      <c r="AA50" s="616"/>
      <c r="AB50" s="616">
        <v>0</v>
      </c>
      <c r="AC50" s="616"/>
      <c r="AD50" s="621"/>
      <c r="AE50" s="616"/>
      <c r="AF50" s="616">
        <v>0</v>
      </c>
      <c r="AG50" s="616"/>
      <c r="AH50" s="316" t="s">
        <v>1446</v>
      </c>
      <c r="AI50" s="616"/>
      <c r="AJ50" s="315">
        <f t="shared" si="42"/>
        <v>0</v>
      </c>
      <c r="AK50" s="616"/>
      <c r="AL50" s="315">
        <f t="shared" si="43"/>
        <v>0</v>
      </c>
      <c r="AM50" s="616"/>
      <c r="AN50" s="315">
        <f t="shared" si="44"/>
        <v>0</v>
      </c>
      <c r="AO50" s="616"/>
      <c r="AP50" s="616">
        <f t="shared" si="45"/>
        <v>0</v>
      </c>
      <c r="AR50" s="616">
        <v>0</v>
      </c>
      <c r="AS50" s="616"/>
      <c r="AT50" s="621"/>
      <c r="AU50" s="616"/>
      <c r="AV50" s="616">
        <v>0</v>
      </c>
      <c r="AW50" s="616"/>
      <c r="AX50" s="315">
        <f t="shared" si="46"/>
        <v>0</v>
      </c>
      <c r="AY50" s="616"/>
      <c r="AZ50" s="315">
        <f t="shared" si="47"/>
        <v>0</v>
      </c>
      <c r="BA50" s="616"/>
      <c r="BB50" s="315">
        <f t="shared" si="48"/>
        <v>0</v>
      </c>
      <c r="BC50" s="616"/>
      <c r="BD50" s="616">
        <f t="shared" si="49"/>
        <v>0</v>
      </c>
      <c r="BF50" s="616">
        <f t="shared" si="50"/>
        <v>0</v>
      </c>
      <c r="BI50" s="304">
        <f t="shared" si="40"/>
        <v>317</v>
      </c>
    </row>
    <row r="51" spans="1:61" ht="14.5">
      <c r="A51" s="304">
        <f t="shared" si="41"/>
        <v>318</v>
      </c>
      <c r="B51" s="620"/>
      <c r="F51" s="624" t="s">
        <v>1443</v>
      </c>
      <c r="H51" s="621"/>
      <c r="J51" s="621"/>
      <c r="K51" s="616"/>
      <c r="L51" s="621"/>
      <c r="M51" s="616"/>
      <c r="N51" s="621"/>
      <c r="P51" s="626" t="s">
        <v>1444</v>
      </c>
      <c r="R51" s="616">
        <v>0</v>
      </c>
      <c r="S51" s="616"/>
      <c r="T51" s="616">
        <f t="shared" si="51"/>
        <v>0</v>
      </c>
      <c r="U51" s="616"/>
      <c r="V51" s="616">
        <v>0</v>
      </c>
      <c r="W51" s="616"/>
      <c r="X51" s="616">
        <f t="shared" si="52"/>
        <v>0</v>
      </c>
      <c r="Y51" s="616"/>
      <c r="Z51" s="316" t="s">
        <v>1471</v>
      </c>
      <c r="AA51" s="616"/>
      <c r="AB51" s="616">
        <v>0</v>
      </c>
      <c r="AC51" s="616"/>
      <c r="AD51" s="621"/>
      <c r="AE51" s="616"/>
      <c r="AF51" s="616">
        <v>0</v>
      </c>
      <c r="AG51" s="616"/>
      <c r="AH51" s="316" t="s">
        <v>1446</v>
      </c>
      <c r="AI51" s="616"/>
      <c r="AJ51" s="315">
        <f t="shared" si="42"/>
        <v>0</v>
      </c>
      <c r="AK51" s="616"/>
      <c r="AL51" s="315">
        <f t="shared" si="43"/>
        <v>0</v>
      </c>
      <c r="AM51" s="616"/>
      <c r="AN51" s="315">
        <f t="shared" si="44"/>
        <v>0</v>
      </c>
      <c r="AO51" s="616"/>
      <c r="AP51" s="616">
        <f t="shared" si="45"/>
        <v>0</v>
      </c>
      <c r="AR51" s="616">
        <v>0</v>
      </c>
      <c r="AS51" s="616"/>
      <c r="AT51" s="621"/>
      <c r="AU51" s="616"/>
      <c r="AV51" s="616">
        <v>0</v>
      </c>
      <c r="AW51" s="616"/>
      <c r="AX51" s="315">
        <f t="shared" si="46"/>
        <v>0</v>
      </c>
      <c r="AY51" s="616"/>
      <c r="AZ51" s="315">
        <f t="shared" si="47"/>
        <v>0</v>
      </c>
      <c r="BA51" s="616"/>
      <c r="BB51" s="315">
        <f t="shared" si="48"/>
        <v>0</v>
      </c>
      <c r="BC51" s="616"/>
      <c r="BD51" s="616">
        <f t="shared" si="49"/>
        <v>0</v>
      </c>
      <c r="BF51" s="616">
        <f t="shared" si="50"/>
        <v>0</v>
      </c>
      <c r="BI51" s="304">
        <f t="shared" si="40"/>
        <v>318</v>
      </c>
    </row>
    <row r="52" spans="1:61" ht="14.5">
      <c r="A52" s="304">
        <f t="shared" si="41"/>
        <v>319</v>
      </c>
      <c r="B52" s="620"/>
      <c r="F52" s="624" t="s">
        <v>1443</v>
      </c>
      <c r="H52" s="621"/>
      <c r="J52" s="621"/>
      <c r="K52" s="616"/>
      <c r="L52" s="621"/>
      <c r="M52" s="616"/>
      <c r="N52" s="621"/>
      <c r="P52" s="626" t="s">
        <v>1444</v>
      </c>
      <c r="R52" s="616">
        <v>0</v>
      </c>
      <c r="S52" s="616"/>
      <c r="T52" s="616">
        <f t="shared" si="51"/>
        <v>0</v>
      </c>
      <c r="U52" s="616"/>
      <c r="V52" s="616">
        <v>0</v>
      </c>
      <c r="W52" s="616"/>
      <c r="X52" s="616">
        <f t="shared" si="52"/>
        <v>0</v>
      </c>
      <c r="Y52" s="616"/>
      <c r="Z52" s="316" t="s">
        <v>1471</v>
      </c>
      <c r="AA52" s="616"/>
      <c r="AB52" s="616">
        <v>0</v>
      </c>
      <c r="AC52" s="616"/>
      <c r="AD52" s="621"/>
      <c r="AE52" s="616"/>
      <c r="AF52" s="616">
        <v>0</v>
      </c>
      <c r="AG52" s="616"/>
      <c r="AH52" s="316" t="s">
        <v>1446</v>
      </c>
      <c r="AI52" s="616"/>
      <c r="AJ52" s="315">
        <f t="shared" si="42"/>
        <v>0</v>
      </c>
      <c r="AK52" s="616"/>
      <c r="AL52" s="315">
        <f t="shared" si="43"/>
        <v>0</v>
      </c>
      <c r="AM52" s="616"/>
      <c r="AN52" s="315">
        <f t="shared" si="44"/>
        <v>0</v>
      </c>
      <c r="AO52" s="616"/>
      <c r="AP52" s="616">
        <f t="shared" si="45"/>
        <v>0</v>
      </c>
      <c r="AR52" s="616">
        <v>0</v>
      </c>
      <c r="AS52" s="616"/>
      <c r="AT52" s="621"/>
      <c r="AU52" s="616"/>
      <c r="AV52" s="616">
        <v>0</v>
      </c>
      <c r="AW52" s="616"/>
      <c r="AX52" s="315">
        <f t="shared" si="46"/>
        <v>0</v>
      </c>
      <c r="AY52" s="616"/>
      <c r="AZ52" s="315">
        <f t="shared" si="47"/>
        <v>0</v>
      </c>
      <c r="BA52" s="616"/>
      <c r="BB52" s="315">
        <f t="shared" si="48"/>
        <v>0</v>
      </c>
      <c r="BC52" s="616"/>
      <c r="BD52" s="616">
        <f t="shared" si="49"/>
        <v>0</v>
      </c>
      <c r="BF52" s="616">
        <f t="shared" si="50"/>
        <v>0</v>
      </c>
      <c r="BI52" s="304">
        <f t="shared" si="40"/>
        <v>319</v>
      </c>
    </row>
    <row r="53" spans="1:61" ht="14.5">
      <c r="A53" s="304">
        <f t="shared" si="41"/>
        <v>320</v>
      </c>
      <c r="B53" s="620"/>
      <c r="F53" s="624" t="s">
        <v>1443</v>
      </c>
      <c r="H53" s="621"/>
      <c r="J53" s="621"/>
      <c r="K53" s="616"/>
      <c r="L53" s="621"/>
      <c r="M53" s="616"/>
      <c r="N53" s="621"/>
      <c r="P53" s="626" t="s">
        <v>1444</v>
      </c>
      <c r="R53" s="616">
        <v>0</v>
      </c>
      <c r="S53" s="616"/>
      <c r="T53" s="616">
        <f t="shared" si="51"/>
        <v>0</v>
      </c>
      <c r="U53" s="616"/>
      <c r="V53" s="616">
        <v>0</v>
      </c>
      <c r="W53" s="616"/>
      <c r="X53" s="616">
        <f t="shared" si="52"/>
        <v>0</v>
      </c>
      <c r="Y53" s="616"/>
      <c r="Z53" s="316" t="s">
        <v>1471</v>
      </c>
      <c r="AA53" s="616"/>
      <c r="AB53" s="616">
        <v>0</v>
      </c>
      <c r="AC53" s="616"/>
      <c r="AD53" s="621"/>
      <c r="AE53" s="616"/>
      <c r="AF53" s="616">
        <v>0</v>
      </c>
      <c r="AG53" s="616"/>
      <c r="AH53" s="316" t="s">
        <v>1446</v>
      </c>
      <c r="AI53" s="616"/>
      <c r="AJ53" s="315">
        <f t="shared" si="42"/>
        <v>0</v>
      </c>
      <c r="AK53" s="616"/>
      <c r="AL53" s="315">
        <f t="shared" si="43"/>
        <v>0</v>
      </c>
      <c r="AM53" s="616"/>
      <c r="AN53" s="315">
        <f t="shared" si="44"/>
        <v>0</v>
      </c>
      <c r="AO53" s="616"/>
      <c r="AP53" s="616">
        <f t="shared" si="45"/>
        <v>0</v>
      </c>
      <c r="AR53" s="616">
        <v>0</v>
      </c>
      <c r="AS53" s="616"/>
      <c r="AT53" s="621"/>
      <c r="AU53" s="616"/>
      <c r="AV53" s="616">
        <v>0</v>
      </c>
      <c r="AW53" s="616"/>
      <c r="AX53" s="315">
        <f t="shared" si="46"/>
        <v>0</v>
      </c>
      <c r="AY53" s="616"/>
      <c r="AZ53" s="315">
        <f t="shared" si="47"/>
        <v>0</v>
      </c>
      <c r="BA53" s="616"/>
      <c r="BB53" s="315">
        <f t="shared" si="48"/>
        <v>0</v>
      </c>
      <c r="BC53" s="616"/>
      <c r="BD53" s="616">
        <f t="shared" si="49"/>
        <v>0</v>
      </c>
      <c r="BF53" s="616">
        <f t="shared" si="50"/>
        <v>0</v>
      </c>
      <c r="BI53" s="304">
        <f t="shared" si="40"/>
        <v>320</v>
      </c>
    </row>
    <row r="54" spans="1:61" ht="14.5">
      <c r="A54" s="304">
        <f t="shared" si="41"/>
        <v>321</v>
      </c>
      <c r="B54" s="620"/>
      <c r="F54" s="624" t="s">
        <v>1443</v>
      </c>
      <c r="H54" s="621"/>
      <c r="J54" s="621"/>
      <c r="K54" s="616"/>
      <c r="L54" s="621"/>
      <c r="M54" s="616"/>
      <c r="N54" s="621"/>
      <c r="P54" s="626" t="s">
        <v>1444</v>
      </c>
      <c r="R54" s="616">
        <v>0</v>
      </c>
      <c r="S54" s="616"/>
      <c r="T54" s="616">
        <f t="shared" si="51"/>
        <v>0</v>
      </c>
      <c r="U54" s="616"/>
      <c r="V54" s="616">
        <v>0</v>
      </c>
      <c r="W54" s="616"/>
      <c r="X54" s="616">
        <f t="shared" si="52"/>
        <v>0</v>
      </c>
      <c r="Y54" s="616"/>
      <c r="Z54" s="316" t="s">
        <v>1471</v>
      </c>
      <c r="AA54" s="616"/>
      <c r="AB54" s="616">
        <v>0</v>
      </c>
      <c r="AC54" s="616"/>
      <c r="AD54" s="621"/>
      <c r="AE54" s="616"/>
      <c r="AF54" s="616">
        <v>0</v>
      </c>
      <c r="AG54" s="616"/>
      <c r="AH54" s="316" t="s">
        <v>1446</v>
      </c>
      <c r="AI54" s="616"/>
      <c r="AJ54" s="315">
        <f t="shared" si="42"/>
        <v>0</v>
      </c>
      <c r="AK54" s="616"/>
      <c r="AL54" s="315">
        <f t="shared" si="43"/>
        <v>0</v>
      </c>
      <c r="AM54" s="616"/>
      <c r="AN54" s="315">
        <f t="shared" si="44"/>
        <v>0</v>
      </c>
      <c r="AO54" s="616"/>
      <c r="AP54" s="616">
        <f t="shared" si="45"/>
        <v>0</v>
      </c>
      <c r="AR54" s="616">
        <v>0</v>
      </c>
      <c r="AS54" s="616"/>
      <c r="AT54" s="621"/>
      <c r="AU54" s="616"/>
      <c r="AV54" s="616">
        <v>0</v>
      </c>
      <c r="AW54" s="616"/>
      <c r="AX54" s="315">
        <f t="shared" si="46"/>
        <v>0</v>
      </c>
      <c r="AY54" s="616"/>
      <c r="AZ54" s="315">
        <f t="shared" si="47"/>
        <v>0</v>
      </c>
      <c r="BA54" s="616"/>
      <c r="BB54" s="315">
        <f t="shared" si="48"/>
        <v>0</v>
      </c>
      <c r="BC54" s="616"/>
      <c r="BD54" s="616">
        <f t="shared" si="49"/>
        <v>0</v>
      </c>
      <c r="BF54" s="616">
        <f t="shared" si="50"/>
        <v>0</v>
      </c>
      <c r="BI54" s="304">
        <f t="shared" si="40"/>
        <v>321</v>
      </c>
    </row>
    <row r="55" spans="1:61" ht="14.5">
      <c r="A55" s="304">
        <f t="shared" si="41"/>
        <v>322</v>
      </c>
      <c r="B55" s="620"/>
      <c r="F55" s="624" t="s">
        <v>1443</v>
      </c>
      <c r="H55" s="621"/>
      <c r="J55" s="621"/>
      <c r="K55" s="616"/>
      <c r="L55" s="621"/>
      <c r="M55" s="616"/>
      <c r="N55" s="621"/>
      <c r="P55" s="626" t="s">
        <v>1444</v>
      </c>
      <c r="R55" s="616">
        <v>0</v>
      </c>
      <c r="S55" s="616"/>
      <c r="T55" s="616">
        <f t="shared" si="51"/>
        <v>0</v>
      </c>
      <c r="U55" s="616"/>
      <c r="V55" s="616">
        <v>0</v>
      </c>
      <c r="W55" s="616"/>
      <c r="X55" s="616">
        <f t="shared" si="52"/>
        <v>0</v>
      </c>
      <c r="Y55" s="616"/>
      <c r="Z55" s="316" t="s">
        <v>1471</v>
      </c>
      <c r="AA55" s="616"/>
      <c r="AB55" s="616">
        <v>0</v>
      </c>
      <c r="AC55" s="616"/>
      <c r="AD55" s="621"/>
      <c r="AE55" s="616"/>
      <c r="AF55" s="616">
        <v>0</v>
      </c>
      <c r="AG55" s="616"/>
      <c r="AH55" s="316" t="s">
        <v>1446</v>
      </c>
      <c r="AI55" s="616"/>
      <c r="AJ55" s="315">
        <f t="shared" si="42"/>
        <v>0</v>
      </c>
      <c r="AK55" s="616"/>
      <c r="AL55" s="315">
        <f t="shared" si="43"/>
        <v>0</v>
      </c>
      <c r="AM55" s="616"/>
      <c r="AN55" s="315">
        <f t="shared" si="44"/>
        <v>0</v>
      </c>
      <c r="AO55" s="616"/>
      <c r="AP55" s="616">
        <f t="shared" si="45"/>
        <v>0</v>
      </c>
      <c r="AR55" s="616">
        <v>0</v>
      </c>
      <c r="AS55" s="616"/>
      <c r="AT55" s="621"/>
      <c r="AU55" s="616"/>
      <c r="AV55" s="616">
        <v>0</v>
      </c>
      <c r="AW55" s="616"/>
      <c r="AX55" s="315">
        <f t="shared" si="46"/>
        <v>0</v>
      </c>
      <c r="AY55" s="616"/>
      <c r="AZ55" s="315">
        <f t="shared" si="47"/>
        <v>0</v>
      </c>
      <c r="BA55" s="616"/>
      <c r="BB55" s="315">
        <f t="shared" si="48"/>
        <v>0</v>
      </c>
      <c r="BC55" s="616"/>
      <c r="BD55" s="616">
        <f t="shared" si="49"/>
        <v>0</v>
      </c>
      <c r="BF55" s="616">
        <f t="shared" si="50"/>
        <v>0</v>
      </c>
      <c r="BI55" s="304">
        <f t="shared" si="40"/>
        <v>322</v>
      </c>
    </row>
    <row r="56" spans="1:61" ht="14.5">
      <c r="A56" s="304">
        <f t="shared" si="41"/>
        <v>323</v>
      </c>
      <c r="B56" s="620"/>
      <c r="F56" s="624" t="s">
        <v>1443</v>
      </c>
      <c r="H56" s="621"/>
      <c r="J56" s="621"/>
      <c r="K56" s="616"/>
      <c r="L56" s="621"/>
      <c r="M56" s="616"/>
      <c r="N56" s="621"/>
      <c r="P56" s="626" t="s">
        <v>1444</v>
      </c>
      <c r="R56" s="616">
        <v>0</v>
      </c>
      <c r="S56" s="616"/>
      <c r="T56" s="616">
        <f t="shared" si="51"/>
        <v>0</v>
      </c>
      <c r="U56" s="616"/>
      <c r="V56" s="616">
        <v>0</v>
      </c>
      <c r="W56" s="616"/>
      <c r="X56" s="616">
        <f t="shared" si="52"/>
        <v>0</v>
      </c>
      <c r="Y56" s="616"/>
      <c r="Z56" s="316" t="s">
        <v>1471</v>
      </c>
      <c r="AA56" s="616"/>
      <c r="AB56" s="616">
        <v>0</v>
      </c>
      <c r="AC56" s="616"/>
      <c r="AD56" s="621"/>
      <c r="AE56" s="616"/>
      <c r="AF56" s="616">
        <v>0</v>
      </c>
      <c r="AG56" s="616"/>
      <c r="AH56" s="316" t="s">
        <v>1446</v>
      </c>
      <c r="AI56" s="616"/>
      <c r="AJ56" s="315">
        <f t="shared" si="42"/>
        <v>0</v>
      </c>
      <c r="AK56" s="616"/>
      <c r="AL56" s="315">
        <f t="shared" si="43"/>
        <v>0</v>
      </c>
      <c r="AM56" s="616"/>
      <c r="AN56" s="315">
        <f t="shared" si="44"/>
        <v>0</v>
      </c>
      <c r="AO56" s="616"/>
      <c r="AP56" s="616">
        <f t="shared" si="45"/>
        <v>0</v>
      </c>
      <c r="AR56" s="616">
        <v>0</v>
      </c>
      <c r="AS56" s="616"/>
      <c r="AT56" s="621"/>
      <c r="AU56" s="616"/>
      <c r="AV56" s="616">
        <v>0</v>
      </c>
      <c r="AW56" s="616"/>
      <c r="AX56" s="315">
        <f t="shared" si="46"/>
        <v>0</v>
      </c>
      <c r="AY56" s="616"/>
      <c r="AZ56" s="315">
        <f t="shared" si="47"/>
        <v>0</v>
      </c>
      <c r="BA56" s="616"/>
      <c r="BB56" s="315">
        <f t="shared" si="48"/>
        <v>0</v>
      </c>
      <c r="BC56" s="616"/>
      <c r="BD56" s="616">
        <f t="shared" si="49"/>
        <v>0</v>
      </c>
      <c r="BF56" s="616">
        <f t="shared" si="50"/>
        <v>0</v>
      </c>
      <c r="BI56" s="304">
        <f t="shared" si="40"/>
        <v>323</v>
      </c>
    </row>
    <row r="57" spans="1:61" ht="14.5">
      <c r="A57" s="304">
        <f t="shared" si="41"/>
        <v>324</v>
      </c>
      <c r="B57" s="620"/>
      <c r="F57" s="624" t="s">
        <v>1443</v>
      </c>
      <c r="H57" s="621"/>
      <c r="J57" s="621"/>
      <c r="K57" s="616"/>
      <c r="L57" s="621"/>
      <c r="M57" s="616"/>
      <c r="N57" s="621"/>
      <c r="P57" s="626" t="s">
        <v>1444</v>
      </c>
      <c r="R57" s="616">
        <v>0</v>
      </c>
      <c r="S57" s="616"/>
      <c r="T57" s="616">
        <f t="shared" si="51"/>
        <v>0</v>
      </c>
      <c r="U57" s="616"/>
      <c r="V57" s="616">
        <v>0</v>
      </c>
      <c r="W57" s="616"/>
      <c r="X57" s="616">
        <f t="shared" si="52"/>
        <v>0</v>
      </c>
      <c r="Y57" s="616"/>
      <c r="Z57" s="316" t="s">
        <v>1471</v>
      </c>
      <c r="AA57" s="616"/>
      <c r="AB57" s="616">
        <v>0</v>
      </c>
      <c r="AC57" s="616"/>
      <c r="AD57" s="621"/>
      <c r="AE57" s="616"/>
      <c r="AF57" s="616">
        <v>0</v>
      </c>
      <c r="AG57" s="616"/>
      <c r="AH57" s="316" t="s">
        <v>1446</v>
      </c>
      <c r="AI57" s="616"/>
      <c r="AJ57" s="315">
        <f t="shared" si="42"/>
        <v>0</v>
      </c>
      <c r="AK57" s="616"/>
      <c r="AL57" s="315">
        <f t="shared" si="43"/>
        <v>0</v>
      </c>
      <c r="AM57" s="616"/>
      <c r="AN57" s="315">
        <f t="shared" si="44"/>
        <v>0</v>
      </c>
      <c r="AO57" s="616"/>
      <c r="AP57" s="616">
        <f t="shared" si="45"/>
        <v>0</v>
      </c>
      <c r="AR57" s="616">
        <v>0</v>
      </c>
      <c r="AS57" s="616"/>
      <c r="AT57" s="621"/>
      <c r="AU57" s="616"/>
      <c r="AV57" s="616">
        <v>0</v>
      </c>
      <c r="AW57" s="616"/>
      <c r="AX57" s="315">
        <f t="shared" si="46"/>
        <v>0</v>
      </c>
      <c r="AY57" s="616"/>
      <c r="AZ57" s="315">
        <f t="shared" si="47"/>
        <v>0</v>
      </c>
      <c r="BA57" s="616"/>
      <c r="BB57" s="315">
        <f t="shared" si="48"/>
        <v>0</v>
      </c>
      <c r="BC57" s="616"/>
      <c r="BD57" s="616">
        <f t="shared" si="49"/>
        <v>0</v>
      </c>
      <c r="BF57" s="616">
        <f t="shared" si="50"/>
        <v>0</v>
      </c>
      <c r="BI57" s="304">
        <f t="shared" si="40"/>
        <v>324</v>
      </c>
    </row>
    <row r="58" spans="1:61" ht="14.5">
      <c r="A58" s="304">
        <f t="shared" si="41"/>
        <v>325</v>
      </c>
      <c r="B58" s="620"/>
      <c r="F58" s="624" t="s">
        <v>1443</v>
      </c>
      <c r="H58" s="621"/>
      <c r="J58" s="621"/>
      <c r="K58" s="616"/>
      <c r="L58" s="621"/>
      <c r="M58" s="616"/>
      <c r="N58" s="621"/>
      <c r="P58" s="626" t="s">
        <v>1444</v>
      </c>
      <c r="R58" s="616">
        <v>0</v>
      </c>
      <c r="S58" s="616"/>
      <c r="T58" s="616">
        <f t="shared" si="51"/>
        <v>0</v>
      </c>
      <c r="U58" s="616"/>
      <c r="V58" s="616">
        <v>0</v>
      </c>
      <c r="W58" s="616"/>
      <c r="X58" s="616">
        <f t="shared" si="52"/>
        <v>0</v>
      </c>
      <c r="Y58" s="616"/>
      <c r="Z58" s="316" t="s">
        <v>1471</v>
      </c>
      <c r="AA58" s="616"/>
      <c r="AB58" s="616">
        <v>0</v>
      </c>
      <c r="AC58" s="616"/>
      <c r="AD58" s="621"/>
      <c r="AE58" s="616"/>
      <c r="AF58" s="616">
        <v>0</v>
      </c>
      <c r="AG58" s="616"/>
      <c r="AH58" s="316" t="s">
        <v>1446</v>
      </c>
      <c r="AI58" s="616"/>
      <c r="AJ58" s="315">
        <f t="shared" si="42"/>
        <v>0</v>
      </c>
      <c r="AK58" s="616"/>
      <c r="AL58" s="315">
        <f t="shared" si="43"/>
        <v>0</v>
      </c>
      <c r="AM58" s="616"/>
      <c r="AN58" s="315">
        <f t="shared" si="44"/>
        <v>0</v>
      </c>
      <c r="AO58" s="616"/>
      <c r="AP58" s="616">
        <f t="shared" si="45"/>
        <v>0</v>
      </c>
      <c r="AR58" s="616">
        <v>0</v>
      </c>
      <c r="AS58" s="616"/>
      <c r="AT58" s="621"/>
      <c r="AU58" s="616"/>
      <c r="AV58" s="616">
        <v>0</v>
      </c>
      <c r="AW58" s="616"/>
      <c r="AX58" s="315">
        <f t="shared" si="46"/>
        <v>0</v>
      </c>
      <c r="AY58" s="616"/>
      <c r="AZ58" s="315">
        <f t="shared" si="47"/>
        <v>0</v>
      </c>
      <c r="BA58" s="616"/>
      <c r="BB58" s="315">
        <f t="shared" si="48"/>
        <v>0</v>
      </c>
      <c r="BC58" s="616"/>
      <c r="BD58" s="616">
        <f t="shared" si="49"/>
        <v>0</v>
      </c>
      <c r="BF58" s="616">
        <f t="shared" si="50"/>
        <v>0</v>
      </c>
      <c r="BI58" s="304">
        <f t="shared" si="40"/>
        <v>325</v>
      </c>
    </row>
    <row r="59" spans="1:61" ht="14.5">
      <c r="A59" s="304">
        <f t="shared" si="41"/>
        <v>326</v>
      </c>
      <c r="B59" s="620"/>
      <c r="F59" s="624" t="s">
        <v>1443</v>
      </c>
      <c r="H59" s="621"/>
      <c r="J59" s="621"/>
      <c r="K59" s="616"/>
      <c r="L59" s="621"/>
      <c r="M59" s="616"/>
      <c r="N59" s="621"/>
      <c r="P59" s="626" t="s">
        <v>1444</v>
      </c>
      <c r="R59" s="616">
        <v>0</v>
      </c>
      <c r="S59" s="616"/>
      <c r="T59" s="616">
        <f t="shared" si="51"/>
        <v>0</v>
      </c>
      <c r="U59" s="616"/>
      <c r="V59" s="616">
        <v>0</v>
      </c>
      <c r="W59" s="616"/>
      <c r="X59" s="616">
        <f t="shared" si="52"/>
        <v>0</v>
      </c>
      <c r="Y59" s="616"/>
      <c r="Z59" s="316" t="s">
        <v>1471</v>
      </c>
      <c r="AA59" s="616"/>
      <c r="AB59" s="616">
        <v>0</v>
      </c>
      <c r="AC59" s="616"/>
      <c r="AD59" s="621"/>
      <c r="AE59" s="616"/>
      <c r="AF59" s="616">
        <v>0</v>
      </c>
      <c r="AG59" s="616"/>
      <c r="AH59" s="316" t="s">
        <v>1446</v>
      </c>
      <c r="AI59" s="616"/>
      <c r="AJ59" s="315">
        <f t="shared" si="42"/>
        <v>0</v>
      </c>
      <c r="AK59" s="616"/>
      <c r="AL59" s="315">
        <f t="shared" si="43"/>
        <v>0</v>
      </c>
      <c r="AM59" s="616"/>
      <c r="AN59" s="315">
        <f t="shared" si="44"/>
        <v>0</v>
      </c>
      <c r="AO59" s="616"/>
      <c r="AP59" s="616">
        <f t="shared" si="45"/>
        <v>0</v>
      </c>
      <c r="AR59" s="616">
        <v>0</v>
      </c>
      <c r="AS59" s="616"/>
      <c r="AT59" s="621"/>
      <c r="AU59" s="616"/>
      <c r="AV59" s="616">
        <v>0</v>
      </c>
      <c r="AW59" s="616"/>
      <c r="AX59" s="315">
        <f t="shared" si="46"/>
        <v>0</v>
      </c>
      <c r="AY59" s="616"/>
      <c r="AZ59" s="315">
        <f t="shared" si="47"/>
        <v>0</v>
      </c>
      <c r="BA59" s="616"/>
      <c r="BB59" s="315">
        <f t="shared" si="48"/>
        <v>0</v>
      </c>
      <c r="BC59" s="616"/>
      <c r="BD59" s="616">
        <f t="shared" si="49"/>
        <v>0</v>
      </c>
      <c r="BF59" s="616">
        <f t="shared" si="50"/>
        <v>0</v>
      </c>
      <c r="BI59" s="304">
        <f t="shared" si="40"/>
        <v>326</v>
      </c>
    </row>
    <row r="60" spans="1:61" ht="14.5">
      <c r="A60" s="304">
        <f t="shared" si="41"/>
        <v>327</v>
      </c>
      <c r="B60" s="620"/>
      <c r="F60" s="624" t="s">
        <v>1443</v>
      </c>
      <c r="H60" s="621"/>
      <c r="J60" s="621"/>
      <c r="K60" s="616"/>
      <c r="L60" s="621"/>
      <c r="M60" s="616"/>
      <c r="N60" s="621"/>
      <c r="P60" s="626" t="s">
        <v>1444</v>
      </c>
      <c r="R60" s="616">
        <v>0</v>
      </c>
      <c r="S60" s="616"/>
      <c r="T60" s="616">
        <f t="shared" si="51"/>
        <v>0</v>
      </c>
      <c r="U60" s="616"/>
      <c r="V60" s="616">
        <v>0</v>
      </c>
      <c r="W60" s="616"/>
      <c r="X60" s="616">
        <f t="shared" si="52"/>
        <v>0</v>
      </c>
      <c r="Y60" s="616"/>
      <c r="Z60" s="316" t="s">
        <v>1471</v>
      </c>
      <c r="AA60" s="616"/>
      <c r="AB60" s="616">
        <v>0</v>
      </c>
      <c r="AC60" s="616"/>
      <c r="AD60" s="621"/>
      <c r="AE60" s="616"/>
      <c r="AF60" s="616">
        <v>0</v>
      </c>
      <c r="AG60" s="616"/>
      <c r="AH60" s="316" t="s">
        <v>1446</v>
      </c>
      <c r="AI60" s="616"/>
      <c r="AJ60" s="315">
        <f t="shared" si="42"/>
        <v>0</v>
      </c>
      <c r="AK60" s="616"/>
      <c r="AL60" s="315">
        <f t="shared" si="43"/>
        <v>0</v>
      </c>
      <c r="AM60" s="616"/>
      <c r="AN60" s="315">
        <f t="shared" si="44"/>
        <v>0</v>
      </c>
      <c r="AO60" s="616"/>
      <c r="AP60" s="616">
        <f t="shared" si="45"/>
        <v>0</v>
      </c>
      <c r="AR60" s="616">
        <v>0</v>
      </c>
      <c r="AS60" s="616"/>
      <c r="AT60" s="621"/>
      <c r="AU60" s="616"/>
      <c r="AV60" s="616">
        <v>0</v>
      </c>
      <c r="AW60" s="616"/>
      <c r="AX60" s="315">
        <f t="shared" si="46"/>
        <v>0</v>
      </c>
      <c r="AY60" s="616"/>
      <c r="AZ60" s="315">
        <f t="shared" si="47"/>
        <v>0</v>
      </c>
      <c r="BA60" s="616"/>
      <c r="BB60" s="315">
        <f t="shared" si="48"/>
        <v>0</v>
      </c>
      <c r="BC60" s="616"/>
      <c r="BD60" s="616">
        <f t="shared" si="49"/>
        <v>0</v>
      </c>
      <c r="BF60" s="616">
        <f t="shared" si="50"/>
        <v>0</v>
      </c>
      <c r="BI60" s="304">
        <f t="shared" si="40"/>
        <v>327</v>
      </c>
    </row>
    <row r="61" spans="1:61" ht="14.5">
      <c r="A61" s="304">
        <f t="shared" si="41"/>
        <v>328</v>
      </c>
      <c r="B61" s="620"/>
      <c r="F61" s="624" t="s">
        <v>1443</v>
      </c>
      <c r="H61" s="621"/>
      <c r="J61" s="621"/>
      <c r="K61" s="616"/>
      <c r="L61" s="621"/>
      <c r="M61" s="616"/>
      <c r="N61" s="621"/>
      <c r="P61" s="626" t="s">
        <v>1444</v>
      </c>
      <c r="R61" s="616">
        <v>0</v>
      </c>
      <c r="S61" s="616"/>
      <c r="T61" s="616">
        <f t="shared" si="51"/>
        <v>0</v>
      </c>
      <c r="U61" s="616"/>
      <c r="V61" s="616">
        <v>0</v>
      </c>
      <c r="W61" s="616"/>
      <c r="X61" s="616">
        <f t="shared" si="52"/>
        <v>0</v>
      </c>
      <c r="Y61" s="616"/>
      <c r="Z61" s="316" t="s">
        <v>1471</v>
      </c>
      <c r="AA61" s="616"/>
      <c r="AB61" s="616">
        <v>0</v>
      </c>
      <c r="AC61" s="616"/>
      <c r="AD61" s="621"/>
      <c r="AE61" s="616"/>
      <c r="AF61" s="616">
        <v>0</v>
      </c>
      <c r="AG61" s="616"/>
      <c r="AH61" s="316" t="s">
        <v>1446</v>
      </c>
      <c r="AI61" s="616"/>
      <c r="AJ61" s="315">
        <f t="shared" si="42"/>
        <v>0</v>
      </c>
      <c r="AK61" s="616"/>
      <c r="AL61" s="315">
        <f t="shared" si="43"/>
        <v>0</v>
      </c>
      <c r="AM61" s="616"/>
      <c r="AN61" s="315">
        <f t="shared" si="44"/>
        <v>0</v>
      </c>
      <c r="AO61" s="616"/>
      <c r="AP61" s="616">
        <f t="shared" si="45"/>
        <v>0</v>
      </c>
      <c r="AR61" s="616">
        <v>0</v>
      </c>
      <c r="AS61" s="616"/>
      <c r="AT61" s="621"/>
      <c r="AU61" s="616"/>
      <c r="AV61" s="616">
        <v>0</v>
      </c>
      <c r="AW61" s="616"/>
      <c r="AX61" s="315">
        <f t="shared" si="46"/>
        <v>0</v>
      </c>
      <c r="AY61" s="616"/>
      <c r="AZ61" s="315">
        <f t="shared" si="47"/>
        <v>0</v>
      </c>
      <c r="BA61" s="616"/>
      <c r="BB61" s="315">
        <f t="shared" si="48"/>
        <v>0</v>
      </c>
      <c r="BC61" s="616"/>
      <c r="BD61" s="616">
        <f t="shared" si="49"/>
        <v>0</v>
      </c>
      <c r="BF61" s="616">
        <f t="shared" si="50"/>
        <v>0</v>
      </c>
      <c r="BI61" s="304">
        <f t="shared" si="40"/>
        <v>328</v>
      </c>
    </row>
    <row r="62" spans="1:61" ht="14.5">
      <c r="A62" s="304">
        <f t="shared" si="41"/>
        <v>329</v>
      </c>
      <c r="B62" s="620"/>
      <c r="F62" s="624" t="s">
        <v>1443</v>
      </c>
      <c r="H62" s="621"/>
      <c r="J62" s="621"/>
      <c r="K62" s="616"/>
      <c r="L62" s="621"/>
      <c r="M62" s="616"/>
      <c r="N62" s="621"/>
      <c r="P62" s="626" t="s">
        <v>1444</v>
      </c>
      <c r="R62" s="616">
        <v>0</v>
      </c>
      <c r="S62" s="616"/>
      <c r="T62" s="616">
        <f t="shared" si="51"/>
        <v>0</v>
      </c>
      <c r="U62" s="616"/>
      <c r="V62" s="616">
        <v>0</v>
      </c>
      <c r="W62" s="616"/>
      <c r="X62" s="616">
        <f t="shared" si="52"/>
        <v>0</v>
      </c>
      <c r="Y62" s="616"/>
      <c r="Z62" s="316" t="s">
        <v>1471</v>
      </c>
      <c r="AA62" s="616"/>
      <c r="AB62" s="616">
        <v>0</v>
      </c>
      <c r="AC62" s="616"/>
      <c r="AD62" s="621"/>
      <c r="AE62" s="616"/>
      <c r="AF62" s="616">
        <v>0</v>
      </c>
      <c r="AG62" s="616"/>
      <c r="AH62" s="316" t="s">
        <v>1446</v>
      </c>
      <c r="AI62" s="616"/>
      <c r="AJ62" s="315">
        <f t="shared" si="42"/>
        <v>0</v>
      </c>
      <c r="AK62" s="616"/>
      <c r="AL62" s="315">
        <f t="shared" si="43"/>
        <v>0</v>
      </c>
      <c r="AM62" s="616"/>
      <c r="AN62" s="315">
        <f t="shared" si="44"/>
        <v>0</v>
      </c>
      <c r="AO62" s="616"/>
      <c r="AP62" s="616">
        <f t="shared" si="45"/>
        <v>0</v>
      </c>
      <c r="AR62" s="616">
        <v>0</v>
      </c>
      <c r="AS62" s="616"/>
      <c r="AT62" s="621"/>
      <c r="AU62" s="616"/>
      <c r="AV62" s="616">
        <v>0</v>
      </c>
      <c r="AW62" s="616"/>
      <c r="AX62" s="315">
        <f t="shared" si="46"/>
        <v>0</v>
      </c>
      <c r="AY62" s="616"/>
      <c r="AZ62" s="315">
        <f t="shared" si="47"/>
        <v>0</v>
      </c>
      <c r="BA62" s="616"/>
      <c r="BB62" s="315">
        <f t="shared" si="48"/>
        <v>0</v>
      </c>
      <c r="BC62" s="616"/>
      <c r="BD62" s="616">
        <f t="shared" si="49"/>
        <v>0</v>
      </c>
      <c r="BF62" s="616">
        <f t="shared" si="50"/>
        <v>0</v>
      </c>
      <c r="BI62" s="304">
        <f t="shared" si="40"/>
        <v>329</v>
      </c>
    </row>
    <row r="63" spans="1:61" ht="14.5">
      <c r="A63" s="304">
        <f t="shared" si="41"/>
        <v>330</v>
      </c>
      <c r="B63" s="620"/>
      <c r="F63" s="624" t="s">
        <v>1443</v>
      </c>
      <c r="H63" s="621"/>
      <c r="J63" s="621"/>
      <c r="K63" s="616"/>
      <c r="L63" s="621"/>
      <c r="M63" s="616"/>
      <c r="N63" s="621"/>
      <c r="P63" s="626" t="s">
        <v>1444</v>
      </c>
      <c r="R63" s="616">
        <v>0</v>
      </c>
      <c r="S63" s="616"/>
      <c r="T63" s="616">
        <f t="shared" si="51"/>
        <v>0</v>
      </c>
      <c r="U63" s="616"/>
      <c r="V63" s="616">
        <v>0</v>
      </c>
      <c r="W63" s="616"/>
      <c r="X63" s="616">
        <f t="shared" si="52"/>
        <v>0</v>
      </c>
      <c r="Y63" s="616"/>
      <c r="Z63" s="316" t="s">
        <v>1471</v>
      </c>
      <c r="AA63" s="616"/>
      <c r="AB63" s="616">
        <v>0</v>
      </c>
      <c r="AC63" s="616"/>
      <c r="AD63" s="621"/>
      <c r="AE63" s="616"/>
      <c r="AF63" s="616">
        <v>0</v>
      </c>
      <c r="AG63" s="616"/>
      <c r="AH63" s="316" t="s">
        <v>1446</v>
      </c>
      <c r="AI63" s="616"/>
      <c r="AJ63" s="315">
        <f t="shared" si="42"/>
        <v>0</v>
      </c>
      <c r="AK63" s="616"/>
      <c r="AL63" s="315">
        <f t="shared" si="43"/>
        <v>0</v>
      </c>
      <c r="AM63" s="616"/>
      <c r="AN63" s="315">
        <f t="shared" si="44"/>
        <v>0</v>
      </c>
      <c r="AO63" s="616"/>
      <c r="AP63" s="616">
        <f t="shared" si="45"/>
        <v>0</v>
      </c>
      <c r="AR63" s="616">
        <v>0</v>
      </c>
      <c r="AS63" s="616"/>
      <c r="AT63" s="621"/>
      <c r="AU63" s="616"/>
      <c r="AV63" s="616">
        <v>0</v>
      </c>
      <c r="AW63" s="616"/>
      <c r="AX63" s="315">
        <f t="shared" si="46"/>
        <v>0</v>
      </c>
      <c r="AY63" s="616"/>
      <c r="AZ63" s="315">
        <f t="shared" si="47"/>
        <v>0</v>
      </c>
      <c r="BA63" s="616"/>
      <c r="BB63" s="315">
        <f t="shared" si="48"/>
        <v>0</v>
      </c>
      <c r="BC63" s="616"/>
      <c r="BD63" s="616">
        <f t="shared" si="49"/>
        <v>0</v>
      </c>
      <c r="BF63" s="616">
        <f t="shared" si="50"/>
        <v>0</v>
      </c>
      <c r="BI63" s="304">
        <f t="shared" si="40"/>
        <v>330</v>
      </c>
    </row>
    <row r="64" spans="1:61" ht="14.5">
      <c r="A64" s="304">
        <f t="shared" si="41"/>
        <v>331</v>
      </c>
      <c r="B64" s="620"/>
      <c r="F64" s="624" t="s">
        <v>1443</v>
      </c>
      <c r="H64" s="621"/>
      <c r="J64" s="621"/>
      <c r="K64" s="616"/>
      <c r="L64" s="621"/>
      <c r="M64" s="616"/>
      <c r="N64" s="621"/>
      <c r="P64" s="626" t="s">
        <v>1444</v>
      </c>
      <c r="R64" s="616">
        <v>0</v>
      </c>
      <c r="S64" s="616"/>
      <c r="T64" s="616">
        <f t="shared" si="51"/>
        <v>0</v>
      </c>
      <c r="U64" s="616"/>
      <c r="V64" s="616">
        <v>0</v>
      </c>
      <c r="W64" s="616"/>
      <c r="X64" s="616">
        <f t="shared" si="52"/>
        <v>0</v>
      </c>
      <c r="Y64" s="616"/>
      <c r="Z64" s="316" t="s">
        <v>1471</v>
      </c>
      <c r="AA64" s="616"/>
      <c r="AB64" s="616">
        <v>0</v>
      </c>
      <c r="AC64" s="616"/>
      <c r="AD64" s="621"/>
      <c r="AE64" s="616"/>
      <c r="AF64" s="616">
        <v>0</v>
      </c>
      <c r="AG64" s="616"/>
      <c r="AH64" s="316" t="s">
        <v>1446</v>
      </c>
      <c r="AI64" s="616"/>
      <c r="AJ64" s="315">
        <f t="shared" si="42"/>
        <v>0</v>
      </c>
      <c r="AK64" s="616"/>
      <c r="AL64" s="315">
        <f t="shared" si="43"/>
        <v>0</v>
      </c>
      <c r="AM64" s="616"/>
      <c r="AN64" s="315">
        <f t="shared" si="44"/>
        <v>0</v>
      </c>
      <c r="AO64" s="616"/>
      <c r="AP64" s="616">
        <f t="shared" si="45"/>
        <v>0</v>
      </c>
      <c r="AR64" s="616">
        <v>0</v>
      </c>
      <c r="AS64" s="616"/>
      <c r="AT64" s="621"/>
      <c r="AU64" s="616"/>
      <c r="AV64" s="616">
        <v>0</v>
      </c>
      <c r="AW64" s="616"/>
      <c r="AX64" s="315">
        <f t="shared" si="46"/>
        <v>0</v>
      </c>
      <c r="AY64" s="616"/>
      <c r="AZ64" s="315">
        <f t="shared" si="47"/>
        <v>0</v>
      </c>
      <c r="BA64" s="616"/>
      <c r="BB64" s="315">
        <f t="shared" si="48"/>
        <v>0</v>
      </c>
      <c r="BC64" s="616"/>
      <c r="BD64" s="616">
        <f t="shared" si="49"/>
        <v>0</v>
      </c>
      <c r="BF64" s="616">
        <f t="shared" si="50"/>
        <v>0</v>
      </c>
      <c r="BI64" s="304">
        <f t="shared" si="40"/>
        <v>331</v>
      </c>
    </row>
    <row r="65" spans="1:61" ht="14.5">
      <c r="A65" s="304">
        <f t="shared" si="41"/>
        <v>332</v>
      </c>
      <c r="B65" s="620"/>
      <c r="F65" s="624" t="s">
        <v>1443</v>
      </c>
      <c r="H65" s="621"/>
      <c r="J65" s="621"/>
      <c r="K65" s="616"/>
      <c r="L65" s="621"/>
      <c r="M65" s="616"/>
      <c r="N65" s="621"/>
      <c r="P65" s="626" t="s">
        <v>1444</v>
      </c>
      <c r="R65" s="616">
        <v>0</v>
      </c>
      <c r="S65" s="616"/>
      <c r="T65" s="616">
        <f t="shared" si="51"/>
        <v>0</v>
      </c>
      <c r="U65" s="616"/>
      <c r="V65" s="616">
        <v>0</v>
      </c>
      <c r="W65" s="616"/>
      <c r="X65" s="616">
        <f t="shared" si="52"/>
        <v>0</v>
      </c>
      <c r="Y65" s="616"/>
      <c r="Z65" s="316" t="s">
        <v>1471</v>
      </c>
      <c r="AA65" s="616"/>
      <c r="AB65" s="616">
        <v>0</v>
      </c>
      <c r="AC65" s="616"/>
      <c r="AD65" s="621"/>
      <c r="AE65" s="616"/>
      <c r="AF65" s="616">
        <v>0</v>
      </c>
      <c r="AG65" s="616"/>
      <c r="AH65" s="316" t="s">
        <v>1446</v>
      </c>
      <c r="AI65" s="616"/>
      <c r="AJ65" s="315">
        <f t="shared" si="42"/>
        <v>0</v>
      </c>
      <c r="AK65" s="616"/>
      <c r="AL65" s="315">
        <f t="shared" si="43"/>
        <v>0</v>
      </c>
      <c r="AM65" s="616"/>
      <c r="AN65" s="315">
        <f t="shared" si="44"/>
        <v>0</v>
      </c>
      <c r="AO65" s="616"/>
      <c r="AP65" s="616">
        <f t="shared" si="45"/>
        <v>0</v>
      </c>
      <c r="AR65" s="616">
        <v>0</v>
      </c>
      <c r="AS65" s="616"/>
      <c r="AT65" s="621"/>
      <c r="AU65" s="616"/>
      <c r="AV65" s="616">
        <v>0</v>
      </c>
      <c r="AW65" s="616"/>
      <c r="AX65" s="315">
        <f t="shared" si="46"/>
        <v>0</v>
      </c>
      <c r="AY65" s="616"/>
      <c r="AZ65" s="315">
        <f t="shared" si="47"/>
        <v>0</v>
      </c>
      <c r="BA65" s="616"/>
      <c r="BB65" s="315">
        <f t="shared" si="48"/>
        <v>0</v>
      </c>
      <c r="BC65" s="616"/>
      <c r="BD65" s="616">
        <f t="shared" si="49"/>
        <v>0</v>
      </c>
      <c r="BF65" s="616">
        <f t="shared" si="50"/>
        <v>0</v>
      </c>
      <c r="BI65" s="304">
        <f t="shared" si="40"/>
        <v>332</v>
      </c>
    </row>
    <row r="66" spans="1:61" ht="14.5">
      <c r="A66" s="304">
        <f t="shared" si="41"/>
        <v>333</v>
      </c>
      <c r="B66" s="620"/>
      <c r="F66" s="624" t="s">
        <v>1443</v>
      </c>
      <c r="H66" s="621"/>
      <c r="J66" s="621"/>
      <c r="K66" s="616"/>
      <c r="L66" s="621"/>
      <c r="M66" s="616"/>
      <c r="N66" s="621"/>
      <c r="P66" s="626" t="s">
        <v>1444</v>
      </c>
      <c r="R66" s="616">
        <f>+N66</f>
        <v>0</v>
      </c>
      <c r="S66" s="616"/>
      <c r="T66" s="616"/>
      <c r="U66" s="616"/>
      <c r="V66" s="616">
        <v>0</v>
      </c>
      <c r="W66" s="616"/>
      <c r="X66" s="616">
        <f t="shared" si="52"/>
        <v>0</v>
      </c>
      <c r="Y66" s="616"/>
      <c r="Z66" s="316" t="s">
        <v>1471</v>
      </c>
      <c r="AA66" s="616"/>
      <c r="AB66" s="616">
        <v>0</v>
      </c>
      <c r="AC66" s="616"/>
      <c r="AD66" s="621"/>
      <c r="AE66" s="616"/>
      <c r="AF66" s="616">
        <v>0</v>
      </c>
      <c r="AG66" s="616"/>
      <c r="AH66" s="316" t="s">
        <v>1446</v>
      </c>
      <c r="AI66" s="616"/>
      <c r="AJ66" s="315">
        <f t="shared" si="42"/>
        <v>0</v>
      </c>
      <c r="AK66" s="616"/>
      <c r="AL66" s="315">
        <f t="shared" si="43"/>
        <v>0</v>
      </c>
      <c r="AM66" s="616"/>
      <c r="AN66" s="315">
        <f t="shared" si="44"/>
        <v>0</v>
      </c>
      <c r="AO66" s="616"/>
      <c r="AP66" s="616">
        <f t="shared" si="45"/>
        <v>0</v>
      </c>
      <c r="AR66" s="616">
        <v>0</v>
      </c>
      <c r="AS66" s="616"/>
      <c r="AT66" s="621"/>
      <c r="AU66" s="616"/>
      <c r="AV66" s="616">
        <v>0</v>
      </c>
      <c r="AW66" s="616"/>
      <c r="AX66" s="315">
        <f t="shared" si="46"/>
        <v>0</v>
      </c>
      <c r="AY66" s="616"/>
      <c r="AZ66" s="315">
        <f t="shared" si="47"/>
        <v>0</v>
      </c>
      <c r="BA66" s="616"/>
      <c r="BB66" s="315">
        <f t="shared" si="48"/>
        <v>0</v>
      </c>
      <c r="BC66" s="616"/>
      <c r="BD66" s="616">
        <f t="shared" si="49"/>
        <v>0</v>
      </c>
      <c r="BF66" s="616">
        <f t="shared" si="50"/>
        <v>0</v>
      </c>
      <c r="BI66" s="304">
        <f t="shared" si="40"/>
        <v>333</v>
      </c>
    </row>
    <row r="67" spans="1:61" ht="14.5">
      <c r="A67" s="304">
        <f t="shared" si="41"/>
        <v>334</v>
      </c>
      <c r="B67" s="620"/>
      <c r="F67" s="624" t="s">
        <v>1443</v>
      </c>
      <c r="H67" s="621"/>
      <c r="J67" s="621"/>
      <c r="K67" s="616"/>
      <c r="L67" s="621"/>
      <c r="M67" s="616"/>
      <c r="N67" s="621"/>
      <c r="P67" s="626" t="s">
        <v>1444</v>
      </c>
      <c r="R67" s="616">
        <v>0</v>
      </c>
      <c r="S67" s="616"/>
      <c r="T67" s="616">
        <f t="shared" si="51"/>
        <v>0</v>
      </c>
      <c r="U67" s="616"/>
      <c r="V67" s="616">
        <v>0</v>
      </c>
      <c r="W67" s="616"/>
      <c r="X67" s="616">
        <f t="shared" si="52"/>
        <v>0</v>
      </c>
      <c r="Y67" s="616"/>
      <c r="Z67" s="316" t="s">
        <v>1471</v>
      </c>
      <c r="AA67" s="616"/>
      <c r="AB67" s="616">
        <v>0</v>
      </c>
      <c r="AC67" s="616"/>
      <c r="AD67" s="621"/>
      <c r="AE67" s="616"/>
      <c r="AF67" s="616">
        <v>0</v>
      </c>
      <c r="AG67" s="616"/>
      <c r="AH67" s="316" t="s">
        <v>1446</v>
      </c>
      <c r="AI67" s="616"/>
      <c r="AJ67" s="315">
        <f t="shared" si="42"/>
        <v>0</v>
      </c>
      <c r="AK67" s="616"/>
      <c r="AL67" s="315">
        <f t="shared" si="43"/>
        <v>0</v>
      </c>
      <c r="AM67" s="616"/>
      <c r="AN67" s="315">
        <f t="shared" si="44"/>
        <v>0</v>
      </c>
      <c r="AO67" s="616"/>
      <c r="AP67" s="616">
        <f t="shared" si="45"/>
        <v>0</v>
      </c>
      <c r="AR67" s="616">
        <v>0</v>
      </c>
      <c r="AS67" s="616"/>
      <c r="AT67" s="621"/>
      <c r="AU67" s="616"/>
      <c r="AV67" s="616">
        <v>0</v>
      </c>
      <c r="AW67" s="616"/>
      <c r="AX67" s="315">
        <f t="shared" si="46"/>
        <v>0</v>
      </c>
      <c r="AY67" s="616"/>
      <c r="AZ67" s="315">
        <f t="shared" si="47"/>
        <v>0</v>
      </c>
      <c r="BA67" s="616"/>
      <c r="BB67" s="315">
        <f t="shared" si="48"/>
        <v>0</v>
      </c>
      <c r="BC67" s="616"/>
      <c r="BD67" s="616">
        <f t="shared" si="49"/>
        <v>0</v>
      </c>
      <c r="BF67" s="616">
        <f t="shared" si="50"/>
        <v>0</v>
      </c>
      <c r="BI67" s="304">
        <f t="shared" si="40"/>
        <v>334</v>
      </c>
    </row>
    <row r="68" spans="1:61" ht="14.5">
      <c r="A68" s="304">
        <f t="shared" si="41"/>
        <v>335</v>
      </c>
      <c r="B68" s="620"/>
      <c r="F68" s="624" t="s">
        <v>1443</v>
      </c>
      <c r="H68" s="621"/>
      <c r="J68" s="621"/>
      <c r="K68" s="616"/>
      <c r="L68" s="621"/>
      <c r="M68" s="616"/>
      <c r="N68" s="621"/>
      <c r="P68" s="626" t="s">
        <v>1444</v>
      </c>
      <c r="R68" s="616">
        <v>0</v>
      </c>
      <c r="S68" s="616"/>
      <c r="T68" s="616">
        <f t="shared" si="51"/>
        <v>0</v>
      </c>
      <c r="U68" s="616"/>
      <c r="V68" s="616">
        <v>0</v>
      </c>
      <c r="W68" s="616"/>
      <c r="X68" s="616">
        <f t="shared" si="52"/>
        <v>0</v>
      </c>
      <c r="Y68" s="616"/>
      <c r="Z68" s="316" t="s">
        <v>1471</v>
      </c>
      <c r="AA68" s="616"/>
      <c r="AB68" s="616">
        <v>0</v>
      </c>
      <c r="AC68" s="616"/>
      <c r="AD68" s="621"/>
      <c r="AE68" s="616"/>
      <c r="AF68" s="616">
        <v>0</v>
      </c>
      <c r="AG68" s="616"/>
      <c r="AH68" s="316" t="s">
        <v>1446</v>
      </c>
      <c r="AI68" s="616"/>
      <c r="AJ68" s="315">
        <f t="shared" si="42"/>
        <v>0</v>
      </c>
      <c r="AK68" s="616"/>
      <c r="AL68" s="315">
        <f t="shared" si="43"/>
        <v>0</v>
      </c>
      <c r="AM68" s="616"/>
      <c r="AN68" s="315">
        <f t="shared" si="44"/>
        <v>0</v>
      </c>
      <c r="AO68" s="616"/>
      <c r="AP68" s="616">
        <f t="shared" si="45"/>
        <v>0</v>
      </c>
      <c r="AR68" s="616">
        <v>0</v>
      </c>
      <c r="AS68" s="616"/>
      <c r="AT68" s="621"/>
      <c r="AU68" s="616"/>
      <c r="AV68" s="616">
        <v>0</v>
      </c>
      <c r="AW68" s="616"/>
      <c r="AX68" s="315">
        <f t="shared" si="46"/>
        <v>0</v>
      </c>
      <c r="AY68" s="616"/>
      <c r="AZ68" s="315">
        <f t="shared" si="47"/>
        <v>0</v>
      </c>
      <c r="BA68" s="616"/>
      <c r="BB68" s="315">
        <f t="shared" si="48"/>
        <v>0</v>
      </c>
      <c r="BC68" s="616"/>
      <c r="BD68" s="616">
        <f t="shared" si="49"/>
        <v>0</v>
      </c>
      <c r="BF68" s="616">
        <f t="shared" si="50"/>
        <v>0</v>
      </c>
      <c r="BI68" s="304">
        <f t="shared" si="40"/>
        <v>335</v>
      </c>
    </row>
    <row r="69" spans="1:61" ht="14.5">
      <c r="A69" s="304">
        <f t="shared" si="41"/>
        <v>336</v>
      </c>
      <c r="B69" s="620"/>
      <c r="F69" s="624" t="s">
        <v>1443</v>
      </c>
      <c r="H69" s="621"/>
      <c r="J69" s="621"/>
      <c r="K69" s="616"/>
      <c r="L69" s="621"/>
      <c r="M69" s="616"/>
      <c r="N69" s="621"/>
      <c r="P69" s="626" t="s">
        <v>1444</v>
      </c>
      <c r="R69" s="616">
        <v>0</v>
      </c>
      <c r="S69" s="616"/>
      <c r="T69" s="616">
        <f t="shared" si="51"/>
        <v>0</v>
      </c>
      <c r="U69" s="616"/>
      <c r="V69" s="616">
        <v>0</v>
      </c>
      <c r="W69" s="616"/>
      <c r="X69" s="616">
        <f t="shared" si="52"/>
        <v>0</v>
      </c>
      <c r="Y69" s="616"/>
      <c r="Z69" s="316" t="s">
        <v>1471</v>
      </c>
      <c r="AA69" s="616"/>
      <c r="AB69" s="616">
        <v>0</v>
      </c>
      <c r="AC69" s="616"/>
      <c r="AD69" s="621"/>
      <c r="AE69" s="616"/>
      <c r="AF69" s="616">
        <v>0</v>
      </c>
      <c r="AG69" s="616"/>
      <c r="AH69" s="316" t="s">
        <v>1446</v>
      </c>
      <c r="AI69" s="616"/>
      <c r="AJ69" s="315">
        <f t="shared" si="42"/>
        <v>0</v>
      </c>
      <c r="AK69" s="616"/>
      <c r="AL69" s="315">
        <f t="shared" si="43"/>
        <v>0</v>
      </c>
      <c r="AM69" s="616"/>
      <c r="AN69" s="315">
        <f t="shared" si="44"/>
        <v>0</v>
      </c>
      <c r="AO69" s="616"/>
      <c r="AP69" s="616">
        <f t="shared" si="45"/>
        <v>0</v>
      </c>
      <c r="AR69" s="616">
        <v>0</v>
      </c>
      <c r="AS69" s="616"/>
      <c r="AT69" s="621"/>
      <c r="AU69" s="616"/>
      <c r="AV69" s="616">
        <v>0</v>
      </c>
      <c r="AW69" s="616"/>
      <c r="AX69" s="315">
        <f t="shared" si="46"/>
        <v>0</v>
      </c>
      <c r="AY69" s="616"/>
      <c r="AZ69" s="315">
        <f t="shared" si="47"/>
        <v>0</v>
      </c>
      <c r="BA69" s="616"/>
      <c r="BB69" s="315">
        <f t="shared" si="48"/>
        <v>0</v>
      </c>
      <c r="BC69" s="616"/>
      <c r="BD69" s="616">
        <f t="shared" si="49"/>
        <v>0</v>
      </c>
      <c r="BF69" s="616">
        <f t="shared" si="50"/>
        <v>0</v>
      </c>
      <c r="BI69" s="304">
        <f t="shared" si="40"/>
        <v>336</v>
      </c>
    </row>
    <row r="70" spans="1:61" ht="14.5">
      <c r="A70" s="304">
        <f t="shared" si="41"/>
        <v>337</v>
      </c>
      <c r="B70" s="620"/>
      <c r="F70" s="624" t="s">
        <v>1443</v>
      </c>
      <c r="H70" s="621"/>
      <c r="J70" s="621"/>
      <c r="K70" s="616"/>
      <c r="L70" s="621"/>
      <c r="M70" s="616"/>
      <c r="N70" s="621"/>
      <c r="P70" s="626" t="s">
        <v>1444</v>
      </c>
      <c r="R70" s="616">
        <v>0</v>
      </c>
      <c r="S70" s="616"/>
      <c r="T70" s="616">
        <f t="shared" si="51"/>
        <v>0</v>
      </c>
      <c r="U70" s="616"/>
      <c r="V70" s="616">
        <v>0</v>
      </c>
      <c r="W70" s="616"/>
      <c r="X70" s="616">
        <f t="shared" si="52"/>
        <v>0</v>
      </c>
      <c r="Y70" s="616"/>
      <c r="Z70" s="316" t="s">
        <v>1471</v>
      </c>
      <c r="AA70" s="616"/>
      <c r="AB70" s="616">
        <v>0</v>
      </c>
      <c r="AC70" s="616"/>
      <c r="AD70" s="621"/>
      <c r="AE70" s="616"/>
      <c r="AF70" s="616">
        <v>0</v>
      </c>
      <c r="AG70" s="616"/>
      <c r="AH70" s="316" t="s">
        <v>1446</v>
      </c>
      <c r="AI70" s="616"/>
      <c r="AJ70" s="315">
        <f t="shared" si="42"/>
        <v>0</v>
      </c>
      <c r="AK70" s="616"/>
      <c r="AL70" s="315">
        <f t="shared" si="43"/>
        <v>0</v>
      </c>
      <c r="AM70" s="616"/>
      <c r="AN70" s="315">
        <f t="shared" si="44"/>
        <v>0</v>
      </c>
      <c r="AO70" s="616"/>
      <c r="AP70" s="616">
        <f t="shared" si="45"/>
        <v>0</v>
      </c>
      <c r="AR70" s="616">
        <v>0</v>
      </c>
      <c r="AS70" s="616"/>
      <c r="AT70" s="621"/>
      <c r="AU70" s="616"/>
      <c r="AV70" s="616">
        <v>0</v>
      </c>
      <c r="AW70" s="616"/>
      <c r="AX70" s="315">
        <f t="shared" si="46"/>
        <v>0</v>
      </c>
      <c r="AY70" s="616"/>
      <c r="AZ70" s="315">
        <f t="shared" si="47"/>
        <v>0</v>
      </c>
      <c r="BA70" s="616"/>
      <c r="BB70" s="315">
        <f t="shared" si="48"/>
        <v>0</v>
      </c>
      <c r="BC70" s="616"/>
      <c r="BD70" s="616">
        <f t="shared" si="49"/>
        <v>0</v>
      </c>
      <c r="BF70" s="616">
        <f t="shared" si="50"/>
        <v>0</v>
      </c>
      <c r="BI70" s="304">
        <f t="shared" si="40"/>
        <v>337</v>
      </c>
    </row>
    <row r="71" spans="1:61" ht="14.5">
      <c r="A71" s="304">
        <f t="shared" si="41"/>
        <v>338</v>
      </c>
      <c r="B71" s="620"/>
      <c r="F71" s="624" t="s">
        <v>1443</v>
      </c>
      <c r="H71" s="621"/>
      <c r="J71" s="621"/>
      <c r="K71" s="616"/>
      <c r="L71" s="621"/>
      <c r="M71" s="616"/>
      <c r="N71" s="621"/>
      <c r="P71" s="626" t="s">
        <v>1444</v>
      </c>
      <c r="R71" s="616">
        <v>0</v>
      </c>
      <c r="S71" s="616"/>
      <c r="T71" s="616">
        <f t="shared" si="51"/>
        <v>0</v>
      </c>
      <c r="U71" s="616"/>
      <c r="V71" s="616">
        <v>0</v>
      </c>
      <c r="W71" s="616"/>
      <c r="X71" s="616">
        <f t="shared" si="52"/>
        <v>0</v>
      </c>
      <c r="Y71" s="616"/>
      <c r="Z71" s="316" t="s">
        <v>1471</v>
      </c>
      <c r="AA71" s="616"/>
      <c r="AB71" s="616">
        <v>0</v>
      </c>
      <c r="AC71" s="616"/>
      <c r="AD71" s="621"/>
      <c r="AE71" s="616"/>
      <c r="AF71" s="616">
        <v>0</v>
      </c>
      <c r="AG71" s="616"/>
      <c r="AH71" s="316" t="s">
        <v>1446</v>
      </c>
      <c r="AI71" s="616"/>
      <c r="AJ71" s="315">
        <f t="shared" si="42"/>
        <v>0</v>
      </c>
      <c r="AK71" s="616"/>
      <c r="AL71" s="315">
        <f t="shared" si="43"/>
        <v>0</v>
      </c>
      <c r="AM71" s="616"/>
      <c r="AN71" s="315">
        <f t="shared" si="44"/>
        <v>0</v>
      </c>
      <c r="AO71" s="616"/>
      <c r="AP71" s="616">
        <f t="shared" si="45"/>
        <v>0</v>
      </c>
      <c r="AR71" s="616">
        <v>0</v>
      </c>
      <c r="AS71" s="616"/>
      <c r="AT71" s="621"/>
      <c r="AU71" s="616"/>
      <c r="AV71" s="616">
        <v>0</v>
      </c>
      <c r="AW71" s="616"/>
      <c r="AX71" s="315">
        <f t="shared" si="46"/>
        <v>0</v>
      </c>
      <c r="AY71" s="616"/>
      <c r="AZ71" s="315">
        <f t="shared" si="47"/>
        <v>0</v>
      </c>
      <c r="BA71" s="616"/>
      <c r="BB71" s="315">
        <f t="shared" si="48"/>
        <v>0</v>
      </c>
      <c r="BC71" s="616"/>
      <c r="BD71" s="616">
        <f t="shared" si="49"/>
        <v>0</v>
      </c>
      <c r="BF71" s="616">
        <f t="shared" si="50"/>
        <v>0</v>
      </c>
      <c r="BI71" s="304">
        <f t="shared" si="40"/>
        <v>338</v>
      </c>
    </row>
    <row r="72" spans="1:61" ht="14.5">
      <c r="A72" s="304">
        <f t="shared" si="41"/>
        <v>339</v>
      </c>
      <c r="B72" s="620"/>
      <c r="F72" s="624" t="s">
        <v>1443</v>
      </c>
      <c r="H72" s="621"/>
      <c r="J72" s="621"/>
      <c r="K72" s="616"/>
      <c r="L72" s="621"/>
      <c r="M72" s="616"/>
      <c r="N72" s="621"/>
      <c r="P72" s="626" t="s">
        <v>1444</v>
      </c>
      <c r="R72" s="616">
        <v>0</v>
      </c>
      <c r="S72" s="616"/>
      <c r="T72" s="616">
        <f t="shared" si="51"/>
        <v>0</v>
      </c>
      <c r="U72" s="616"/>
      <c r="V72" s="616">
        <v>0</v>
      </c>
      <c r="W72" s="616"/>
      <c r="X72" s="616">
        <f t="shared" si="52"/>
        <v>0</v>
      </c>
      <c r="Y72" s="616"/>
      <c r="Z72" s="316" t="s">
        <v>1471</v>
      </c>
      <c r="AA72" s="616"/>
      <c r="AB72" s="616">
        <v>0</v>
      </c>
      <c r="AC72" s="616"/>
      <c r="AD72" s="621"/>
      <c r="AE72" s="616"/>
      <c r="AF72" s="616">
        <v>0</v>
      </c>
      <c r="AG72" s="616"/>
      <c r="AH72" s="316" t="s">
        <v>1446</v>
      </c>
      <c r="AI72" s="616"/>
      <c r="AJ72" s="315">
        <f t="shared" si="42"/>
        <v>0</v>
      </c>
      <c r="AK72" s="616"/>
      <c r="AL72" s="315">
        <f t="shared" si="43"/>
        <v>0</v>
      </c>
      <c r="AM72" s="616"/>
      <c r="AN72" s="315">
        <f t="shared" si="44"/>
        <v>0</v>
      </c>
      <c r="AO72" s="616"/>
      <c r="AP72" s="616">
        <f t="shared" si="45"/>
        <v>0</v>
      </c>
      <c r="AR72" s="616">
        <v>0</v>
      </c>
      <c r="AS72" s="616"/>
      <c r="AT72" s="621"/>
      <c r="AU72" s="616"/>
      <c r="AV72" s="616">
        <v>0</v>
      </c>
      <c r="AW72" s="616"/>
      <c r="AX72" s="315">
        <f t="shared" si="46"/>
        <v>0</v>
      </c>
      <c r="AY72" s="616"/>
      <c r="AZ72" s="315">
        <f t="shared" si="47"/>
        <v>0</v>
      </c>
      <c r="BA72" s="616"/>
      <c r="BB72" s="315">
        <f t="shared" si="48"/>
        <v>0</v>
      </c>
      <c r="BC72" s="616"/>
      <c r="BD72" s="616">
        <f t="shared" si="49"/>
        <v>0</v>
      </c>
      <c r="BF72" s="616">
        <f t="shared" si="50"/>
        <v>0</v>
      </c>
      <c r="BI72" s="304">
        <f t="shared" si="40"/>
        <v>339</v>
      </c>
    </row>
    <row r="73" spans="1:61" ht="14.5">
      <c r="A73" s="304">
        <f t="shared" si="41"/>
        <v>340</v>
      </c>
      <c r="B73" s="620"/>
      <c r="F73" s="624" t="s">
        <v>1443</v>
      </c>
      <c r="H73" s="621"/>
      <c r="J73" s="621"/>
      <c r="K73" s="616"/>
      <c r="L73" s="621"/>
      <c r="M73" s="616"/>
      <c r="N73" s="621"/>
      <c r="P73" s="626" t="s">
        <v>1444</v>
      </c>
      <c r="R73" s="616">
        <v>0</v>
      </c>
      <c r="S73" s="616"/>
      <c r="T73" s="616">
        <f t="shared" si="51"/>
        <v>0</v>
      </c>
      <c r="U73" s="616"/>
      <c r="V73" s="616">
        <v>0</v>
      </c>
      <c r="W73" s="616"/>
      <c r="X73" s="616">
        <f t="shared" si="52"/>
        <v>0</v>
      </c>
      <c r="Y73" s="616"/>
      <c r="Z73" s="316" t="s">
        <v>1471</v>
      </c>
      <c r="AA73" s="616"/>
      <c r="AB73" s="616">
        <v>0</v>
      </c>
      <c r="AC73" s="616"/>
      <c r="AD73" s="621"/>
      <c r="AE73" s="616"/>
      <c r="AF73" s="616">
        <v>0</v>
      </c>
      <c r="AG73" s="616"/>
      <c r="AH73" s="316" t="s">
        <v>1446</v>
      </c>
      <c r="AI73" s="616"/>
      <c r="AJ73" s="315">
        <f t="shared" si="42"/>
        <v>0</v>
      </c>
      <c r="AK73" s="616"/>
      <c r="AL73" s="315">
        <f t="shared" si="43"/>
        <v>0</v>
      </c>
      <c r="AM73" s="616"/>
      <c r="AN73" s="315">
        <f t="shared" si="44"/>
        <v>0</v>
      </c>
      <c r="AO73" s="616"/>
      <c r="AP73" s="616">
        <f t="shared" si="45"/>
        <v>0</v>
      </c>
      <c r="AR73" s="616">
        <v>0</v>
      </c>
      <c r="AS73" s="616"/>
      <c r="AT73" s="621"/>
      <c r="AU73" s="616"/>
      <c r="AV73" s="616">
        <v>0</v>
      </c>
      <c r="AW73" s="616"/>
      <c r="AX73" s="315">
        <f t="shared" si="46"/>
        <v>0</v>
      </c>
      <c r="AY73" s="616"/>
      <c r="AZ73" s="315">
        <f t="shared" si="47"/>
        <v>0</v>
      </c>
      <c r="BA73" s="616"/>
      <c r="BB73" s="315">
        <f t="shared" si="48"/>
        <v>0</v>
      </c>
      <c r="BC73" s="616"/>
      <c r="BD73" s="616">
        <f t="shared" si="49"/>
        <v>0</v>
      </c>
      <c r="BF73" s="616">
        <f t="shared" si="50"/>
        <v>0</v>
      </c>
      <c r="BI73" s="304">
        <f t="shared" si="40"/>
        <v>340</v>
      </c>
    </row>
    <row r="74" spans="1:61" ht="14.5">
      <c r="A74" s="304">
        <f t="shared" si="41"/>
        <v>341</v>
      </c>
      <c r="B74" s="620"/>
      <c r="F74" s="624" t="s">
        <v>1443</v>
      </c>
      <c r="H74" s="621"/>
      <c r="J74" s="621"/>
      <c r="K74" s="616"/>
      <c r="L74" s="621"/>
      <c r="M74" s="616"/>
      <c r="N74" s="621"/>
      <c r="P74" s="626" t="s">
        <v>1444</v>
      </c>
      <c r="R74" s="616">
        <v>0</v>
      </c>
      <c r="S74" s="616"/>
      <c r="T74" s="616">
        <f t="shared" si="51"/>
        <v>0</v>
      </c>
      <c r="U74" s="616"/>
      <c r="V74" s="616">
        <v>0</v>
      </c>
      <c r="W74" s="616"/>
      <c r="X74" s="616">
        <f t="shared" si="52"/>
        <v>0</v>
      </c>
      <c r="Y74" s="616"/>
      <c r="Z74" s="316" t="s">
        <v>1471</v>
      </c>
      <c r="AA74" s="616"/>
      <c r="AB74" s="616">
        <v>0</v>
      </c>
      <c r="AC74" s="616"/>
      <c r="AD74" s="621"/>
      <c r="AE74" s="616"/>
      <c r="AF74" s="616">
        <v>0</v>
      </c>
      <c r="AG74" s="616"/>
      <c r="AH74" s="316" t="s">
        <v>1446</v>
      </c>
      <c r="AI74" s="616"/>
      <c r="AJ74" s="315">
        <f t="shared" si="42"/>
        <v>0</v>
      </c>
      <c r="AK74" s="616"/>
      <c r="AL74" s="315">
        <f t="shared" si="43"/>
        <v>0</v>
      </c>
      <c r="AM74" s="616"/>
      <c r="AN74" s="315">
        <f t="shared" si="44"/>
        <v>0</v>
      </c>
      <c r="AO74" s="616"/>
      <c r="AP74" s="616">
        <f t="shared" si="45"/>
        <v>0</v>
      </c>
      <c r="AR74" s="616">
        <v>0</v>
      </c>
      <c r="AS74" s="616"/>
      <c r="AT74" s="621"/>
      <c r="AU74" s="616"/>
      <c r="AV74" s="616">
        <v>0</v>
      </c>
      <c r="AW74" s="616"/>
      <c r="AX74" s="315">
        <f t="shared" si="46"/>
        <v>0</v>
      </c>
      <c r="AY74" s="616"/>
      <c r="AZ74" s="315">
        <f t="shared" si="47"/>
        <v>0</v>
      </c>
      <c r="BA74" s="616"/>
      <c r="BB74" s="315">
        <f t="shared" si="48"/>
        <v>0</v>
      </c>
      <c r="BC74" s="616"/>
      <c r="BD74" s="616">
        <f t="shared" si="49"/>
        <v>0</v>
      </c>
      <c r="BF74" s="616">
        <f t="shared" si="50"/>
        <v>0</v>
      </c>
      <c r="BI74" s="304">
        <f t="shared" si="40"/>
        <v>341</v>
      </c>
    </row>
    <row r="75" spans="1:61" ht="14.5">
      <c r="A75" s="304">
        <f t="shared" si="41"/>
        <v>342</v>
      </c>
      <c r="B75" s="620"/>
      <c r="F75" s="624" t="s">
        <v>1443</v>
      </c>
      <c r="H75" s="621"/>
      <c r="J75" s="621"/>
      <c r="K75" s="616"/>
      <c r="L75" s="621"/>
      <c r="M75" s="616"/>
      <c r="N75" s="621"/>
      <c r="P75" s="626" t="s">
        <v>1444</v>
      </c>
      <c r="R75" s="616">
        <v>0</v>
      </c>
      <c r="S75" s="616"/>
      <c r="T75" s="616">
        <f t="shared" si="51"/>
        <v>0</v>
      </c>
      <c r="U75" s="616"/>
      <c r="V75" s="616">
        <v>0</v>
      </c>
      <c r="W75" s="616"/>
      <c r="X75" s="616">
        <f t="shared" si="52"/>
        <v>0</v>
      </c>
      <c r="Y75" s="616"/>
      <c r="Z75" s="316" t="s">
        <v>1471</v>
      </c>
      <c r="AA75" s="616"/>
      <c r="AB75" s="616">
        <v>0</v>
      </c>
      <c r="AC75" s="616"/>
      <c r="AD75" s="621"/>
      <c r="AE75" s="616"/>
      <c r="AF75" s="616">
        <v>0</v>
      </c>
      <c r="AG75" s="616"/>
      <c r="AH75" s="316" t="s">
        <v>1446</v>
      </c>
      <c r="AI75" s="616"/>
      <c r="AJ75" s="315">
        <f t="shared" si="42"/>
        <v>0</v>
      </c>
      <c r="AK75" s="616"/>
      <c r="AL75" s="315">
        <f t="shared" si="43"/>
        <v>0</v>
      </c>
      <c r="AM75" s="616"/>
      <c r="AN75" s="315">
        <f t="shared" si="44"/>
        <v>0</v>
      </c>
      <c r="AO75" s="616"/>
      <c r="AP75" s="616">
        <f t="shared" si="45"/>
        <v>0</v>
      </c>
      <c r="AR75" s="616">
        <v>0</v>
      </c>
      <c r="AS75" s="616"/>
      <c r="AT75" s="621"/>
      <c r="AU75" s="616"/>
      <c r="AV75" s="616">
        <v>0</v>
      </c>
      <c r="AW75" s="616"/>
      <c r="AX75" s="315">
        <f t="shared" si="46"/>
        <v>0</v>
      </c>
      <c r="AY75" s="616"/>
      <c r="AZ75" s="315">
        <f t="shared" si="47"/>
        <v>0</v>
      </c>
      <c r="BA75" s="616"/>
      <c r="BB75" s="315">
        <f t="shared" si="48"/>
        <v>0</v>
      </c>
      <c r="BC75" s="616"/>
      <c r="BD75" s="616">
        <f t="shared" si="49"/>
        <v>0</v>
      </c>
      <c r="BF75" s="616">
        <f t="shared" si="50"/>
        <v>0</v>
      </c>
      <c r="BI75" s="304">
        <f t="shared" si="40"/>
        <v>342</v>
      </c>
    </row>
    <row r="76" spans="1:61" ht="14.5">
      <c r="A76" s="304">
        <f t="shared" si="41"/>
        <v>343</v>
      </c>
      <c r="B76" s="620"/>
      <c r="F76" s="624" t="s">
        <v>1443</v>
      </c>
      <c r="H76" s="621"/>
      <c r="J76" s="621"/>
      <c r="K76" s="616"/>
      <c r="L76" s="621"/>
      <c r="M76" s="616"/>
      <c r="N76" s="621"/>
      <c r="P76" s="626" t="s">
        <v>1444</v>
      </c>
      <c r="R76" s="616">
        <v>0</v>
      </c>
      <c r="S76" s="616"/>
      <c r="T76" s="616">
        <f t="shared" si="51"/>
        <v>0</v>
      </c>
      <c r="U76" s="616"/>
      <c r="V76" s="616">
        <v>0</v>
      </c>
      <c r="W76" s="616"/>
      <c r="X76" s="616">
        <f t="shared" si="52"/>
        <v>0</v>
      </c>
      <c r="Y76" s="616"/>
      <c r="Z76" s="316" t="s">
        <v>1471</v>
      </c>
      <c r="AA76" s="616"/>
      <c r="AB76" s="616">
        <v>0</v>
      </c>
      <c r="AC76" s="616"/>
      <c r="AD76" s="621"/>
      <c r="AE76" s="616"/>
      <c r="AF76" s="616">
        <v>0</v>
      </c>
      <c r="AG76" s="616"/>
      <c r="AH76" s="316" t="s">
        <v>1446</v>
      </c>
      <c r="AI76" s="616"/>
      <c r="AJ76" s="315">
        <f t="shared" si="42"/>
        <v>0</v>
      </c>
      <c r="AK76" s="616"/>
      <c r="AL76" s="315">
        <f t="shared" si="43"/>
        <v>0</v>
      </c>
      <c r="AM76" s="616"/>
      <c r="AN76" s="315">
        <f t="shared" si="44"/>
        <v>0</v>
      </c>
      <c r="AO76" s="616"/>
      <c r="AP76" s="616">
        <f t="shared" si="45"/>
        <v>0</v>
      </c>
      <c r="AR76" s="616">
        <v>0</v>
      </c>
      <c r="AS76" s="616"/>
      <c r="AT76" s="621"/>
      <c r="AU76" s="616"/>
      <c r="AV76" s="616">
        <v>0</v>
      </c>
      <c r="AW76" s="616"/>
      <c r="AX76" s="315">
        <f t="shared" si="46"/>
        <v>0</v>
      </c>
      <c r="AY76" s="616"/>
      <c r="AZ76" s="315">
        <f t="shared" si="47"/>
        <v>0</v>
      </c>
      <c r="BA76" s="616"/>
      <c r="BB76" s="315">
        <f t="shared" si="48"/>
        <v>0</v>
      </c>
      <c r="BC76" s="616"/>
      <c r="BD76" s="616">
        <f t="shared" si="49"/>
        <v>0</v>
      </c>
      <c r="BF76" s="616">
        <f t="shared" si="50"/>
        <v>0</v>
      </c>
      <c r="BI76" s="304">
        <f t="shared" si="40"/>
        <v>343</v>
      </c>
    </row>
    <row r="77" spans="1:61" ht="14.5">
      <c r="A77" s="304">
        <f t="shared" si="41"/>
        <v>344</v>
      </c>
      <c r="B77" s="620"/>
      <c r="F77" s="624" t="s">
        <v>1443</v>
      </c>
      <c r="H77" s="621"/>
      <c r="J77" s="621"/>
      <c r="K77" s="616"/>
      <c r="L77" s="621"/>
      <c r="M77" s="616"/>
      <c r="N77" s="621"/>
      <c r="P77" s="626" t="s">
        <v>1444</v>
      </c>
      <c r="R77" s="616">
        <v>0</v>
      </c>
      <c r="S77" s="616"/>
      <c r="T77" s="616">
        <f t="shared" si="51"/>
        <v>0</v>
      </c>
      <c r="U77" s="616"/>
      <c r="V77" s="616">
        <v>0</v>
      </c>
      <c r="W77" s="616"/>
      <c r="X77" s="616">
        <f t="shared" si="52"/>
        <v>0</v>
      </c>
      <c r="Y77" s="616"/>
      <c r="Z77" s="316" t="s">
        <v>1471</v>
      </c>
      <c r="AA77" s="616"/>
      <c r="AB77" s="616">
        <v>0</v>
      </c>
      <c r="AC77" s="616"/>
      <c r="AD77" s="621"/>
      <c r="AE77" s="616"/>
      <c r="AF77" s="616">
        <v>0</v>
      </c>
      <c r="AG77" s="616"/>
      <c r="AH77" s="316" t="s">
        <v>1446</v>
      </c>
      <c r="AI77" s="616"/>
      <c r="AJ77" s="315">
        <f t="shared" si="42"/>
        <v>0</v>
      </c>
      <c r="AK77" s="616"/>
      <c r="AL77" s="315">
        <f t="shared" si="43"/>
        <v>0</v>
      </c>
      <c r="AM77" s="616"/>
      <c r="AN77" s="315">
        <f t="shared" si="44"/>
        <v>0</v>
      </c>
      <c r="AO77" s="616"/>
      <c r="AP77" s="616">
        <f t="shared" si="45"/>
        <v>0</v>
      </c>
      <c r="AR77" s="616">
        <v>0</v>
      </c>
      <c r="AS77" s="616"/>
      <c r="AT77" s="621"/>
      <c r="AU77" s="616"/>
      <c r="AV77" s="616">
        <v>0</v>
      </c>
      <c r="AW77" s="616"/>
      <c r="AX77" s="315">
        <f t="shared" si="46"/>
        <v>0</v>
      </c>
      <c r="AY77" s="616"/>
      <c r="AZ77" s="315">
        <f t="shared" si="47"/>
        <v>0</v>
      </c>
      <c r="BA77" s="616"/>
      <c r="BB77" s="315">
        <f t="shared" si="48"/>
        <v>0</v>
      </c>
      <c r="BC77" s="616"/>
      <c r="BD77" s="616">
        <f t="shared" si="49"/>
        <v>0</v>
      </c>
      <c r="BF77" s="616">
        <f t="shared" si="50"/>
        <v>0</v>
      </c>
      <c r="BI77" s="304">
        <f t="shared" si="40"/>
        <v>344</v>
      </c>
    </row>
    <row r="78" spans="1:61" ht="14.5">
      <c r="A78" s="304">
        <f t="shared" si="41"/>
        <v>345</v>
      </c>
      <c r="B78" s="620"/>
      <c r="F78" s="624" t="s">
        <v>1443</v>
      </c>
      <c r="H78" s="621"/>
      <c r="J78" s="621"/>
      <c r="K78" s="616"/>
      <c r="L78" s="621"/>
      <c r="M78" s="616"/>
      <c r="N78" s="621"/>
      <c r="P78" s="626" t="s">
        <v>1444</v>
      </c>
      <c r="R78" s="616">
        <v>0</v>
      </c>
      <c r="S78" s="616"/>
      <c r="T78" s="616">
        <f t="shared" si="51"/>
        <v>0</v>
      </c>
      <c r="U78" s="616"/>
      <c r="V78" s="616">
        <v>0</v>
      </c>
      <c r="W78" s="616"/>
      <c r="X78" s="616">
        <f t="shared" si="52"/>
        <v>0</v>
      </c>
      <c r="Y78" s="616"/>
      <c r="Z78" s="316" t="s">
        <v>1471</v>
      </c>
      <c r="AA78" s="616"/>
      <c r="AB78" s="616">
        <v>0</v>
      </c>
      <c r="AC78" s="616"/>
      <c r="AD78" s="621"/>
      <c r="AE78" s="616"/>
      <c r="AF78" s="616">
        <v>0</v>
      </c>
      <c r="AG78" s="616"/>
      <c r="AH78" s="316" t="s">
        <v>1446</v>
      </c>
      <c r="AI78" s="616"/>
      <c r="AJ78" s="315">
        <f t="shared" si="42"/>
        <v>0</v>
      </c>
      <c r="AK78" s="616"/>
      <c r="AL78" s="315">
        <f t="shared" si="43"/>
        <v>0</v>
      </c>
      <c r="AM78" s="616"/>
      <c r="AN78" s="315">
        <f t="shared" si="44"/>
        <v>0</v>
      </c>
      <c r="AO78" s="616"/>
      <c r="AP78" s="616">
        <f t="shared" si="45"/>
        <v>0</v>
      </c>
      <c r="AR78" s="616">
        <v>0</v>
      </c>
      <c r="AS78" s="616"/>
      <c r="AT78" s="621"/>
      <c r="AU78" s="616"/>
      <c r="AV78" s="616">
        <v>0</v>
      </c>
      <c r="AW78" s="616"/>
      <c r="AX78" s="315">
        <f t="shared" si="46"/>
        <v>0</v>
      </c>
      <c r="AY78" s="616"/>
      <c r="AZ78" s="315">
        <f t="shared" si="47"/>
        <v>0</v>
      </c>
      <c r="BA78" s="616"/>
      <c r="BB78" s="315">
        <f t="shared" si="48"/>
        <v>0</v>
      </c>
      <c r="BC78" s="616"/>
      <c r="BD78" s="616">
        <f t="shared" si="49"/>
        <v>0</v>
      </c>
      <c r="BF78" s="616">
        <f t="shared" si="50"/>
        <v>0</v>
      </c>
      <c r="BI78" s="304">
        <f t="shared" si="40"/>
        <v>345</v>
      </c>
    </row>
    <row r="79" spans="1:61" ht="14.5">
      <c r="A79" s="304">
        <f t="shared" si="41"/>
        <v>346</v>
      </c>
      <c r="B79" s="620"/>
      <c r="F79" s="624" t="s">
        <v>1443</v>
      </c>
      <c r="H79" s="621"/>
      <c r="J79" s="621"/>
      <c r="K79" s="616"/>
      <c r="L79" s="621"/>
      <c r="M79" s="616"/>
      <c r="N79" s="621"/>
      <c r="P79" s="626" t="s">
        <v>1444</v>
      </c>
      <c r="R79" s="616">
        <v>0</v>
      </c>
      <c r="S79" s="616"/>
      <c r="T79" s="616">
        <f t="shared" si="51"/>
        <v>0</v>
      </c>
      <c r="U79" s="616"/>
      <c r="V79" s="616">
        <v>0</v>
      </c>
      <c r="W79" s="616"/>
      <c r="X79" s="616">
        <f t="shared" si="52"/>
        <v>0</v>
      </c>
      <c r="Y79" s="616"/>
      <c r="Z79" s="316" t="s">
        <v>1471</v>
      </c>
      <c r="AA79" s="616"/>
      <c r="AB79" s="616">
        <v>0</v>
      </c>
      <c r="AC79" s="616"/>
      <c r="AD79" s="621"/>
      <c r="AE79" s="616"/>
      <c r="AF79" s="616">
        <v>0</v>
      </c>
      <c r="AG79" s="616"/>
      <c r="AH79" s="316" t="s">
        <v>1446</v>
      </c>
      <c r="AI79" s="616"/>
      <c r="AJ79" s="315">
        <f t="shared" si="42"/>
        <v>0</v>
      </c>
      <c r="AK79" s="616"/>
      <c r="AL79" s="315">
        <f t="shared" si="43"/>
        <v>0</v>
      </c>
      <c r="AM79" s="616"/>
      <c r="AN79" s="315">
        <f t="shared" si="44"/>
        <v>0</v>
      </c>
      <c r="AO79" s="616"/>
      <c r="AP79" s="616">
        <f t="shared" si="45"/>
        <v>0</v>
      </c>
      <c r="AR79" s="616">
        <v>0</v>
      </c>
      <c r="AS79" s="616"/>
      <c r="AT79" s="621"/>
      <c r="AU79" s="616"/>
      <c r="AV79" s="616">
        <v>0</v>
      </c>
      <c r="AW79" s="616"/>
      <c r="AX79" s="315">
        <f t="shared" si="46"/>
        <v>0</v>
      </c>
      <c r="AY79" s="616"/>
      <c r="AZ79" s="315">
        <f t="shared" si="47"/>
        <v>0</v>
      </c>
      <c r="BA79" s="616"/>
      <c r="BB79" s="315">
        <f t="shared" si="48"/>
        <v>0</v>
      </c>
      <c r="BC79" s="616"/>
      <c r="BD79" s="616">
        <f t="shared" si="49"/>
        <v>0</v>
      </c>
      <c r="BF79" s="616">
        <f t="shared" si="50"/>
        <v>0</v>
      </c>
      <c r="BI79" s="304">
        <f t="shared" si="40"/>
        <v>346</v>
      </c>
    </row>
    <row r="80" spans="1:61" ht="14.5">
      <c r="A80" s="304">
        <f t="shared" si="41"/>
        <v>347</v>
      </c>
      <c r="B80" s="620"/>
      <c r="F80" s="624" t="s">
        <v>1443</v>
      </c>
      <c r="H80" s="621"/>
      <c r="J80" s="621"/>
      <c r="K80" s="616"/>
      <c r="L80" s="621"/>
      <c r="M80" s="616"/>
      <c r="N80" s="621"/>
      <c r="P80" s="626" t="s">
        <v>1444</v>
      </c>
      <c r="R80" s="616">
        <v>0</v>
      </c>
      <c r="S80" s="616"/>
      <c r="T80" s="616">
        <f t="shared" si="51"/>
        <v>0</v>
      </c>
      <c r="U80" s="616"/>
      <c r="V80" s="616">
        <v>0</v>
      </c>
      <c r="W80" s="616"/>
      <c r="X80" s="616">
        <f t="shared" si="52"/>
        <v>0</v>
      </c>
      <c r="Y80" s="616"/>
      <c r="Z80" s="316" t="s">
        <v>1471</v>
      </c>
      <c r="AA80" s="616"/>
      <c r="AB80" s="616">
        <v>0</v>
      </c>
      <c r="AC80" s="616"/>
      <c r="AD80" s="621"/>
      <c r="AE80" s="616"/>
      <c r="AF80" s="616">
        <v>0</v>
      </c>
      <c r="AG80" s="616"/>
      <c r="AH80" s="316" t="s">
        <v>1446</v>
      </c>
      <c r="AI80" s="616"/>
      <c r="AJ80" s="315">
        <f t="shared" si="42"/>
        <v>0</v>
      </c>
      <c r="AK80" s="616"/>
      <c r="AL80" s="315">
        <f t="shared" si="43"/>
        <v>0</v>
      </c>
      <c r="AM80" s="616"/>
      <c r="AN80" s="315">
        <f t="shared" si="44"/>
        <v>0</v>
      </c>
      <c r="AO80" s="616"/>
      <c r="AP80" s="616">
        <f t="shared" si="45"/>
        <v>0</v>
      </c>
      <c r="AR80" s="616">
        <v>0</v>
      </c>
      <c r="AS80" s="616"/>
      <c r="AT80" s="621"/>
      <c r="AU80" s="616"/>
      <c r="AV80" s="616">
        <v>0</v>
      </c>
      <c r="AW80" s="616"/>
      <c r="AX80" s="315">
        <f t="shared" si="46"/>
        <v>0</v>
      </c>
      <c r="AY80" s="616"/>
      <c r="AZ80" s="315">
        <f t="shared" si="47"/>
        <v>0</v>
      </c>
      <c r="BA80" s="616"/>
      <c r="BB80" s="315">
        <f t="shared" si="48"/>
        <v>0</v>
      </c>
      <c r="BC80" s="616"/>
      <c r="BD80" s="616">
        <f t="shared" si="49"/>
        <v>0</v>
      </c>
      <c r="BF80" s="616">
        <f t="shared" si="50"/>
        <v>0</v>
      </c>
      <c r="BI80" s="304">
        <f t="shared" si="40"/>
        <v>347</v>
      </c>
    </row>
    <row r="81" spans="1:61" ht="14.5">
      <c r="A81" s="304">
        <f t="shared" si="41"/>
        <v>348</v>
      </c>
      <c r="B81" s="620"/>
      <c r="F81" s="624" t="s">
        <v>1443</v>
      </c>
      <c r="H81" s="621"/>
      <c r="J81" s="621"/>
      <c r="K81" s="616"/>
      <c r="L81" s="621"/>
      <c r="M81" s="616"/>
      <c r="N81" s="621"/>
      <c r="P81" s="626" t="s">
        <v>1444</v>
      </c>
      <c r="R81" s="616">
        <v>0</v>
      </c>
      <c r="S81" s="616"/>
      <c r="T81" s="616">
        <f t="shared" si="51"/>
        <v>0</v>
      </c>
      <c r="U81" s="616"/>
      <c r="V81" s="616">
        <v>0</v>
      </c>
      <c r="W81" s="616"/>
      <c r="X81" s="616">
        <f t="shared" si="52"/>
        <v>0</v>
      </c>
      <c r="Y81" s="616"/>
      <c r="Z81" s="316" t="s">
        <v>1471</v>
      </c>
      <c r="AA81" s="616"/>
      <c r="AB81" s="616">
        <v>0</v>
      </c>
      <c r="AC81" s="616"/>
      <c r="AD81" s="621"/>
      <c r="AE81" s="616"/>
      <c r="AF81" s="616">
        <v>0</v>
      </c>
      <c r="AG81" s="616"/>
      <c r="AH81" s="316" t="s">
        <v>1446</v>
      </c>
      <c r="AI81" s="616"/>
      <c r="AJ81" s="315">
        <f t="shared" si="42"/>
        <v>0</v>
      </c>
      <c r="AK81" s="616"/>
      <c r="AL81" s="315">
        <f t="shared" si="43"/>
        <v>0</v>
      </c>
      <c r="AM81" s="616"/>
      <c r="AN81" s="315">
        <f t="shared" si="44"/>
        <v>0</v>
      </c>
      <c r="AO81" s="616"/>
      <c r="AP81" s="616">
        <f t="shared" si="45"/>
        <v>0</v>
      </c>
      <c r="AR81" s="616">
        <v>0</v>
      </c>
      <c r="AS81" s="616"/>
      <c r="AT81" s="621"/>
      <c r="AU81" s="616"/>
      <c r="AV81" s="616">
        <v>0</v>
      </c>
      <c r="AW81" s="616"/>
      <c r="AX81" s="315">
        <f t="shared" si="46"/>
        <v>0</v>
      </c>
      <c r="AY81" s="616"/>
      <c r="AZ81" s="315">
        <f t="shared" si="47"/>
        <v>0</v>
      </c>
      <c r="BA81" s="616"/>
      <c r="BB81" s="315">
        <f t="shared" si="48"/>
        <v>0</v>
      </c>
      <c r="BC81" s="616"/>
      <c r="BD81" s="616">
        <f t="shared" si="49"/>
        <v>0</v>
      </c>
      <c r="BF81" s="616">
        <f t="shared" si="50"/>
        <v>0</v>
      </c>
      <c r="BI81" s="304">
        <f t="shared" si="40"/>
        <v>348</v>
      </c>
    </row>
    <row r="82" spans="1:61" ht="14.5">
      <c r="A82" s="304">
        <f t="shared" si="41"/>
        <v>349</v>
      </c>
      <c r="B82" s="620"/>
      <c r="F82" s="624" t="s">
        <v>1443</v>
      </c>
      <c r="H82" s="621"/>
      <c r="J82" s="621"/>
      <c r="K82" s="616"/>
      <c r="L82" s="621"/>
      <c r="M82" s="616"/>
      <c r="N82" s="621"/>
      <c r="P82" s="626" t="s">
        <v>1444</v>
      </c>
      <c r="R82" s="616">
        <v>0</v>
      </c>
      <c r="S82" s="616"/>
      <c r="T82" s="616">
        <f t="shared" si="51"/>
        <v>0</v>
      </c>
      <c r="U82" s="616"/>
      <c r="V82" s="616">
        <v>0</v>
      </c>
      <c r="W82" s="616"/>
      <c r="X82" s="616">
        <f t="shared" si="52"/>
        <v>0</v>
      </c>
      <c r="Y82" s="616"/>
      <c r="Z82" s="316" t="s">
        <v>1471</v>
      </c>
      <c r="AA82" s="616"/>
      <c r="AB82" s="616">
        <v>0</v>
      </c>
      <c r="AC82" s="616"/>
      <c r="AD82" s="621"/>
      <c r="AE82" s="616"/>
      <c r="AF82" s="616">
        <v>0</v>
      </c>
      <c r="AG82" s="616"/>
      <c r="AH82" s="316" t="s">
        <v>1446</v>
      </c>
      <c r="AI82" s="616"/>
      <c r="AJ82" s="315">
        <f t="shared" si="42"/>
        <v>0</v>
      </c>
      <c r="AK82" s="616"/>
      <c r="AL82" s="315">
        <f t="shared" si="43"/>
        <v>0</v>
      </c>
      <c r="AM82" s="616"/>
      <c r="AN82" s="315">
        <f t="shared" si="44"/>
        <v>0</v>
      </c>
      <c r="AO82" s="616"/>
      <c r="AP82" s="616">
        <f t="shared" si="45"/>
        <v>0</v>
      </c>
      <c r="AR82" s="616">
        <v>0</v>
      </c>
      <c r="AS82" s="616"/>
      <c r="AT82" s="621"/>
      <c r="AU82" s="616"/>
      <c r="AV82" s="616">
        <v>0</v>
      </c>
      <c r="AW82" s="616"/>
      <c r="AX82" s="315">
        <f t="shared" si="46"/>
        <v>0</v>
      </c>
      <c r="AY82" s="616"/>
      <c r="AZ82" s="315">
        <f t="shared" si="47"/>
        <v>0</v>
      </c>
      <c r="BA82" s="616"/>
      <c r="BB82" s="315">
        <f t="shared" si="48"/>
        <v>0</v>
      </c>
      <c r="BC82" s="616"/>
      <c r="BD82" s="616">
        <f t="shared" si="49"/>
        <v>0</v>
      </c>
      <c r="BF82" s="616">
        <f t="shared" si="50"/>
        <v>0</v>
      </c>
      <c r="BI82" s="304">
        <f t="shared" si="40"/>
        <v>349</v>
      </c>
    </row>
    <row r="83" spans="1:61" ht="14.5">
      <c r="A83" s="304">
        <f t="shared" si="41"/>
        <v>350</v>
      </c>
      <c r="B83" s="620"/>
      <c r="F83" s="624" t="s">
        <v>1443</v>
      </c>
      <c r="H83" s="621"/>
      <c r="J83" s="621"/>
      <c r="K83" s="616"/>
      <c r="L83" s="621"/>
      <c r="M83" s="616"/>
      <c r="N83" s="621"/>
      <c r="P83" s="626" t="s">
        <v>1444</v>
      </c>
      <c r="R83" s="616">
        <v>0</v>
      </c>
      <c r="S83" s="616"/>
      <c r="T83" s="616">
        <f t="shared" si="51"/>
        <v>0</v>
      </c>
      <c r="U83" s="616"/>
      <c r="V83" s="616">
        <v>0</v>
      </c>
      <c r="W83" s="616"/>
      <c r="X83" s="616">
        <f t="shared" si="52"/>
        <v>0</v>
      </c>
      <c r="Y83" s="616"/>
      <c r="Z83" s="316" t="s">
        <v>1471</v>
      </c>
      <c r="AA83" s="616"/>
      <c r="AB83" s="616">
        <v>0</v>
      </c>
      <c r="AC83" s="616"/>
      <c r="AD83" s="621"/>
      <c r="AE83" s="616"/>
      <c r="AF83" s="616">
        <v>0</v>
      </c>
      <c r="AG83" s="616"/>
      <c r="AH83" s="316" t="s">
        <v>1446</v>
      </c>
      <c r="AI83" s="616"/>
      <c r="AJ83" s="315">
        <f t="shared" si="42"/>
        <v>0</v>
      </c>
      <c r="AK83" s="616"/>
      <c r="AL83" s="315">
        <f t="shared" si="43"/>
        <v>0</v>
      </c>
      <c r="AM83" s="616"/>
      <c r="AN83" s="315">
        <f t="shared" si="44"/>
        <v>0</v>
      </c>
      <c r="AO83" s="616"/>
      <c r="AP83" s="616">
        <f t="shared" si="45"/>
        <v>0</v>
      </c>
      <c r="AR83" s="616">
        <v>0</v>
      </c>
      <c r="AS83" s="616"/>
      <c r="AT83" s="621"/>
      <c r="AU83" s="616"/>
      <c r="AV83" s="616">
        <v>0</v>
      </c>
      <c r="AW83" s="616"/>
      <c r="AX83" s="315">
        <f t="shared" si="46"/>
        <v>0</v>
      </c>
      <c r="AY83" s="616"/>
      <c r="AZ83" s="315">
        <f t="shared" si="47"/>
        <v>0</v>
      </c>
      <c r="BA83" s="616"/>
      <c r="BB83" s="315">
        <f t="shared" si="48"/>
        <v>0</v>
      </c>
      <c r="BC83" s="616"/>
      <c r="BD83" s="616">
        <f t="shared" si="49"/>
        <v>0</v>
      </c>
      <c r="BF83" s="616">
        <f t="shared" si="50"/>
        <v>0</v>
      </c>
      <c r="BI83" s="304">
        <f t="shared" si="40"/>
        <v>350</v>
      </c>
    </row>
    <row r="84" spans="1:61" ht="14.5">
      <c r="A84" s="304">
        <f t="shared" si="41"/>
        <v>351</v>
      </c>
      <c r="B84" s="620"/>
      <c r="F84" s="624" t="s">
        <v>1443</v>
      </c>
      <c r="H84" s="621"/>
      <c r="J84" s="621"/>
      <c r="K84" s="616"/>
      <c r="L84" s="621"/>
      <c r="M84" s="616"/>
      <c r="N84" s="621"/>
      <c r="P84" s="626" t="s">
        <v>1444</v>
      </c>
      <c r="R84" s="616">
        <v>0</v>
      </c>
      <c r="S84" s="616"/>
      <c r="T84" s="616">
        <f t="shared" si="51"/>
        <v>0</v>
      </c>
      <c r="U84" s="616"/>
      <c r="V84" s="616">
        <v>0</v>
      </c>
      <c r="W84" s="616"/>
      <c r="X84" s="616">
        <f t="shared" si="52"/>
        <v>0</v>
      </c>
      <c r="Y84" s="616"/>
      <c r="Z84" s="316" t="s">
        <v>1471</v>
      </c>
      <c r="AA84" s="616"/>
      <c r="AB84" s="616">
        <v>0</v>
      </c>
      <c r="AC84" s="616"/>
      <c r="AD84" s="621"/>
      <c r="AE84" s="616"/>
      <c r="AF84" s="616">
        <v>0</v>
      </c>
      <c r="AG84" s="616"/>
      <c r="AH84" s="316" t="s">
        <v>1446</v>
      </c>
      <c r="AI84" s="616"/>
      <c r="AJ84" s="315">
        <f t="shared" si="42"/>
        <v>0</v>
      </c>
      <c r="AK84" s="616"/>
      <c r="AL84" s="315">
        <f t="shared" si="43"/>
        <v>0</v>
      </c>
      <c r="AM84" s="616"/>
      <c r="AN84" s="315">
        <f t="shared" si="44"/>
        <v>0</v>
      </c>
      <c r="AO84" s="616"/>
      <c r="AP84" s="616">
        <f t="shared" si="45"/>
        <v>0</v>
      </c>
      <c r="AR84" s="616">
        <v>0</v>
      </c>
      <c r="AS84" s="616"/>
      <c r="AT84" s="621"/>
      <c r="AU84" s="616"/>
      <c r="AV84" s="616">
        <v>0</v>
      </c>
      <c r="AW84" s="616"/>
      <c r="AX84" s="315">
        <f t="shared" si="46"/>
        <v>0</v>
      </c>
      <c r="AY84" s="616"/>
      <c r="AZ84" s="315">
        <f t="shared" si="47"/>
        <v>0</v>
      </c>
      <c r="BA84" s="616"/>
      <c r="BB84" s="315">
        <f t="shared" si="48"/>
        <v>0</v>
      </c>
      <c r="BC84" s="616"/>
      <c r="BD84" s="616">
        <f t="shared" si="49"/>
        <v>0</v>
      </c>
      <c r="BF84" s="616">
        <f t="shared" si="50"/>
        <v>0</v>
      </c>
      <c r="BI84" s="304">
        <f t="shared" si="40"/>
        <v>351</v>
      </c>
    </row>
    <row r="85" spans="1:61" ht="14.5">
      <c r="A85" s="304">
        <f t="shared" si="41"/>
        <v>352</v>
      </c>
      <c r="B85" s="620"/>
      <c r="F85" s="624" t="s">
        <v>1443</v>
      </c>
      <c r="H85" s="621"/>
      <c r="J85" s="621"/>
      <c r="K85" s="616"/>
      <c r="L85" s="621"/>
      <c r="M85" s="616"/>
      <c r="N85" s="621"/>
      <c r="P85" s="626" t="s">
        <v>1444</v>
      </c>
      <c r="R85" s="616">
        <v>0</v>
      </c>
      <c r="S85" s="616"/>
      <c r="T85" s="616">
        <f t="shared" si="51"/>
        <v>0</v>
      </c>
      <c r="U85" s="616"/>
      <c r="V85" s="616">
        <v>0</v>
      </c>
      <c r="W85" s="616"/>
      <c r="X85" s="616">
        <f t="shared" si="52"/>
        <v>0</v>
      </c>
      <c r="Y85" s="616"/>
      <c r="Z85" s="316" t="s">
        <v>1471</v>
      </c>
      <c r="AA85" s="616"/>
      <c r="AB85" s="616">
        <v>0</v>
      </c>
      <c r="AC85" s="616"/>
      <c r="AD85" s="621"/>
      <c r="AE85" s="616"/>
      <c r="AF85" s="616">
        <v>0</v>
      </c>
      <c r="AG85" s="616"/>
      <c r="AH85" s="316" t="s">
        <v>1446</v>
      </c>
      <c r="AI85" s="616"/>
      <c r="AJ85" s="315">
        <f t="shared" si="42"/>
        <v>0</v>
      </c>
      <c r="AK85" s="616"/>
      <c r="AL85" s="315">
        <f t="shared" si="43"/>
        <v>0</v>
      </c>
      <c r="AM85" s="616"/>
      <c r="AN85" s="315">
        <f t="shared" si="44"/>
        <v>0</v>
      </c>
      <c r="AO85" s="616"/>
      <c r="AP85" s="616">
        <f t="shared" si="45"/>
        <v>0</v>
      </c>
      <c r="AR85" s="616">
        <v>0</v>
      </c>
      <c r="AS85" s="616"/>
      <c r="AT85" s="621"/>
      <c r="AU85" s="616"/>
      <c r="AV85" s="616">
        <v>0</v>
      </c>
      <c r="AW85" s="616"/>
      <c r="AX85" s="315">
        <f t="shared" si="46"/>
        <v>0</v>
      </c>
      <c r="AY85" s="616"/>
      <c r="AZ85" s="315">
        <f t="shared" si="47"/>
        <v>0</v>
      </c>
      <c r="BA85" s="616"/>
      <c r="BB85" s="315">
        <f t="shared" si="48"/>
        <v>0</v>
      </c>
      <c r="BC85" s="616"/>
      <c r="BD85" s="616">
        <f t="shared" si="49"/>
        <v>0</v>
      </c>
      <c r="BF85" s="616">
        <f t="shared" si="50"/>
        <v>0</v>
      </c>
      <c r="BI85" s="304">
        <f t="shared" si="40"/>
        <v>352</v>
      </c>
    </row>
    <row r="86" spans="1:61" ht="14.5">
      <c r="A86" s="304">
        <f t="shared" si="41"/>
        <v>353</v>
      </c>
      <c r="B86" s="620"/>
      <c r="F86" s="624" t="s">
        <v>1443</v>
      </c>
      <c r="H86" s="621"/>
      <c r="J86" s="621"/>
      <c r="K86" s="616"/>
      <c r="L86" s="621"/>
      <c r="M86" s="616"/>
      <c r="N86" s="621"/>
      <c r="P86" s="626" t="s">
        <v>1444</v>
      </c>
      <c r="R86" s="616">
        <v>0</v>
      </c>
      <c r="S86" s="616"/>
      <c r="T86" s="616">
        <f t="shared" si="51"/>
        <v>0</v>
      </c>
      <c r="U86" s="616"/>
      <c r="V86" s="616">
        <v>0</v>
      </c>
      <c r="W86" s="616"/>
      <c r="X86" s="616">
        <f t="shared" si="52"/>
        <v>0</v>
      </c>
      <c r="Y86" s="616"/>
      <c r="Z86" s="316" t="s">
        <v>1471</v>
      </c>
      <c r="AA86" s="616"/>
      <c r="AB86" s="616">
        <v>0</v>
      </c>
      <c r="AC86" s="616"/>
      <c r="AD86" s="621"/>
      <c r="AE86" s="616"/>
      <c r="AF86" s="616">
        <v>0</v>
      </c>
      <c r="AG86" s="616"/>
      <c r="AH86" s="316" t="s">
        <v>1446</v>
      </c>
      <c r="AI86" s="616"/>
      <c r="AJ86" s="315">
        <f t="shared" si="42"/>
        <v>0</v>
      </c>
      <c r="AK86" s="616"/>
      <c r="AL86" s="315">
        <f t="shared" si="43"/>
        <v>0</v>
      </c>
      <c r="AM86" s="616"/>
      <c r="AN86" s="315">
        <f t="shared" si="44"/>
        <v>0</v>
      </c>
      <c r="AO86" s="616"/>
      <c r="AP86" s="616">
        <f t="shared" si="45"/>
        <v>0</v>
      </c>
      <c r="AR86" s="616">
        <v>0</v>
      </c>
      <c r="AS86" s="616"/>
      <c r="AT86" s="621"/>
      <c r="AU86" s="616"/>
      <c r="AV86" s="616">
        <v>0</v>
      </c>
      <c r="AW86" s="616"/>
      <c r="AX86" s="315">
        <f t="shared" si="46"/>
        <v>0</v>
      </c>
      <c r="AY86" s="616"/>
      <c r="AZ86" s="315">
        <f t="shared" si="47"/>
        <v>0</v>
      </c>
      <c r="BA86" s="616"/>
      <c r="BB86" s="315">
        <f t="shared" si="48"/>
        <v>0</v>
      </c>
      <c r="BC86" s="616"/>
      <c r="BD86" s="616">
        <f t="shared" si="49"/>
        <v>0</v>
      </c>
      <c r="BF86" s="616">
        <f t="shared" si="50"/>
        <v>0</v>
      </c>
      <c r="BI86" s="304">
        <f t="shared" si="40"/>
        <v>353</v>
      </c>
    </row>
    <row r="87" spans="1:61" ht="14.5">
      <c r="A87" s="304">
        <f t="shared" si="41"/>
        <v>354</v>
      </c>
      <c r="B87" s="620"/>
      <c r="F87" s="624" t="s">
        <v>1443</v>
      </c>
      <c r="H87" s="621"/>
      <c r="J87" s="621"/>
      <c r="K87" s="616"/>
      <c r="L87" s="621"/>
      <c r="M87" s="616"/>
      <c r="N87" s="621"/>
      <c r="P87" s="626" t="s">
        <v>1444</v>
      </c>
      <c r="R87" s="616">
        <v>0</v>
      </c>
      <c r="S87" s="616"/>
      <c r="T87" s="616">
        <f t="shared" si="51"/>
        <v>0</v>
      </c>
      <c r="U87" s="616"/>
      <c r="V87" s="616">
        <v>0</v>
      </c>
      <c r="W87" s="616"/>
      <c r="X87" s="616">
        <f t="shared" si="52"/>
        <v>0</v>
      </c>
      <c r="Y87" s="616"/>
      <c r="Z87" s="316" t="s">
        <v>1471</v>
      </c>
      <c r="AA87" s="616"/>
      <c r="AB87" s="616">
        <v>0</v>
      </c>
      <c r="AC87" s="616"/>
      <c r="AD87" s="621"/>
      <c r="AE87" s="616"/>
      <c r="AF87" s="616">
        <v>0</v>
      </c>
      <c r="AG87" s="616"/>
      <c r="AH87" s="316" t="s">
        <v>1446</v>
      </c>
      <c r="AI87" s="616"/>
      <c r="AJ87" s="315">
        <f t="shared" si="42"/>
        <v>0</v>
      </c>
      <c r="AK87" s="616"/>
      <c r="AL87" s="315">
        <f t="shared" si="43"/>
        <v>0</v>
      </c>
      <c r="AM87" s="616"/>
      <c r="AN87" s="315">
        <f t="shared" si="44"/>
        <v>0</v>
      </c>
      <c r="AO87" s="616"/>
      <c r="AP87" s="616">
        <f t="shared" si="45"/>
        <v>0</v>
      </c>
      <c r="AR87" s="616">
        <v>0</v>
      </c>
      <c r="AS87" s="616"/>
      <c r="AT87" s="621"/>
      <c r="AU87" s="616"/>
      <c r="AV87" s="616">
        <v>0</v>
      </c>
      <c r="AW87" s="616"/>
      <c r="AX87" s="315">
        <f t="shared" si="46"/>
        <v>0</v>
      </c>
      <c r="AY87" s="616"/>
      <c r="AZ87" s="315">
        <f t="shared" si="47"/>
        <v>0</v>
      </c>
      <c r="BA87" s="616"/>
      <c r="BB87" s="315">
        <f t="shared" si="48"/>
        <v>0</v>
      </c>
      <c r="BC87" s="616"/>
      <c r="BD87" s="616">
        <f t="shared" si="49"/>
        <v>0</v>
      </c>
      <c r="BF87" s="616">
        <f t="shared" si="50"/>
        <v>0</v>
      </c>
      <c r="BI87" s="304">
        <f t="shared" si="40"/>
        <v>354</v>
      </c>
    </row>
    <row r="88" spans="1:61" ht="14.5">
      <c r="A88" s="304">
        <f t="shared" si="41"/>
        <v>355</v>
      </c>
      <c r="B88" s="620"/>
      <c r="F88" s="624" t="s">
        <v>1443</v>
      </c>
      <c r="H88" s="621"/>
      <c r="J88" s="621"/>
      <c r="K88" s="616"/>
      <c r="L88" s="621"/>
      <c r="M88" s="616"/>
      <c r="N88" s="621"/>
      <c r="P88" s="626" t="s">
        <v>1444</v>
      </c>
      <c r="R88" s="616">
        <v>0</v>
      </c>
      <c r="S88" s="616"/>
      <c r="T88" s="616">
        <f t="shared" si="51"/>
        <v>0</v>
      </c>
      <c r="U88" s="616"/>
      <c r="V88" s="616">
        <v>0</v>
      </c>
      <c r="W88" s="616"/>
      <c r="X88" s="616">
        <f t="shared" si="52"/>
        <v>0</v>
      </c>
      <c r="Y88" s="616"/>
      <c r="Z88" s="316" t="s">
        <v>1471</v>
      </c>
      <c r="AA88" s="616"/>
      <c r="AB88" s="616">
        <v>0</v>
      </c>
      <c r="AC88" s="616"/>
      <c r="AD88" s="621"/>
      <c r="AE88" s="616"/>
      <c r="AF88" s="616">
        <v>0</v>
      </c>
      <c r="AG88" s="616"/>
      <c r="AH88" s="316" t="s">
        <v>1446</v>
      </c>
      <c r="AI88" s="616"/>
      <c r="AJ88" s="315">
        <f t="shared" si="42"/>
        <v>0</v>
      </c>
      <c r="AK88" s="616"/>
      <c r="AL88" s="315">
        <f t="shared" si="43"/>
        <v>0</v>
      </c>
      <c r="AM88" s="616"/>
      <c r="AN88" s="315">
        <f t="shared" si="44"/>
        <v>0</v>
      </c>
      <c r="AO88" s="616"/>
      <c r="AP88" s="616">
        <f t="shared" si="45"/>
        <v>0</v>
      </c>
      <c r="AR88" s="616">
        <v>0</v>
      </c>
      <c r="AS88" s="616"/>
      <c r="AT88" s="621"/>
      <c r="AU88" s="616"/>
      <c r="AV88" s="616">
        <v>0</v>
      </c>
      <c r="AW88" s="616"/>
      <c r="AX88" s="315">
        <f t="shared" si="46"/>
        <v>0</v>
      </c>
      <c r="AY88" s="616"/>
      <c r="AZ88" s="315">
        <f t="shared" si="47"/>
        <v>0</v>
      </c>
      <c r="BA88" s="616"/>
      <c r="BB88" s="315">
        <f t="shared" si="48"/>
        <v>0</v>
      </c>
      <c r="BC88" s="616"/>
      <c r="BD88" s="616">
        <f t="shared" si="49"/>
        <v>0</v>
      </c>
      <c r="BF88" s="616">
        <f t="shared" si="50"/>
        <v>0</v>
      </c>
      <c r="BI88" s="304">
        <f t="shared" si="40"/>
        <v>355</v>
      </c>
    </row>
    <row r="89" spans="1:61" ht="14.5">
      <c r="A89" s="304">
        <f t="shared" si="41"/>
        <v>356</v>
      </c>
      <c r="B89" s="622"/>
      <c r="F89" s="624"/>
      <c r="H89" s="621"/>
      <c r="J89" s="621"/>
      <c r="K89" s="616"/>
      <c r="L89" s="621"/>
      <c r="M89" s="616"/>
      <c r="N89" s="621"/>
      <c r="P89" s="626"/>
      <c r="R89" s="616">
        <v>0</v>
      </c>
      <c r="S89" s="616"/>
      <c r="T89" s="616">
        <f t="shared" si="51"/>
        <v>0</v>
      </c>
      <c r="U89" s="616"/>
      <c r="V89" s="616">
        <v>0</v>
      </c>
      <c r="W89" s="616"/>
      <c r="X89" s="616">
        <f t="shared" si="52"/>
        <v>0</v>
      </c>
      <c r="Y89" s="616"/>
      <c r="Z89" s="316"/>
      <c r="AA89" s="616"/>
      <c r="AB89" s="616">
        <v>0</v>
      </c>
      <c r="AC89" s="616"/>
      <c r="AD89" s="621"/>
      <c r="AE89" s="616"/>
      <c r="AF89" s="616">
        <v>0</v>
      </c>
      <c r="AG89" s="616"/>
      <c r="AH89" s="316"/>
      <c r="AI89" s="616"/>
      <c r="AJ89" s="315">
        <f t="shared" si="42"/>
        <v>0</v>
      </c>
      <c r="AK89" s="616"/>
      <c r="AL89" s="315">
        <f t="shared" si="43"/>
        <v>0</v>
      </c>
      <c r="AM89" s="616"/>
      <c r="AN89" s="315">
        <f t="shared" si="44"/>
        <v>0</v>
      </c>
      <c r="AO89" s="616"/>
      <c r="AP89" s="616">
        <f t="shared" si="45"/>
        <v>0</v>
      </c>
      <c r="AR89" s="616">
        <v>0</v>
      </c>
      <c r="AS89" s="616"/>
      <c r="AT89" s="621"/>
      <c r="AU89" s="616"/>
      <c r="AV89" s="616">
        <v>0</v>
      </c>
      <c r="AW89" s="616"/>
      <c r="AX89" s="315">
        <f t="shared" si="46"/>
        <v>0</v>
      </c>
      <c r="AY89" s="616"/>
      <c r="AZ89" s="315">
        <f t="shared" si="47"/>
        <v>0</v>
      </c>
      <c r="BA89" s="616"/>
      <c r="BB89" s="315">
        <f t="shared" si="48"/>
        <v>0</v>
      </c>
      <c r="BC89" s="616"/>
      <c r="BD89" s="616">
        <f t="shared" si="49"/>
        <v>0</v>
      </c>
      <c r="BF89" s="616">
        <f t="shared" si="50"/>
        <v>0</v>
      </c>
      <c r="BI89" s="304">
        <f t="shared" si="40"/>
        <v>356</v>
      </c>
    </row>
    <row r="90" spans="1:61" ht="14.5">
      <c r="A90" s="304">
        <f t="shared" si="41"/>
        <v>357</v>
      </c>
      <c r="B90" s="622" t="s">
        <v>117</v>
      </c>
      <c r="F90" s="624"/>
      <c r="H90" s="621"/>
      <c r="J90" s="621"/>
      <c r="K90" s="616"/>
      <c r="L90" s="621"/>
      <c r="M90" s="616"/>
      <c r="N90" s="621"/>
      <c r="P90" s="626"/>
      <c r="R90" s="616">
        <v>0</v>
      </c>
      <c r="S90" s="616"/>
      <c r="T90" s="616">
        <f t="shared" si="51"/>
        <v>0</v>
      </c>
      <c r="U90" s="616"/>
      <c r="V90" s="616">
        <v>0</v>
      </c>
      <c r="W90" s="616"/>
      <c r="X90" s="616">
        <f t="shared" si="52"/>
        <v>0</v>
      </c>
      <c r="Y90" s="616"/>
      <c r="Z90" s="316"/>
      <c r="AA90" s="616"/>
      <c r="AB90" s="616">
        <v>0</v>
      </c>
      <c r="AC90" s="616"/>
      <c r="AD90" s="621"/>
      <c r="AE90" s="616"/>
      <c r="AF90" s="616">
        <v>0</v>
      </c>
      <c r="AG90" s="616"/>
      <c r="AH90" s="316"/>
      <c r="AI90" s="616"/>
      <c r="AJ90" s="315">
        <f t="shared" si="42"/>
        <v>0</v>
      </c>
      <c r="AK90" s="616"/>
      <c r="AL90" s="315">
        <f t="shared" si="43"/>
        <v>0</v>
      </c>
      <c r="AM90" s="616"/>
      <c r="AN90" s="315">
        <f t="shared" si="44"/>
        <v>0</v>
      </c>
      <c r="AO90" s="616"/>
      <c r="AP90" s="616">
        <f t="shared" si="45"/>
        <v>0</v>
      </c>
      <c r="AR90" s="616">
        <v>0</v>
      </c>
      <c r="AS90" s="616"/>
      <c r="AT90" s="621"/>
      <c r="AU90" s="616"/>
      <c r="AV90" s="616">
        <v>0</v>
      </c>
      <c r="AW90" s="616"/>
      <c r="AX90" s="315">
        <f t="shared" si="46"/>
        <v>0</v>
      </c>
      <c r="AY90" s="616"/>
      <c r="AZ90" s="315">
        <f t="shared" si="47"/>
        <v>0</v>
      </c>
      <c r="BA90" s="616"/>
      <c r="BB90" s="315">
        <f t="shared" si="48"/>
        <v>0</v>
      </c>
      <c r="BC90" s="616"/>
      <c r="BD90" s="616">
        <f t="shared" si="49"/>
        <v>0</v>
      </c>
      <c r="BF90" s="616">
        <f t="shared" si="50"/>
        <v>0</v>
      </c>
      <c r="BI90" s="304">
        <f t="shared" si="40"/>
        <v>357</v>
      </c>
    </row>
    <row r="91" spans="1:61" ht="14.5">
      <c r="A91" s="304"/>
      <c r="B91" s="523"/>
      <c r="F91" s="624"/>
      <c r="H91" s="616"/>
      <c r="J91" s="616"/>
      <c r="K91" s="616"/>
      <c r="L91" s="616"/>
      <c r="M91" s="616"/>
      <c r="N91" s="616"/>
      <c r="P91" s="626"/>
      <c r="R91" s="616"/>
      <c r="S91" s="616"/>
      <c r="T91" s="616"/>
      <c r="U91" s="616"/>
      <c r="V91" s="616"/>
      <c r="W91" s="616"/>
      <c r="X91" s="616"/>
      <c r="Y91" s="616"/>
      <c r="Z91" s="316"/>
      <c r="AA91" s="616"/>
      <c r="AB91" s="616"/>
      <c r="AC91" s="616"/>
      <c r="AD91" s="616"/>
      <c r="AE91" s="616"/>
      <c r="AF91" s="616"/>
      <c r="AG91" s="616"/>
      <c r="AH91" s="316"/>
      <c r="AI91" s="616"/>
      <c r="AJ91" s="616"/>
      <c r="AK91" s="616"/>
      <c r="AL91" s="616"/>
      <c r="AM91" s="616"/>
      <c r="AN91" s="616"/>
      <c r="AO91" s="616"/>
      <c r="AP91" s="616"/>
      <c r="AR91" s="616"/>
      <c r="AS91" s="616"/>
      <c r="AT91" s="616"/>
      <c r="AU91" s="616"/>
      <c r="AV91" s="616"/>
      <c r="AW91" s="616"/>
      <c r="AX91" s="616"/>
      <c r="AY91" s="616"/>
      <c r="AZ91" s="616"/>
      <c r="BA91" s="616"/>
      <c r="BB91" s="616"/>
      <c r="BC91" s="616"/>
      <c r="BD91" s="616"/>
      <c r="BF91" s="616"/>
      <c r="BI91" s="304"/>
    </row>
    <row r="92" spans="1:61" ht="14.5">
      <c r="A92" s="201" t="s">
        <v>90</v>
      </c>
      <c r="F92" s="624"/>
      <c r="H92" s="554"/>
      <c r="P92" s="626"/>
      <c r="X92" s="616"/>
      <c r="Z92" s="605"/>
      <c r="AH92" s="605"/>
      <c r="BI92" s="615" t="s">
        <v>90</v>
      </c>
    </row>
    <row r="93" spans="1:61" ht="14.5">
      <c r="A93" s="304">
        <f>A33+100</f>
        <v>400</v>
      </c>
      <c r="B93" s="609" t="s">
        <v>1526</v>
      </c>
      <c r="F93" s="624"/>
      <c r="H93" s="619">
        <f>ROUND(SUM(H94:H104),0)</f>
        <v>0</v>
      </c>
      <c r="J93" s="619">
        <f>ROUND(SUM(J94:J104),0)</f>
        <v>0</v>
      </c>
      <c r="K93" s="616"/>
      <c r="L93" s="619">
        <f>ROUND(SUM(L94:L104),0)</f>
        <v>0</v>
      </c>
      <c r="M93" s="616"/>
      <c r="N93" s="619">
        <f>ROUND(SUM(N94:N104),0)</f>
        <v>0</v>
      </c>
      <c r="O93" s="304"/>
      <c r="P93" s="626"/>
      <c r="Q93" s="304"/>
      <c r="R93" s="619">
        <f>ROUND(SUM(R94:R104),0)</f>
        <v>0</v>
      </c>
      <c r="S93" s="616"/>
      <c r="T93" s="619">
        <f>ROUND(SUM(T94:T104),0)</f>
        <v>0</v>
      </c>
      <c r="U93" s="616"/>
      <c r="V93" s="619">
        <f>ROUND(SUM(V94:V104),0)</f>
        <v>0</v>
      </c>
      <c r="W93" s="616"/>
      <c r="X93" s="619">
        <f>ROUND(SUM(X94:X104),0)</f>
        <v>0</v>
      </c>
      <c r="Y93" s="616"/>
      <c r="Z93" s="316"/>
      <c r="AA93" s="616"/>
      <c r="AB93" s="619">
        <f>SUM(AB94:AB104)</f>
        <v>0</v>
      </c>
      <c r="AC93" s="616"/>
      <c r="AD93" s="619">
        <f>SUM(AD94:AD104)</f>
        <v>0</v>
      </c>
      <c r="AE93" s="616"/>
      <c r="AF93" s="619">
        <f>SUM(AF94:AF104)</f>
        <v>0</v>
      </c>
      <c r="AG93" s="616"/>
      <c r="AH93" s="316"/>
      <c r="AI93" s="616"/>
      <c r="AJ93" s="619">
        <f>SUM(AJ94:AJ104)</f>
        <v>0</v>
      </c>
      <c r="AK93" s="616"/>
      <c r="AL93" s="619">
        <f>SUM(AL94:AL104)</f>
        <v>0</v>
      </c>
      <c r="AM93" s="616"/>
      <c r="AN93" s="619">
        <f>SUM(AN94:AN104)</f>
        <v>0</v>
      </c>
      <c r="AO93" s="616"/>
      <c r="AP93" s="619">
        <f>SUM(AP94:AP104)</f>
        <v>0</v>
      </c>
      <c r="AR93" s="619">
        <f>SUM(AR94:AR104)</f>
        <v>0</v>
      </c>
      <c r="AS93" s="616"/>
      <c r="AT93" s="619">
        <f>SUM(AT94:AT104)</f>
        <v>0</v>
      </c>
      <c r="AU93" s="616"/>
      <c r="AV93" s="619">
        <f>SUM(AV94:AV104)</f>
        <v>0</v>
      </c>
      <c r="AW93" s="616"/>
      <c r="AX93" s="619">
        <f>SUM(AX94:AX104)</f>
        <v>0</v>
      </c>
      <c r="AY93" s="616"/>
      <c r="AZ93" s="619">
        <f>SUM(AZ94:AZ104)</f>
        <v>0</v>
      </c>
      <c r="BA93" s="616"/>
      <c r="BB93" s="619">
        <f>SUM(BB94:BB104)</f>
        <v>0</v>
      </c>
      <c r="BC93" s="616"/>
      <c r="BD93" s="619">
        <f>SUM(BD94:BD104)</f>
        <v>0</v>
      </c>
      <c r="BF93" s="619">
        <f>ROUND(SUM(BF94:BF103),0)</f>
        <v>0</v>
      </c>
      <c r="BI93" s="304">
        <f t="shared" ref="BI93:BI104" si="53">A93</f>
        <v>400</v>
      </c>
    </row>
    <row r="94" spans="1:61" ht="14.5">
      <c r="A94" s="304">
        <f t="shared" ref="A94:A98" si="54">A93+1</f>
        <v>401</v>
      </c>
      <c r="B94" s="526"/>
      <c r="F94" s="523" t="s">
        <v>1458</v>
      </c>
      <c r="H94" s="621"/>
      <c r="J94" s="621"/>
      <c r="K94" s="616"/>
      <c r="L94" s="621"/>
      <c r="M94" s="616"/>
      <c r="N94" s="621"/>
      <c r="P94" s="626" t="s">
        <v>1453</v>
      </c>
      <c r="R94" s="616">
        <v>0</v>
      </c>
      <c r="S94" s="616"/>
      <c r="T94" s="616">
        <v>0</v>
      </c>
      <c r="U94" s="616"/>
      <c r="V94" s="616">
        <f>+N94</f>
        <v>0</v>
      </c>
      <c r="W94" s="616"/>
      <c r="X94" s="616">
        <f t="shared" si="52"/>
        <v>0</v>
      </c>
      <c r="Y94" s="616"/>
      <c r="Z94" s="316" t="s">
        <v>1471</v>
      </c>
      <c r="AA94" s="616"/>
      <c r="AB94" s="616">
        <v>0</v>
      </c>
      <c r="AC94" s="616"/>
      <c r="AD94" s="616">
        <v>0</v>
      </c>
      <c r="AE94" s="616"/>
      <c r="AF94" s="621"/>
      <c r="AG94" s="616"/>
      <c r="AH94" s="316" t="s">
        <v>1454</v>
      </c>
      <c r="AI94" s="616"/>
      <c r="AJ94" s="315">
        <f t="shared" ref="AJ94:AJ104" si="55">+R94-AB94</f>
        <v>0</v>
      </c>
      <c r="AK94" s="616"/>
      <c r="AL94" s="315">
        <f t="shared" ref="AL94:AL104" si="56">+T94-AD94</f>
        <v>0</v>
      </c>
      <c r="AM94" s="616"/>
      <c r="AN94" s="315">
        <f t="shared" ref="AN94:AN104" si="57">+V94-AF94</f>
        <v>0</v>
      </c>
      <c r="AO94" s="616"/>
      <c r="AP94" s="616">
        <f t="shared" ref="AP94:AP104" si="58">SUM(AJ94:AN94)</f>
        <v>0</v>
      </c>
      <c r="AR94" s="616">
        <v>0</v>
      </c>
      <c r="AS94" s="616"/>
      <c r="AT94" s="616">
        <v>0</v>
      </c>
      <c r="AU94" s="616"/>
      <c r="AV94" s="621"/>
      <c r="AW94" s="616"/>
      <c r="AX94" s="315">
        <f t="shared" ref="AX94:AX104" si="59">+AJ94-AR94</f>
        <v>0</v>
      </c>
      <c r="AY94" s="616"/>
      <c r="AZ94" s="315">
        <f t="shared" ref="AZ94:AZ104" si="60">+AL94-AT94</f>
        <v>0</v>
      </c>
      <c r="BA94" s="616"/>
      <c r="BB94" s="315">
        <f t="shared" ref="BB94:BB104" si="61">+AN94-AV94</f>
        <v>0</v>
      </c>
      <c r="BC94" s="616"/>
      <c r="BD94" s="616">
        <f>SUM(AX94:BB94)</f>
        <v>0</v>
      </c>
      <c r="BF94" s="616">
        <f t="shared" ref="BF94:BF104" si="62">+BD94*$BF$10</f>
        <v>0</v>
      </c>
      <c r="BI94" s="304">
        <f t="shared" si="53"/>
        <v>401</v>
      </c>
    </row>
    <row r="95" spans="1:61" ht="14.5">
      <c r="A95" s="304">
        <f t="shared" si="54"/>
        <v>402</v>
      </c>
      <c r="B95" s="526"/>
      <c r="F95" s="523" t="s">
        <v>1458</v>
      </c>
      <c r="H95" s="621"/>
      <c r="J95" s="621"/>
      <c r="K95" s="616"/>
      <c r="L95" s="621"/>
      <c r="M95" s="616"/>
      <c r="N95" s="621"/>
      <c r="P95" s="626" t="s">
        <v>1453</v>
      </c>
      <c r="R95" s="616">
        <v>0</v>
      </c>
      <c r="S95" s="616"/>
      <c r="T95" s="616">
        <v>0</v>
      </c>
      <c r="U95" s="616"/>
      <c r="V95" s="616">
        <f>+N95</f>
        <v>0</v>
      </c>
      <c r="W95" s="616"/>
      <c r="X95" s="616">
        <f t="shared" si="52"/>
        <v>0</v>
      </c>
      <c r="Y95" s="616"/>
      <c r="Z95" s="316" t="s">
        <v>1471</v>
      </c>
      <c r="AA95" s="616"/>
      <c r="AB95" s="616">
        <v>0</v>
      </c>
      <c r="AC95" s="616"/>
      <c r="AD95" s="616">
        <v>0</v>
      </c>
      <c r="AE95" s="616"/>
      <c r="AF95" s="621"/>
      <c r="AG95" s="616"/>
      <c r="AH95" s="316" t="s">
        <v>1454</v>
      </c>
      <c r="AI95" s="616"/>
      <c r="AJ95" s="315">
        <f t="shared" si="55"/>
        <v>0</v>
      </c>
      <c r="AK95" s="616"/>
      <c r="AL95" s="315">
        <f t="shared" si="56"/>
        <v>0</v>
      </c>
      <c r="AM95" s="616"/>
      <c r="AN95" s="315">
        <f t="shared" si="57"/>
        <v>0</v>
      </c>
      <c r="AO95" s="616"/>
      <c r="AP95" s="616">
        <f t="shared" si="58"/>
        <v>0</v>
      </c>
      <c r="AR95" s="616">
        <v>0</v>
      </c>
      <c r="AS95" s="616"/>
      <c r="AT95" s="616">
        <v>0</v>
      </c>
      <c r="AU95" s="616"/>
      <c r="AV95" s="621"/>
      <c r="AW95" s="616"/>
      <c r="AX95" s="315">
        <f t="shared" si="59"/>
        <v>0</v>
      </c>
      <c r="AY95" s="616"/>
      <c r="AZ95" s="315">
        <f>+AL95-AT95</f>
        <v>0</v>
      </c>
      <c r="BA95" s="616"/>
      <c r="BB95" s="315">
        <f t="shared" si="61"/>
        <v>0</v>
      </c>
      <c r="BC95" s="616"/>
      <c r="BD95" s="616">
        <f t="shared" ref="BD95:BD104" si="63">SUM(AX95:BB95)</f>
        <v>0</v>
      </c>
      <c r="BF95" s="616">
        <f t="shared" si="62"/>
        <v>0</v>
      </c>
      <c r="BI95" s="304">
        <f t="shared" si="53"/>
        <v>402</v>
      </c>
    </row>
    <row r="96" spans="1:61" ht="14.5">
      <c r="A96" s="304" t="s">
        <v>1529</v>
      </c>
      <c r="B96" s="526"/>
      <c r="F96" s="523" t="s">
        <v>1458</v>
      </c>
      <c r="H96" s="621"/>
      <c r="J96" s="621"/>
      <c r="K96" s="616"/>
      <c r="L96" s="621"/>
      <c r="M96" s="616"/>
      <c r="N96" s="621"/>
      <c r="P96" s="626" t="s">
        <v>1453</v>
      </c>
      <c r="R96" s="616">
        <v>0</v>
      </c>
      <c r="S96" s="616"/>
      <c r="T96" s="616">
        <v>0</v>
      </c>
      <c r="U96" s="616"/>
      <c r="V96" s="616">
        <f>+N96</f>
        <v>0</v>
      </c>
      <c r="W96" s="616"/>
      <c r="X96" s="616">
        <f t="shared" si="52"/>
        <v>0</v>
      </c>
      <c r="Y96" s="616"/>
      <c r="Z96" s="316" t="s">
        <v>1471</v>
      </c>
      <c r="AA96" s="616"/>
      <c r="AB96" s="616">
        <v>0</v>
      </c>
      <c r="AC96" s="616"/>
      <c r="AD96" s="616">
        <v>0</v>
      </c>
      <c r="AE96" s="616"/>
      <c r="AF96" s="621"/>
      <c r="AG96" s="616"/>
      <c r="AH96" s="316" t="s">
        <v>1454</v>
      </c>
      <c r="AI96" s="616"/>
      <c r="AJ96" s="315">
        <f t="shared" si="55"/>
        <v>0</v>
      </c>
      <c r="AK96" s="616"/>
      <c r="AL96" s="315">
        <f t="shared" si="56"/>
        <v>0</v>
      </c>
      <c r="AM96" s="616"/>
      <c r="AN96" s="315">
        <f t="shared" si="57"/>
        <v>0</v>
      </c>
      <c r="AO96" s="616"/>
      <c r="AP96" s="616">
        <f t="shared" ref="AP96" si="64">SUM(AJ96:AN96)</f>
        <v>0</v>
      </c>
      <c r="AR96" s="616">
        <v>0</v>
      </c>
      <c r="AS96" s="616"/>
      <c r="AT96" s="616">
        <v>0</v>
      </c>
      <c r="AU96" s="616"/>
      <c r="AV96" s="621"/>
      <c r="AW96" s="616"/>
      <c r="AX96" s="315">
        <f t="shared" si="59"/>
        <v>0</v>
      </c>
      <c r="AY96" s="616"/>
      <c r="AZ96" s="315">
        <f>+AL96-AT96</f>
        <v>0</v>
      </c>
      <c r="BA96" s="616"/>
      <c r="BB96" s="315">
        <f t="shared" si="61"/>
        <v>0</v>
      </c>
      <c r="BC96" s="616"/>
      <c r="BD96" s="616">
        <f t="shared" si="63"/>
        <v>0</v>
      </c>
      <c r="BF96" s="616">
        <f t="shared" si="62"/>
        <v>0</v>
      </c>
      <c r="BI96" s="304" t="str">
        <f t="shared" si="53"/>
        <v>402a</v>
      </c>
    </row>
    <row r="97" spans="1:61" ht="14.5">
      <c r="A97" s="304">
        <f>A95+1</f>
        <v>403</v>
      </c>
      <c r="B97" s="620"/>
      <c r="F97" s="523" t="s">
        <v>1443</v>
      </c>
      <c r="H97" s="621"/>
      <c r="J97" s="621"/>
      <c r="K97" s="616"/>
      <c r="L97" s="621"/>
      <c r="M97" s="616"/>
      <c r="N97" s="621"/>
      <c r="P97" s="626" t="s">
        <v>1444</v>
      </c>
      <c r="R97" s="616">
        <v>0</v>
      </c>
      <c r="S97" s="616"/>
      <c r="T97" s="616">
        <v>0</v>
      </c>
      <c r="U97" s="616"/>
      <c r="V97" s="616">
        <f>N97</f>
        <v>0</v>
      </c>
      <c r="W97" s="616"/>
      <c r="X97" s="616">
        <f>SUM(R97:V97)</f>
        <v>0</v>
      </c>
      <c r="Y97" s="616"/>
      <c r="Z97" s="316" t="s">
        <v>1471</v>
      </c>
      <c r="AA97" s="616"/>
      <c r="AB97" s="616">
        <v>0</v>
      </c>
      <c r="AC97" s="616"/>
      <c r="AD97" s="616">
        <v>0</v>
      </c>
      <c r="AE97" s="616"/>
      <c r="AF97" s="621"/>
      <c r="AG97" s="616"/>
      <c r="AH97" s="316" t="s">
        <v>1446</v>
      </c>
      <c r="AI97" s="616"/>
      <c r="AJ97" s="315">
        <f t="shared" si="55"/>
        <v>0</v>
      </c>
      <c r="AK97" s="616"/>
      <c r="AL97" s="315">
        <f t="shared" si="56"/>
        <v>0</v>
      </c>
      <c r="AM97" s="616"/>
      <c r="AN97" s="315">
        <f t="shared" si="57"/>
        <v>0</v>
      </c>
      <c r="AO97" s="616"/>
      <c r="AP97" s="616">
        <f t="shared" si="58"/>
        <v>0</v>
      </c>
      <c r="AR97" s="616">
        <v>0</v>
      </c>
      <c r="AS97" s="616"/>
      <c r="AT97" s="616">
        <v>0</v>
      </c>
      <c r="AU97" s="616"/>
      <c r="AV97" s="621"/>
      <c r="AW97" s="616"/>
      <c r="AX97" s="315">
        <f t="shared" si="59"/>
        <v>0</v>
      </c>
      <c r="AY97" s="616"/>
      <c r="AZ97" s="315">
        <f t="shared" si="60"/>
        <v>0</v>
      </c>
      <c r="BA97" s="616"/>
      <c r="BB97" s="315">
        <f t="shared" si="61"/>
        <v>0</v>
      </c>
      <c r="BC97" s="616"/>
      <c r="BD97" s="616">
        <f t="shared" si="63"/>
        <v>0</v>
      </c>
      <c r="BF97" s="616">
        <f t="shared" si="62"/>
        <v>0</v>
      </c>
      <c r="BI97" s="304">
        <f t="shared" si="53"/>
        <v>403</v>
      </c>
    </row>
    <row r="98" spans="1:61" ht="14.5">
      <c r="A98" s="304">
        <f t="shared" si="54"/>
        <v>404</v>
      </c>
      <c r="B98" s="620"/>
      <c r="F98" s="624" t="s">
        <v>1443</v>
      </c>
      <c r="H98" s="621"/>
      <c r="J98" s="621"/>
      <c r="K98" s="616"/>
      <c r="L98" s="621"/>
      <c r="M98" s="616"/>
      <c r="N98" s="621"/>
      <c r="P98" s="626" t="s">
        <v>1444</v>
      </c>
      <c r="R98" s="616">
        <v>0</v>
      </c>
      <c r="S98" s="616"/>
      <c r="T98" s="616">
        <v>0</v>
      </c>
      <c r="U98" s="616"/>
      <c r="V98" s="616">
        <f>N98</f>
        <v>0</v>
      </c>
      <c r="W98" s="616"/>
      <c r="X98" s="616">
        <f>SUM(R98:V98)</f>
        <v>0</v>
      </c>
      <c r="Y98" s="616"/>
      <c r="Z98" s="316" t="s">
        <v>1471</v>
      </c>
      <c r="AA98" s="616"/>
      <c r="AB98" s="616">
        <v>0</v>
      </c>
      <c r="AC98" s="616"/>
      <c r="AD98" s="616">
        <v>0</v>
      </c>
      <c r="AE98" s="616"/>
      <c r="AF98" s="621"/>
      <c r="AG98" s="616"/>
      <c r="AH98" s="316" t="s">
        <v>1446</v>
      </c>
      <c r="AI98" s="616"/>
      <c r="AJ98" s="315">
        <f t="shared" si="55"/>
        <v>0</v>
      </c>
      <c r="AK98" s="616"/>
      <c r="AL98" s="315">
        <f t="shared" si="56"/>
        <v>0</v>
      </c>
      <c r="AM98" s="616"/>
      <c r="AN98" s="315">
        <f t="shared" si="57"/>
        <v>0</v>
      </c>
      <c r="AO98" s="616"/>
      <c r="AP98" s="616">
        <f t="shared" si="58"/>
        <v>0</v>
      </c>
      <c r="AR98" s="616">
        <v>0</v>
      </c>
      <c r="AS98" s="616"/>
      <c r="AT98" s="616">
        <v>0</v>
      </c>
      <c r="AU98" s="616"/>
      <c r="AV98" s="621"/>
      <c r="AW98" s="616"/>
      <c r="AX98" s="315">
        <f t="shared" si="59"/>
        <v>0</v>
      </c>
      <c r="AY98" s="616"/>
      <c r="AZ98" s="315">
        <f t="shared" si="60"/>
        <v>0</v>
      </c>
      <c r="BA98" s="616"/>
      <c r="BB98" s="315">
        <f t="shared" si="61"/>
        <v>0</v>
      </c>
      <c r="BC98" s="616"/>
      <c r="BD98" s="616">
        <f t="shared" si="63"/>
        <v>0</v>
      </c>
      <c r="BF98" s="616">
        <f t="shared" si="62"/>
        <v>0</v>
      </c>
      <c r="BI98" s="304">
        <f t="shared" si="53"/>
        <v>404</v>
      </c>
    </row>
    <row r="99" spans="1:61" ht="14.5">
      <c r="A99" s="304">
        <f>+A98+1</f>
        <v>405</v>
      </c>
      <c r="B99" s="620"/>
      <c r="F99" s="624" t="s">
        <v>1443</v>
      </c>
      <c r="H99" s="621"/>
      <c r="J99" s="621"/>
      <c r="K99" s="616"/>
      <c r="L99" s="621"/>
      <c r="M99" s="616"/>
      <c r="N99" s="621"/>
      <c r="P99" s="626" t="s">
        <v>1444</v>
      </c>
      <c r="R99" s="616">
        <v>0</v>
      </c>
      <c r="S99" s="616"/>
      <c r="T99" s="616">
        <v>0</v>
      </c>
      <c r="U99" s="616"/>
      <c r="V99" s="616">
        <f>N99</f>
        <v>0</v>
      </c>
      <c r="W99" s="616"/>
      <c r="X99" s="616">
        <f>SUM(R99:V99)</f>
        <v>0</v>
      </c>
      <c r="Y99" s="616"/>
      <c r="Z99" s="316" t="s">
        <v>1471</v>
      </c>
      <c r="AA99" s="616"/>
      <c r="AB99" s="616">
        <v>0</v>
      </c>
      <c r="AC99" s="616"/>
      <c r="AD99" s="616">
        <v>0</v>
      </c>
      <c r="AE99" s="616"/>
      <c r="AF99" s="621"/>
      <c r="AG99" s="616"/>
      <c r="AH99" s="316" t="s">
        <v>1446</v>
      </c>
      <c r="AI99" s="616"/>
      <c r="AJ99" s="315">
        <f t="shared" si="55"/>
        <v>0</v>
      </c>
      <c r="AK99" s="616"/>
      <c r="AL99" s="315">
        <f t="shared" si="56"/>
        <v>0</v>
      </c>
      <c r="AM99" s="616"/>
      <c r="AN99" s="315">
        <f t="shared" si="57"/>
        <v>0</v>
      </c>
      <c r="AO99" s="616"/>
      <c r="AP99" s="616">
        <f t="shared" si="58"/>
        <v>0</v>
      </c>
      <c r="AR99" s="616">
        <v>0</v>
      </c>
      <c r="AS99" s="616"/>
      <c r="AT99" s="616">
        <v>0</v>
      </c>
      <c r="AU99" s="616"/>
      <c r="AV99" s="621"/>
      <c r="AW99" s="616"/>
      <c r="AX99" s="315">
        <f t="shared" si="59"/>
        <v>0</v>
      </c>
      <c r="AY99" s="616"/>
      <c r="AZ99" s="315">
        <f t="shared" si="60"/>
        <v>0</v>
      </c>
      <c r="BA99" s="616"/>
      <c r="BB99" s="315">
        <f t="shared" si="61"/>
        <v>0</v>
      </c>
      <c r="BC99" s="616"/>
      <c r="BD99" s="616">
        <f t="shared" si="63"/>
        <v>0</v>
      </c>
      <c r="BF99" s="616">
        <f t="shared" si="62"/>
        <v>0</v>
      </c>
      <c r="BI99" s="304">
        <f t="shared" si="53"/>
        <v>405</v>
      </c>
    </row>
    <row r="100" spans="1:61" ht="14.5">
      <c r="A100" s="304">
        <f>+A99+1</f>
        <v>406</v>
      </c>
      <c r="B100" s="620"/>
      <c r="F100" s="624" t="s">
        <v>1443</v>
      </c>
      <c r="H100" s="621"/>
      <c r="J100" s="621"/>
      <c r="K100" s="616"/>
      <c r="L100" s="621"/>
      <c r="M100" s="616"/>
      <c r="N100" s="621"/>
      <c r="P100" s="626" t="s">
        <v>1444</v>
      </c>
      <c r="R100" s="616">
        <v>0</v>
      </c>
      <c r="S100" s="616"/>
      <c r="T100" s="616">
        <v>0</v>
      </c>
      <c r="U100" s="616"/>
      <c r="V100" s="616">
        <f>N100</f>
        <v>0</v>
      </c>
      <c r="W100" s="616"/>
      <c r="X100" s="616">
        <f>SUM(R100:V100)</f>
        <v>0</v>
      </c>
      <c r="Y100" s="616"/>
      <c r="Z100" s="316" t="s">
        <v>1471</v>
      </c>
      <c r="AA100" s="616"/>
      <c r="AB100" s="616">
        <v>0</v>
      </c>
      <c r="AC100" s="616"/>
      <c r="AD100" s="616">
        <v>0</v>
      </c>
      <c r="AE100" s="616"/>
      <c r="AF100" s="621"/>
      <c r="AG100" s="616"/>
      <c r="AH100" s="316" t="s">
        <v>1446</v>
      </c>
      <c r="AI100" s="616"/>
      <c r="AJ100" s="315">
        <f t="shared" si="55"/>
        <v>0</v>
      </c>
      <c r="AK100" s="616"/>
      <c r="AL100" s="315">
        <f t="shared" si="56"/>
        <v>0</v>
      </c>
      <c r="AM100" s="616"/>
      <c r="AN100" s="315">
        <f t="shared" si="57"/>
        <v>0</v>
      </c>
      <c r="AO100" s="616"/>
      <c r="AP100" s="616">
        <f t="shared" si="58"/>
        <v>0</v>
      </c>
      <c r="AR100" s="616">
        <v>0</v>
      </c>
      <c r="AS100" s="616"/>
      <c r="AT100" s="616">
        <v>0</v>
      </c>
      <c r="AU100" s="616"/>
      <c r="AV100" s="621"/>
      <c r="AW100" s="616"/>
      <c r="AX100" s="315">
        <f t="shared" si="59"/>
        <v>0</v>
      </c>
      <c r="AY100" s="616"/>
      <c r="AZ100" s="315">
        <f t="shared" si="60"/>
        <v>0</v>
      </c>
      <c r="BA100" s="616"/>
      <c r="BB100" s="315">
        <f t="shared" si="61"/>
        <v>0</v>
      </c>
      <c r="BC100" s="616"/>
      <c r="BD100" s="616">
        <f t="shared" si="63"/>
        <v>0</v>
      </c>
      <c r="BF100" s="616">
        <f t="shared" si="62"/>
        <v>0</v>
      </c>
      <c r="BI100" s="304">
        <f t="shared" si="53"/>
        <v>406</v>
      </c>
    </row>
    <row r="101" spans="1:61" ht="14.5">
      <c r="A101" s="304">
        <f t="shared" ref="A101:A103" si="65">+A100+1</f>
        <v>407</v>
      </c>
      <c r="B101" s="620"/>
      <c r="F101" s="624" t="s">
        <v>1443</v>
      </c>
      <c r="H101" s="621"/>
      <c r="J101" s="621"/>
      <c r="K101" s="616"/>
      <c r="L101" s="621"/>
      <c r="M101" s="616"/>
      <c r="N101" s="621"/>
      <c r="P101" s="626" t="s">
        <v>1444</v>
      </c>
      <c r="R101" s="616">
        <v>0</v>
      </c>
      <c r="S101" s="616"/>
      <c r="T101" s="616">
        <v>0</v>
      </c>
      <c r="U101" s="616"/>
      <c r="V101" s="616">
        <f t="shared" ref="V101:V104" si="66">N101</f>
        <v>0</v>
      </c>
      <c r="W101" s="616"/>
      <c r="X101" s="616">
        <f t="shared" ref="X101:X104" si="67">SUM(R101:V101)</f>
        <v>0</v>
      </c>
      <c r="Y101" s="616"/>
      <c r="Z101" s="316" t="s">
        <v>1471</v>
      </c>
      <c r="AA101" s="616"/>
      <c r="AB101" s="616">
        <v>0</v>
      </c>
      <c r="AC101" s="616"/>
      <c r="AD101" s="616">
        <v>0</v>
      </c>
      <c r="AE101" s="616"/>
      <c r="AF101" s="621"/>
      <c r="AG101" s="616"/>
      <c r="AH101" s="316" t="s">
        <v>1446</v>
      </c>
      <c r="AI101" s="616"/>
      <c r="AJ101" s="315">
        <f t="shared" si="55"/>
        <v>0</v>
      </c>
      <c r="AK101" s="616"/>
      <c r="AL101" s="315">
        <f t="shared" si="56"/>
        <v>0</v>
      </c>
      <c r="AM101" s="616"/>
      <c r="AN101" s="315">
        <f t="shared" si="57"/>
        <v>0</v>
      </c>
      <c r="AO101" s="616"/>
      <c r="AP101" s="616">
        <f t="shared" si="58"/>
        <v>0</v>
      </c>
      <c r="AR101" s="616">
        <v>0</v>
      </c>
      <c r="AS101" s="616"/>
      <c r="AT101" s="616">
        <v>0</v>
      </c>
      <c r="AU101" s="616"/>
      <c r="AV101" s="621"/>
      <c r="AW101" s="616"/>
      <c r="AX101" s="315">
        <f t="shared" si="59"/>
        <v>0</v>
      </c>
      <c r="AY101" s="616"/>
      <c r="AZ101" s="315">
        <f t="shared" si="60"/>
        <v>0</v>
      </c>
      <c r="BA101" s="616"/>
      <c r="BB101" s="315">
        <f t="shared" si="61"/>
        <v>0</v>
      </c>
      <c r="BC101" s="616"/>
      <c r="BD101" s="616">
        <f t="shared" si="63"/>
        <v>0</v>
      </c>
      <c r="BF101" s="616">
        <f t="shared" si="62"/>
        <v>0</v>
      </c>
      <c r="BI101" s="304">
        <f t="shared" si="53"/>
        <v>407</v>
      </c>
    </row>
    <row r="102" spans="1:61" ht="14.5">
      <c r="A102" s="304">
        <f t="shared" si="65"/>
        <v>408</v>
      </c>
      <c r="B102" s="620"/>
      <c r="F102" s="624" t="s">
        <v>1443</v>
      </c>
      <c r="H102" s="621"/>
      <c r="J102" s="621"/>
      <c r="K102" s="616"/>
      <c r="L102" s="621"/>
      <c r="M102" s="616"/>
      <c r="N102" s="621"/>
      <c r="P102" s="626" t="s">
        <v>1537</v>
      </c>
      <c r="R102" s="616">
        <v>0</v>
      </c>
      <c r="S102" s="616"/>
      <c r="T102" s="616">
        <v>0</v>
      </c>
      <c r="U102" s="616"/>
      <c r="V102" s="616">
        <f t="shared" si="66"/>
        <v>0</v>
      </c>
      <c r="W102" s="616"/>
      <c r="X102" s="616">
        <f t="shared" si="67"/>
        <v>0</v>
      </c>
      <c r="Y102" s="616"/>
      <c r="Z102" s="316"/>
      <c r="AA102" s="616"/>
      <c r="AB102" s="616">
        <v>0</v>
      </c>
      <c r="AC102" s="616"/>
      <c r="AD102" s="616">
        <v>0</v>
      </c>
      <c r="AE102" s="616"/>
      <c r="AF102" s="621"/>
      <c r="AG102" s="616"/>
      <c r="AH102" s="316" t="s">
        <v>1446</v>
      </c>
      <c r="AI102" s="616"/>
      <c r="AJ102" s="315">
        <f t="shared" si="55"/>
        <v>0</v>
      </c>
      <c r="AK102" s="616"/>
      <c r="AL102" s="315">
        <f t="shared" si="56"/>
        <v>0</v>
      </c>
      <c r="AM102" s="616"/>
      <c r="AN102" s="315">
        <f t="shared" si="57"/>
        <v>0</v>
      </c>
      <c r="AO102" s="616"/>
      <c r="AP102" s="616">
        <f t="shared" si="58"/>
        <v>0</v>
      </c>
      <c r="AR102" s="616">
        <v>0</v>
      </c>
      <c r="AS102" s="616"/>
      <c r="AT102" s="616">
        <v>0</v>
      </c>
      <c r="AU102" s="616"/>
      <c r="AV102" s="621"/>
      <c r="AW102" s="616"/>
      <c r="AX102" s="315">
        <f t="shared" si="59"/>
        <v>0</v>
      </c>
      <c r="AY102" s="616"/>
      <c r="AZ102" s="315">
        <f t="shared" si="60"/>
        <v>0</v>
      </c>
      <c r="BA102" s="616"/>
      <c r="BB102" s="315">
        <f t="shared" si="61"/>
        <v>0</v>
      </c>
      <c r="BC102" s="616"/>
      <c r="BD102" s="616">
        <f t="shared" si="63"/>
        <v>0</v>
      </c>
      <c r="BF102" s="616">
        <f t="shared" si="62"/>
        <v>0</v>
      </c>
      <c r="BI102" s="304">
        <f t="shared" si="53"/>
        <v>408</v>
      </c>
    </row>
    <row r="103" spans="1:61" ht="14.5">
      <c r="A103" s="304">
        <f t="shared" si="65"/>
        <v>409</v>
      </c>
      <c r="B103" s="620"/>
      <c r="F103" s="624"/>
      <c r="H103" s="621"/>
      <c r="J103" s="621"/>
      <c r="K103" s="616"/>
      <c r="L103" s="621"/>
      <c r="M103" s="616"/>
      <c r="N103" s="621"/>
      <c r="P103" s="625"/>
      <c r="R103" s="616">
        <v>0</v>
      </c>
      <c r="S103" s="616"/>
      <c r="T103" s="616">
        <v>0</v>
      </c>
      <c r="U103" s="616"/>
      <c r="V103" s="616">
        <f t="shared" si="66"/>
        <v>0</v>
      </c>
      <c r="W103" s="616"/>
      <c r="X103" s="616">
        <f t="shared" si="67"/>
        <v>0</v>
      </c>
      <c r="Y103" s="616"/>
      <c r="Z103" s="316"/>
      <c r="AA103" s="616"/>
      <c r="AB103" s="616">
        <v>0</v>
      </c>
      <c r="AC103" s="616"/>
      <c r="AD103" s="616">
        <v>0</v>
      </c>
      <c r="AE103" s="616"/>
      <c r="AF103" s="621"/>
      <c r="AG103" s="616"/>
      <c r="AH103" s="316"/>
      <c r="AI103" s="616"/>
      <c r="AJ103" s="315">
        <f t="shared" si="55"/>
        <v>0</v>
      </c>
      <c r="AK103" s="616"/>
      <c r="AL103" s="315">
        <f t="shared" si="56"/>
        <v>0</v>
      </c>
      <c r="AM103" s="616"/>
      <c r="AN103" s="315">
        <f t="shared" si="57"/>
        <v>0</v>
      </c>
      <c r="AO103" s="616"/>
      <c r="AP103" s="616">
        <f t="shared" si="58"/>
        <v>0</v>
      </c>
      <c r="AR103" s="616">
        <v>0</v>
      </c>
      <c r="AS103" s="616"/>
      <c r="AT103" s="616">
        <v>0</v>
      </c>
      <c r="AU103" s="616"/>
      <c r="AV103" s="621"/>
      <c r="AW103" s="616"/>
      <c r="AX103" s="315">
        <f t="shared" si="59"/>
        <v>0</v>
      </c>
      <c r="AY103" s="616"/>
      <c r="AZ103" s="315">
        <f t="shared" si="60"/>
        <v>0</v>
      </c>
      <c r="BA103" s="616"/>
      <c r="BB103" s="315">
        <f t="shared" si="61"/>
        <v>0</v>
      </c>
      <c r="BC103" s="616"/>
      <c r="BD103" s="616">
        <f t="shared" si="63"/>
        <v>0</v>
      </c>
      <c r="BF103" s="616">
        <f t="shared" si="62"/>
        <v>0</v>
      </c>
      <c r="BI103" s="304">
        <f t="shared" si="53"/>
        <v>409</v>
      </c>
    </row>
    <row r="104" spans="1:61" ht="14.5">
      <c r="A104" s="304">
        <f>+A101+1</f>
        <v>408</v>
      </c>
      <c r="B104" s="620"/>
      <c r="F104" s="624"/>
      <c r="H104" s="621"/>
      <c r="J104" s="621"/>
      <c r="K104" s="616"/>
      <c r="L104" s="621"/>
      <c r="M104" s="616"/>
      <c r="N104" s="621"/>
      <c r="P104" s="625"/>
      <c r="R104" s="616">
        <v>0</v>
      </c>
      <c r="S104" s="616"/>
      <c r="T104" s="616">
        <v>0</v>
      </c>
      <c r="U104" s="616"/>
      <c r="V104" s="616">
        <f t="shared" si="66"/>
        <v>0</v>
      </c>
      <c r="W104" s="616"/>
      <c r="X104" s="616">
        <f t="shared" si="67"/>
        <v>0</v>
      </c>
      <c r="Y104" s="616"/>
      <c r="Z104" s="316"/>
      <c r="AA104" s="616"/>
      <c r="AB104" s="616">
        <v>0</v>
      </c>
      <c r="AC104" s="616"/>
      <c r="AD104" s="616">
        <v>0</v>
      </c>
      <c r="AE104" s="616"/>
      <c r="AF104" s="621"/>
      <c r="AG104" s="616"/>
      <c r="AH104" s="316"/>
      <c r="AI104" s="616"/>
      <c r="AJ104" s="315">
        <f t="shared" si="55"/>
        <v>0</v>
      </c>
      <c r="AK104" s="616"/>
      <c r="AL104" s="315">
        <f t="shared" si="56"/>
        <v>0</v>
      </c>
      <c r="AM104" s="616"/>
      <c r="AN104" s="315">
        <f t="shared" si="57"/>
        <v>0</v>
      </c>
      <c r="AO104" s="616"/>
      <c r="AP104" s="616">
        <f t="shared" si="58"/>
        <v>0</v>
      </c>
      <c r="AR104" s="616">
        <v>0</v>
      </c>
      <c r="AS104" s="616"/>
      <c r="AT104" s="616">
        <v>0</v>
      </c>
      <c r="AU104" s="616"/>
      <c r="AV104" s="621"/>
      <c r="AW104" s="616"/>
      <c r="AX104" s="315">
        <f t="shared" si="59"/>
        <v>0</v>
      </c>
      <c r="AY104" s="616"/>
      <c r="AZ104" s="315">
        <f t="shared" si="60"/>
        <v>0</v>
      </c>
      <c r="BA104" s="616"/>
      <c r="BB104" s="315">
        <f t="shared" si="61"/>
        <v>0</v>
      </c>
      <c r="BC104" s="616"/>
      <c r="BD104" s="616">
        <f t="shared" si="63"/>
        <v>0</v>
      </c>
      <c r="BF104" s="616">
        <f t="shared" si="62"/>
        <v>0</v>
      </c>
      <c r="BI104" s="304">
        <f t="shared" si="53"/>
        <v>408</v>
      </c>
    </row>
    <row r="105" spans="1:61" ht="14.5">
      <c r="A105" s="304"/>
      <c r="B105" s="523"/>
      <c r="F105" s="624"/>
      <c r="H105" s="554"/>
      <c r="J105" s="616"/>
      <c r="K105" s="616"/>
      <c r="L105" s="616"/>
      <c r="M105" s="616"/>
      <c r="N105" s="616"/>
      <c r="P105" s="625"/>
      <c r="R105" s="616"/>
      <c r="S105" s="616"/>
      <c r="T105" s="616"/>
      <c r="U105" s="616"/>
      <c r="V105" s="616"/>
      <c r="W105" s="616"/>
      <c r="X105" s="616"/>
      <c r="Y105" s="616"/>
      <c r="Z105" s="316"/>
      <c r="AA105" s="616"/>
      <c r="AB105" s="616"/>
      <c r="AC105" s="616"/>
      <c r="AD105" s="616"/>
      <c r="AE105" s="616"/>
      <c r="AF105" s="616"/>
      <c r="AG105" s="616"/>
      <c r="AH105" s="316"/>
      <c r="AI105" s="616"/>
      <c r="AJ105" s="616"/>
      <c r="AK105" s="616"/>
      <c r="AL105" s="616"/>
      <c r="AM105" s="616"/>
      <c r="AN105" s="616"/>
      <c r="AO105" s="616"/>
      <c r="AP105" s="616"/>
      <c r="AR105" s="616"/>
      <c r="AS105" s="616"/>
      <c r="AT105" s="616"/>
      <c r="AU105" s="616"/>
      <c r="AV105" s="616"/>
      <c r="AW105" s="616"/>
      <c r="AX105" s="616"/>
      <c r="AY105" s="616"/>
      <c r="AZ105" s="616"/>
      <c r="BA105" s="616"/>
      <c r="BB105" s="616"/>
      <c r="BC105" s="616"/>
      <c r="BD105" s="616"/>
      <c r="BI105" s="304"/>
    </row>
    <row r="106" spans="1:61" ht="14.5">
      <c r="A106" s="201" t="s">
        <v>90</v>
      </c>
      <c r="F106" s="624"/>
      <c r="P106" s="625"/>
      <c r="Z106" s="605"/>
      <c r="AH106" s="605"/>
      <c r="BI106" s="615" t="s">
        <v>90</v>
      </c>
    </row>
    <row r="107" spans="1:61" ht="14.5">
      <c r="A107" s="304">
        <f>A93+100</f>
        <v>500</v>
      </c>
      <c r="B107" s="609" t="s">
        <v>1538</v>
      </c>
      <c r="F107" s="624"/>
      <c r="H107" s="619">
        <f>ROUND(SUM(H108:H112),0)</f>
        <v>0</v>
      </c>
      <c r="J107" s="619">
        <f>ROUND(SUM(J108:J112),0)</f>
        <v>0</v>
      </c>
      <c r="K107" s="616"/>
      <c r="L107" s="619">
        <f>ROUND(SUM(L108:L112),0)</f>
        <v>0</v>
      </c>
      <c r="M107" s="616"/>
      <c r="N107" s="619">
        <f>ROUND(SUM(N108:N112),0)</f>
        <v>0</v>
      </c>
      <c r="O107" s="304"/>
      <c r="P107" s="523"/>
      <c r="Q107" s="304"/>
      <c r="R107" s="619">
        <f>ROUND(SUM(R108:R112),0)</f>
        <v>0</v>
      </c>
      <c r="S107" s="616"/>
      <c r="T107" s="619">
        <f>ROUND(SUM(T108:T112),0)</f>
        <v>0</v>
      </c>
      <c r="U107" s="616"/>
      <c r="V107" s="619">
        <f>ROUND(SUM(V108:V112),0)</f>
        <v>0</v>
      </c>
      <c r="W107" s="616"/>
      <c r="X107" s="619">
        <f>ROUND(SUM(X108:X112),0)</f>
        <v>0</v>
      </c>
      <c r="Y107" s="616"/>
      <c r="Z107" s="316"/>
      <c r="AA107" s="616"/>
      <c r="AB107" s="619">
        <f>SUM(AB108:AB112)</f>
        <v>0</v>
      </c>
      <c r="AC107" s="616"/>
      <c r="AD107" s="619">
        <f>SUM(AD108:AD112)</f>
        <v>0</v>
      </c>
      <c r="AE107" s="616"/>
      <c r="AF107" s="619">
        <f>SUM(AF108:AF112)</f>
        <v>0</v>
      </c>
      <c r="AG107" s="616"/>
      <c r="AH107" s="316"/>
      <c r="AI107" s="616"/>
      <c r="AJ107" s="619">
        <f>SUM(AJ108:AJ112)</f>
        <v>0</v>
      </c>
      <c r="AK107" s="616"/>
      <c r="AL107" s="619">
        <f>SUM(AL108:AL112)</f>
        <v>0</v>
      </c>
      <c r="AM107" s="616"/>
      <c r="AN107" s="619">
        <f>SUM(AN108:AN112)</f>
        <v>0</v>
      </c>
      <c r="AO107" s="616"/>
      <c r="AP107" s="619">
        <f>SUM(AP108:AP112)</f>
        <v>0</v>
      </c>
      <c r="AR107" s="619">
        <f>SUM(AR108:AR112)</f>
        <v>0</v>
      </c>
      <c r="AS107" s="616"/>
      <c r="AT107" s="619">
        <f>SUM(AT108:AT112)</f>
        <v>0</v>
      </c>
      <c r="AU107" s="616"/>
      <c r="AV107" s="619">
        <f>SUM(AV108:AV112)</f>
        <v>0</v>
      </c>
      <c r="AW107" s="616"/>
      <c r="AX107" s="619">
        <f>SUM(AX108:AX112)</f>
        <v>0</v>
      </c>
      <c r="AY107" s="616"/>
      <c r="AZ107" s="619">
        <f>SUM(AZ108:AZ112)</f>
        <v>0</v>
      </c>
      <c r="BA107" s="616"/>
      <c r="BB107" s="619">
        <f>SUM(BB108:BB112)</f>
        <v>0</v>
      </c>
      <c r="BC107" s="616"/>
      <c r="BD107" s="619">
        <f>SUM(BD108:BD112)</f>
        <v>0</v>
      </c>
      <c r="BF107" s="619">
        <f>ROUND(SUM(BF108:BF112),0)</f>
        <v>0</v>
      </c>
      <c r="BI107" s="304">
        <f t="shared" ref="BI107:BI112" si="68">A107</f>
        <v>500</v>
      </c>
    </row>
    <row r="108" spans="1:61" ht="14.5">
      <c r="A108" s="304">
        <f t="shared" ref="A108:A111" si="69">A107+1</f>
        <v>501</v>
      </c>
      <c r="B108" s="526"/>
      <c r="F108" s="624" t="s">
        <v>1458</v>
      </c>
      <c r="H108" s="621"/>
      <c r="J108" s="621"/>
      <c r="K108" s="616"/>
      <c r="L108" s="621"/>
      <c r="M108" s="616"/>
      <c r="N108" s="621"/>
      <c r="P108" s="627" t="s">
        <v>1453</v>
      </c>
      <c r="R108" s="616">
        <f>+N108</f>
        <v>0</v>
      </c>
      <c r="S108" s="616"/>
      <c r="T108" s="616">
        <v>0</v>
      </c>
      <c r="U108" s="616"/>
      <c r="V108" s="616">
        <v>0</v>
      </c>
      <c r="W108" s="616"/>
      <c r="X108" s="616">
        <f>SUM(R108:V108)</f>
        <v>0</v>
      </c>
      <c r="Y108" s="616"/>
      <c r="Z108" s="316" t="s">
        <v>1445</v>
      </c>
      <c r="AA108" s="616"/>
      <c r="AB108" s="621"/>
      <c r="AC108" s="616"/>
      <c r="AD108" s="616">
        <v>0</v>
      </c>
      <c r="AE108" s="616"/>
      <c r="AF108" s="616">
        <v>0</v>
      </c>
      <c r="AG108" s="616"/>
      <c r="AH108" s="316" t="s">
        <v>1454</v>
      </c>
      <c r="AI108" s="616"/>
      <c r="AJ108" s="315">
        <f t="shared" ref="AJ108:AJ113" si="70">+R108-AB108</f>
        <v>0</v>
      </c>
      <c r="AK108" s="616"/>
      <c r="AL108" s="315">
        <f t="shared" ref="AL108:AL113" si="71">+T108-AD108</f>
        <v>0</v>
      </c>
      <c r="AM108" s="616"/>
      <c r="AN108" s="315">
        <f t="shared" ref="AN108:AN113" si="72">+V108-AF108</f>
        <v>0</v>
      </c>
      <c r="AO108" s="616"/>
      <c r="AP108" s="616">
        <f t="shared" ref="AP108:AP113" si="73">SUM(AJ108:AN108)</f>
        <v>0</v>
      </c>
      <c r="AR108" s="621"/>
      <c r="AS108" s="616"/>
      <c r="AT108" s="616">
        <v>0</v>
      </c>
      <c r="AU108" s="616"/>
      <c r="AV108" s="616">
        <v>0</v>
      </c>
      <c r="AW108" s="616"/>
      <c r="AX108" s="315">
        <f t="shared" ref="AX108:AX113" si="74">+AJ108-AR108</f>
        <v>0</v>
      </c>
      <c r="AY108" s="616"/>
      <c r="AZ108" s="315">
        <f t="shared" ref="AZ108:AZ113" si="75">+AL108-AT108</f>
        <v>0</v>
      </c>
      <c r="BA108" s="616"/>
      <c r="BB108" s="315">
        <f t="shared" ref="BB108:BB113" si="76">+AN108-AV108</f>
        <v>0</v>
      </c>
      <c r="BC108" s="616"/>
      <c r="BD108" s="616">
        <f>SUM(AX108:BB108)</f>
        <v>0</v>
      </c>
      <c r="BF108" s="616">
        <f>+BD108*$BF$10</f>
        <v>0</v>
      </c>
      <c r="BI108" s="304">
        <f t="shared" si="68"/>
        <v>501</v>
      </c>
    </row>
    <row r="109" spans="1:61" ht="14.5">
      <c r="A109" s="304">
        <f t="shared" si="69"/>
        <v>502</v>
      </c>
      <c r="B109" s="622"/>
      <c r="F109" s="624"/>
      <c r="H109" s="621"/>
      <c r="J109" s="621"/>
      <c r="K109" s="616"/>
      <c r="L109" s="621"/>
      <c r="M109" s="616"/>
      <c r="N109" s="621"/>
      <c r="P109" s="627"/>
      <c r="R109" s="616">
        <v>0</v>
      </c>
      <c r="S109" s="616"/>
      <c r="T109" s="616">
        <v>0</v>
      </c>
      <c r="U109" s="616"/>
      <c r="V109" s="616">
        <v>0</v>
      </c>
      <c r="W109" s="616"/>
      <c r="X109" s="616">
        <f t="shared" ref="X109:X112" si="77">SUM(R109:V109)</f>
        <v>0</v>
      </c>
      <c r="Y109" s="616"/>
      <c r="Z109" s="316"/>
      <c r="AA109" s="616"/>
      <c r="AB109" s="621"/>
      <c r="AC109" s="616"/>
      <c r="AD109" s="616">
        <v>0</v>
      </c>
      <c r="AE109" s="616"/>
      <c r="AF109" s="616">
        <v>0</v>
      </c>
      <c r="AG109" s="616"/>
      <c r="AH109" s="316"/>
      <c r="AI109" s="616"/>
      <c r="AJ109" s="315">
        <f t="shared" si="70"/>
        <v>0</v>
      </c>
      <c r="AK109" s="616"/>
      <c r="AL109" s="315">
        <f t="shared" si="71"/>
        <v>0</v>
      </c>
      <c r="AM109" s="616"/>
      <c r="AN109" s="315">
        <f t="shared" si="72"/>
        <v>0</v>
      </c>
      <c r="AO109" s="616"/>
      <c r="AP109" s="616">
        <f t="shared" si="73"/>
        <v>0</v>
      </c>
      <c r="AR109" s="621"/>
      <c r="AS109" s="616"/>
      <c r="AT109" s="616">
        <v>0</v>
      </c>
      <c r="AU109" s="616"/>
      <c r="AV109" s="616">
        <v>0</v>
      </c>
      <c r="AW109" s="616"/>
      <c r="AX109" s="315">
        <f t="shared" si="74"/>
        <v>0</v>
      </c>
      <c r="AY109" s="616"/>
      <c r="AZ109" s="315">
        <f t="shared" si="75"/>
        <v>0</v>
      </c>
      <c r="BA109" s="616"/>
      <c r="BB109" s="315">
        <f t="shared" si="76"/>
        <v>0</v>
      </c>
      <c r="BC109" s="616"/>
      <c r="BD109" s="616">
        <f t="shared" ref="BD109:BD112" si="78">SUM(AX109:BB109)</f>
        <v>0</v>
      </c>
      <c r="BF109" s="616">
        <f>+BD109*$BF$10</f>
        <v>0</v>
      </c>
      <c r="BI109" s="304">
        <f t="shared" si="68"/>
        <v>502</v>
      </c>
    </row>
    <row r="110" spans="1:61" ht="14.5">
      <c r="A110" s="304">
        <f t="shared" si="69"/>
        <v>503</v>
      </c>
      <c r="B110" s="622" t="s">
        <v>117</v>
      </c>
      <c r="F110" s="624"/>
      <c r="H110" s="621"/>
      <c r="J110" s="621"/>
      <c r="K110" s="616"/>
      <c r="L110" s="621"/>
      <c r="M110" s="616"/>
      <c r="N110" s="621"/>
      <c r="P110" s="627"/>
      <c r="R110" s="616">
        <v>0</v>
      </c>
      <c r="S110" s="616"/>
      <c r="T110" s="616">
        <v>0</v>
      </c>
      <c r="U110" s="616"/>
      <c r="V110" s="616">
        <v>0</v>
      </c>
      <c r="W110" s="616"/>
      <c r="X110" s="616">
        <f t="shared" si="77"/>
        <v>0</v>
      </c>
      <c r="Y110" s="616"/>
      <c r="Z110" s="316"/>
      <c r="AA110" s="616"/>
      <c r="AB110" s="621"/>
      <c r="AC110" s="616"/>
      <c r="AD110" s="616">
        <v>0</v>
      </c>
      <c r="AE110" s="616"/>
      <c r="AF110" s="616">
        <v>0</v>
      </c>
      <c r="AG110" s="616"/>
      <c r="AH110" s="316"/>
      <c r="AI110" s="616"/>
      <c r="AJ110" s="315">
        <f t="shared" si="70"/>
        <v>0</v>
      </c>
      <c r="AK110" s="616"/>
      <c r="AL110" s="315">
        <f t="shared" si="71"/>
        <v>0</v>
      </c>
      <c r="AM110" s="616"/>
      <c r="AN110" s="315">
        <f t="shared" si="72"/>
        <v>0</v>
      </c>
      <c r="AO110" s="616"/>
      <c r="AP110" s="616">
        <f t="shared" si="73"/>
        <v>0</v>
      </c>
      <c r="AR110" s="621"/>
      <c r="AS110" s="616"/>
      <c r="AT110" s="616">
        <v>0</v>
      </c>
      <c r="AU110" s="616"/>
      <c r="AV110" s="616">
        <v>0</v>
      </c>
      <c r="AW110" s="616"/>
      <c r="AX110" s="315">
        <f t="shared" si="74"/>
        <v>0</v>
      </c>
      <c r="AY110" s="616"/>
      <c r="AZ110" s="315">
        <f t="shared" si="75"/>
        <v>0</v>
      </c>
      <c r="BA110" s="616"/>
      <c r="BB110" s="315">
        <f t="shared" si="76"/>
        <v>0</v>
      </c>
      <c r="BC110" s="616"/>
      <c r="BD110" s="616">
        <f t="shared" si="78"/>
        <v>0</v>
      </c>
      <c r="BF110" s="616">
        <f>+BD109*$BF$10</f>
        <v>0</v>
      </c>
      <c r="BI110" s="304">
        <f t="shared" si="68"/>
        <v>503</v>
      </c>
    </row>
    <row r="111" spans="1:61" ht="14.5">
      <c r="A111" s="304">
        <f t="shared" si="69"/>
        <v>504</v>
      </c>
      <c r="B111" s="622" t="s">
        <v>117</v>
      </c>
      <c r="F111" s="617"/>
      <c r="H111" s="621"/>
      <c r="J111" s="621"/>
      <c r="K111" s="616"/>
      <c r="L111" s="621"/>
      <c r="M111" s="616"/>
      <c r="N111" s="621"/>
      <c r="P111" s="625"/>
      <c r="R111" s="616">
        <v>0</v>
      </c>
      <c r="S111" s="616"/>
      <c r="T111" s="616">
        <v>0</v>
      </c>
      <c r="U111" s="616"/>
      <c r="V111" s="616">
        <v>0</v>
      </c>
      <c r="W111" s="616"/>
      <c r="X111" s="616">
        <f t="shared" si="77"/>
        <v>0</v>
      </c>
      <c r="Y111" s="616"/>
      <c r="Z111" s="316"/>
      <c r="AA111" s="616"/>
      <c r="AB111" s="621"/>
      <c r="AC111" s="616"/>
      <c r="AD111" s="616">
        <v>0</v>
      </c>
      <c r="AE111" s="616"/>
      <c r="AF111" s="616">
        <v>0</v>
      </c>
      <c r="AG111" s="616"/>
      <c r="AH111" s="316"/>
      <c r="AI111" s="616"/>
      <c r="AJ111" s="315">
        <f t="shared" si="70"/>
        <v>0</v>
      </c>
      <c r="AK111" s="616"/>
      <c r="AL111" s="315">
        <f t="shared" si="71"/>
        <v>0</v>
      </c>
      <c r="AM111" s="616"/>
      <c r="AN111" s="315">
        <f t="shared" si="72"/>
        <v>0</v>
      </c>
      <c r="AO111" s="616"/>
      <c r="AP111" s="616">
        <f t="shared" si="73"/>
        <v>0</v>
      </c>
      <c r="AR111" s="621"/>
      <c r="AS111" s="616"/>
      <c r="AT111" s="616">
        <v>0</v>
      </c>
      <c r="AU111" s="616"/>
      <c r="AV111" s="616">
        <v>0</v>
      </c>
      <c r="AW111" s="616"/>
      <c r="AX111" s="315">
        <f t="shared" si="74"/>
        <v>0</v>
      </c>
      <c r="AY111" s="616"/>
      <c r="AZ111" s="315">
        <f t="shared" si="75"/>
        <v>0</v>
      </c>
      <c r="BA111" s="616"/>
      <c r="BB111" s="315">
        <f t="shared" si="76"/>
        <v>0</v>
      </c>
      <c r="BC111" s="616"/>
      <c r="BD111" s="616">
        <f t="shared" si="78"/>
        <v>0</v>
      </c>
      <c r="BF111" s="616">
        <f>+BD110*$BF$10</f>
        <v>0</v>
      </c>
      <c r="BI111" s="304">
        <f t="shared" si="68"/>
        <v>504</v>
      </c>
    </row>
    <row r="112" spans="1:61" ht="14.5">
      <c r="A112" s="304">
        <f>+A111+1</f>
        <v>505</v>
      </c>
      <c r="B112" s="622" t="s">
        <v>117</v>
      </c>
      <c r="F112" s="617"/>
      <c r="H112" s="621"/>
      <c r="J112" s="621"/>
      <c r="K112" s="616"/>
      <c r="L112" s="621"/>
      <c r="M112" s="616"/>
      <c r="N112" s="621"/>
      <c r="P112" s="625"/>
      <c r="R112" s="616">
        <v>0</v>
      </c>
      <c r="S112" s="616"/>
      <c r="T112" s="616">
        <v>0</v>
      </c>
      <c r="U112" s="616"/>
      <c r="V112" s="616">
        <v>0</v>
      </c>
      <c r="W112" s="616"/>
      <c r="X112" s="616">
        <f t="shared" si="77"/>
        <v>0</v>
      </c>
      <c r="Y112" s="616"/>
      <c r="Z112" s="316"/>
      <c r="AA112" s="616"/>
      <c r="AB112" s="621"/>
      <c r="AC112" s="616"/>
      <c r="AD112" s="616">
        <v>0</v>
      </c>
      <c r="AE112" s="616"/>
      <c r="AF112" s="616">
        <v>0</v>
      </c>
      <c r="AG112" s="616"/>
      <c r="AH112" s="316"/>
      <c r="AI112" s="616"/>
      <c r="AJ112" s="315">
        <f t="shared" si="70"/>
        <v>0</v>
      </c>
      <c r="AK112" s="616"/>
      <c r="AL112" s="315">
        <f t="shared" si="71"/>
        <v>0</v>
      </c>
      <c r="AM112" s="616"/>
      <c r="AN112" s="315">
        <f t="shared" si="72"/>
        <v>0</v>
      </c>
      <c r="AO112" s="616"/>
      <c r="AP112" s="616">
        <f t="shared" si="73"/>
        <v>0</v>
      </c>
      <c r="AR112" s="621"/>
      <c r="AS112" s="616"/>
      <c r="AT112" s="616">
        <v>0</v>
      </c>
      <c r="AU112" s="616"/>
      <c r="AV112" s="616">
        <v>0</v>
      </c>
      <c r="AW112" s="616"/>
      <c r="AX112" s="315">
        <f t="shared" si="74"/>
        <v>0</v>
      </c>
      <c r="AY112" s="616"/>
      <c r="AZ112" s="315">
        <f t="shared" si="75"/>
        <v>0</v>
      </c>
      <c r="BA112" s="616"/>
      <c r="BB112" s="315">
        <f t="shared" si="76"/>
        <v>0</v>
      </c>
      <c r="BC112" s="616"/>
      <c r="BD112" s="616">
        <f t="shared" si="78"/>
        <v>0</v>
      </c>
      <c r="BF112" s="616">
        <f>+BD111*$BF$10</f>
        <v>0</v>
      </c>
      <c r="BI112" s="304">
        <f t="shared" si="68"/>
        <v>505</v>
      </c>
    </row>
    <row r="113" spans="1:61" ht="14.5">
      <c r="A113" s="304"/>
      <c r="B113" s="523"/>
      <c r="F113" s="617"/>
      <c r="H113" s="616"/>
      <c r="J113" s="616"/>
      <c r="K113" s="616"/>
      <c r="L113" s="616"/>
      <c r="M113" s="616"/>
      <c r="N113" s="616"/>
      <c r="P113" s="625"/>
      <c r="R113" s="616"/>
      <c r="S113" s="616"/>
      <c r="T113" s="616"/>
      <c r="U113" s="616"/>
      <c r="V113" s="616"/>
      <c r="W113" s="616"/>
      <c r="X113" s="616"/>
      <c r="Y113" s="616"/>
      <c r="Z113" s="316"/>
      <c r="AA113" s="616"/>
      <c r="AB113" s="616"/>
      <c r="AC113" s="616"/>
      <c r="AD113" s="616"/>
      <c r="AE113" s="616"/>
      <c r="AF113" s="616"/>
      <c r="AG113" s="616"/>
      <c r="AH113" s="316"/>
      <c r="AI113" s="616"/>
      <c r="AJ113" s="616">
        <f t="shared" si="70"/>
        <v>0</v>
      </c>
      <c r="AK113" s="616"/>
      <c r="AL113" s="616">
        <f t="shared" si="71"/>
        <v>0</v>
      </c>
      <c r="AM113" s="616"/>
      <c r="AN113" s="616">
        <f t="shared" si="72"/>
        <v>0</v>
      </c>
      <c r="AO113" s="616"/>
      <c r="AP113" s="616">
        <f t="shared" si="73"/>
        <v>0</v>
      </c>
      <c r="AR113" s="616"/>
      <c r="AS113" s="616"/>
      <c r="AT113" s="616"/>
      <c r="AU113" s="616"/>
      <c r="AV113" s="616"/>
      <c r="AW113" s="616"/>
      <c r="AX113" s="616">
        <f t="shared" si="74"/>
        <v>0</v>
      </c>
      <c r="AY113" s="616"/>
      <c r="AZ113" s="616">
        <f t="shared" si="75"/>
        <v>0</v>
      </c>
      <c r="BA113" s="616"/>
      <c r="BB113" s="616">
        <f t="shared" si="76"/>
        <v>0</v>
      </c>
      <c r="BC113" s="616"/>
      <c r="BD113" s="616"/>
      <c r="BF113" s="616"/>
      <c r="BI113" s="304"/>
    </row>
    <row r="114" spans="1:61" ht="14.5">
      <c r="A114" s="201" t="s">
        <v>90</v>
      </c>
      <c r="F114" s="617"/>
      <c r="H114" s="554"/>
      <c r="P114" s="625"/>
      <c r="Z114" s="605"/>
      <c r="AH114" s="605"/>
      <c r="BI114" s="615" t="s">
        <v>90</v>
      </c>
    </row>
    <row r="115" spans="1:61" ht="14.5">
      <c r="A115" s="304">
        <f>A107+100</f>
        <v>600</v>
      </c>
      <c r="B115" s="618" t="s">
        <v>1459</v>
      </c>
      <c r="F115" s="617"/>
      <c r="H115" s="619">
        <f>SUM(H116:H120)</f>
        <v>0</v>
      </c>
      <c r="J115" s="619">
        <f>SUM(J116:J120)</f>
        <v>0</v>
      </c>
      <c r="K115" s="616"/>
      <c r="L115" s="619">
        <f>SUM(L116:L120)</f>
        <v>0</v>
      </c>
      <c r="M115" s="616"/>
      <c r="N115" s="619">
        <f>SUM(N116:N120)</f>
        <v>0</v>
      </c>
      <c r="O115" s="304"/>
      <c r="P115" s="523"/>
      <c r="Q115" s="304"/>
      <c r="R115" s="619">
        <f>SUM(R116:R120)</f>
        <v>0</v>
      </c>
      <c r="S115" s="616"/>
      <c r="T115" s="619">
        <f>SUM(T116:T120)</f>
        <v>0</v>
      </c>
      <c r="U115" s="616"/>
      <c r="V115" s="619">
        <f>SUM(V116:V120)</f>
        <v>0</v>
      </c>
      <c r="W115" s="616"/>
      <c r="X115" s="619">
        <f>SUM(X116:X120)</f>
        <v>0</v>
      </c>
      <c r="Y115" s="616"/>
      <c r="Z115" s="316"/>
      <c r="AA115" s="616"/>
      <c r="AB115" s="619">
        <f>SUM(AB116:AB120)</f>
        <v>0</v>
      </c>
      <c r="AC115" s="616"/>
      <c r="AD115" s="619">
        <f>SUM(AD116:AD120)</f>
        <v>0</v>
      </c>
      <c r="AE115" s="616"/>
      <c r="AF115" s="619">
        <f>SUM(AF116:AF120)</f>
        <v>0</v>
      </c>
      <c r="AG115" s="616"/>
      <c r="AH115" s="316"/>
      <c r="AI115" s="616"/>
      <c r="AJ115" s="619">
        <f>SUM(AJ116:AJ120)</f>
        <v>0</v>
      </c>
      <c r="AK115" s="616"/>
      <c r="AL115" s="619">
        <f>SUM(AL116:AL120)</f>
        <v>0</v>
      </c>
      <c r="AM115" s="616"/>
      <c r="AN115" s="619">
        <f>SUM(AN116:AN120)</f>
        <v>0</v>
      </c>
      <c r="AO115" s="616"/>
      <c r="AP115" s="619">
        <f>SUM(AP116:AP120)</f>
        <v>0</v>
      </c>
      <c r="AR115" s="619">
        <f>SUM(AR116:AR120)</f>
        <v>0</v>
      </c>
      <c r="AS115" s="616"/>
      <c r="AT115" s="619">
        <f>SUM(AT116:AT120)</f>
        <v>0</v>
      </c>
      <c r="AU115" s="616"/>
      <c r="AV115" s="619">
        <f>SUM(AV116:AV120)</f>
        <v>0</v>
      </c>
      <c r="AW115" s="616"/>
      <c r="AX115" s="619">
        <f>SUM(AX116:AX120)</f>
        <v>0</v>
      </c>
      <c r="AY115" s="616"/>
      <c r="AZ115" s="619">
        <f>SUM(AZ116:AZ120)</f>
        <v>0</v>
      </c>
      <c r="BA115" s="616"/>
      <c r="BB115" s="619">
        <f>SUM(BB116:BB120)</f>
        <v>0</v>
      </c>
      <c r="BC115" s="616"/>
      <c r="BD115" s="619">
        <f>SUM(BD116:BD120)</f>
        <v>0</v>
      </c>
      <c r="BF115" s="619">
        <f>SUM(BF116:BF120)</f>
        <v>0</v>
      </c>
      <c r="BI115" s="304">
        <f t="shared" ref="BI115:BI120" si="79">A115</f>
        <v>600</v>
      </c>
    </row>
    <row r="116" spans="1:61" ht="14.5">
      <c r="A116" s="304">
        <f t="shared" ref="A116:A119" si="80">A115+1</f>
        <v>601</v>
      </c>
      <c r="B116" s="620"/>
      <c r="F116" s="625" t="s">
        <v>1443</v>
      </c>
      <c r="H116" s="621"/>
      <c r="J116" s="621"/>
      <c r="K116" s="616"/>
      <c r="L116" s="621"/>
      <c r="M116" s="616"/>
      <c r="N116" s="621"/>
      <c r="P116" s="625" t="s">
        <v>1444</v>
      </c>
      <c r="R116" s="616">
        <v>0</v>
      </c>
      <c r="S116" s="616"/>
      <c r="T116" s="616">
        <f>+N116</f>
        <v>0</v>
      </c>
      <c r="U116" s="616"/>
      <c r="V116" s="616">
        <v>0</v>
      </c>
      <c r="W116" s="616"/>
      <c r="X116" s="616">
        <f>SUM(R116:V116)</f>
        <v>0</v>
      </c>
      <c r="Y116" s="616"/>
      <c r="Z116" s="316"/>
      <c r="AA116" s="616"/>
      <c r="AB116" s="621"/>
      <c r="AC116" s="616"/>
      <c r="AD116" s="621"/>
      <c r="AE116" s="616"/>
      <c r="AF116" s="621"/>
      <c r="AG116" s="616"/>
      <c r="AH116" s="316" t="s">
        <v>1446</v>
      </c>
      <c r="AI116" s="616"/>
      <c r="AJ116" s="315">
        <f t="shared" ref="AJ116:AJ120" si="81">+R116-AB116</f>
        <v>0</v>
      </c>
      <c r="AK116" s="616"/>
      <c r="AL116" s="315">
        <f t="shared" ref="AL116:AL120" si="82">+T116-AD116</f>
        <v>0</v>
      </c>
      <c r="AM116" s="616"/>
      <c r="AN116" s="315">
        <f t="shared" ref="AN116:AN120" si="83">+V116-AF116</f>
        <v>0</v>
      </c>
      <c r="AO116" s="616"/>
      <c r="AP116" s="616">
        <f t="shared" ref="AP116:AP120" si="84">SUM(AJ116:AN116)</f>
        <v>0</v>
      </c>
      <c r="AR116" s="621"/>
      <c r="AS116" s="616"/>
      <c r="AT116" s="621"/>
      <c r="AU116" s="616"/>
      <c r="AV116" s="621"/>
      <c r="AW116" s="616"/>
      <c r="AX116" s="315">
        <f>+AJ116-AR116</f>
        <v>0</v>
      </c>
      <c r="AY116" s="616"/>
      <c r="AZ116" s="315">
        <f>+AL116-AT116</f>
        <v>0</v>
      </c>
      <c r="BA116" s="616"/>
      <c r="BB116" s="315">
        <f>+AN116-AV116</f>
        <v>0</v>
      </c>
      <c r="BC116" s="616"/>
      <c r="BD116" s="616">
        <f>SUM(AX116:BB116)</f>
        <v>0</v>
      </c>
      <c r="BF116" s="616">
        <f>+BD116*$BF$10</f>
        <v>0</v>
      </c>
      <c r="BI116" s="304">
        <f t="shared" si="79"/>
        <v>601</v>
      </c>
    </row>
    <row r="117" spans="1:61" ht="14.5">
      <c r="A117" s="304">
        <f t="shared" si="80"/>
        <v>602</v>
      </c>
      <c r="B117" s="620"/>
      <c r="F117" s="625" t="s">
        <v>1443</v>
      </c>
      <c r="H117" s="621"/>
      <c r="J117" s="621"/>
      <c r="K117" s="616"/>
      <c r="L117" s="621"/>
      <c r="M117" s="616"/>
      <c r="N117" s="621"/>
      <c r="P117" s="625" t="s">
        <v>1444</v>
      </c>
      <c r="R117" s="616">
        <v>0</v>
      </c>
      <c r="S117" s="616"/>
      <c r="T117" s="616">
        <f>+N117</f>
        <v>0</v>
      </c>
      <c r="U117" s="616"/>
      <c r="V117" s="616">
        <v>0</v>
      </c>
      <c r="W117" s="616"/>
      <c r="X117" s="616">
        <f t="shared" ref="X117:X120" si="85">SUM(R117:V117)</f>
        <v>0</v>
      </c>
      <c r="Y117" s="616"/>
      <c r="Z117" s="316"/>
      <c r="AA117" s="616"/>
      <c r="AB117" s="621"/>
      <c r="AC117" s="616"/>
      <c r="AD117" s="621"/>
      <c r="AE117" s="616"/>
      <c r="AF117" s="621"/>
      <c r="AG117" s="616"/>
      <c r="AH117" s="316" t="s">
        <v>1446</v>
      </c>
      <c r="AI117" s="616"/>
      <c r="AJ117" s="315">
        <f t="shared" si="81"/>
        <v>0</v>
      </c>
      <c r="AK117" s="616"/>
      <c r="AL117" s="315">
        <f t="shared" si="82"/>
        <v>0</v>
      </c>
      <c r="AM117" s="616"/>
      <c r="AN117" s="315">
        <f t="shared" si="83"/>
        <v>0</v>
      </c>
      <c r="AO117" s="616"/>
      <c r="AP117" s="616">
        <f t="shared" si="84"/>
        <v>0</v>
      </c>
      <c r="AR117" s="621"/>
      <c r="AS117" s="616"/>
      <c r="AT117" s="621"/>
      <c r="AU117" s="616"/>
      <c r="AV117" s="621"/>
      <c r="AW117" s="616"/>
      <c r="AX117" s="315">
        <f>+AJ117-AR117</f>
        <v>0</v>
      </c>
      <c r="AY117" s="616"/>
      <c r="AZ117" s="315">
        <f>+AL117-AT117</f>
        <v>0</v>
      </c>
      <c r="BA117" s="616"/>
      <c r="BB117" s="315">
        <f>+AN117-AV117</f>
        <v>0</v>
      </c>
      <c r="BC117" s="616"/>
      <c r="BD117" s="616">
        <f t="shared" ref="BD117:BD120" si="86">SUM(AX117:BB117)</f>
        <v>0</v>
      </c>
      <c r="BF117" s="616">
        <f>+BD117*$BF$10</f>
        <v>0</v>
      </c>
      <c r="BI117" s="304">
        <f t="shared" si="79"/>
        <v>602</v>
      </c>
    </row>
    <row r="118" spans="1:61" ht="14.5">
      <c r="A118" s="304">
        <f t="shared" si="80"/>
        <v>603</v>
      </c>
      <c r="B118" s="620"/>
      <c r="F118" s="617"/>
      <c r="H118" s="621"/>
      <c r="J118" s="621"/>
      <c r="K118" s="616"/>
      <c r="L118" s="621"/>
      <c r="M118" s="616"/>
      <c r="N118" s="621"/>
      <c r="P118" s="625"/>
      <c r="R118" s="616">
        <f t="shared" ref="R118:R119" si="87">+N118</f>
        <v>0</v>
      </c>
      <c r="S118" s="616"/>
      <c r="T118" s="616">
        <v>0</v>
      </c>
      <c r="U118" s="616"/>
      <c r="V118" s="616">
        <v>0</v>
      </c>
      <c r="W118" s="616"/>
      <c r="X118" s="616">
        <f t="shared" si="85"/>
        <v>0</v>
      </c>
      <c r="Y118" s="616"/>
      <c r="Z118" s="316"/>
      <c r="AA118" s="616"/>
      <c r="AB118" s="621"/>
      <c r="AC118" s="616"/>
      <c r="AD118" s="621"/>
      <c r="AE118" s="616"/>
      <c r="AF118" s="621"/>
      <c r="AG118" s="616"/>
      <c r="AH118" s="316"/>
      <c r="AI118" s="616"/>
      <c r="AJ118" s="315">
        <f t="shared" si="81"/>
        <v>0</v>
      </c>
      <c r="AK118" s="616"/>
      <c r="AL118" s="315">
        <f t="shared" si="82"/>
        <v>0</v>
      </c>
      <c r="AM118" s="616"/>
      <c r="AN118" s="315">
        <f t="shared" si="83"/>
        <v>0</v>
      </c>
      <c r="AO118" s="616"/>
      <c r="AP118" s="616">
        <f t="shared" si="84"/>
        <v>0</v>
      </c>
      <c r="AR118" s="621"/>
      <c r="AS118" s="616"/>
      <c r="AT118" s="621"/>
      <c r="AU118" s="616"/>
      <c r="AV118" s="621"/>
      <c r="AW118" s="616"/>
      <c r="AX118" s="315">
        <f>+AJ118-AR118</f>
        <v>0</v>
      </c>
      <c r="AY118" s="616"/>
      <c r="AZ118" s="315">
        <f>+AL118-AT118</f>
        <v>0</v>
      </c>
      <c r="BA118" s="616"/>
      <c r="BB118" s="315">
        <f>+AN118-AV118</f>
        <v>0</v>
      </c>
      <c r="BC118" s="616"/>
      <c r="BD118" s="616">
        <f t="shared" si="86"/>
        <v>0</v>
      </c>
      <c r="BF118" s="616">
        <f>+N118*$BF$10</f>
        <v>0</v>
      </c>
      <c r="BI118" s="304">
        <f t="shared" si="79"/>
        <v>603</v>
      </c>
    </row>
    <row r="119" spans="1:61" ht="14.5">
      <c r="A119" s="304">
        <f t="shared" si="80"/>
        <v>604</v>
      </c>
      <c r="B119" s="622" t="s">
        <v>117</v>
      </c>
      <c r="F119" s="617"/>
      <c r="H119" s="621"/>
      <c r="J119" s="621"/>
      <c r="K119" s="616"/>
      <c r="L119" s="621"/>
      <c r="M119" s="616"/>
      <c r="N119" s="621"/>
      <c r="P119" s="625"/>
      <c r="R119" s="616">
        <f t="shared" si="87"/>
        <v>0</v>
      </c>
      <c r="S119" s="616"/>
      <c r="T119" s="616">
        <v>0</v>
      </c>
      <c r="U119" s="616"/>
      <c r="V119" s="616">
        <v>0</v>
      </c>
      <c r="W119" s="616"/>
      <c r="X119" s="616">
        <f t="shared" si="85"/>
        <v>0</v>
      </c>
      <c r="Y119" s="616"/>
      <c r="Z119" s="316"/>
      <c r="AA119" s="616"/>
      <c r="AB119" s="621"/>
      <c r="AC119" s="616"/>
      <c r="AD119" s="621"/>
      <c r="AE119" s="616"/>
      <c r="AF119" s="621"/>
      <c r="AG119" s="616"/>
      <c r="AH119" s="616"/>
      <c r="AI119" s="616"/>
      <c r="AJ119" s="315">
        <f t="shared" si="81"/>
        <v>0</v>
      </c>
      <c r="AK119" s="616"/>
      <c r="AL119" s="315">
        <f t="shared" si="82"/>
        <v>0</v>
      </c>
      <c r="AM119" s="616"/>
      <c r="AN119" s="315">
        <f t="shared" si="83"/>
        <v>0</v>
      </c>
      <c r="AO119" s="616"/>
      <c r="AP119" s="616">
        <f t="shared" si="84"/>
        <v>0</v>
      </c>
      <c r="AR119" s="621"/>
      <c r="AS119" s="616"/>
      <c r="AT119" s="621"/>
      <c r="AU119" s="616"/>
      <c r="AV119" s="621"/>
      <c r="AW119" s="616"/>
      <c r="AX119" s="315">
        <f>+AJ119-AR119</f>
        <v>0</v>
      </c>
      <c r="AY119" s="616"/>
      <c r="AZ119" s="315">
        <f>+AL119-AT119</f>
        <v>0</v>
      </c>
      <c r="BA119" s="616"/>
      <c r="BB119" s="315">
        <f>+AN119-AV119</f>
        <v>0</v>
      </c>
      <c r="BC119" s="616"/>
      <c r="BD119" s="616">
        <f t="shared" si="86"/>
        <v>0</v>
      </c>
      <c r="BF119" s="616">
        <f>+N118*$BF$10</f>
        <v>0</v>
      </c>
      <c r="BI119" s="304">
        <f t="shared" si="79"/>
        <v>604</v>
      </c>
    </row>
    <row r="120" spans="1:61" ht="14.5">
      <c r="A120" s="304">
        <f>+A119+1</f>
        <v>605</v>
      </c>
      <c r="B120" s="622" t="s">
        <v>117</v>
      </c>
      <c r="F120" s="617"/>
      <c r="H120" s="621"/>
      <c r="J120" s="621"/>
      <c r="K120" s="616"/>
      <c r="L120" s="621"/>
      <c r="M120" s="616"/>
      <c r="N120" s="621"/>
      <c r="P120" s="617"/>
      <c r="R120" s="616">
        <v>0</v>
      </c>
      <c r="S120" s="616"/>
      <c r="T120" s="616">
        <v>0</v>
      </c>
      <c r="U120" s="616"/>
      <c r="V120" s="616">
        <v>0</v>
      </c>
      <c r="W120" s="616"/>
      <c r="X120" s="616">
        <f t="shared" si="85"/>
        <v>0</v>
      </c>
      <c r="Y120" s="616"/>
      <c r="Z120" s="316"/>
      <c r="AA120" s="616"/>
      <c r="AB120" s="621"/>
      <c r="AC120" s="616"/>
      <c r="AD120" s="621"/>
      <c r="AE120" s="616"/>
      <c r="AF120" s="621"/>
      <c r="AG120" s="616"/>
      <c r="AH120" s="616"/>
      <c r="AI120" s="616"/>
      <c r="AJ120" s="315">
        <f t="shared" si="81"/>
        <v>0</v>
      </c>
      <c r="AK120" s="616"/>
      <c r="AL120" s="315">
        <f t="shared" si="82"/>
        <v>0</v>
      </c>
      <c r="AM120" s="616"/>
      <c r="AN120" s="315">
        <f t="shared" si="83"/>
        <v>0</v>
      </c>
      <c r="AO120" s="616"/>
      <c r="AP120" s="616">
        <f t="shared" si="84"/>
        <v>0</v>
      </c>
      <c r="AR120" s="621"/>
      <c r="AS120" s="616"/>
      <c r="AT120" s="621"/>
      <c r="AU120" s="616"/>
      <c r="AV120" s="621"/>
      <c r="AW120" s="616"/>
      <c r="AX120" s="315">
        <f>+AJ120-AR120</f>
        <v>0</v>
      </c>
      <c r="AY120" s="616"/>
      <c r="AZ120" s="315">
        <f>+AL120-AT120</f>
        <v>0</v>
      </c>
      <c r="BA120" s="616"/>
      <c r="BB120" s="315">
        <f>+AN120-AV120</f>
        <v>0</v>
      </c>
      <c r="BC120" s="616"/>
      <c r="BD120" s="616">
        <f t="shared" si="86"/>
        <v>0</v>
      </c>
      <c r="BF120" s="616">
        <f>+N119*$BF$10</f>
        <v>0</v>
      </c>
      <c r="BI120" s="304">
        <f t="shared" si="79"/>
        <v>605</v>
      </c>
    </row>
    <row r="121" spans="1:61" ht="14.5">
      <c r="A121" s="304"/>
      <c r="B121" s="523"/>
      <c r="H121" s="616"/>
      <c r="J121" s="616"/>
      <c r="K121" s="616"/>
      <c r="L121" s="616"/>
      <c r="M121" s="616"/>
      <c r="N121" s="616"/>
      <c r="R121" s="616"/>
      <c r="S121" s="616"/>
      <c r="T121" s="616"/>
      <c r="U121" s="616"/>
      <c r="V121" s="616"/>
      <c r="W121" s="616"/>
      <c r="X121" s="616"/>
      <c r="Y121" s="616"/>
      <c r="Z121" s="316"/>
      <c r="AA121" s="616"/>
      <c r="AB121" s="616"/>
      <c r="AC121" s="616"/>
      <c r="AD121" s="616"/>
      <c r="AE121" s="616"/>
      <c r="AF121" s="616"/>
      <c r="AG121" s="616"/>
      <c r="AH121" s="616"/>
      <c r="AI121" s="616"/>
      <c r="AJ121" s="315"/>
      <c r="AK121" s="616"/>
      <c r="AL121" s="315"/>
      <c r="AM121" s="616"/>
      <c r="AN121" s="315"/>
      <c r="AO121" s="616"/>
      <c r="AP121" s="616"/>
      <c r="AR121" s="616"/>
      <c r="AS121" s="616"/>
      <c r="AT121" s="616"/>
      <c r="AU121" s="616"/>
      <c r="AV121" s="616"/>
      <c r="AW121" s="616"/>
      <c r="AX121" s="315"/>
      <c r="AY121" s="616"/>
      <c r="AZ121" s="315"/>
      <c r="BA121" s="616"/>
      <c r="BB121" s="315"/>
      <c r="BC121" s="616"/>
      <c r="BD121" s="616"/>
      <c r="BI121" s="304"/>
    </row>
    <row r="122" spans="1:61" ht="14.5">
      <c r="A122" s="304"/>
      <c r="B122" s="523"/>
      <c r="H122" s="616"/>
      <c r="J122" s="616"/>
      <c r="K122" s="616"/>
      <c r="L122" s="616"/>
      <c r="M122" s="616"/>
      <c r="N122" s="616"/>
      <c r="R122" s="616"/>
      <c r="S122" s="616"/>
      <c r="T122" s="616"/>
      <c r="U122" s="616"/>
      <c r="V122" s="616"/>
      <c r="W122" s="616"/>
      <c r="X122" s="616"/>
      <c r="Y122" s="616"/>
      <c r="Z122" s="316"/>
      <c r="AA122" s="616"/>
      <c r="AB122" s="616"/>
      <c r="AC122" s="616"/>
      <c r="AD122" s="616"/>
      <c r="AE122" s="616"/>
      <c r="AF122" s="616"/>
      <c r="AG122" s="616"/>
      <c r="AH122" s="616"/>
      <c r="AI122" s="616"/>
      <c r="AJ122" s="315"/>
      <c r="AK122" s="616"/>
      <c r="AL122" s="315"/>
      <c r="AM122" s="616"/>
      <c r="AN122" s="315"/>
      <c r="AO122" s="616"/>
      <c r="AP122" s="616"/>
      <c r="AR122" s="616"/>
      <c r="AS122" s="616"/>
      <c r="AT122" s="616"/>
      <c r="AU122" s="616"/>
      <c r="AV122" s="616"/>
      <c r="AW122" s="616"/>
      <c r="AX122" s="315"/>
      <c r="AY122" s="616"/>
      <c r="AZ122" s="315"/>
      <c r="BA122" s="616"/>
      <c r="BB122" s="315"/>
      <c r="BC122" s="616"/>
      <c r="BD122" s="616"/>
      <c r="BI122" s="304"/>
    </row>
    <row r="123" spans="1:61">
      <c r="A123" s="628" t="s">
        <v>101</v>
      </c>
      <c r="B123" s="759" t="s">
        <v>1556</v>
      </c>
      <c r="C123" s="759"/>
      <c r="D123" s="759"/>
      <c r="E123" s="759"/>
      <c r="F123" s="759"/>
      <c r="G123" s="759"/>
      <c r="H123" s="759"/>
      <c r="I123" s="759"/>
      <c r="J123" s="759"/>
      <c r="K123" s="759"/>
      <c r="L123" s="759"/>
      <c r="Z123" s="605"/>
    </row>
    <row r="124" spans="1:61">
      <c r="A124" s="553" t="s">
        <v>1442</v>
      </c>
      <c r="B124" s="759" t="s">
        <v>1544</v>
      </c>
      <c r="C124" s="759"/>
      <c r="D124" s="759"/>
      <c r="Z124" s="605"/>
    </row>
    <row r="125" spans="1:61">
      <c r="A125" s="553" t="s">
        <v>1545</v>
      </c>
      <c r="B125" s="759" t="s">
        <v>1546</v>
      </c>
      <c r="C125" s="759"/>
      <c r="D125" s="759"/>
      <c r="Z125" s="605"/>
    </row>
    <row r="126" spans="1:61">
      <c r="A126" s="553" t="s">
        <v>1448</v>
      </c>
      <c r="B126" s="759" t="s">
        <v>1547</v>
      </c>
      <c r="C126" s="759"/>
      <c r="D126" s="759"/>
      <c r="Z126" s="605"/>
    </row>
    <row r="127" spans="1:61">
      <c r="A127" s="553" t="s">
        <v>1451</v>
      </c>
      <c r="B127" s="759" t="s">
        <v>1548</v>
      </c>
      <c r="C127" s="759"/>
      <c r="D127" s="759"/>
    </row>
    <row r="128" spans="1:61">
      <c r="A128" s="553" t="s">
        <v>1457</v>
      </c>
      <c r="B128" s="759" t="s">
        <v>1549</v>
      </c>
      <c r="C128" s="759"/>
      <c r="D128" s="759"/>
    </row>
    <row r="129" spans="1:4">
      <c r="A129" s="553" t="s">
        <v>1420</v>
      </c>
      <c r="B129" s="759" t="s">
        <v>1550</v>
      </c>
      <c r="C129" s="759"/>
      <c r="D129" s="759"/>
    </row>
    <row r="130" spans="1:4">
      <c r="A130" s="553" t="s">
        <v>1551</v>
      </c>
      <c r="B130" s="759" t="s">
        <v>1552</v>
      </c>
      <c r="C130" s="759"/>
      <c r="D130" s="759"/>
    </row>
    <row r="131" spans="1:4">
      <c r="A131" s="553" t="s">
        <v>1425</v>
      </c>
      <c r="B131" s="759" t="s">
        <v>1557</v>
      </c>
      <c r="C131" s="759"/>
      <c r="D131" s="759"/>
    </row>
    <row r="132" spans="1:4">
      <c r="A132" s="628" t="s">
        <v>1554</v>
      </c>
      <c r="B132" s="554" t="s">
        <v>1555</v>
      </c>
      <c r="C132" s="554"/>
      <c r="D132" s="554"/>
    </row>
  </sheetData>
  <mergeCells count="18">
    <mergeCell ref="J4:N4"/>
    <mergeCell ref="R4:V4"/>
    <mergeCell ref="AJ4:AN4"/>
    <mergeCell ref="AX4:BB4"/>
    <mergeCell ref="AB6:AF6"/>
    <mergeCell ref="AR6:AV6"/>
    <mergeCell ref="B131:D131"/>
    <mergeCell ref="R7:X7"/>
    <mergeCell ref="AJ7:AP7"/>
    <mergeCell ref="AX7:BD7"/>
    <mergeCell ref="B123:L123"/>
    <mergeCell ref="B124:D124"/>
    <mergeCell ref="B125:D125"/>
    <mergeCell ref="B126:D126"/>
    <mergeCell ref="B127:D127"/>
    <mergeCell ref="B128:D128"/>
    <mergeCell ref="B129:D129"/>
    <mergeCell ref="B130:D130"/>
  </mergeCells>
  <printOptions horizontalCentered="1"/>
  <pageMargins left="1" right="1" top="1" bottom="1" header="0.5" footer="0.5"/>
  <pageSetup scale="13" orientation="landscape" r:id="rId1"/>
  <headerFooter>
    <oddHeader>&amp;RDocket No. ER20-2878-000, et al.- Annual Update RY2024
&amp;F</oddHeader>
  </headerFooter>
  <colBreaks count="2" manualBreakCount="2">
    <brk id="15" max="1048575" man="1"/>
    <brk id="43" max="1048575" man="1"/>
  </colBreaks>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pageSetUpPr fitToPage="1"/>
  </sheetPr>
  <dimension ref="A1:Q38"/>
  <sheetViews>
    <sheetView view="pageBreakPreview" topLeftCell="A9" zoomScale="40" zoomScaleNormal="90" zoomScaleSheetLayoutView="40" zoomScalePageLayoutView="80" workbookViewId="0">
      <pane ySplit="3" topLeftCell="A12" activePane="bottomLeft" state="frozen"/>
      <selection activeCell="W98" sqref="W98"/>
      <selection pane="bottomLeft" activeCell="W98" sqref="W98"/>
    </sheetView>
  </sheetViews>
  <sheetFormatPr defaultColWidth="9.1796875" defaultRowHeight="14.5"/>
  <cols>
    <col min="1" max="1" width="7.1796875" bestFit="1" customWidth="1"/>
    <col min="2" max="2" width="8.81640625" customWidth="1"/>
    <col min="3" max="3" width="40.1796875" customWidth="1"/>
    <col min="4" max="4" width="18.7265625" bestFit="1" customWidth="1"/>
    <col min="5" max="6" width="20.54296875" bestFit="1" customWidth="1"/>
    <col min="7" max="7" width="20" bestFit="1" customWidth="1"/>
    <col min="8" max="8" width="18.7265625" bestFit="1" customWidth="1"/>
    <col min="9" max="9" width="19.1796875" bestFit="1" customWidth="1"/>
    <col min="10" max="10" width="18.7265625" bestFit="1" customWidth="1"/>
    <col min="11" max="12" width="20.1796875" bestFit="1" customWidth="1"/>
    <col min="13" max="13" width="20.1796875" customWidth="1"/>
    <col min="14" max="14" width="18.26953125" customWidth="1"/>
    <col min="15" max="15" width="20.1796875" customWidth="1"/>
    <col min="16" max="16" width="28.1796875" customWidth="1"/>
  </cols>
  <sheetData>
    <row r="1" spans="1:17">
      <c r="B1" s="2" t="s">
        <v>51</v>
      </c>
      <c r="M1" s="6"/>
      <c r="P1" s="6" t="str">
        <f>CONCATENATE("Prior Year: ",'1-DRR Corrected'!$K$2)</f>
        <v>Prior Year: 2021</v>
      </c>
    </row>
    <row r="2" spans="1:17">
      <c r="B2" s="78" t="s">
        <v>120</v>
      </c>
      <c r="C2" s="38"/>
      <c r="L2" s="6"/>
      <c r="M2" s="6"/>
      <c r="N2" s="6"/>
      <c r="O2" s="6"/>
      <c r="P2" s="6"/>
    </row>
    <row r="4" spans="1:17" ht="29">
      <c r="A4" s="3" t="s">
        <v>90</v>
      </c>
      <c r="D4" s="138" t="s">
        <v>985</v>
      </c>
      <c r="E4" s="110" t="s">
        <v>133</v>
      </c>
      <c r="F4" s="110" t="s">
        <v>134</v>
      </c>
      <c r="G4" s="110" t="s">
        <v>1558</v>
      </c>
      <c r="Q4" s="3" t="str">
        <f>A4</f>
        <v>Line</v>
      </c>
    </row>
    <row r="5" spans="1:17" ht="15" customHeight="1">
      <c r="A5" s="4">
        <v>100</v>
      </c>
      <c r="B5" s="105" t="s">
        <v>1559</v>
      </c>
      <c r="C5" s="2"/>
      <c r="D5" s="242">
        <f>L11</f>
        <v>3087054872.4997315</v>
      </c>
      <c r="E5" s="24">
        <f>M11</f>
        <v>2234800109.6646914</v>
      </c>
      <c r="F5" s="24">
        <f>N11</f>
        <v>796205523.33305943</v>
      </c>
      <c r="G5" s="24">
        <f>O11</f>
        <v>3031005632.9977508</v>
      </c>
      <c r="Q5" s="4">
        <f>A5</f>
        <v>100</v>
      </c>
    </row>
    <row r="6" spans="1:17">
      <c r="A6" s="3"/>
      <c r="I6" s="434"/>
    </row>
    <row r="7" spans="1:17">
      <c r="B7" s="3" t="s">
        <v>122</v>
      </c>
      <c r="C7" s="3" t="s">
        <v>123</v>
      </c>
      <c r="D7" s="3" t="s">
        <v>124</v>
      </c>
      <c r="E7" s="3" t="s">
        <v>125</v>
      </c>
      <c r="F7" s="3" t="s">
        <v>490</v>
      </c>
      <c r="G7" s="3" t="s">
        <v>491</v>
      </c>
      <c r="H7" s="3" t="s">
        <v>492</v>
      </c>
      <c r="I7" s="3" t="s">
        <v>493</v>
      </c>
      <c r="J7" s="3" t="s">
        <v>494</v>
      </c>
      <c r="K7" s="3" t="s">
        <v>768</v>
      </c>
      <c r="L7" s="3" t="s">
        <v>769</v>
      </c>
      <c r="M7" s="3" t="s">
        <v>770</v>
      </c>
      <c r="N7" s="3" t="s">
        <v>771</v>
      </c>
      <c r="O7" s="3" t="s">
        <v>772</v>
      </c>
      <c r="P7" s="3" t="s">
        <v>773</v>
      </c>
    </row>
    <row r="8" spans="1:17">
      <c r="A8" s="7" t="s">
        <v>126</v>
      </c>
      <c r="B8" s="21"/>
      <c r="C8" s="21"/>
      <c r="D8" s="21" t="s">
        <v>101</v>
      </c>
      <c r="E8" s="21" t="s">
        <v>101</v>
      </c>
      <c r="F8" s="108" t="s">
        <v>1560</v>
      </c>
      <c r="G8" s="21" t="s">
        <v>1561</v>
      </c>
      <c r="H8" s="21" t="s">
        <v>1561</v>
      </c>
      <c r="I8" s="21" t="s">
        <v>1562</v>
      </c>
      <c r="J8" s="21" t="s">
        <v>1563</v>
      </c>
      <c r="K8" s="21" t="s">
        <v>1564</v>
      </c>
      <c r="L8" s="21" t="s">
        <v>1565</v>
      </c>
      <c r="M8" s="21"/>
      <c r="N8" s="21"/>
      <c r="O8" s="21" t="s">
        <v>1566</v>
      </c>
      <c r="P8" s="21"/>
    </row>
    <row r="9" spans="1:17" ht="28.5" customHeight="1">
      <c r="B9" s="769" t="s">
        <v>684</v>
      </c>
      <c r="C9" s="769" t="s">
        <v>1567</v>
      </c>
      <c r="D9" s="771" t="s">
        <v>1568</v>
      </c>
      <c r="E9" s="772"/>
      <c r="F9" s="773"/>
      <c r="G9" s="763" t="s">
        <v>687</v>
      </c>
      <c r="H9" s="764"/>
      <c r="I9" s="765"/>
      <c r="J9" s="763" t="s">
        <v>1569</v>
      </c>
      <c r="K9" s="764"/>
      <c r="L9" s="765"/>
      <c r="M9" s="763" t="s">
        <v>1570</v>
      </c>
      <c r="N9" s="764"/>
      <c r="O9" s="764"/>
      <c r="P9" s="765"/>
    </row>
    <row r="10" spans="1:17">
      <c r="A10" s="3" t="s">
        <v>90</v>
      </c>
      <c r="B10" s="770"/>
      <c r="C10" s="770"/>
      <c r="D10" s="675" t="s">
        <v>1212</v>
      </c>
      <c r="E10" s="675" t="s">
        <v>1571</v>
      </c>
      <c r="F10" s="675" t="s">
        <v>534</v>
      </c>
      <c r="G10" s="675" t="s">
        <v>1212</v>
      </c>
      <c r="H10" s="675" t="s">
        <v>1571</v>
      </c>
      <c r="I10" s="675" t="s">
        <v>534</v>
      </c>
      <c r="J10" s="675" t="s">
        <v>1212</v>
      </c>
      <c r="K10" s="675" t="s">
        <v>1571</v>
      </c>
      <c r="L10" s="675" t="s">
        <v>534</v>
      </c>
      <c r="M10" s="675" t="s">
        <v>505</v>
      </c>
      <c r="N10" s="435" t="s">
        <v>536</v>
      </c>
      <c r="O10" s="435" t="s">
        <v>534</v>
      </c>
      <c r="P10" s="766" t="s">
        <v>1572</v>
      </c>
      <c r="Q10" s="3"/>
    </row>
    <row r="11" spans="1:17" ht="15" thickBot="1">
      <c r="A11" s="4">
        <f>A5+1</f>
        <v>101</v>
      </c>
      <c r="B11" s="768" t="s">
        <v>1573</v>
      </c>
      <c r="C11" s="768"/>
      <c r="D11" s="436">
        <f>SUM(D12:D31)</f>
        <v>561936147.86999977</v>
      </c>
      <c r="E11" s="436">
        <f t="shared" ref="E11:L11" si="0">SUM(E12:E31)</f>
        <v>2592128059.6099977</v>
      </c>
      <c r="F11" s="436">
        <f>SUM(F12:F31)</f>
        <v>3154064207.4799981</v>
      </c>
      <c r="G11" s="436">
        <f t="shared" si="0"/>
        <v>-5536542.0042982204</v>
      </c>
      <c r="H11" s="436">
        <f t="shared" si="0"/>
        <v>-61472792.975969128</v>
      </c>
      <c r="I11" s="436">
        <f t="shared" si="0"/>
        <v>-67009334.980267353</v>
      </c>
      <c r="J11" s="436">
        <f t="shared" si="0"/>
        <v>556399605.86570168</v>
      </c>
      <c r="K11" s="436">
        <f t="shared" si="0"/>
        <v>2530655266.6340289</v>
      </c>
      <c r="L11" s="436">
        <f t="shared" si="0"/>
        <v>3087054872.4997315</v>
      </c>
      <c r="M11" s="436">
        <f t="shared" ref="M11" si="1">SUM(M12:M31)</f>
        <v>2234800109.6646914</v>
      </c>
      <c r="N11" s="436">
        <f t="shared" ref="N11" si="2">SUM(N12:N31)</f>
        <v>796205523.33305943</v>
      </c>
      <c r="O11" s="436">
        <f>M11+N11</f>
        <v>3031005632.9977508</v>
      </c>
      <c r="P11" s="767"/>
      <c r="Q11" s="4">
        <f>A11</f>
        <v>101</v>
      </c>
    </row>
    <row r="12" spans="1:17" ht="29.25" customHeight="1" thickTop="1">
      <c r="A12" s="4">
        <f>A11+1</f>
        <v>102</v>
      </c>
      <c r="B12" s="391">
        <v>580</v>
      </c>
      <c r="C12" s="34" t="s">
        <v>1574</v>
      </c>
      <c r="D12" s="437">
        <v>6628572.9800000004</v>
      </c>
      <c r="E12" s="437">
        <v>8664974.3300000001</v>
      </c>
      <c r="F12" s="438">
        <f>SUM(D12:E12)</f>
        <v>15293547.310000001</v>
      </c>
      <c r="G12" s="437">
        <v>0</v>
      </c>
      <c r="H12" s="437">
        <v>0</v>
      </c>
      <c r="I12" s="438">
        <f>SUM(G12:H12)</f>
        <v>0</v>
      </c>
      <c r="J12" s="438">
        <f>SUM(D12,G12)</f>
        <v>6628572.9800000004</v>
      </c>
      <c r="K12" s="438">
        <f>SUM(E12,H12)</f>
        <v>8664974.3300000001</v>
      </c>
      <c r="L12" s="438">
        <f>SUM(J12:K12)</f>
        <v>15293547.310000001</v>
      </c>
      <c r="M12" s="81">
        <f>L12*'6-PlantJurisdiction'!$E$85</f>
        <v>7441722.0763320448</v>
      </c>
      <c r="N12" s="438">
        <f>L12*'6-PlantJurisdiction'!$F$85</f>
        <v>7140842.0612853486</v>
      </c>
      <c r="O12" s="438">
        <f t="shared" ref="O12:O31" si="3">M12+N12</f>
        <v>14582564.137617394</v>
      </c>
      <c r="P12" s="439" t="s">
        <v>1575</v>
      </c>
      <c r="Q12" s="4">
        <f t="shared" ref="Q12:Q31" si="4">A12</f>
        <v>102</v>
      </c>
    </row>
    <row r="13" spans="1:17" ht="29">
      <c r="A13" s="4">
        <f t="shared" ref="A13:A31" si="5">A12+1</f>
        <v>103</v>
      </c>
      <c r="B13" s="391">
        <v>581</v>
      </c>
      <c r="C13" s="34" t="s">
        <v>1576</v>
      </c>
      <c r="D13" s="437">
        <v>0</v>
      </c>
      <c r="E13" s="437">
        <v>0</v>
      </c>
      <c r="F13" s="438">
        <f t="shared" ref="F13:F31" si="6">SUM(D13:E13)</f>
        <v>0</v>
      </c>
      <c r="G13" s="437">
        <v>0</v>
      </c>
      <c r="H13" s="437">
        <v>0</v>
      </c>
      <c r="I13" s="438">
        <f t="shared" ref="I13:I31" si="7">SUM(G13:H13)</f>
        <v>0</v>
      </c>
      <c r="J13" s="438">
        <f t="shared" ref="J13:J31" si="8">SUM(D13,G13)</f>
        <v>0</v>
      </c>
      <c r="K13" s="438">
        <f t="shared" ref="K13:K31" si="9">SUM(E13,H13)</f>
        <v>0</v>
      </c>
      <c r="L13" s="438">
        <f t="shared" ref="L13:L31" si="10">SUM(J13:K13)</f>
        <v>0</v>
      </c>
      <c r="M13" s="438">
        <f>L13*'6-PlantJurisdiction'!$E$85</f>
        <v>0</v>
      </c>
      <c r="N13" s="438">
        <f>L13*'6-PlantJurisdiction'!$F$85</f>
        <v>0</v>
      </c>
      <c r="O13" s="438">
        <f t="shared" si="3"/>
        <v>0</v>
      </c>
      <c r="P13" s="439" t="s">
        <v>1575</v>
      </c>
      <c r="Q13" s="4">
        <f t="shared" si="4"/>
        <v>103</v>
      </c>
    </row>
    <row r="14" spans="1:17" ht="29">
      <c r="A14" s="4">
        <f t="shared" si="5"/>
        <v>104</v>
      </c>
      <c r="B14" s="391">
        <v>582</v>
      </c>
      <c r="C14" s="34" t="s">
        <v>1577</v>
      </c>
      <c r="D14" s="437">
        <v>3247291.83</v>
      </c>
      <c r="E14" s="437">
        <v>1963050.2000000002</v>
      </c>
      <c r="F14" s="438">
        <f t="shared" si="6"/>
        <v>5210342.03</v>
      </c>
      <c r="G14" s="437">
        <v>0</v>
      </c>
      <c r="H14" s="437">
        <v>0</v>
      </c>
      <c r="I14" s="438">
        <f t="shared" si="7"/>
        <v>0</v>
      </c>
      <c r="J14" s="438">
        <f t="shared" si="8"/>
        <v>3247291.83</v>
      </c>
      <c r="K14" s="438">
        <f t="shared" si="9"/>
        <v>1963050.2000000002</v>
      </c>
      <c r="L14" s="438">
        <f t="shared" si="10"/>
        <v>5210342.03</v>
      </c>
      <c r="M14" s="438">
        <f>L14*'6-PlantJurisdiction'!E39</f>
        <v>5210342.03</v>
      </c>
      <c r="N14" s="438">
        <f>L14*'6-PlantJurisdiction'!F39</f>
        <v>0</v>
      </c>
      <c r="O14" s="438">
        <f t="shared" si="3"/>
        <v>5210342.03</v>
      </c>
      <c r="P14" s="439" t="s">
        <v>1578</v>
      </c>
      <c r="Q14" s="4">
        <f t="shared" si="4"/>
        <v>104</v>
      </c>
    </row>
    <row r="15" spans="1:17" ht="29">
      <c r="A15" s="4">
        <f t="shared" si="5"/>
        <v>105</v>
      </c>
      <c r="B15" s="640">
        <v>583</v>
      </c>
      <c r="C15" s="34" t="s">
        <v>1579</v>
      </c>
      <c r="D15" s="437">
        <v>20503972.18</v>
      </c>
      <c r="E15" s="437">
        <v>51553408.650000006</v>
      </c>
      <c r="F15" s="438">
        <f t="shared" si="6"/>
        <v>72057380.830000013</v>
      </c>
      <c r="G15" s="437">
        <v>-675109.59887274471</v>
      </c>
      <c r="H15" s="437">
        <v>-2001457.1607172294</v>
      </c>
      <c r="I15" s="438">
        <f t="shared" si="7"/>
        <v>-2676566.7595899738</v>
      </c>
      <c r="J15" s="438">
        <f t="shared" si="8"/>
        <v>19828862.581127256</v>
      </c>
      <c r="K15" s="438">
        <f t="shared" si="9"/>
        <v>49551951.489282779</v>
      </c>
      <c r="L15" s="438">
        <f t="shared" si="10"/>
        <v>69380814.070410043</v>
      </c>
      <c r="M15" s="438">
        <f>$L$15*'6-PlantJurisdiction'!E42</f>
        <v>55377555.453154556</v>
      </c>
      <c r="N15" s="438">
        <f>$L$15*'6-PlantJurisdiction'!F42</f>
        <v>14003258.617255487</v>
      </c>
      <c r="O15" s="438">
        <f t="shared" si="3"/>
        <v>69380814.070410043</v>
      </c>
      <c r="P15" s="439" t="s">
        <v>1580</v>
      </c>
      <c r="Q15" s="4">
        <f t="shared" si="4"/>
        <v>105</v>
      </c>
    </row>
    <row r="16" spans="1:17" ht="29">
      <c r="A16" s="4">
        <f t="shared" si="5"/>
        <v>106</v>
      </c>
      <c r="B16" s="391">
        <v>584</v>
      </c>
      <c r="C16" s="34" t="s">
        <v>1581</v>
      </c>
      <c r="D16" s="437">
        <v>35390042.340000011</v>
      </c>
      <c r="E16" s="437">
        <v>35702223.070000008</v>
      </c>
      <c r="F16" s="438">
        <f t="shared" si="6"/>
        <v>71092265.410000026</v>
      </c>
      <c r="G16" s="437">
        <v>-3.5918397153694645E-2</v>
      </c>
      <c r="H16" s="437">
        <v>-138.12958401410583</v>
      </c>
      <c r="I16" s="438">
        <f t="shared" si="7"/>
        <v>-138.16550241125952</v>
      </c>
      <c r="J16" s="438">
        <f t="shared" si="8"/>
        <v>35390042.304081611</v>
      </c>
      <c r="K16" s="438">
        <f t="shared" si="9"/>
        <v>35702084.940415993</v>
      </c>
      <c r="L16" s="438">
        <f t="shared" si="10"/>
        <v>71092127.244497597</v>
      </c>
      <c r="M16" s="438">
        <f>$L$16*'6-PlantJurisdiction'!E43</f>
        <v>27760418.953760117</v>
      </c>
      <c r="N16" s="438">
        <f>$L$16*'6-PlantJurisdiction'!F43</f>
        <v>43331708.290737487</v>
      </c>
      <c r="O16" s="438">
        <f t="shared" si="3"/>
        <v>71092127.244497597</v>
      </c>
      <c r="P16" s="439" t="s">
        <v>1582</v>
      </c>
      <c r="Q16" s="4">
        <f t="shared" si="4"/>
        <v>106</v>
      </c>
    </row>
    <row r="17" spans="1:17" ht="29">
      <c r="A17" s="4">
        <f t="shared" si="5"/>
        <v>107</v>
      </c>
      <c r="B17" s="391">
        <v>584.1</v>
      </c>
      <c r="C17" s="34" t="s">
        <v>1583</v>
      </c>
      <c r="D17" s="437">
        <v>0</v>
      </c>
      <c r="E17" s="437">
        <v>0</v>
      </c>
      <c r="F17" s="438">
        <f t="shared" si="6"/>
        <v>0</v>
      </c>
      <c r="G17" s="437">
        <v>0</v>
      </c>
      <c r="H17" s="437">
        <v>0</v>
      </c>
      <c r="I17" s="438">
        <f t="shared" si="7"/>
        <v>0</v>
      </c>
      <c r="J17" s="438">
        <f t="shared" si="8"/>
        <v>0</v>
      </c>
      <c r="K17" s="438">
        <f t="shared" si="9"/>
        <v>0</v>
      </c>
      <c r="L17" s="438">
        <f t="shared" si="10"/>
        <v>0</v>
      </c>
      <c r="M17" s="438">
        <f>L17*'6-PlantJurisdiction'!$E$85</f>
        <v>0</v>
      </c>
      <c r="N17" s="438">
        <f>L17*'6-PlantJurisdiction'!$F$85</f>
        <v>0</v>
      </c>
      <c r="O17" s="438">
        <f t="shared" si="3"/>
        <v>0</v>
      </c>
      <c r="P17" s="439" t="s">
        <v>1575</v>
      </c>
      <c r="Q17" s="4">
        <f t="shared" si="4"/>
        <v>107</v>
      </c>
    </row>
    <row r="18" spans="1:17" ht="29">
      <c r="A18" s="4">
        <f t="shared" si="5"/>
        <v>108</v>
      </c>
      <c r="B18" s="391">
        <v>585</v>
      </c>
      <c r="C18" s="34" t="s">
        <v>1584</v>
      </c>
      <c r="D18" s="437">
        <v>0</v>
      </c>
      <c r="E18" s="437">
        <v>0</v>
      </c>
      <c r="F18" s="438">
        <f t="shared" si="6"/>
        <v>0</v>
      </c>
      <c r="G18" s="437">
        <v>0</v>
      </c>
      <c r="H18" s="437">
        <v>0</v>
      </c>
      <c r="I18" s="438">
        <f t="shared" si="7"/>
        <v>0</v>
      </c>
      <c r="J18" s="438">
        <f t="shared" si="8"/>
        <v>0</v>
      </c>
      <c r="K18" s="438">
        <f t="shared" si="9"/>
        <v>0</v>
      </c>
      <c r="L18" s="438">
        <f t="shared" si="10"/>
        <v>0</v>
      </c>
      <c r="M18" s="438">
        <f>L18*'6-PlantJurisdiction'!$E$85</f>
        <v>0</v>
      </c>
      <c r="N18" s="438">
        <f>L18*'6-PlantJurisdiction'!$F$85</f>
        <v>0</v>
      </c>
      <c r="O18" s="438">
        <f t="shared" si="3"/>
        <v>0</v>
      </c>
      <c r="P18" s="439" t="s">
        <v>1575</v>
      </c>
      <c r="Q18" s="4">
        <f t="shared" si="4"/>
        <v>108</v>
      </c>
    </row>
    <row r="19" spans="1:17" ht="29">
      <c r="A19" s="4">
        <f t="shared" si="5"/>
        <v>109</v>
      </c>
      <c r="B19" s="391">
        <v>586</v>
      </c>
      <c r="C19" s="34" t="s">
        <v>1585</v>
      </c>
      <c r="D19" s="437">
        <v>1682360.18</v>
      </c>
      <c r="E19" s="437">
        <v>90916.96</v>
      </c>
      <c r="F19" s="438">
        <f t="shared" si="6"/>
        <v>1773277.14</v>
      </c>
      <c r="G19" s="437">
        <v>0</v>
      </c>
      <c r="H19" s="437">
        <v>0</v>
      </c>
      <c r="I19" s="438">
        <f t="shared" si="7"/>
        <v>0</v>
      </c>
      <c r="J19" s="438">
        <f t="shared" si="8"/>
        <v>1682360.18</v>
      </c>
      <c r="K19" s="438">
        <f t="shared" si="9"/>
        <v>90916.96</v>
      </c>
      <c r="L19" s="438">
        <f t="shared" si="10"/>
        <v>1773277.14</v>
      </c>
      <c r="M19" s="438">
        <f>$L$19*'6-PlantJurisdiction'!E47</f>
        <v>0</v>
      </c>
      <c r="N19" s="438">
        <f>$L$19*'6-PlantJurisdiction'!F47</f>
        <v>0</v>
      </c>
      <c r="O19" s="438">
        <f t="shared" si="3"/>
        <v>0</v>
      </c>
      <c r="P19" s="439" t="s">
        <v>1586</v>
      </c>
      <c r="Q19" s="4">
        <f t="shared" si="4"/>
        <v>109</v>
      </c>
    </row>
    <row r="20" spans="1:17" ht="29">
      <c r="A20" s="4">
        <f t="shared" si="5"/>
        <v>110</v>
      </c>
      <c r="B20" s="391">
        <v>587</v>
      </c>
      <c r="C20" s="190" t="s">
        <v>1587</v>
      </c>
      <c r="D20" s="437">
        <v>18091154.119999997</v>
      </c>
      <c r="E20" s="437">
        <v>674245.61000000022</v>
      </c>
      <c r="F20" s="438">
        <f t="shared" si="6"/>
        <v>18765399.729999997</v>
      </c>
      <c r="G20" s="437">
        <v>0</v>
      </c>
      <c r="H20" s="437">
        <v>0</v>
      </c>
      <c r="I20" s="438">
        <f t="shared" si="7"/>
        <v>0</v>
      </c>
      <c r="J20" s="438">
        <f t="shared" si="8"/>
        <v>18091154.119999997</v>
      </c>
      <c r="K20" s="438">
        <f t="shared" si="9"/>
        <v>674245.61000000022</v>
      </c>
      <c r="L20" s="438">
        <f t="shared" si="10"/>
        <v>18765399.729999997</v>
      </c>
      <c r="M20" s="438">
        <f>$L$20*'6-PlantJurisdiction'!E48</f>
        <v>0</v>
      </c>
      <c r="N20" s="438">
        <f>$L$20*'6-PlantJurisdiction'!F48</f>
        <v>0</v>
      </c>
      <c r="O20" s="438">
        <f t="shared" si="3"/>
        <v>0</v>
      </c>
      <c r="P20" s="439" t="s">
        <v>1588</v>
      </c>
      <c r="Q20" s="4">
        <f t="shared" si="4"/>
        <v>110</v>
      </c>
    </row>
    <row r="21" spans="1:17" ht="29">
      <c r="A21" s="4">
        <f t="shared" si="5"/>
        <v>111</v>
      </c>
      <c r="B21" s="391">
        <v>588</v>
      </c>
      <c r="C21" t="s">
        <v>1589</v>
      </c>
      <c r="D21" s="437">
        <v>214964960.46999991</v>
      </c>
      <c r="E21" s="437">
        <v>327092416.90999979</v>
      </c>
      <c r="F21" s="438">
        <f t="shared" si="6"/>
        <v>542057377.37999964</v>
      </c>
      <c r="G21" s="485">
        <v>-2000231.263136999</v>
      </c>
      <c r="H21" s="485">
        <v>-46266016.264749676</v>
      </c>
      <c r="I21" s="438">
        <f t="shared" si="7"/>
        <v>-48266247.527886674</v>
      </c>
      <c r="J21" s="438">
        <f t="shared" si="8"/>
        <v>212964729.2068629</v>
      </c>
      <c r="K21" s="438">
        <f t="shared" si="9"/>
        <v>280826400.64525008</v>
      </c>
      <c r="L21" s="438">
        <f t="shared" si="10"/>
        <v>493791129.85211301</v>
      </c>
      <c r="M21" s="438">
        <f>$L$21*'6-PlantJurisdiction'!E85</f>
        <v>240274952.41177064</v>
      </c>
      <c r="N21" s="438">
        <f>$L$21*'6-PlantJurisdiction'!F85</f>
        <v>230560274.7396597</v>
      </c>
      <c r="O21" s="438">
        <f t="shared" si="3"/>
        <v>470835227.15143037</v>
      </c>
      <c r="P21" s="439" t="s">
        <v>1575</v>
      </c>
      <c r="Q21" s="4">
        <f t="shared" si="4"/>
        <v>111</v>
      </c>
    </row>
    <row r="22" spans="1:17" ht="29">
      <c r="A22" s="4">
        <f t="shared" si="5"/>
        <v>112</v>
      </c>
      <c r="B22" s="391">
        <v>589</v>
      </c>
      <c r="C22" s="34" t="s">
        <v>1590</v>
      </c>
      <c r="D22" s="437">
        <v>265.28999999999996</v>
      </c>
      <c r="E22" s="437">
        <v>571034.26000000013</v>
      </c>
      <c r="F22" s="438">
        <f t="shared" si="6"/>
        <v>571299.55000000016</v>
      </c>
      <c r="G22" s="437">
        <v>0</v>
      </c>
      <c r="H22" s="437">
        <v>0</v>
      </c>
      <c r="I22" s="438">
        <f t="shared" si="7"/>
        <v>0</v>
      </c>
      <c r="J22" s="438">
        <f t="shared" si="8"/>
        <v>265.28999999999996</v>
      </c>
      <c r="K22" s="438">
        <f t="shared" si="9"/>
        <v>571034.26000000013</v>
      </c>
      <c r="L22" s="438">
        <f t="shared" si="10"/>
        <v>571299.55000000016</v>
      </c>
      <c r="M22" s="438">
        <f>L22*'6-PlantJurisdiction'!$E$85</f>
        <v>277989.95139954641</v>
      </c>
      <c r="N22" s="438">
        <f>L22*'6-PlantJurisdiction'!$F$85</f>
        <v>266750.39959930611</v>
      </c>
      <c r="O22" s="438">
        <f t="shared" si="3"/>
        <v>544740.35099885252</v>
      </c>
      <c r="P22" s="439" t="s">
        <v>1575</v>
      </c>
      <c r="Q22" s="4">
        <f t="shared" si="4"/>
        <v>112</v>
      </c>
    </row>
    <row r="23" spans="1:17" ht="29">
      <c r="A23" s="4">
        <f t="shared" si="5"/>
        <v>113</v>
      </c>
      <c r="B23" s="391">
        <v>590</v>
      </c>
      <c r="C23" s="34" t="s">
        <v>1591</v>
      </c>
      <c r="D23" s="437">
        <v>3062271.52</v>
      </c>
      <c r="E23" s="437">
        <v>4801805.1799999988</v>
      </c>
      <c r="F23" s="438">
        <f t="shared" si="6"/>
        <v>7864076.6999999993</v>
      </c>
      <c r="G23" s="437">
        <v>0</v>
      </c>
      <c r="H23" s="437">
        <v>0</v>
      </c>
      <c r="I23" s="438">
        <f t="shared" si="7"/>
        <v>0</v>
      </c>
      <c r="J23" s="438">
        <f t="shared" si="8"/>
        <v>3062271.52</v>
      </c>
      <c r="K23" s="438">
        <f t="shared" si="9"/>
        <v>4801805.1799999988</v>
      </c>
      <c r="L23" s="438">
        <f t="shared" si="10"/>
        <v>7864076.6999999993</v>
      </c>
      <c r="M23" s="438">
        <f>L23*'6-PlantJurisdiction'!$E$85</f>
        <v>3826599.0225885957</v>
      </c>
      <c r="N23" s="438">
        <f>L23*'6-PlantJurisdiction'!$F$85</f>
        <v>3671883.8693371834</v>
      </c>
      <c r="O23" s="438">
        <f t="shared" si="3"/>
        <v>7498482.8919257792</v>
      </c>
      <c r="P23" s="439" t="s">
        <v>1575</v>
      </c>
      <c r="Q23" s="4">
        <f t="shared" si="4"/>
        <v>113</v>
      </c>
    </row>
    <row r="24" spans="1:17" ht="29">
      <c r="A24" s="4">
        <f t="shared" si="5"/>
        <v>114</v>
      </c>
      <c r="B24" s="391">
        <v>591</v>
      </c>
      <c r="C24" s="34" t="s">
        <v>1592</v>
      </c>
      <c r="D24" s="437">
        <v>2956.0399999999995</v>
      </c>
      <c r="E24" s="437">
        <v>2514484.71</v>
      </c>
      <c r="F24" s="438">
        <f t="shared" si="6"/>
        <v>2517440.75</v>
      </c>
      <c r="G24" s="437">
        <v>0</v>
      </c>
      <c r="H24" s="437">
        <v>0</v>
      </c>
      <c r="I24" s="438">
        <f t="shared" si="7"/>
        <v>0</v>
      </c>
      <c r="J24" s="438">
        <f t="shared" si="8"/>
        <v>2956.0399999999995</v>
      </c>
      <c r="K24" s="438">
        <f t="shared" si="9"/>
        <v>2514484.71</v>
      </c>
      <c r="L24" s="438">
        <f t="shared" si="10"/>
        <v>2517440.75</v>
      </c>
      <c r="M24" s="438">
        <f>$L$24*'6-PlantJurisdiction'!E38</f>
        <v>2517440.75</v>
      </c>
      <c r="N24" s="438">
        <f>$L$24*'6-PlantJurisdiction'!F38</f>
        <v>0</v>
      </c>
      <c r="O24" s="438">
        <f t="shared" si="3"/>
        <v>2517440.75</v>
      </c>
      <c r="P24" s="439" t="s">
        <v>1593</v>
      </c>
      <c r="Q24" s="4">
        <f t="shared" si="4"/>
        <v>114</v>
      </c>
    </row>
    <row r="25" spans="1:17" ht="29">
      <c r="A25" s="4">
        <f t="shared" si="5"/>
        <v>115</v>
      </c>
      <c r="B25" s="391">
        <v>592</v>
      </c>
      <c r="C25" s="34" t="s">
        <v>1594</v>
      </c>
      <c r="D25" s="437">
        <v>27419982.649999991</v>
      </c>
      <c r="E25" s="437">
        <v>21004753.710000008</v>
      </c>
      <c r="F25" s="438">
        <f t="shared" si="6"/>
        <v>48424736.359999999</v>
      </c>
      <c r="G25" s="437">
        <v>-339332.28725569975</v>
      </c>
      <c r="H25" s="437">
        <v>-533559.99724085955</v>
      </c>
      <c r="I25" s="438">
        <f t="shared" si="7"/>
        <v>-872892.2844965593</v>
      </c>
      <c r="J25" s="438">
        <f t="shared" si="8"/>
        <v>27080650.36274429</v>
      </c>
      <c r="K25" s="438">
        <f t="shared" si="9"/>
        <v>20471193.712759148</v>
      </c>
      <c r="L25" s="438">
        <f t="shared" si="10"/>
        <v>47551844.075503439</v>
      </c>
      <c r="M25" s="438">
        <f>$L$25*'6-PlantJurisdiction'!E39</f>
        <v>47551844.075503439</v>
      </c>
      <c r="N25" s="438">
        <f>$L$25*'6-PlantJurisdiction'!F39</f>
        <v>0</v>
      </c>
      <c r="O25" s="438">
        <f t="shared" si="3"/>
        <v>47551844.075503439</v>
      </c>
      <c r="P25" s="439" t="s">
        <v>1578</v>
      </c>
      <c r="Q25" s="4">
        <f t="shared" si="4"/>
        <v>115</v>
      </c>
    </row>
    <row r="26" spans="1:17" ht="29">
      <c r="A26" s="4">
        <f t="shared" si="5"/>
        <v>116</v>
      </c>
      <c r="B26" s="391">
        <v>593</v>
      </c>
      <c r="C26" s="34" t="s">
        <v>1595</v>
      </c>
      <c r="D26" s="437">
        <v>199038621.5399999</v>
      </c>
      <c r="E26" s="437">
        <v>2099766129.8099985</v>
      </c>
      <c r="F26" s="438">
        <f t="shared" si="6"/>
        <v>2298804751.3499985</v>
      </c>
      <c r="G26" s="437">
        <v>-2526280.2791143791</v>
      </c>
      <c r="H26" s="437">
        <v>-13040480.753677353</v>
      </c>
      <c r="I26" s="438">
        <f t="shared" si="7"/>
        <v>-15566761.032791732</v>
      </c>
      <c r="J26" s="438">
        <f t="shared" si="8"/>
        <v>196512341.26088554</v>
      </c>
      <c r="K26" s="438">
        <f t="shared" si="9"/>
        <v>2086725649.0563211</v>
      </c>
      <c r="L26" s="438">
        <f t="shared" si="10"/>
        <v>2283237990.3172069</v>
      </c>
      <c r="M26" s="438">
        <f>$L$26*'6-PlantJurisdiction'!E42</f>
        <v>1822407824.3478734</v>
      </c>
      <c r="N26" s="438">
        <f>$L$26*'6-PlantJurisdiction'!F42</f>
        <v>460830165.96933347</v>
      </c>
      <c r="O26" s="438">
        <f t="shared" si="3"/>
        <v>2283237990.3172069</v>
      </c>
      <c r="P26" s="439" t="s">
        <v>1580</v>
      </c>
      <c r="Q26" s="4">
        <f t="shared" si="4"/>
        <v>116</v>
      </c>
    </row>
    <row r="27" spans="1:17" ht="29">
      <c r="A27" s="4">
        <f t="shared" si="5"/>
        <v>117</v>
      </c>
      <c r="B27" s="391">
        <v>594</v>
      </c>
      <c r="C27" s="34" t="s">
        <v>1596</v>
      </c>
      <c r="D27" s="437">
        <v>24197787.709999979</v>
      </c>
      <c r="E27" s="437">
        <v>30365410.21000002</v>
      </c>
      <c r="F27" s="438">
        <f t="shared" si="6"/>
        <v>54563197.920000002</v>
      </c>
      <c r="G27" s="437">
        <v>0</v>
      </c>
      <c r="H27" s="437">
        <v>388500</v>
      </c>
      <c r="I27" s="438">
        <f t="shared" si="7"/>
        <v>388500</v>
      </c>
      <c r="J27" s="438">
        <f t="shared" si="8"/>
        <v>24197787.709999979</v>
      </c>
      <c r="K27" s="438">
        <f t="shared" si="9"/>
        <v>30753910.21000002</v>
      </c>
      <c r="L27" s="438">
        <f t="shared" si="10"/>
        <v>54951697.920000002</v>
      </c>
      <c r="M27" s="438">
        <f>$L$27*'6-PlantJurisdiction'!E43</f>
        <v>21457821.21884302</v>
      </c>
      <c r="N27" s="438">
        <f>$L$27*'6-PlantJurisdiction'!F43</f>
        <v>33493876.701156985</v>
      </c>
      <c r="O27" s="438">
        <f t="shared" si="3"/>
        <v>54951697.920000002</v>
      </c>
      <c r="P27" s="439" t="s">
        <v>1582</v>
      </c>
      <c r="Q27" s="4">
        <f t="shared" si="4"/>
        <v>117</v>
      </c>
    </row>
    <row r="28" spans="1:17" ht="29">
      <c r="A28" s="4">
        <f t="shared" si="5"/>
        <v>118</v>
      </c>
      <c r="B28" s="391">
        <v>595</v>
      </c>
      <c r="C28" s="34" t="s">
        <v>1597</v>
      </c>
      <c r="D28" s="437">
        <v>1105455.95</v>
      </c>
      <c r="E28" s="437">
        <v>1133831.49</v>
      </c>
      <c r="F28" s="438">
        <f t="shared" si="6"/>
        <v>2239287.44</v>
      </c>
      <c r="G28" s="437">
        <v>0</v>
      </c>
      <c r="H28" s="437">
        <v>0</v>
      </c>
      <c r="I28" s="438">
        <f t="shared" si="7"/>
        <v>0</v>
      </c>
      <c r="J28" s="438">
        <f t="shared" si="8"/>
        <v>1105455.95</v>
      </c>
      <c r="K28" s="438">
        <f t="shared" si="9"/>
        <v>1133831.49</v>
      </c>
      <c r="L28" s="438">
        <f t="shared" si="10"/>
        <v>2239287.44</v>
      </c>
      <c r="M28" s="438">
        <f>$L$28*'6-PlantJurisdiction'!E45</f>
        <v>0</v>
      </c>
      <c r="N28" s="438">
        <f>$L$28*'6-PlantJurisdiction'!F45</f>
        <v>2239287.44</v>
      </c>
      <c r="O28" s="438">
        <f t="shared" si="3"/>
        <v>2239287.44</v>
      </c>
      <c r="P28" s="439" t="s">
        <v>1598</v>
      </c>
      <c r="Q28" s="4">
        <f t="shared" si="4"/>
        <v>118</v>
      </c>
    </row>
    <row r="29" spans="1:17" ht="29">
      <c r="A29" s="4">
        <f t="shared" si="5"/>
        <v>119</v>
      </c>
      <c r="B29" s="391">
        <v>596</v>
      </c>
      <c r="C29" s="34" t="s">
        <v>1599</v>
      </c>
      <c r="D29" s="437">
        <v>1120919</v>
      </c>
      <c r="E29" s="437">
        <v>541813.87999999989</v>
      </c>
      <c r="F29" s="438">
        <f t="shared" si="6"/>
        <v>1662732.88</v>
      </c>
      <c r="G29" s="437">
        <v>0</v>
      </c>
      <c r="H29" s="437">
        <v>0</v>
      </c>
      <c r="I29" s="438">
        <f t="shared" si="7"/>
        <v>0</v>
      </c>
      <c r="J29" s="438">
        <f t="shared" si="8"/>
        <v>1120919</v>
      </c>
      <c r="K29" s="438">
        <f t="shared" si="9"/>
        <v>541813.87999999989</v>
      </c>
      <c r="L29" s="438">
        <f t="shared" si="10"/>
        <v>1662732.88</v>
      </c>
      <c r="M29" s="438">
        <f>$L$29*'6-PlantJurisdiction'!E50</f>
        <v>0</v>
      </c>
      <c r="N29" s="438">
        <f>$L$29*'6-PlantJurisdiction'!F50</f>
        <v>0</v>
      </c>
      <c r="O29" s="438">
        <f t="shared" si="3"/>
        <v>0</v>
      </c>
      <c r="P29" s="439" t="s">
        <v>1600</v>
      </c>
      <c r="Q29" s="4">
        <f t="shared" si="4"/>
        <v>119</v>
      </c>
    </row>
    <row r="30" spans="1:17" ht="29">
      <c r="A30" s="4">
        <f t="shared" si="5"/>
        <v>120</v>
      </c>
      <c r="B30" s="391">
        <v>597</v>
      </c>
      <c r="C30" s="34" t="s">
        <v>1601</v>
      </c>
      <c r="D30" s="437">
        <v>5454948.5300000021</v>
      </c>
      <c r="E30" s="437">
        <v>4267384.68</v>
      </c>
      <c r="F30" s="438">
        <f t="shared" si="6"/>
        <v>9722333.2100000009</v>
      </c>
      <c r="G30" s="437">
        <v>0</v>
      </c>
      <c r="H30" s="437">
        <v>0</v>
      </c>
      <c r="I30" s="438">
        <f t="shared" si="7"/>
        <v>0</v>
      </c>
      <c r="J30" s="438">
        <f t="shared" si="8"/>
        <v>5454948.5300000021</v>
      </c>
      <c r="K30" s="438">
        <f t="shared" si="9"/>
        <v>4267384.68</v>
      </c>
      <c r="L30" s="438">
        <f t="shared" si="10"/>
        <v>9722333.2100000009</v>
      </c>
      <c r="M30" s="438">
        <f>$L$30*'6-PlantJurisdiction'!E47</f>
        <v>0</v>
      </c>
      <c r="N30" s="438">
        <f>$L$30*'6-PlantJurisdiction'!F47</f>
        <v>0</v>
      </c>
      <c r="O30" s="438">
        <f t="shared" si="3"/>
        <v>0</v>
      </c>
      <c r="P30" s="439" t="s">
        <v>1586</v>
      </c>
      <c r="Q30" s="4">
        <f t="shared" si="4"/>
        <v>120</v>
      </c>
    </row>
    <row r="31" spans="1:17" ht="29">
      <c r="A31" s="4">
        <f t="shared" si="5"/>
        <v>121</v>
      </c>
      <c r="B31" s="391">
        <v>598</v>
      </c>
      <c r="C31" s="34" t="s">
        <v>1602</v>
      </c>
      <c r="D31" s="437">
        <v>24585.54000000003</v>
      </c>
      <c r="E31" s="437">
        <v>1420175.9499999995</v>
      </c>
      <c r="F31" s="438">
        <f t="shared" si="6"/>
        <v>1444761.4899999995</v>
      </c>
      <c r="G31" s="437">
        <v>4411.4599999999991</v>
      </c>
      <c r="H31" s="437">
        <v>-19640.670000000002</v>
      </c>
      <c r="I31" s="438">
        <f t="shared" si="7"/>
        <v>-15229.210000000003</v>
      </c>
      <c r="J31" s="438">
        <f t="shared" si="8"/>
        <v>28997.000000000029</v>
      </c>
      <c r="K31" s="438">
        <f t="shared" si="9"/>
        <v>1400535.2799999996</v>
      </c>
      <c r="L31" s="438">
        <f t="shared" si="10"/>
        <v>1429532.2799999996</v>
      </c>
      <c r="M31" s="438">
        <f>$L$31*'6-PlantJurisdiction'!E85</f>
        <v>695599.37346578087</v>
      </c>
      <c r="N31" s="438">
        <f>$L$31*'6-PlantJurisdiction'!F85</f>
        <v>667475.2446944986</v>
      </c>
      <c r="O31" s="438">
        <f t="shared" si="3"/>
        <v>1363074.6181602795</v>
      </c>
      <c r="P31" s="439" t="s">
        <v>1575</v>
      </c>
      <c r="Q31" s="4">
        <f t="shared" si="4"/>
        <v>121</v>
      </c>
    </row>
    <row r="32" spans="1:17">
      <c r="C32" s="2"/>
      <c r="D32" s="210"/>
      <c r="E32" s="210"/>
      <c r="F32" s="16"/>
      <c r="G32" s="211"/>
      <c r="H32" s="211"/>
      <c r="I32" s="210"/>
      <c r="J32" s="210"/>
      <c r="K32" s="210"/>
      <c r="L32" s="210"/>
      <c r="M32" s="210"/>
      <c r="N32" s="210"/>
      <c r="O32" s="210"/>
      <c r="P32" s="210"/>
    </row>
    <row r="33" spans="2:16">
      <c r="B33" s="7" t="s">
        <v>674</v>
      </c>
      <c r="G33" s="19"/>
    </row>
    <row r="34" spans="2:16">
      <c r="B34" t="s">
        <v>1603</v>
      </c>
    </row>
    <row r="35" spans="2:16">
      <c r="B35" s="8" t="s">
        <v>1604</v>
      </c>
    </row>
    <row r="36" spans="2:16">
      <c r="B36" s="8" t="s">
        <v>1605</v>
      </c>
    </row>
    <row r="37" spans="2:16">
      <c r="B37" s="735" t="s">
        <v>1606</v>
      </c>
      <c r="C37" s="735"/>
      <c r="D37" s="735"/>
      <c r="E37" s="735"/>
      <c r="F37" s="735"/>
      <c r="G37" s="735"/>
      <c r="H37" s="735"/>
      <c r="I37" s="735"/>
      <c r="J37" s="735"/>
      <c r="K37" s="735"/>
      <c r="L37" s="735"/>
      <c r="M37" s="735"/>
      <c r="N37" s="735"/>
      <c r="O37" s="735"/>
      <c r="P37" s="735"/>
    </row>
    <row r="38" spans="2:16">
      <c r="B38" s="735"/>
      <c r="C38" s="735"/>
      <c r="D38" s="735"/>
      <c r="E38" s="735"/>
      <c r="F38" s="735"/>
      <c r="G38" s="735"/>
      <c r="H38" s="735"/>
      <c r="I38" s="735"/>
      <c r="J38" s="735"/>
      <c r="K38" s="735"/>
      <c r="L38" s="735"/>
      <c r="M38" s="735"/>
      <c r="N38" s="735"/>
      <c r="O38" s="735"/>
      <c r="P38" s="735"/>
    </row>
  </sheetData>
  <mergeCells count="9">
    <mergeCell ref="B37:P38"/>
    <mergeCell ref="M9:P9"/>
    <mergeCell ref="P10:P11"/>
    <mergeCell ref="G9:I9"/>
    <mergeCell ref="B11:C11"/>
    <mergeCell ref="B9:B10"/>
    <mergeCell ref="C9:C10"/>
    <mergeCell ref="D9:F9"/>
    <mergeCell ref="J9:L9"/>
  </mergeCells>
  <phoneticPr fontId="104" type="noConversion"/>
  <printOptions horizontalCentered="1"/>
  <pageMargins left="1" right="1" top="1" bottom="1" header="0.5" footer="0.5"/>
  <pageSetup scale="35" orientation="landscape" r:id="rId1"/>
  <headerFooter>
    <oddHeader>&amp;RDocket No. ER20-2878-000, et al.- Annual Update RY2024
&amp;F</oddHeader>
  </headerFooter>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302BF-DA42-409D-90CD-B571D86C6660}">
  <sheetPr>
    <tabColor rgb="FFFF0000"/>
    <pageSetUpPr fitToPage="1"/>
  </sheetPr>
  <dimension ref="A1:AA79"/>
  <sheetViews>
    <sheetView view="pageBreakPreview" zoomScale="25" zoomScaleNormal="100" zoomScaleSheetLayoutView="25" zoomScalePageLayoutView="55" workbookViewId="0">
      <selection activeCell="W98" sqref="W98"/>
    </sheetView>
  </sheetViews>
  <sheetFormatPr defaultColWidth="9.1796875" defaultRowHeight="14.5"/>
  <cols>
    <col min="1" max="1" width="8.54296875" style="52" bestFit="1" customWidth="1"/>
    <col min="2" max="2" width="2.7265625" style="52" customWidth="1"/>
    <col min="3" max="3" width="6.7265625" style="52" customWidth="1"/>
    <col min="4" max="4" width="61.7265625" style="52" customWidth="1"/>
    <col min="5" max="5" width="22.1796875" style="52" customWidth="1"/>
    <col min="6" max="7" width="20.7265625" style="52" customWidth="1"/>
    <col min="8" max="8" width="21.54296875" style="52" customWidth="1"/>
    <col min="9" max="9" width="25.54296875" style="57" bestFit="1" customWidth="1"/>
    <col min="10" max="10" width="21.7265625" style="52" bestFit="1" customWidth="1"/>
    <col min="11" max="11" width="24.453125" style="52" bestFit="1" customWidth="1"/>
    <col min="12" max="12" width="32" style="52" bestFit="1" customWidth="1"/>
    <col min="13" max="13" width="11" style="52" bestFit="1" customWidth="1"/>
    <col min="15" max="15" width="10.7265625" style="52" bestFit="1" customWidth="1"/>
    <col min="16" max="16384" width="9.1796875" style="52"/>
  </cols>
  <sheetData>
    <row r="1" spans="1:27">
      <c r="A1" s="54"/>
      <c r="B1" s="54" t="s">
        <v>53</v>
      </c>
      <c r="C1"/>
      <c r="D1"/>
      <c r="E1"/>
      <c r="F1"/>
      <c r="G1"/>
      <c r="H1"/>
      <c r="I1"/>
      <c r="J1"/>
      <c r="K1"/>
      <c r="L1" s="6" t="s">
        <v>384</v>
      </c>
      <c r="M1"/>
      <c r="O1"/>
      <c r="P1"/>
      <c r="Q1"/>
      <c r="R1"/>
      <c r="S1"/>
      <c r="T1"/>
      <c 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A3" s="54"/>
      <c r="B3"/>
      <c r="C3"/>
      <c r="D3"/>
      <c r="E3"/>
      <c r="F3"/>
      <c r="G3"/>
      <c r="H3"/>
      <c r="I3"/>
      <c r="J3"/>
      <c r="K3" s="112"/>
      <c r="L3" s="112"/>
      <c r="M3"/>
      <c r="O3"/>
      <c r="P3"/>
      <c r="Q3"/>
      <c r="R3"/>
      <c r="S3"/>
      <c r="T3"/>
      <c r="U3"/>
      <c r="V3"/>
      <c r="W3"/>
      <c r="X3"/>
      <c r="Y3"/>
      <c r="Z3"/>
      <c r="AA3"/>
    </row>
    <row r="4" spans="1:27">
      <c r="A4" s="59" t="s">
        <v>1121</v>
      </c>
      <c r="B4"/>
      <c r="C4"/>
      <c r="D4"/>
      <c r="E4"/>
      <c r="F4"/>
      <c r="G4"/>
      <c r="H4"/>
      <c r="I4"/>
      <c r="J4"/>
      <c r="K4" s="112"/>
      <c r="L4" s="112"/>
      <c r="M4" s="59" t="s">
        <v>1121</v>
      </c>
      <c r="O4"/>
      <c r="P4"/>
      <c r="Q4"/>
      <c r="R4"/>
      <c r="S4"/>
      <c r="T4"/>
      <c r="U4"/>
      <c r="V4"/>
      <c r="W4"/>
      <c r="X4"/>
      <c r="Y4"/>
      <c r="Z4"/>
      <c r="AA4"/>
    </row>
    <row r="5" spans="1:27" ht="29.25" customHeight="1">
      <c r="A5" s="293">
        <v>100</v>
      </c>
      <c r="B5"/>
      <c r="C5" s="54" t="s">
        <v>1608</v>
      </c>
      <c r="D5"/>
      <c r="E5" s="56" t="s">
        <v>122</v>
      </c>
      <c r="F5" s="56" t="s">
        <v>123</v>
      </c>
      <c r="G5" s="56" t="s">
        <v>124</v>
      </c>
      <c r="H5" s="56" t="s">
        <v>125</v>
      </c>
      <c r="I5" s="281" t="s">
        <v>1609</v>
      </c>
      <c r="J5" s="58" t="s">
        <v>491</v>
      </c>
      <c r="K5" s="58" t="s">
        <v>1610</v>
      </c>
      <c r="L5" s="58"/>
      <c r="M5" s="293">
        <v>100</v>
      </c>
      <c r="O5"/>
      <c r="P5"/>
      <c r="Q5"/>
      <c r="R5"/>
      <c r="S5"/>
      <c r="T5"/>
      <c r="U5"/>
      <c r="V5"/>
      <c r="W5"/>
      <c r="X5"/>
      <c r="Y5"/>
      <c r="Z5"/>
      <c r="AA5"/>
    </row>
    <row r="6" spans="1:27">
      <c r="A6" s="293">
        <v>101</v>
      </c>
      <c r="B6"/>
      <c r="C6"/>
      <c r="D6"/>
      <c r="E6"/>
      <c r="F6"/>
      <c r="G6"/>
      <c r="H6"/>
      <c r="I6"/>
      <c r="J6" s="212" t="s">
        <v>1257</v>
      </c>
      <c r="K6"/>
      <c r="L6"/>
      <c r="M6" s="293">
        <v>101</v>
      </c>
      <c r="O6"/>
      <c r="P6"/>
      <c r="Q6"/>
      <c r="R6"/>
      <c r="S6"/>
      <c r="T6"/>
      <c r="U6"/>
      <c r="V6"/>
      <c r="W6"/>
      <c r="X6"/>
      <c r="Y6"/>
      <c r="Z6"/>
      <c r="AA6"/>
    </row>
    <row r="7" spans="1:27">
      <c r="A7" s="293">
        <v>102</v>
      </c>
      <c r="B7"/>
      <c r="C7"/>
      <c r="D7"/>
      <c r="E7" s="293" t="s">
        <v>682</v>
      </c>
      <c r="F7" s="293" t="s">
        <v>1611</v>
      </c>
      <c r="G7" s="293" t="s">
        <v>1612</v>
      </c>
      <c r="H7" s="293" t="s">
        <v>1611</v>
      </c>
      <c r="I7" s="293" t="s">
        <v>1613</v>
      </c>
      <c r="J7" s="293" t="s">
        <v>1613</v>
      </c>
      <c r="K7" s="293" t="s">
        <v>1614</v>
      </c>
      <c r="L7" s="293"/>
      <c r="M7" s="293">
        <v>102</v>
      </c>
      <c r="O7"/>
      <c r="P7"/>
      <c r="Q7"/>
      <c r="R7"/>
      <c r="S7"/>
      <c r="T7"/>
      <c r="U7"/>
      <c r="V7"/>
      <c r="W7"/>
      <c r="X7"/>
      <c r="Y7"/>
      <c r="Z7"/>
      <c r="AA7"/>
    </row>
    <row r="8" spans="1:27">
      <c r="A8" s="293">
        <v>103</v>
      </c>
      <c r="B8" s="58"/>
      <c r="C8" s="58" t="s">
        <v>1615</v>
      </c>
      <c r="D8" s="58" t="s">
        <v>7</v>
      </c>
      <c r="E8" s="58" t="s">
        <v>630</v>
      </c>
      <c r="F8" s="58" t="s">
        <v>126</v>
      </c>
      <c r="G8" s="58" t="s">
        <v>630</v>
      </c>
      <c r="H8" s="58" t="s">
        <v>126</v>
      </c>
      <c r="I8" s="58" t="s">
        <v>630</v>
      </c>
      <c r="J8" s="58" t="s">
        <v>1616</v>
      </c>
      <c r="K8" s="58" t="s">
        <v>279</v>
      </c>
      <c r="L8" s="58" t="s">
        <v>631</v>
      </c>
      <c r="M8" s="293">
        <v>103</v>
      </c>
      <c r="O8" s="58"/>
      <c r="P8" s="58"/>
      <c r="Q8" s="58"/>
      <c r="R8" s="58"/>
      <c r="S8" s="58"/>
      <c r="T8" s="58"/>
      <c r="U8" s="58"/>
      <c r="V8" s="58"/>
      <c r="W8" s="58"/>
      <c r="X8" s="58"/>
      <c r="Y8" s="58"/>
      <c r="Z8" s="58"/>
      <c r="AA8" s="58"/>
    </row>
    <row r="9" spans="1:27">
      <c r="A9" s="293">
        <v>104</v>
      </c>
      <c r="B9"/>
      <c r="C9" s="112">
        <v>920</v>
      </c>
      <c r="D9" s="52" t="s">
        <v>1617</v>
      </c>
      <c r="E9" s="262">
        <v>404709415</v>
      </c>
      <c r="F9" s="112" t="s">
        <v>1618</v>
      </c>
      <c r="G9" s="262">
        <v>191940723</v>
      </c>
      <c r="H9" s="112" t="s">
        <v>1619</v>
      </c>
      <c r="I9" s="258">
        <v>596650138</v>
      </c>
      <c r="J9" s="262">
        <v>88724339.745557114</v>
      </c>
      <c r="K9" s="258">
        <v>507925798.25444287</v>
      </c>
      <c r="L9" s="52" t="s">
        <v>1620</v>
      </c>
      <c r="M9" s="293">
        <v>104</v>
      </c>
      <c r="O9"/>
      <c r="P9"/>
      <c r="Q9"/>
      <c r="R9"/>
      <c r="S9"/>
      <c r="T9"/>
      <c r="U9"/>
      <c r="V9"/>
      <c r="W9"/>
      <c r="X9"/>
      <c r="Y9"/>
      <c r="Z9"/>
      <c r="AA9"/>
    </row>
    <row r="10" spans="1:27">
      <c r="A10" s="293">
        <v>105</v>
      </c>
      <c r="B10"/>
      <c r="C10" s="112">
        <v>921</v>
      </c>
      <c r="D10" s="52" t="s">
        <v>1621</v>
      </c>
      <c r="E10" s="262">
        <v>60800833</v>
      </c>
      <c r="F10" s="112" t="s">
        <v>1622</v>
      </c>
      <c r="G10" s="262">
        <v>28827748</v>
      </c>
      <c r="H10" s="112" t="s">
        <v>1623</v>
      </c>
      <c r="I10" s="258">
        <v>89628581</v>
      </c>
      <c r="J10" s="262">
        <v>1167411.2599999998</v>
      </c>
      <c r="K10" s="258">
        <v>88461169.739999995</v>
      </c>
      <c r="L10" s="52" t="s">
        <v>1624</v>
      </c>
      <c r="M10" s="293">
        <v>105</v>
      </c>
      <c r="O10"/>
      <c r="P10"/>
      <c r="Q10"/>
      <c r="R10"/>
      <c r="S10"/>
      <c r="T10"/>
      <c r="U10"/>
      <c r="V10"/>
      <c r="W10"/>
      <c r="X10"/>
      <c r="Y10"/>
      <c r="Z10"/>
      <c r="AA10"/>
    </row>
    <row r="11" spans="1:27">
      <c r="A11" s="293">
        <v>106</v>
      </c>
      <c r="B11"/>
      <c r="C11" s="112">
        <v>922</v>
      </c>
      <c r="D11" s="52" t="s">
        <v>1625</v>
      </c>
      <c r="E11" s="262">
        <v>-148789230</v>
      </c>
      <c r="F11" s="112" t="s">
        <v>1626</v>
      </c>
      <c r="G11" s="262">
        <v>-70566851</v>
      </c>
      <c r="H11" s="112" t="s">
        <v>1627</v>
      </c>
      <c r="I11" s="258">
        <v>-219356081</v>
      </c>
      <c r="J11" s="262">
        <v>-58771034.269819304</v>
      </c>
      <c r="K11" s="258">
        <v>-160585046.73018068</v>
      </c>
      <c r="L11" s="52" t="s">
        <v>1628</v>
      </c>
      <c r="M11" s="293">
        <v>106</v>
      </c>
      <c r="O11"/>
      <c r="P11"/>
      <c r="Q11"/>
      <c r="R11"/>
      <c r="S11"/>
      <c r="T11"/>
      <c r="U11"/>
      <c r="V11"/>
      <c r="W11"/>
      <c r="X11"/>
      <c r="Y11"/>
      <c r="Z11"/>
      <c r="AA11"/>
    </row>
    <row r="12" spans="1:27">
      <c r="A12" s="293">
        <v>107</v>
      </c>
      <c r="B12" s="293"/>
      <c r="C12" s="112">
        <v>923</v>
      </c>
      <c r="D12" s="52" t="s">
        <v>1629</v>
      </c>
      <c r="E12" s="262">
        <v>346863593</v>
      </c>
      <c r="F12" s="112" t="s">
        <v>1630</v>
      </c>
      <c r="G12" s="262">
        <v>162200263</v>
      </c>
      <c r="H12" s="112" t="s">
        <v>1631</v>
      </c>
      <c r="I12" s="258">
        <v>509063856</v>
      </c>
      <c r="J12" s="262">
        <v>81779195.049294576</v>
      </c>
      <c r="K12" s="258">
        <v>427284660.95070541</v>
      </c>
      <c r="L12" s="52" t="s">
        <v>1632</v>
      </c>
      <c r="M12" s="293">
        <v>107</v>
      </c>
      <c r="O12"/>
      <c r="P12"/>
      <c r="Q12"/>
      <c r="R12"/>
      <c r="S12"/>
      <c r="T12"/>
      <c r="U12"/>
      <c r="V12"/>
      <c r="W12"/>
      <c r="X12"/>
      <c r="Y12"/>
      <c r="Z12"/>
      <c r="AA12"/>
    </row>
    <row r="13" spans="1:27">
      <c r="A13" s="293">
        <v>108</v>
      </c>
      <c r="B13" s="293"/>
      <c r="C13" s="112">
        <v>924</v>
      </c>
      <c r="D13" s="52" t="s">
        <v>1133</v>
      </c>
      <c r="E13" s="262">
        <v>16065669</v>
      </c>
      <c r="F13" s="112" t="s">
        <v>1633</v>
      </c>
      <c r="G13" s="262">
        <v>7140661</v>
      </c>
      <c r="H13" s="112" t="s">
        <v>1634</v>
      </c>
      <c r="I13" s="258">
        <v>23206330</v>
      </c>
      <c r="J13" s="262">
        <v>-4956686.1300000008</v>
      </c>
      <c r="K13" s="258">
        <v>28163016.130000003</v>
      </c>
      <c r="L13" s="52" t="s">
        <v>1635</v>
      </c>
      <c r="M13" s="293">
        <v>108</v>
      </c>
      <c r="O13"/>
      <c r="P13"/>
      <c r="Q13"/>
      <c r="R13"/>
      <c r="S13"/>
      <c r="T13"/>
      <c r="U13"/>
      <c r="V13"/>
      <c r="W13"/>
      <c r="X13"/>
      <c r="Y13"/>
      <c r="Z13"/>
      <c r="AA13"/>
    </row>
    <row r="14" spans="1:27">
      <c r="A14" s="293">
        <v>109</v>
      </c>
      <c r="B14" s="293"/>
      <c r="C14" s="112">
        <v>925</v>
      </c>
      <c r="D14" s="52" t="s">
        <v>1190</v>
      </c>
      <c r="E14" s="262">
        <v>1781245931</v>
      </c>
      <c r="F14" s="112" t="s">
        <v>1636</v>
      </c>
      <c r="G14" s="262">
        <v>417756470</v>
      </c>
      <c r="H14" s="112" t="s">
        <v>1637</v>
      </c>
      <c r="I14" s="258">
        <v>2199002401</v>
      </c>
      <c r="J14" s="262">
        <v>1160879401.871917</v>
      </c>
      <c r="K14" s="258">
        <v>1038122999.128083</v>
      </c>
      <c r="L14" s="52" t="s">
        <v>1638</v>
      </c>
      <c r="M14" s="293">
        <v>109</v>
      </c>
      <c r="O14"/>
      <c r="P14"/>
      <c r="Q14"/>
      <c r="R14"/>
      <c r="S14"/>
      <c r="T14"/>
      <c r="U14"/>
      <c r="V14"/>
      <c r="W14"/>
      <c r="X14"/>
      <c r="Y14"/>
      <c r="Z14"/>
      <c r="AA14"/>
    </row>
    <row r="15" spans="1:27">
      <c r="A15" s="293">
        <v>110</v>
      </c>
      <c r="B15" s="293"/>
      <c r="C15" s="112">
        <v>926</v>
      </c>
      <c r="D15" s="52" t="s">
        <v>1639</v>
      </c>
      <c r="E15" s="262">
        <v>390655154</v>
      </c>
      <c r="F15" s="112" t="s">
        <v>1640</v>
      </c>
      <c r="G15" s="262">
        <v>183552769</v>
      </c>
      <c r="H15" s="112" t="s">
        <v>1641</v>
      </c>
      <c r="I15" s="258">
        <v>574207923</v>
      </c>
      <c r="J15" s="262">
        <v>102720737.95948529</v>
      </c>
      <c r="K15" s="258">
        <v>471487185.04051471</v>
      </c>
      <c r="L15" s="52" t="s">
        <v>1642</v>
      </c>
      <c r="M15" s="293">
        <v>110</v>
      </c>
      <c r="O15"/>
      <c r="P15"/>
      <c r="Q15"/>
      <c r="R15"/>
      <c r="S15"/>
      <c r="T15"/>
      <c r="U15"/>
      <c r="V15"/>
      <c r="W15"/>
      <c r="X15"/>
      <c r="Y15"/>
      <c r="Z15"/>
      <c r="AA15"/>
    </row>
    <row r="16" spans="1:27">
      <c r="A16" s="293">
        <v>111</v>
      </c>
      <c r="B16" s="293"/>
      <c r="C16" s="112">
        <v>927</v>
      </c>
      <c r="D16" s="52" t="s">
        <v>1643</v>
      </c>
      <c r="E16" s="262">
        <v>101328358</v>
      </c>
      <c r="F16" s="112" t="s">
        <v>1644</v>
      </c>
      <c r="G16" s="262">
        <v>47245173</v>
      </c>
      <c r="H16" s="112" t="s">
        <v>1645</v>
      </c>
      <c r="I16" s="258">
        <v>148573531</v>
      </c>
      <c r="J16" s="262">
        <v>148573531</v>
      </c>
      <c r="K16" s="258">
        <v>0</v>
      </c>
      <c r="L16" s="52" t="s">
        <v>1646</v>
      </c>
      <c r="M16" s="293">
        <v>111</v>
      </c>
      <c r="O16"/>
      <c r="P16"/>
      <c r="Q16"/>
      <c r="R16"/>
      <c r="S16"/>
      <c r="T16"/>
      <c r="U16"/>
      <c r="V16"/>
      <c r="W16"/>
      <c r="X16"/>
      <c r="Y16"/>
      <c r="Z16"/>
      <c r="AA16"/>
    </row>
    <row r="17" spans="1:13">
      <c r="A17" s="293">
        <v>112</v>
      </c>
      <c r="B17" s="293"/>
      <c r="C17" s="112">
        <v>928</v>
      </c>
      <c r="D17" s="52" t="s">
        <v>1647</v>
      </c>
      <c r="E17" s="262">
        <v>0</v>
      </c>
      <c r="F17" s="112" t="s">
        <v>1648</v>
      </c>
      <c r="G17" s="262">
        <v>0</v>
      </c>
      <c r="H17" s="112" t="s">
        <v>1649</v>
      </c>
      <c r="I17" s="258">
        <v>0</v>
      </c>
      <c r="J17" s="262">
        <v>0</v>
      </c>
      <c r="K17" s="258">
        <v>0</v>
      </c>
      <c r="L17" s="292" t="s">
        <v>1258</v>
      </c>
      <c r="M17" s="293">
        <v>112</v>
      </c>
    </row>
    <row r="18" spans="1:13">
      <c r="A18" s="293">
        <v>113</v>
      </c>
      <c r="B18" s="293"/>
      <c r="C18" s="112">
        <v>929</v>
      </c>
      <c r="D18" s="52" t="s">
        <v>1650</v>
      </c>
      <c r="E18" s="262">
        <v>0</v>
      </c>
      <c r="F18" s="112" t="s">
        <v>1651</v>
      </c>
      <c r="G18" s="262">
        <v>0</v>
      </c>
      <c r="H18" s="112" t="s">
        <v>1652</v>
      </c>
      <c r="I18" s="258">
        <v>0</v>
      </c>
      <c r="J18" s="262">
        <v>0</v>
      </c>
      <c r="K18" s="258">
        <v>0</v>
      </c>
      <c r="L18" s="292" t="s">
        <v>1258</v>
      </c>
      <c r="M18" s="293">
        <v>113</v>
      </c>
    </row>
    <row r="19" spans="1:13">
      <c r="A19" s="293">
        <v>114</v>
      </c>
      <c r="B19" s="293"/>
      <c r="C19" s="112">
        <v>930.1</v>
      </c>
      <c r="D19" s="52" t="s">
        <v>1653</v>
      </c>
      <c r="E19" s="262">
        <v>579767</v>
      </c>
      <c r="F19" s="112" t="s">
        <v>1654</v>
      </c>
      <c r="G19" s="262">
        <v>274968</v>
      </c>
      <c r="H19" s="112" t="s">
        <v>1655</v>
      </c>
      <c r="I19" s="258">
        <v>854735</v>
      </c>
      <c r="J19" s="262">
        <v>0</v>
      </c>
      <c r="K19" s="258">
        <v>854735</v>
      </c>
      <c r="L19" s="52" t="s">
        <v>1656</v>
      </c>
      <c r="M19" s="293">
        <v>114</v>
      </c>
    </row>
    <row r="20" spans="1:13">
      <c r="A20" s="293">
        <v>115</v>
      </c>
      <c r="B20" s="293"/>
      <c r="C20" s="112">
        <v>930.2</v>
      </c>
      <c r="D20" s="52" t="s">
        <v>1657</v>
      </c>
      <c r="E20" s="262">
        <v>16158682</v>
      </c>
      <c r="F20" s="112" t="s">
        <v>1658</v>
      </c>
      <c r="G20" s="262">
        <v>5699727</v>
      </c>
      <c r="H20" s="112" t="s">
        <v>1659</v>
      </c>
      <c r="I20" s="258">
        <v>21858409</v>
      </c>
      <c r="J20" s="262">
        <v>14569695.440001793</v>
      </c>
      <c r="K20" s="258">
        <v>7288713.5599982068</v>
      </c>
      <c r="L20" s="52" t="s">
        <v>1656</v>
      </c>
      <c r="M20" s="293">
        <v>115</v>
      </c>
    </row>
    <row r="21" spans="1:13">
      <c r="A21" s="293">
        <v>116</v>
      </c>
      <c r="B21" s="293"/>
      <c r="C21" s="112">
        <v>931</v>
      </c>
      <c r="D21" s="52" t="s">
        <v>1590</v>
      </c>
      <c r="E21" s="262">
        <v>0</v>
      </c>
      <c r="F21" s="112" t="s">
        <v>1660</v>
      </c>
      <c r="G21" s="262">
        <v>0</v>
      </c>
      <c r="H21" s="112" t="s">
        <v>1661</v>
      </c>
      <c r="I21" s="258">
        <v>0</v>
      </c>
      <c r="J21" s="262">
        <v>0</v>
      </c>
      <c r="K21" s="258">
        <v>0</v>
      </c>
      <c r="L21" s="292" t="s">
        <v>1258</v>
      </c>
      <c r="M21" s="293">
        <v>116</v>
      </c>
    </row>
    <row r="22" spans="1:13">
      <c r="A22" s="293">
        <v>117</v>
      </c>
      <c r="B22" s="293"/>
      <c r="C22" s="112">
        <v>935</v>
      </c>
      <c r="D22" s="52" t="s">
        <v>1662</v>
      </c>
      <c r="E22" s="263">
        <v>3004766</v>
      </c>
      <c r="F22" s="112" t="s">
        <v>1663</v>
      </c>
      <c r="G22" s="263">
        <v>1425082</v>
      </c>
      <c r="H22" s="112" t="s">
        <v>1664</v>
      </c>
      <c r="I22" s="260">
        <v>4429848</v>
      </c>
      <c r="J22" s="263">
        <v>0</v>
      </c>
      <c r="K22" s="260">
        <v>4429848</v>
      </c>
      <c r="L22" s="52" t="s">
        <v>1665</v>
      </c>
      <c r="M22" s="293">
        <v>117</v>
      </c>
    </row>
    <row r="23" spans="1:13" s="54" customFormat="1">
      <c r="A23" s="293">
        <v>118</v>
      </c>
      <c r="D23" s="218" t="s">
        <v>1666</v>
      </c>
      <c r="E23" s="259">
        <v>2972622938</v>
      </c>
      <c r="F23" s="112" t="s">
        <v>1667</v>
      </c>
      <c r="G23" s="259">
        <v>975496733</v>
      </c>
      <c r="H23" s="112" t="s">
        <v>1668</v>
      </c>
      <c r="I23" s="261">
        <v>3948119671</v>
      </c>
      <c r="J23" s="261">
        <v>1534686591.9264364</v>
      </c>
      <c r="K23" s="259">
        <v>2413433079.0735631</v>
      </c>
      <c r="M23" s="293">
        <v>118</v>
      </c>
    </row>
    <row r="24" spans="1:13">
      <c r="A24" s="293"/>
      <c r="B24"/>
      <c r="C24"/>
      <c r="D24"/>
      <c r="E24"/>
      <c r="F24"/>
      <c r="G24"/>
      <c r="H24"/>
      <c r="I24" s="217"/>
      <c r="J24"/>
      <c r="K24"/>
      <c r="L24"/>
      <c r="M24" s="293"/>
    </row>
    <row r="25" spans="1:13">
      <c r="A25" s="293">
        <v>200</v>
      </c>
      <c r="B25"/>
      <c r="C25" s="54" t="s">
        <v>1669</v>
      </c>
      <c r="D25"/>
      <c r="E25"/>
      <c r="F25"/>
      <c r="G25"/>
      <c r="H25"/>
      <c r="I25" s="217"/>
      <c r="J25"/>
      <c r="K25"/>
      <c r="L25"/>
      <c r="M25" s="293">
        <v>200</v>
      </c>
    </row>
    <row r="26" spans="1:13">
      <c r="A26" s="293">
        <v>201</v>
      </c>
      <c r="B26"/>
      <c r="C26"/>
      <c r="D26" s="494" t="s">
        <v>1670</v>
      </c>
      <c r="E26" s="495"/>
      <c r="F26" s="496" t="s">
        <v>630</v>
      </c>
      <c r="G26" s="496" t="s">
        <v>126</v>
      </c>
      <c r="H26" s="497"/>
      <c r="I26" s="52"/>
      <c r="J26"/>
      <c r="K26" s="113"/>
      <c r="L26"/>
      <c r="M26" s="293">
        <v>201</v>
      </c>
    </row>
    <row r="27" spans="1:13">
      <c r="A27" s="293">
        <v>202</v>
      </c>
      <c r="B27"/>
      <c r="C27"/>
      <c r="D27" s="214"/>
      <c r="E27" s="57" t="s">
        <v>1671</v>
      </c>
      <c r="F27" s="258">
        <v>2413433079.0735631</v>
      </c>
      <c r="G27" s="53" t="s">
        <v>1672</v>
      </c>
      <c r="H27" s="498"/>
      <c r="I27" s="52"/>
      <c r="J27"/>
      <c r="K27"/>
      <c r="L27"/>
      <c r="M27" s="293">
        <v>202</v>
      </c>
    </row>
    <row r="28" spans="1:13">
      <c r="A28" s="293">
        <v>203</v>
      </c>
      <c r="B28"/>
      <c r="C28"/>
      <c r="D28" s="214"/>
      <c r="E28" s="57" t="s">
        <v>1673</v>
      </c>
      <c r="F28" s="258">
        <v>28163016.130000003</v>
      </c>
      <c r="G28" s="53" t="s">
        <v>1674</v>
      </c>
      <c r="H28" s="499"/>
      <c r="I28" s="52"/>
      <c r="J28"/>
      <c r="K28"/>
      <c r="L28"/>
      <c r="M28" s="293">
        <v>203</v>
      </c>
    </row>
    <row r="29" spans="1:13">
      <c r="A29" s="293">
        <v>204</v>
      </c>
      <c r="B29"/>
      <c r="C29"/>
      <c r="D29" s="216"/>
      <c r="E29" s="216" t="s">
        <v>1675</v>
      </c>
      <c r="F29" s="262">
        <v>990591972.41066015</v>
      </c>
      <c r="G29" s="53" t="s">
        <v>1676</v>
      </c>
      <c r="H29" s="499"/>
      <c r="I29" s="52"/>
      <c r="J29"/>
      <c r="K29"/>
      <c r="L29"/>
      <c r="M29" s="293">
        <v>204</v>
      </c>
    </row>
    <row r="30" spans="1:13">
      <c r="A30" s="293">
        <v>205</v>
      </c>
      <c r="B30"/>
      <c r="C30"/>
      <c r="D30" s="214"/>
      <c r="E30" s="57" t="s">
        <v>1677</v>
      </c>
      <c r="F30" s="500">
        <v>1394678090.5329027</v>
      </c>
      <c r="G30" s="53" t="s">
        <v>1678</v>
      </c>
      <c r="H30" s="498"/>
      <c r="I30" s="52"/>
      <c r="J30"/>
      <c r="K30"/>
      <c r="L30"/>
      <c r="M30" s="293">
        <v>205</v>
      </c>
    </row>
    <row r="31" spans="1:13">
      <c r="A31" s="293">
        <v>206</v>
      </c>
      <c r="B31"/>
      <c r="C31"/>
      <c r="D31" s="214"/>
      <c r="E31" s="57" t="s">
        <v>1679</v>
      </c>
      <c r="F31" s="501">
        <v>0.70304884104477328</v>
      </c>
      <c r="G31" s="502" t="s">
        <v>1680</v>
      </c>
      <c r="H31" s="632"/>
      <c r="I31" s="52"/>
      <c r="J31"/>
      <c r="K31"/>
      <c r="L31"/>
      <c r="M31" s="293">
        <v>206</v>
      </c>
    </row>
    <row r="32" spans="1:13">
      <c r="A32" s="293">
        <v>207</v>
      </c>
      <c r="B32"/>
      <c r="C32"/>
      <c r="D32" s="214"/>
      <c r="E32" s="57" t="s">
        <v>1681</v>
      </c>
      <c r="F32" s="500">
        <v>980526815.17969465</v>
      </c>
      <c r="G32" s="53" t="s">
        <v>1682</v>
      </c>
      <c r="H32" s="498"/>
      <c r="I32" s="52"/>
      <c r="J32"/>
      <c r="K32"/>
      <c r="L32"/>
      <c r="M32" s="293">
        <v>207</v>
      </c>
    </row>
    <row r="33" spans="1:14">
      <c r="A33" s="293">
        <v>208</v>
      </c>
      <c r="B33"/>
      <c r="C33"/>
      <c r="D33" s="214"/>
      <c r="E33" s="57" t="s">
        <v>1683</v>
      </c>
      <c r="F33" s="503">
        <v>0.43638724816634106</v>
      </c>
      <c r="G33" s="502" t="s">
        <v>239</v>
      </c>
      <c r="H33" s="498"/>
      <c r="I33" s="52"/>
      <c r="J33"/>
      <c r="K33"/>
      <c r="L33"/>
      <c r="M33" s="293">
        <v>208</v>
      </c>
    </row>
    <row r="34" spans="1:14">
      <c r="A34" s="293">
        <v>209</v>
      </c>
      <c r="B34"/>
      <c r="C34"/>
      <c r="D34" s="213"/>
      <c r="E34" s="504" t="s">
        <v>1684</v>
      </c>
      <c r="F34" s="505">
        <v>427889398.62957346</v>
      </c>
      <c r="G34" s="506" t="s">
        <v>1685</v>
      </c>
      <c r="H34" s="507"/>
      <c r="I34" s="52"/>
      <c r="J34"/>
      <c r="K34"/>
      <c r="L34"/>
      <c r="M34" s="293">
        <v>209</v>
      </c>
    </row>
    <row r="35" spans="1:14">
      <c r="A35" s="293">
        <v>210</v>
      </c>
      <c r="B35"/>
      <c r="C35"/>
      <c r="D35" s="494" t="s">
        <v>1686</v>
      </c>
      <c r="E35" s="508"/>
      <c r="F35" s="509"/>
      <c r="G35" s="510"/>
      <c r="H35" s="511"/>
      <c r="I35" s="52"/>
      <c r="J35"/>
      <c r="K35"/>
      <c r="L35"/>
      <c r="M35" s="293">
        <v>210</v>
      </c>
    </row>
    <row r="36" spans="1:14">
      <c r="A36" s="293">
        <v>211</v>
      </c>
      <c r="B36"/>
      <c r="C36"/>
      <c r="D36" s="214"/>
      <c r="E36" s="230" t="s">
        <v>1687</v>
      </c>
      <c r="F36" s="503">
        <v>0.74333922377767991</v>
      </c>
      <c r="G36" s="53" t="s">
        <v>1688</v>
      </c>
      <c r="H36" s="512"/>
      <c r="I36" s="648"/>
      <c r="J36"/>
      <c r="K36"/>
      <c r="L36"/>
      <c r="M36" s="293">
        <v>211</v>
      </c>
    </row>
    <row r="37" spans="1:14">
      <c r="A37" s="293" t="s">
        <v>1689</v>
      </c>
      <c r="B37"/>
      <c r="C37"/>
      <c r="D37" s="214"/>
      <c r="E37" s="230" t="s">
        <v>1690</v>
      </c>
      <c r="F37" s="503">
        <v>0.21404487846767417</v>
      </c>
      <c r="G37" s="53" t="s">
        <v>1691</v>
      </c>
      <c r="H37" s="512"/>
      <c r="I37" s="52"/>
      <c r="J37"/>
      <c r="K37"/>
      <c r="L37"/>
      <c r="M37" s="293" t="s">
        <v>1689</v>
      </c>
    </row>
    <row r="38" spans="1:14">
      <c r="A38" s="293">
        <v>212</v>
      </c>
      <c r="B38"/>
      <c r="C38"/>
      <c r="D38" s="214"/>
      <c r="E38" s="57" t="s">
        <v>1692</v>
      </c>
      <c r="F38" s="258">
        <v>28163016.130000003</v>
      </c>
      <c r="G38" s="53" t="s">
        <v>1693</v>
      </c>
      <c r="H38" s="499"/>
      <c r="I38" s="52"/>
      <c r="J38"/>
      <c r="K38"/>
      <c r="L38"/>
      <c r="M38" s="293">
        <v>212</v>
      </c>
    </row>
    <row r="39" spans="1:14">
      <c r="A39" s="293">
        <v>213</v>
      </c>
      <c r="B39"/>
      <c r="C39"/>
      <c r="D39" s="213"/>
      <c r="E39" s="504" t="s">
        <v>1694</v>
      </c>
      <c r="F39" s="513">
        <v>4480959.8696679017</v>
      </c>
      <c r="G39" s="506" t="s">
        <v>1695</v>
      </c>
      <c r="H39" s="514"/>
      <c r="I39" s="52"/>
      <c r="J39"/>
      <c r="K39"/>
      <c r="L39"/>
      <c r="M39" s="293">
        <v>213</v>
      </c>
    </row>
    <row r="40" spans="1:14">
      <c r="A40" s="293">
        <v>214</v>
      </c>
      <c r="B40"/>
      <c r="C40"/>
      <c r="D40" s="215" t="s">
        <v>1696</v>
      </c>
      <c r="E40" s="57"/>
      <c r="F40" s="515"/>
      <c r="G40" s="53"/>
      <c r="H40" s="499"/>
      <c r="I40" s="52"/>
      <c r="J40"/>
      <c r="K40"/>
      <c r="L40"/>
      <c r="M40" s="293">
        <v>214</v>
      </c>
      <c r="N40" s="52"/>
    </row>
    <row r="41" spans="1:14">
      <c r="A41" s="293">
        <v>215</v>
      </c>
      <c r="B41"/>
      <c r="C41"/>
      <c r="D41" s="214"/>
      <c r="E41" s="57" t="s">
        <v>1697</v>
      </c>
      <c r="F41" s="259">
        <v>990591972.41066015</v>
      </c>
      <c r="G41" s="53" t="s">
        <v>459</v>
      </c>
      <c r="H41" s="499"/>
      <c r="I41" s="52"/>
      <c r="J41"/>
      <c r="K41"/>
      <c r="L41"/>
      <c r="M41" s="293">
        <v>215</v>
      </c>
      <c r="N41" s="52"/>
    </row>
    <row r="42" spans="1:14">
      <c r="A42" s="293">
        <v>216</v>
      </c>
      <c r="B42"/>
      <c r="C42"/>
      <c r="D42" s="214"/>
      <c r="E42" s="57" t="s">
        <v>1698</v>
      </c>
      <c r="F42" s="503">
        <v>0.35862997641395811</v>
      </c>
      <c r="G42" s="502" t="s">
        <v>1699</v>
      </c>
      <c r="H42" s="499"/>
      <c r="I42" s="52"/>
      <c r="J42"/>
      <c r="K42"/>
      <c r="L42"/>
      <c r="M42" s="293">
        <v>216</v>
      </c>
      <c r="N42" s="52"/>
    </row>
    <row r="43" spans="1:14">
      <c r="A43" s="293">
        <v>217</v>
      </c>
      <c r="B43"/>
      <c r="C43"/>
      <c r="D43" s="214"/>
      <c r="E43" s="504" t="s">
        <v>1700</v>
      </c>
      <c r="F43" s="513">
        <v>355255975.7014913</v>
      </c>
      <c r="G43" s="506" t="s">
        <v>1701</v>
      </c>
      <c r="H43" s="499"/>
      <c r="I43" s="52"/>
      <c r="J43"/>
      <c r="K43"/>
      <c r="L43"/>
      <c r="M43" s="293">
        <v>217</v>
      </c>
      <c r="N43" s="52"/>
    </row>
    <row r="44" spans="1:14">
      <c r="A44" s="293">
        <v>218</v>
      </c>
      <c r="B44"/>
      <c r="C44"/>
      <c r="D44" s="516"/>
      <c r="E44" s="508"/>
      <c r="F44" s="509"/>
      <c r="G44" s="510"/>
      <c r="H44" s="517"/>
      <c r="I44" s="52"/>
      <c r="J44"/>
      <c r="K44"/>
      <c r="L44"/>
      <c r="M44" s="293">
        <v>218</v>
      </c>
      <c r="N44" s="52"/>
    </row>
    <row r="45" spans="1:14">
      <c r="A45" s="293">
        <v>219</v>
      </c>
      <c r="B45"/>
      <c r="C45"/>
      <c r="D45" s="213"/>
      <c r="E45" s="504" t="s">
        <v>1702</v>
      </c>
      <c r="F45" s="505">
        <v>787626334.20073271</v>
      </c>
      <c r="G45" s="506" t="s">
        <v>1703</v>
      </c>
      <c r="H45" s="507"/>
      <c r="I45" s="52"/>
      <c r="J45"/>
      <c r="K45"/>
      <c r="L45"/>
      <c r="M45" s="293">
        <v>219</v>
      </c>
      <c r="N45" s="52"/>
    </row>
    <row r="46" spans="1:14">
      <c r="A46" s="293"/>
      <c r="B46"/>
      <c r="C46"/>
      <c r="D46"/>
      <c r="E46" s="57"/>
      <c r="F46" s="259"/>
      <c r="G46" s="53"/>
      <c r="H46" s="113"/>
      <c r="I46" s="52"/>
      <c r="J46"/>
      <c r="K46"/>
      <c r="L46"/>
      <c r="M46" s="293"/>
      <c r="N46" s="52"/>
    </row>
    <row r="47" spans="1:14" s="8" customFormat="1">
      <c r="A47" s="91">
        <v>300</v>
      </c>
      <c r="C47" s="123" t="s">
        <v>1704</v>
      </c>
      <c r="I47" s="230"/>
      <c r="M47" s="293">
        <v>300</v>
      </c>
    </row>
    <row r="48" spans="1:14" s="8" customFormat="1">
      <c r="A48" s="91">
        <v>301</v>
      </c>
      <c r="E48" s="4" t="s">
        <v>497</v>
      </c>
      <c r="F48" s="4" t="s">
        <v>498</v>
      </c>
      <c r="G48" s="4" t="s">
        <v>499</v>
      </c>
      <c r="H48" s="4" t="s">
        <v>500</v>
      </c>
      <c r="I48" s="4" t="s">
        <v>441</v>
      </c>
      <c r="J48" s="4" t="s">
        <v>446</v>
      </c>
      <c r="K48" s="4" t="s">
        <v>461</v>
      </c>
      <c r="M48" s="293">
        <v>301</v>
      </c>
    </row>
    <row r="49" spans="1:14" s="8" customFormat="1" ht="29">
      <c r="A49" s="284">
        <v>302</v>
      </c>
      <c r="C49" s="58"/>
      <c r="D49" s="58"/>
      <c r="E49" s="686" t="s">
        <v>1705</v>
      </c>
      <c r="F49" s="686" t="s">
        <v>1706</v>
      </c>
      <c r="G49" s="686" t="s">
        <v>1707</v>
      </c>
      <c r="H49" s="686" t="s">
        <v>1708</v>
      </c>
      <c r="I49" s="686" t="s">
        <v>1709</v>
      </c>
      <c r="J49" s="686" t="s">
        <v>1710</v>
      </c>
      <c r="K49" s="686" t="s">
        <v>1711</v>
      </c>
      <c r="M49" s="293">
        <v>302</v>
      </c>
    </row>
    <row r="50" spans="1:14" s="8" customFormat="1">
      <c r="A50" s="91">
        <v>303</v>
      </c>
      <c r="C50" s="18">
        <v>920</v>
      </c>
      <c r="D50" s="8" t="s">
        <v>1617</v>
      </c>
      <c r="E50" s="256">
        <v>-16566674.539999999</v>
      </c>
      <c r="F50" s="256">
        <v>-21141312.069999997</v>
      </c>
      <c r="G50" s="256">
        <v>-79392785.569999993</v>
      </c>
      <c r="H50" s="256">
        <v>-68291.75</v>
      </c>
      <c r="I50" s="256">
        <v>-283184.69000000006</v>
      </c>
      <c r="J50" s="256">
        <v>28727908.874442879</v>
      </c>
      <c r="K50" s="242">
        <v>-88724339.745557114</v>
      </c>
      <c r="M50" s="293">
        <v>303</v>
      </c>
      <c r="N50" s="286"/>
    </row>
    <row r="51" spans="1:14" s="8" customFormat="1">
      <c r="A51" s="91">
        <v>304</v>
      </c>
      <c r="C51" s="18">
        <v>921</v>
      </c>
      <c r="D51" s="8" t="s">
        <v>1621</v>
      </c>
      <c r="E51" s="256">
        <v>0</v>
      </c>
      <c r="F51" s="256">
        <v>-912937.66999999993</v>
      </c>
      <c r="G51" s="256">
        <v>0</v>
      </c>
      <c r="H51" s="256">
        <v>-249244</v>
      </c>
      <c r="I51" s="256">
        <v>-5229.5900000000011</v>
      </c>
      <c r="J51" s="256">
        <v>0</v>
      </c>
      <c r="K51" s="242">
        <v>-1167411.26</v>
      </c>
      <c r="M51" s="293">
        <v>304</v>
      </c>
      <c r="N51" s="286"/>
    </row>
    <row r="52" spans="1:14" s="8" customFormat="1">
      <c r="A52" s="91">
        <v>305</v>
      </c>
      <c r="C52" s="18">
        <v>922</v>
      </c>
      <c r="D52" s="8" t="s">
        <v>1625</v>
      </c>
      <c r="E52" s="256">
        <v>0</v>
      </c>
      <c r="F52" s="256">
        <v>0</v>
      </c>
      <c r="G52" s="256">
        <v>0</v>
      </c>
      <c r="H52" s="256">
        <v>0</v>
      </c>
      <c r="I52" s="256">
        <v>58771034.269819304</v>
      </c>
      <c r="J52" s="256">
        <v>0</v>
      </c>
      <c r="K52" s="242">
        <v>58771034.269819304</v>
      </c>
      <c r="M52" s="293">
        <v>305</v>
      </c>
      <c r="N52" s="286"/>
    </row>
    <row r="53" spans="1:14" s="8" customFormat="1">
      <c r="A53" s="91">
        <v>306</v>
      </c>
      <c r="C53" s="18">
        <v>923</v>
      </c>
      <c r="D53" s="8" t="s">
        <v>1629</v>
      </c>
      <c r="E53" s="256">
        <v>-2358708.41</v>
      </c>
      <c r="F53" s="256">
        <v>-13272530.06189432</v>
      </c>
      <c r="G53" s="256">
        <v>-278182.43</v>
      </c>
      <c r="H53" s="256">
        <v>-75009900.99000001</v>
      </c>
      <c r="I53" s="256">
        <v>9022625.8000000007</v>
      </c>
      <c r="J53" s="256">
        <v>117501.04259974512</v>
      </c>
      <c r="K53" s="242">
        <v>-81779195.049294576</v>
      </c>
      <c r="M53" s="293">
        <v>306</v>
      </c>
      <c r="N53" s="286"/>
    </row>
    <row r="54" spans="1:14" s="8" customFormat="1">
      <c r="A54" s="91">
        <v>307</v>
      </c>
      <c r="C54" s="18">
        <v>924</v>
      </c>
      <c r="D54" s="8" t="s">
        <v>1133</v>
      </c>
      <c r="E54" s="256">
        <v>0</v>
      </c>
      <c r="F54" s="256">
        <v>0</v>
      </c>
      <c r="G54" s="256">
        <v>0</v>
      </c>
      <c r="H54" s="256">
        <v>4956686.1300000008</v>
      </c>
      <c r="I54" s="256">
        <v>0</v>
      </c>
      <c r="J54" s="256">
        <v>0</v>
      </c>
      <c r="K54" s="242">
        <v>4956686.1300000008</v>
      </c>
      <c r="M54" s="293">
        <v>307</v>
      </c>
      <c r="N54" s="286"/>
    </row>
    <row r="55" spans="1:14" s="8" customFormat="1">
      <c r="A55" s="91">
        <v>308</v>
      </c>
      <c r="C55" s="18">
        <v>925</v>
      </c>
      <c r="D55" s="8" t="s">
        <v>1190</v>
      </c>
      <c r="E55" s="256">
        <v>0</v>
      </c>
      <c r="F55" s="256">
        <v>0</v>
      </c>
      <c r="G55" s="256">
        <v>-1112467711.0600002</v>
      </c>
      <c r="H55" s="256">
        <v>-1191061.9099999999</v>
      </c>
      <c r="I55" s="256">
        <v>-47220628.90191678</v>
      </c>
      <c r="J55" s="256">
        <v>0</v>
      </c>
      <c r="K55" s="242">
        <v>-1160879401.871917</v>
      </c>
      <c r="M55" s="293">
        <v>308</v>
      </c>
      <c r="N55" s="286"/>
    </row>
    <row r="56" spans="1:14" s="8" customFormat="1">
      <c r="A56" s="91">
        <v>309</v>
      </c>
      <c r="C56" s="18">
        <v>926</v>
      </c>
      <c r="D56" s="8" t="s">
        <v>1639</v>
      </c>
      <c r="E56" s="256">
        <v>0</v>
      </c>
      <c r="F56" s="256">
        <v>-8719220.3899999987</v>
      </c>
      <c r="G56" s="256">
        <v>568071.94775249099</v>
      </c>
      <c r="H56" s="256">
        <v>-2715322.5</v>
      </c>
      <c r="I56" s="256">
        <v>-91496904.765905008</v>
      </c>
      <c r="J56" s="256">
        <v>-357362.25133277872</v>
      </c>
      <c r="K56" s="242">
        <v>-102720737.95948529</v>
      </c>
      <c r="M56" s="293">
        <v>309</v>
      </c>
      <c r="N56" s="286"/>
    </row>
    <row r="57" spans="1:14" s="8" customFormat="1">
      <c r="A57" s="91">
        <v>310</v>
      </c>
      <c r="C57" s="18">
        <v>927</v>
      </c>
      <c r="D57" s="8" t="s">
        <v>1643</v>
      </c>
      <c r="E57" s="256">
        <v>0</v>
      </c>
      <c r="F57" s="256">
        <v>0</v>
      </c>
      <c r="G57" s="256">
        <v>0</v>
      </c>
      <c r="H57" s="256">
        <v>-148573531</v>
      </c>
      <c r="I57" s="256">
        <v>0</v>
      </c>
      <c r="J57" s="256">
        <v>0</v>
      </c>
      <c r="K57" s="242">
        <v>-148573531</v>
      </c>
      <c r="M57" s="293">
        <v>310</v>
      </c>
      <c r="N57" s="286"/>
    </row>
    <row r="58" spans="1:14" s="8" customFormat="1">
      <c r="A58" s="91">
        <v>311</v>
      </c>
      <c r="C58" s="18">
        <v>928</v>
      </c>
      <c r="D58" s="8" t="s">
        <v>1647</v>
      </c>
      <c r="E58" s="256">
        <v>0</v>
      </c>
      <c r="F58" s="256">
        <v>0</v>
      </c>
      <c r="G58" s="256">
        <v>0</v>
      </c>
      <c r="H58" s="256">
        <v>0</v>
      </c>
      <c r="I58" s="256">
        <v>0</v>
      </c>
      <c r="J58" s="256">
        <v>0</v>
      </c>
      <c r="K58" s="242">
        <v>0</v>
      </c>
      <c r="M58" s="293">
        <v>311</v>
      </c>
      <c r="N58" s="286"/>
    </row>
    <row r="59" spans="1:14" s="8" customFormat="1">
      <c r="A59" s="91">
        <v>312</v>
      </c>
      <c r="C59" s="18">
        <v>929</v>
      </c>
      <c r="D59" s="8" t="s">
        <v>1650</v>
      </c>
      <c r="E59" s="256">
        <v>0</v>
      </c>
      <c r="F59" s="256">
        <v>0</v>
      </c>
      <c r="G59" s="256">
        <v>0</v>
      </c>
      <c r="H59" s="256">
        <v>0</v>
      </c>
      <c r="I59" s="256">
        <v>0</v>
      </c>
      <c r="J59" s="256">
        <v>0</v>
      </c>
      <c r="K59" s="242">
        <v>0</v>
      </c>
      <c r="M59" s="293">
        <v>312</v>
      </c>
      <c r="N59" s="286"/>
    </row>
    <row r="60" spans="1:14" s="8" customFormat="1">
      <c r="A60" s="91">
        <v>313</v>
      </c>
      <c r="C60" s="18">
        <v>930.1</v>
      </c>
      <c r="D60" s="8" t="s">
        <v>1653</v>
      </c>
      <c r="E60" s="256">
        <v>0</v>
      </c>
      <c r="F60" s="256">
        <v>0</v>
      </c>
      <c r="G60" s="256">
        <v>0</v>
      </c>
      <c r="H60" s="256">
        <v>0</v>
      </c>
      <c r="I60" s="256">
        <v>0</v>
      </c>
      <c r="J60" s="256">
        <v>0</v>
      </c>
      <c r="K60" s="242">
        <v>0</v>
      </c>
      <c r="M60" s="293">
        <v>313</v>
      </c>
      <c r="N60" s="286"/>
    </row>
    <row r="61" spans="1:14" s="8" customFormat="1">
      <c r="A61" s="91">
        <v>314</v>
      </c>
      <c r="C61" s="18">
        <v>930.2</v>
      </c>
      <c r="D61" s="8" t="s">
        <v>1657</v>
      </c>
      <c r="E61" s="256">
        <v>0</v>
      </c>
      <c r="F61" s="256">
        <v>0</v>
      </c>
      <c r="G61" s="256">
        <v>0</v>
      </c>
      <c r="H61" s="256">
        <v>-962628.20000178879</v>
      </c>
      <c r="I61" s="256">
        <v>-13607067.240000002</v>
      </c>
      <c r="J61" s="256">
        <v>0</v>
      </c>
      <c r="K61" s="242">
        <v>-14569695.440001791</v>
      </c>
      <c r="M61" s="293">
        <v>314</v>
      </c>
      <c r="N61" s="286"/>
    </row>
    <row r="62" spans="1:14" s="8" customFormat="1">
      <c r="A62" s="91">
        <v>315</v>
      </c>
      <c r="C62" s="18">
        <v>931</v>
      </c>
      <c r="D62" s="8" t="s">
        <v>1590</v>
      </c>
      <c r="E62" s="256">
        <v>0</v>
      </c>
      <c r="F62" s="256">
        <v>0</v>
      </c>
      <c r="G62" s="256">
        <v>0</v>
      </c>
      <c r="H62" s="256">
        <v>0</v>
      </c>
      <c r="I62" s="256">
        <v>0</v>
      </c>
      <c r="J62" s="256">
        <v>0</v>
      </c>
      <c r="K62" s="242">
        <v>0</v>
      </c>
      <c r="M62" s="293">
        <v>315</v>
      </c>
      <c r="N62" s="286"/>
    </row>
    <row r="63" spans="1:14" s="8" customFormat="1">
      <c r="A63" s="91">
        <v>316</v>
      </c>
      <c r="C63" s="18">
        <v>935</v>
      </c>
      <c r="D63" s="8" t="s">
        <v>1662</v>
      </c>
      <c r="E63" s="256">
        <v>0</v>
      </c>
      <c r="F63" s="256">
        <v>0</v>
      </c>
      <c r="G63" s="256">
        <v>0</v>
      </c>
      <c r="H63" s="256">
        <v>0</v>
      </c>
      <c r="I63" s="256">
        <v>0</v>
      </c>
      <c r="J63" s="256">
        <v>0</v>
      </c>
      <c r="K63" s="242">
        <v>0</v>
      </c>
      <c r="M63" s="293">
        <v>316</v>
      </c>
      <c r="N63" s="286"/>
    </row>
    <row r="64" spans="1:14" s="8" customFormat="1">
      <c r="A64" s="91">
        <v>318</v>
      </c>
      <c r="D64" s="105" t="s">
        <v>1712</v>
      </c>
      <c r="E64" s="473">
        <v>-18925382.949999999</v>
      </c>
      <c r="F64" s="473">
        <v>-44046000.191894315</v>
      </c>
      <c r="G64" s="473">
        <v>-1191570607.1122477</v>
      </c>
      <c r="H64" s="473">
        <v>-223813294.22000179</v>
      </c>
      <c r="I64" s="473">
        <v>-84819355.118002504</v>
      </c>
      <c r="J64" s="473">
        <v>28488047.665709846</v>
      </c>
      <c r="K64" s="473">
        <v>-1534686591.9264364</v>
      </c>
      <c r="M64" s="293">
        <v>318</v>
      </c>
    </row>
    <row r="65" spans="1:14" s="8" customFormat="1">
      <c r="A65" s="91"/>
      <c r="E65" s="285"/>
      <c r="F65" s="285"/>
      <c r="G65" s="285"/>
      <c r="H65" s="285"/>
      <c r="I65" s="287"/>
      <c r="J65" s="285"/>
    </row>
    <row r="66" spans="1:14" s="8" customFormat="1">
      <c r="A66" s="91"/>
      <c r="I66" s="230"/>
    </row>
    <row r="67" spans="1:14">
      <c r="A67" s="293"/>
      <c r="B67"/>
      <c r="C67"/>
      <c r="D67"/>
      <c r="E67"/>
      <c r="F67"/>
      <c r="G67"/>
      <c r="H67"/>
      <c r="I67"/>
      <c r="J67"/>
      <c r="K67"/>
      <c r="L67"/>
      <c r="M67"/>
      <c r="N67" s="52"/>
    </row>
    <row r="68" spans="1:14">
      <c r="A68" s="293"/>
      <c r="B68"/>
      <c r="C68" s="105" t="s">
        <v>674</v>
      </c>
      <c r="D68" s="8"/>
      <c r="E68"/>
      <c r="F68"/>
      <c r="G68"/>
      <c r="H68"/>
      <c r="I68"/>
      <c r="J68"/>
      <c r="K68"/>
      <c r="L68"/>
      <c r="M68"/>
    </row>
    <row r="69" spans="1:14">
      <c r="A69" s="293"/>
      <c r="B69"/>
      <c r="C69" s="212">
        <v>1</v>
      </c>
      <c r="D69" s="52" t="s">
        <v>1713</v>
      </c>
      <c r="E69"/>
      <c r="F69"/>
      <c r="G69"/>
      <c r="H69"/>
      <c r="I69"/>
      <c r="J69"/>
      <c r="K69"/>
      <c r="L69"/>
      <c r="M69"/>
    </row>
    <row r="70" spans="1:14">
      <c r="A70"/>
      <c r="B70"/>
      <c r="C70"/>
      <c r="D70" s="52" t="s">
        <v>1714</v>
      </c>
      <c r="E70" s="257"/>
      <c r="F70" s="257"/>
      <c r="G70" s="257"/>
      <c r="H70" s="257"/>
      <c r="I70" s="257"/>
      <c r="J70" s="257"/>
      <c r="K70" s="257"/>
      <c r="L70"/>
      <c r="M70"/>
    </row>
    <row r="71" spans="1:14">
      <c r="A71"/>
      <c r="B71"/>
      <c r="C71" s="212">
        <v>2</v>
      </c>
      <c r="D71" s="52" t="s">
        <v>1715</v>
      </c>
      <c r="E71" s="242"/>
      <c r="F71" s="242"/>
      <c r="G71" s="242"/>
      <c r="H71" s="242"/>
      <c r="I71" s="242"/>
      <c r="J71" s="242"/>
      <c r="K71" s="242"/>
      <c r="L71"/>
      <c r="M71"/>
    </row>
    <row r="72" spans="1:14">
      <c r="A72"/>
      <c r="B72"/>
      <c r="C72" s="91">
        <v>3</v>
      </c>
      <c r="D72" s="8" t="s">
        <v>1716</v>
      </c>
      <c r="E72" s="257"/>
      <c r="F72" s="257"/>
      <c r="G72" s="257"/>
      <c r="H72" s="257"/>
      <c r="I72" s="257"/>
      <c r="J72" s="257"/>
      <c r="K72" s="257"/>
      <c r="L72"/>
      <c r="M72"/>
    </row>
    <row r="73" spans="1:14">
      <c r="A73"/>
      <c r="B73"/>
      <c r="C73" s="91">
        <v>4</v>
      </c>
      <c r="D73" s="8" t="s">
        <v>1717</v>
      </c>
      <c r="E73" s="257"/>
      <c r="F73" s="257"/>
      <c r="G73" s="257"/>
      <c r="H73" s="257"/>
      <c r="I73" s="257"/>
      <c r="J73" s="257"/>
      <c r="K73" s="257"/>
      <c r="L73"/>
      <c r="M73"/>
    </row>
    <row r="74" spans="1:14">
      <c r="A74"/>
      <c r="B74"/>
      <c r="C74" s="4">
        <v>5</v>
      </c>
      <c r="D74" s="8" t="s">
        <v>1718</v>
      </c>
      <c r="E74" s="257"/>
      <c r="F74" s="257"/>
      <c r="G74" s="257"/>
      <c r="H74" s="257"/>
      <c r="I74" s="257"/>
      <c r="J74" s="257"/>
      <c r="K74" s="257"/>
      <c r="L74"/>
      <c r="M74"/>
    </row>
    <row r="75" spans="1:14">
      <c r="A75"/>
      <c r="B75"/>
      <c r="C75" s="4">
        <v>6</v>
      </c>
      <c r="D75" s="8" t="s">
        <v>1719</v>
      </c>
      <c r="E75" s="257"/>
      <c r="F75" s="257"/>
      <c r="G75" s="257"/>
      <c r="H75" s="257"/>
      <c r="I75" s="257"/>
      <c r="J75" s="257"/>
      <c r="K75" s="257"/>
      <c r="L75"/>
      <c r="M75"/>
    </row>
    <row r="76" spans="1:14">
      <c r="A76"/>
      <c r="B76"/>
      <c r="C76" s="4">
        <v>7</v>
      </c>
      <c r="D76" s="8" t="s">
        <v>1720</v>
      </c>
      <c r="E76"/>
      <c r="F76"/>
      <c r="G76"/>
      <c r="H76"/>
      <c r="I76"/>
      <c r="J76"/>
      <c r="K76"/>
      <c r="L76"/>
      <c r="M76"/>
    </row>
    <row r="77" spans="1:14">
      <c r="A77"/>
      <c r="B77"/>
      <c r="C77" s="4">
        <v>8</v>
      </c>
      <c r="D77" s="8" t="s">
        <v>1721</v>
      </c>
      <c r="E77"/>
      <c r="F77"/>
      <c r="G77"/>
      <c r="H77"/>
      <c r="I77"/>
      <c r="J77"/>
      <c r="K77"/>
      <c r="L77"/>
      <c r="M77"/>
    </row>
    <row r="78" spans="1:14">
      <c r="A78"/>
      <c r="B78"/>
      <c r="C78" s="4">
        <v>9</v>
      </c>
      <c r="D78" s="8" t="s">
        <v>1722</v>
      </c>
      <c r="E78"/>
      <c r="F78"/>
      <c r="G78"/>
      <c r="H78"/>
      <c r="I78"/>
      <c r="J78"/>
      <c r="K78"/>
      <c r="L78"/>
      <c r="M78"/>
    </row>
    <row r="79" spans="1:14">
      <c r="A79"/>
      <c r="B79"/>
      <c r="C79" s="4"/>
      <c r="D79" s="8"/>
      <c r="E79"/>
      <c r="F79"/>
      <c r="G79"/>
      <c r="H79"/>
      <c r="I79"/>
      <c r="J79"/>
      <c r="K79"/>
      <c r="L79"/>
      <c r="M79"/>
    </row>
  </sheetData>
  <printOptions horizontalCentered="1"/>
  <pageMargins left="1" right="1" top="1" bottom="1" header="0.5" footer="0.5"/>
  <pageSetup scale="40" orientation="landscape" r:id="rId1"/>
  <headerFooter>
    <oddHeader>&amp;RDocket No. ER20-2878-000, et al.- Annual Update RY2024
&amp;F</oddHeader>
  </headerFooter>
  <rowBreaks count="1" manualBreakCount="1">
    <brk id="46"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fitToPage="1"/>
  </sheetPr>
  <dimension ref="A1:R125"/>
  <sheetViews>
    <sheetView view="pageBreakPreview" topLeftCell="A40" zoomScale="25" zoomScaleNormal="100" zoomScaleSheetLayoutView="25" zoomScalePageLayoutView="70" workbookViewId="0">
      <selection activeCell="W98" sqref="W98"/>
    </sheetView>
  </sheetViews>
  <sheetFormatPr defaultColWidth="9.1796875" defaultRowHeight="14.5"/>
  <cols>
    <col min="1" max="1" width="6" style="4" bestFit="1" customWidth="1"/>
    <col min="2" max="2" width="2.1796875" style="4" bestFit="1" customWidth="1"/>
    <col min="3" max="3" width="51.1796875" customWidth="1"/>
    <col min="4" max="4" width="3.7265625" customWidth="1"/>
    <col min="5" max="5" width="17.7265625" bestFit="1" customWidth="1"/>
    <col min="6" max="6" width="33.453125" bestFit="1" customWidth="1"/>
    <col min="7" max="7" width="30.26953125" bestFit="1" customWidth="1"/>
    <col min="8" max="8" width="17.7265625" bestFit="1" customWidth="1"/>
    <col min="9" max="10" width="16.26953125" bestFit="1" customWidth="1"/>
    <col min="11" max="11" width="38.26953125" bestFit="1" customWidth="1"/>
    <col min="12" max="12" width="4.54296875" bestFit="1" customWidth="1"/>
    <col min="13" max="13" width="2.7265625" customWidth="1"/>
    <col min="15" max="18" width="17.7265625" bestFit="1" customWidth="1"/>
  </cols>
  <sheetData>
    <row r="1" spans="1:18">
      <c r="C1" s="2" t="s">
        <v>9</v>
      </c>
      <c r="J1" s="6" t="s">
        <v>119</v>
      </c>
      <c r="K1" s="36">
        <v>2023</v>
      </c>
    </row>
    <row r="2" spans="1:18">
      <c r="A2" s="5"/>
      <c r="B2" s="5"/>
      <c r="C2" s="35" t="s">
        <v>120</v>
      </c>
      <c r="J2" s="6" t="s">
        <v>121</v>
      </c>
      <c r="K2" s="5">
        <f>K1-2</f>
        <v>2021</v>
      </c>
      <c r="M2" s="6"/>
    </row>
    <row r="3" spans="1:18">
      <c r="A3" s="3" t="s">
        <v>90</v>
      </c>
      <c r="B3" s="3"/>
      <c r="E3" s="3" t="s">
        <v>122</v>
      </c>
      <c r="G3" s="33"/>
      <c r="H3" s="3" t="s">
        <v>123</v>
      </c>
      <c r="I3" s="3" t="s">
        <v>124</v>
      </c>
      <c r="J3" s="3" t="s">
        <v>125</v>
      </c>
      <c r="K3" s="3" t="s">
        <v>126</v>
      </c>
      <c r="L3" s="3"/>
      <c r="O3" s="3"/>
      <c r="P3" s="3"/>
      <c r="Q3" s="3"/>
      <c r="R3" s="3"/>
    </row>
    <row r="4" spans="1:18">
      <c r="A4" s="4">
        <v>1</v>
      </c>
      <c r="B4" s="3"/>
      <c r="E4" s="3"/>
      <c r="G4" s="33"/>
      <c r="H4" s="4" t="s">
        <v>127</v>
      </c>
      <c r="I4" s="440">
        <f>'6-PlantJurisdiction'!E85</f>
        <v>0.48659228140394362</v>
      </c>
      <c r="J4" s="440">
        <f>'6-PlantJurisdiction'!F85</f>
        <v>0.4669186236875314</v>
      </c>
      <c r="K4" s="34" t="s">
        <v>128</v>
      </c>
      <c r="L4" s="3"/>
      <c r="O4" s="5" t="s">
        <v>1950</v>
      </c>
      <c r="P4" s="4"/>
      <c r="Q4" s="440">
        <f>I4-'1-DRR Original'!I4</f>
        <v>-1.7767437500614824E-3</v>
      </c>
      <c r="R4" s="440">
        <f>J4-'1-DRR Original'!J4</f>
        <v>1.7453417707545271E-3</v>
      </c>
    </row>
    <row r="5" spans="1:18">
      <c r="C5" s="41" t="s">
        <v>129</v>
      </c>
      <c r="D5" s="42"/>
      <c r="E5" s="43"/>
      <c r="F5" s="43"/>
      <c r="G5" s="43"/>
      <c r="H5" s="43"/>
      <c r="I5" s="43"/>
      <c r="J5" s="43"/>
      <c r="K5" s="43"/>
      <c r="O5" s="43"/>
      <c r="P5" s="43"/>
      <c r="Q5" s="43"/>
      <c r="R5" s="43"/>
    </row>
    <row r="6" spans="1:18" ht="29">
      <c r="A6" s="3" t="s">
        <v>90</v>
      </c>
      <c r="B6" s="3"/>
      <c r="C6" s="110" t="s">
        <v>7</v>
      </c>
      <c r="D6" s="34"/>
      <c r="E6" s="110" t="s">
        <v>130</v>
      </c>
      <c r="F6" s="110" t="s">
        <v>126</v>
      </c>
      <c r="G6" s="110" t="s">
        <v>131</v>
      </c>
      <c r="H6" s="110" t="s">
        <v>132</v>
      </c>
      <c r="I6" s="110" t="s">
        <v>133</v>
      </c>
      <c r="J6" s="110" t="s">
        <v>134</v>
      </c>
      <c r="K6" s="3" t="s">
        <v>126</v>
      </c>
      <c r="L6" s="3" t="str">
        <f>A6</f>
        <v>Line</v>
      </c>
      <c r="O6" s="110" t="s">
        <v>130</v>
      </c>
      <c r="P6" s="110" t="s">
        <v>132</v>
      </c>
      <c r="Q6" s="110" t="s">
        <v>133</v>
      </c>
      <c r="R6" s="110" t="s">
        <v>134</v>
      </c>
    </row>
    <row r="7" spans="1:18">
      <c r="C7" s="1" t="s">
        <v>135</v>
      </c>
      <c r="D7" s="1"/>
    </row>
    <row r="8" spans="1:18">
      <c r="A8" s="4">
        <v>100</v>
      </c>
      <c r="C8" t="s">
        <v>136</v>
      </c>
      <c r="E8" s="13">
        <f>'7-PlantInService Corrected'!AC25</f>
        <v>36771603031.309998</v>
      </c>
      <c r="F8" t="s">
        <v>137</v>
      </c>
      <c r="G8" t="s">
        <v>138</v>
      </c>
      <c r="H8" s="13">
        <f>I8+J8</f>
        <v>35062124488.919991</v>
      </c>
      <c r="I8" s="13">
        <f>'7-PlantInService Corrected'!AC50</f>
        <v>17892778210.060547</v>
      </c>
      <c r="J8" s="13">
        <f>'7-PlantInService Corrected'!AC75</f>
        <v>17169346278.859446</v>
      </c>
      <c r="K8" t="s">
        <v>139</v>
      </c>
      <c r="L8" s="4">
        <f>A8</f>
        <v>100</v>
      </c>
      <c r="O8" s="13">
        <f>E8-'1-DRR Original'!E8</f>
        <v>-192530100.68998718</v>
      </c>
      <c r="P8" s="13">
        <f>H8-'1-DRR Original'!H8</f>
        <v>-184740297.51000214</v>
      </c>
      <c r="Q8" s="13">
        <f>I8-'1-DRR Original'!I8</f>
        <v>-159359453.45503235</v>
      </c>
      <c r="R8" s="13">
        <f>J8-'1-DRR Original'!J8</f>
        <v>-25380844.05496788</v>
      </c>
    </row>
    <row r="9" spans="1:18">
      <c r="A9" s="4">
        <f>A8+1</f>
        <v>101</v>
      </c>
      <c r="C9" t="s">
        <v>140</v>
      </c>
      <c r="E9" s="40">
        <v>2889991282.3299999</v>
      </c>
      <c r="F9" s="33" t="s">
        <v>141</v>
      </c>
      <c r="G9" t="s">
        <v>138</v>
      </c>
      <c r="H9" s="13">
        <f t="shared" ref="H9:H10" si="0">I9+J9</f>
        <v>2024987931.5789587</v>
      </c>
      <c r="I9" s="13">
        <f>'7-PlantInService Corrected'!D129</f>
        <v>1033384612.7831433</v>
      </c>
      <c r="J9" s="13">
        <f>'7-PlantInService Corrected'!E129</f>
        <v>991603318.79581547</v>
      </c>
      <c r="K9" t="s">
        <v>142</v>
      </c>
      <c r="L9" s="4">
        <f>A9</f>
        <v>101</v>
      </c>
      <c r="O9" s="13">
        <f>E9-'1-DRR Original'!E9</f>
        <v>0</v>
      </c>
      <c r="P9" s="13">
        <f>H9-'1-DRR Original'!H9</f>
        <v>-66688.937467813492</v>
      </c>
      <c r="Q9" s="13">
        <f>I9-'1-DRR Original'!I9</f>
        <v>-3773302.0484309196</v>
      </c>
      <c r="R9" s="13">
        <f>J9-'1-DRR Original'!J9</f>
        <v>3706613.1109632254</v>
      </c>
    </row>
    <row r="10" spans="1:18">
      <c r="A10" s="4">
        <f>A9+1</f>
        <v>102</v>
      </c>
      <c r="C10" s="2" t="s">
        <v>143</v>
      </c>
      <c r="D10" s="2"/>
      <c r="E10" s="444">
        <f>+E8+E9</f>
        <v>39661594313.639999</v>
      </c>
      <c r="F10" s="33" t="str">
        <f>"Line "&amp;A8&amp;" + Line "&amp;A9&amp;""</f>
        <v>Line 100 + Line 101</v>
      </c>
      <c r="H10" s="444">
        <f t="shared" si="0"/>
        <v>37087112420.498947</v>
      </c>
      <c r="I10" s="444">
        <f t="shared" ref="I10:J10" si="1">+I8+I9</f>
        <v>18926162822.843689</v>
      </c>
      <c r="J10" s="444">
        <f t="shared" si="1"/>
        <v>18160949597.655262</v>
      </c>
      <c r="K10" s="33" t="str">
        <f>"Line "&amp;A8&amp;" + Line "&amp;A9&amp;""</f>
        <v>Line 100 + Line 101</v>
      </c>
      <c r="L10" s="4">
        <f>A10</f>
        <v>102</v>
      </c>
      <c r="O10" s="444">
        <f>E10-'1-DRR Original'!E10</f>
        <v>-192530100.68998718</v>
      </c>
      <c r="P10" s="444">
        <f>H10-'1-DRR Original'!H10</f>
        <v>-184806986.44747162</v>
      </c>
      <c r="Q10" s="444">
        <f>I10-'1-DRR Original'!I10</f>
        <v>-163132755.50346375</v>
      </c>
      <c r="R10" s="444">
        <f>J10-'1-DRR Original'!J10</f>
        <v>-21674230.944004059</v>
      </c>
    </row>
    <row r="11" spans="1:18">
      <c r="E11" s="24"/>
      <c r="H11" s="24"/>
      <c r="I11" s="24"/>
      <c r="J11" s="24"/>
      <c r="O11" s="24"/>
      <c r="P11" s="24"/>
      <c r="Q11" s="24"/>
      <c r="R11" s="24"/>
    </row>
    <row r="12" spans="1:18">
      <c r="C12" s="1" t="s">
        <v>144</v>
      </c>
      <c r="D12" s="1"/>
      <c r="E12" s="24"/>
      <c r="H12" s="24"/>
      <c r="I12" s="24"/>
      <c r="J12" s="24"/>
      <c r="O12" s="24"/>
      <c r="P12" s="24"/>
      <c r="Q12" s="24"/>
      <c r="R12" s="24"/>
    </row>
    <row r="13" spans="1:18">
      <c r="A13" s="4">
        <f>A10+1</f>
        <v>103</v>
      </c>
      <c r="C13" t="s">
        <v>145</v>
      </c>
      <c r="E13" s="13">
        <f>'13-WorkCap'!E25</f>
        <v>243542773.03879631</v>
      </c>
      <c r="F13" t="s">
        <v>146</v>
      </c>
      <c r="G13" t="s">
        <v>138</v>
      </c>
      <c r="H13" s="13">
        <f t="shared" ref="H13:H16" si="2">I13+J13</f>
        <v>232220689.94871032</v>
      </c>
      <c r="I13" s="13">
        <f>E13*$I$4</f>
        <v>118506033.55239074</v>
      </c>
      <c r="J13" s="13">
        <f>E13*$J$4</f>
        <v>113714656.3963196</v>
      </c>
      <c r="K13" t="s">
        <v>147</v>
      </c>
      <c r="L13" s="4">
        <f>A13</f>
        <v>103</v>
      </c>
      <c r="O13" s="13">
        <f>E13-'1-DRR Original'!E13</f>
        <v>0</v>
      </c>
      <c r="P13" s="13">
        <f>H13-'1-DRR Original'!H13</f>
        <v>-7647.7251193523407</v>
      </c>
      <c r="Q13" s="13">
        <f>I13-'1-DRR Original'!I13</f>
        <v>-432713.09986932576</v>
      </c>
      <c r="R13" s="13">
        <f>J13-'1-DRR Original'!J13</f>
        <v>425065.37475000322</v>
      </c>
    </row>
    <row r="14" spans="1:18">
      <c r="A14" s="4">
        <f>A13+1</f>
        <v>104</v>
      </c>
      <c r="C14" t="s">
        <v>148</v>
      </c>
      <c r="E14" s="13">
        <f>'13-WorkCap'!F60</f>
        <v>165581892</v>
      </c>
      <c r="F14" t="s">
        <v>149</v>
      </c>
      <c r="G14" t="s">
        <v>138</v>
      </c>
      <c r="H14" s="13">
        <f t="shared" si="2"/>
        <v>157884139.70767885</v>
      </c>
      <c r="I14" s="13">
        <f>E14*$I$4</f>
        <v>80570870.587461397</v>
      </c>
      <c r="J14" s="13">
        <f>E14*$J$4</f>
        <v>77313269.120217472</v>
      </c>
      <c r="K14" t="s">
        <v>150</v>
      </c>
      <c r="L14" s="4">
        <f>A14</f>
        <v>104</v>
      </c>
      <c r="O14" s="13">
        <f>E14-'1-DRR Original'!E14</f>
        <v>-329602</v>
      </c>
      <c r="P14" s="13">
        <f>H14-'1-DRR Original'!H14</f>
        <v>-319489.0506413579</v>
      </c>
      <c r="Q14" s="13">
        <f>I14-'1-DRR Original'!I14</f>
        <v>-455163.99916316569</v>
      </c>
      <c r="R14" s="13">
        <f>J14-'1-DRR Original'!J14</f>
        <v>135674.94852183759</v>
      </c>
    </row>
    <row r="15" spans="1:18">
      <c r="A15" s="4">
        <f t="shared" ref="A15:A16" si="3">A14+1</f>
        <v>105</v>
      </c>
      <c r="C15" t="s">
        <v>151</v>
      </c>
      <c r="E15" s="14">
        <f>(E104+E105)/8</f>
        <v>484215098.93526125</v>
      </c>
      <c r="F15" t="str">
        <f>"(Line "&amp;A104&amp;" + Line "&amp;A105&amp;") / 8"</f>
        <v>(Line 500 + Line 501) / 8</v>
      </c>
      <c r="H15" s="14">
        <f t="shared" si="2"/>
        <v>461704377.24471909</v>
      </c>
      <c r="I15" s="14">
        <f>E15*$I$4</f>
        <v>235615329.68114504</v>
      </c>
      <c r="J15" s="14">
        <f>E15*$J$4</f>
        <v>226089047.56357405</v>
      </c>
      <c r="K15" t="s">
        <v>152</v>
      </c>
      <c r="L15" s="4">
        <f>A15</f>
        <v>105</v>
      </c>
      <c r="O15" s="14">
        <f>E15-'1-DRR Original'!E15</f>
        <v>-120051.90229678154</v>
      </c>
      <c r="P15" s="14">
        <f>H15-'1-DRR Original'!H15</f>
        <v>-129679.8804011941</v>
      </c>
      <c r="Q15" s="14">
        <f>I15-'1-DRR Original'!I15</f>
        <v>-918955.78121119738</v>
      </c>
      <c r="R15" s="14">
        <f>J15-'1-DRR Original'!J15</f>
        <v>789275.90081000328</v>
      </c>
    </row>
    <row r="16" spans="1:18">
      <c r="A16" s="4">
        <f t="shared" si="3"/>
        <v>106</v>
      </c>
      <c r="C16" s="2" t="s">
        <v>153</v>
      </c>
      <c r="D16" s="2"/>
      <c r="E16" s="15">
        <f>+E13+E15+E14</f>
        <v>893339763.97405756</v>
      </c>
      <c r="F16" s="33" t="str">
        <f>"Sum of Lines "&amp;$A$13&amp;" to "&amp;$A$15&amp;""</f>
        <v>Sum of Lines 103 to 105</v>
      </c>
      <c r="H16" s="15">
        <f t="shared" si="2"/>
        <v>851809206.90110826</v>
      </c>
      <c r="I16" s="15">
        <f t="shared" ref="I16:J16" si="4">+I13+I15+I14</f>
        <v>434692233.82099718</v>
      </c>
      <c r="J16" s="15">
        <f t="shared" si="4"/>
        <v>417116973.08011115</v>
      </c>
      <c r="K16" s="33" t="str">
        <f>"Sum of Lines "&amp;$A$13&amp;" to "&amp;$A$15&amp;""</f>
        <v>Sum of Lines 103 to 105</v>
      </c>
      <c r="L16" s="4">
        <f>A16</f>
        <v>106</v>
      </c>
      <c r="O16" s="15">
        <f>E16-'1-DRR Original'!E16</f>
        <v>-449653.90229678154</v>
      </c>
      <c r="P16" s="15">
        <f>H16-'1-DRR Original'!H16</f>
        <v>-456816.65616178513</v>
      </c>
      <c r="Q16" s="15">
        <f>I16-'1-DRR Original'!I16</f>
        <v>-1806832.880243659</v>
      </c>
      <c r="R16" s="15">
        <f>J16-'1-DRR Original'!J16</f>
        <v>1350016.2240818739</v>
      </c>
    </row>
    <row r="17" spans="1:18">
      <c r="E17" s="24"/>
      <c r="H17" s="24"/>
      <c r="I17" s="24"/>
      <c r="J17" s="24"/>
      <c r="O17" s="24"/>
      <c r="P17" s="24"/>
      <c r="Q17" s="24"/>
      <c r="R17" s="24"/>
    </row>
    <row r="18" spans="1:18">
      <c r="C18" s="1" t="s">
        <v>154</v>
      </c>
      <c r="D18" s="1"/>
      <c r="E18" s="24"/>
      <c r="H18" s="24"/>
      <c r="I18" s="24"/>
      <c r="J18" s="24"/>
      <c r="O18" s="24"/>
      <c r="P18" s="24"/>
      <c r="Q18" s="24"/>
      <c r="R18" s="24"/>
    </row>
    <row r="19" spans="1:18">
      <c r="A19" s="4">
        <f>A16+1</f>
        <v>107</v>
      </c>
      <c r="C19" t="s">
        <v>155</v>
      </c>
      <c r="E19" s="23">
        <f>-'10-AccDep Corrected'!AC25</f>
        <v>-16057635198.69286</v>
      </c>
      <c r="F19" t="s">
        <v>156</v>
      </c>
      <c r="G19" t="s">
        <v>157</v>
      </c>
      <c r="H19" s="13">
        <f t="shared" ref="H19:H21" si="5">I19+J19</f>
        <v>-15417314586.932808</v>
      </c>
      <c r="I19" s="13">
        <f>-'10-AccDep Corrected'!AC50</f>
        <v>-7663932261.6850958</v>
      </c>
      <c r="J19" s="13">
        <f>-'10-AccDep Corrected'!AC75</f>
        <v>-7753382325.2477121</v>
      </c>
      <c r="K19" t="s">
        <v>158</v>
      </c>
      <c r="L19" s="4">
        <f>A19</f>
        <v>107</v>
      </c>
      <c r="O19" s="13">
        <f>E19-'1-DRR Original'!E19</f>
        <v>26240563.327144623</v>
      </c>
      <c r="P19" s="13">
        <f>H19-'1-DRR Original'!H19</f>
        <v>30368796.76720047</v>
      </c>
      <c r="Q19" s="13">
        <f>I19-'1-DRR Original'!I19</f>
        <v>22036635.879928589</v>
      </c>
      <c r="R19" s="13">
        <f>J19-'1-DRR Original'!J19</f>
        <v>8332160.8872709274</v>
      </c>
    </row>
    <row r="20" spans="1:18">
      <c r="A20" s="4">
        <f>A19+1</f>
        <v>108</v>
      </c>
      <c r="C20" t="s">
        <v>159</v>
      </c>
      <c r="E20" s="40">
        <v>-1102476559</v>
      </c>
      <c r="F20" s="33" t="s">
        <v>160</v>
      </c>
      <c r="G20" t="s">
        <v>157</v>
      </c>
      <c r="H20" s="13">
        <f t="shared" si="5"/>
        <v>-741389109.99501264</v>
      </c>
      <c r="I20" s="13">
        <f>-'10-AccDep Corrected'!D129</f>
        <v>-378343044.1269086</v>
      </c>
      <c r="J20" s="13">
        <f>-'10-AccDep Corrected'!E129</f>
        <v>-363046065.86810404</v>
      </c>
      <c r="K20" t="s">
        <v>161</v>
      </c>
      <c r="L20" s="4">
        <f>A20</f>
        <v>108</v>
      </c>
      <c r="O20" s="13">
        <f>E20-'1-DRR Original'!E20</f>
        <v>0</v>
      </c>
      <c r="P20" s="13">
        <f>H20-'1-DRR Original'!H20</f>
        <v>24416.171190142632</v>
      </c>
      <c r="Q20" s="13">
        <f>I20-'1-DRR Original'!I20</f>
        <v>1381482.3307352662</v>
      </c>
      <c r="R20" s="13">
        <f>J20-'1-DRR Original'!J20</f>
        <v>-1357066.159545064</v>
      </c>
    </row>
    <row r="21" spans="1:18">
      <c r="A21" s="4">
        <f>A20+1</f>
        <v>109</v>
      </c>
      <c r="C21" s="2" t="s">
        <v>162</v>
      </c>
      <c r="D21" s="2"/>
      <c r="E21" s="444">
        <f>+E19+E20</f>
        <v>-17160111757.69286</v>
      </c>
      <c r="F21" t="str">
        <f>"Line "&amp;$A$19&amp;" + Line "&amp;$A$20&amp;""</f>
        <v>Line 107 + Line 108</v>
      </c>
      <c r="H21" s="444">
        <f t="shared" si="5"/>
        <v>-16158703696.92782</v>
      </c>
      <c r="I21" s="444">
        <f t="shared" ref="I21:J21" si="6">+I19+I20</f>
        <v>-8042275305.8120041</v>
      </c>
      <c r="J21" s="444">
        <f t="shared" si="6"/>
        <v>-8116428391.1158161</v>
      </c>
      <c r="K21" t="str">
        <f>"Line "&amp;$A$19&amp;" + Line "&amp;$A$20&amp;""</f>
        <v>Line 107 + Line 108</v>
      </c>
      <c r="L21" s="4">
        <f>A21</f>
        <v>109</v>
      </c>
      <c r="M21" s="2"/>
      <c r="O21" s="444">
        <f>E21-'1-DRR Original'!E21</f>
        <v>26240563.327144623</v>
      </c>
      <c r="P21" s="444">
        <f>H21-'1-DRR Original'!H21</f>
        <v>30393212.938390732</v>
      </c>
      <c r="Q21" s="444">
        <f>I21-'1-DRR Original'!I21</f>
        <v>23418118.210663795</v>
      </c>
      <c r="R21" s="444">
        <f>J21-'1-DRR Original'!J21</f>
        <v>6975094.7277259827</v>
      </c>
    </row>
    <row r="22" spans="1:18">
      <c r="E22" s="24"/>
      <c r="H22" s="24"/>
      <c r="I22" s="24"/>
      <c r="J22" s="24"/>
      <c r="M22" s="2"/>
      <c r="O22" s="24"/>
      <c r="P22" s="24"/>
      <c r="Q22" s="24"/>
      <c r="R22" s="24"/>
    </row>
    <row r="23" spans="1:18">
      <c r="A23" s="4">
        <f>A21+1</f>
        <v>110</v>
      </c>
      <c r="B23" s="5" t="s">
        <v>163</v>
      </c>
      <c r="C23" s="5" t="s">
        <v>164</v>
      </c>
      <c r="D23" s="5"/>
      <c r="E23" s="13">
        <f>'14-ADIT'!D13</f>
        <v>-2870541021.8419418</v>
      </c>
      <c r="F23" t="s">
        <v>165</v>
      </c>
      <c r="G23" t="s">
        <v>138</v>
      </c>
      <c r="H23" s="13">
        <f t="shared" ref="H23:H27" si="7">I23+J23</f>
        <v>-2737092167.8387175</v>
      </c>
      <c r="I23" s="13">
        <f>E23*$I$4</f>
        <v>-1396783104.6816781</v>
      </c>
      <c r="J23" s="13">
        <f>E23*$J$4</f>
        <v>-1340309063.1570394</v>
      </c>
      <c r="K23" t="s">
        <v>166</v>
      </c>
      <c r="L23" s="4">
        <f>A23</f>
        <v>110</v>
      </c>
      <c r="M23" s="2" t="s">
        <v>163</v>
      </c>
      <c r="O23" s="13">
        <f>E23-'1-DRR Original'!E23</f>
        <v>108295.83172273636</v>
      </c>
      <c r="P23" s="13">
        <f>H23-'1-DRR Original'!H23</f>
        <v>193405.32699489594</v>
      </c>
      <c r="Q23" s="13">
        <f>I23-'1-DRR Original'!I23</f>
        <v>5153104.1496193409</v>
      </c>
      <c r="R23" s="13">
        <f>J23-'1-DRR Original'!J23</f>
        <v>-4959698.8226246834</v>
      </c>
    </row>
    <row r="24" spans="1:18">
      <c r="A24" s="4">
        <f>A23</f>
        <v>110</v>
      </c>
      <c r="B24" s="5" t="s">
        <v>167</v>
      </c>
      <c r="C24" s="5" t="s">
        <v>168</v>
      </c>
      <c r="D24" s="5"/>
      <c r="E24" s="14">
        <f>'17-RegAssets-1'!C47</f>
        <v>-1442593783.1057572</v>
      </c>
      <c r="F24" t="s">
        <v>169</v>
      </c>
      <c r="G24" t="s">
        <v>138</v>
      </c>
      <c r="H24" s="14">
        <f t="shared" si="7"/>
        <v>-1375528903.8085055</v>
      </c>
      <c r="I24" s="14">
        <f>E24*$I$4</f>
        <v>-701955000.0605762</v>
      </c>
      <c r="J24" s="14">
        <f>E24*$J$4</f>
        <v>-673573903.74792933</v>
      </c>
      <c r="K24" t="s">
        <v>170</v>
      </c>
      <c r="L24" s="4">
        <f>A24</f>
        <v>110</v>
      </c>
      <c r="M24" s="2" t="s">
        <v>167</v>
      </c>
      <c r="O24" s="14">
        <f>E24-'1-DRR Original'!E24</f>
        <v>-228651.98210954666</v>
      </c>
      <c r="P24" s="14">
        <f>H24-'1-DRR Original'!H24</f>
        <v>-172729.03841161728</v>
      </c>
      <c r="Q24" s="14">
        <f>I24-'1-DRR Original'!I24</f>
        <v>2451452.9424083233</v>
      </c>
      <c r="R24" s="14">
        <f>J24-'1-DRR Original'!J24</f>
        <v>-2624181.9808199406</v>
      </c>
    </row>
    <row r="25" spans="1:18">
      <c r="A25" s="4">
        <f>A24</f>
        <v>110</v>
      </c>
      <c r="B25" s="5" t="s">
        <v>171</v>
      </c>
      <c r="C25" s="5" t="s">
        <v>172</v>
      </c>
      <c r="D25" s="329"/>
      <c r="E25" s="15">
        <f>+E23+E24</f>
        <v>-4313134804.9476986</v>
      </c>
      <c r="F25" t="str">
        <f>"Line "&amp;$A$23&amp;"a + Line "&amp;$A$24&amp;"b"</f>
        <v>Line 110a + Line 110b</v>
      </c>
      <c r="G25" t="s">
        <v>138</v>
      </c>
      <c r="H25" s="15">
        <f t="shared" si="7"/>
        <v>-4112621071.647223</v>
      </c>
      <c r="I25" s="15">
        <f t="shared" ref="I25:J25" si="8">+I23+I24</f>
        <v>-2098738104.7422543</v>
      </c>
      <c r="J25" s="15">
        <f t="shared" si="8"/>
        <v>-2013882966.9049687</v>
      </c>
      <c r="K25" t="str">
        <f>"Line "&amp;$A$23&amp;"a + Line "&amp;$A$24&amp;"b"</f>
        <v>Line 110a + Line 110b</v>
      </c>
      <c r="L25" s="4">
        <f>A25</f>
        <v>110</v>
      </c>
      <c r="M25" s="2" t="s">
        <v>171</v>
      </c>
      <c r="O25" s="15">
        <f>E25-'1-DRR Original'!E25</f>
        <v>-120356.1503868103</v>
      </c>
      <c r="P25" s="15">
        <f>H25-'1-DRR Original'!H25</f>
        <v>20676.288583278656</v>
      </c>
      <c r="Q25" s="15">
        <f>I25-'1-DRR Original'!I25</f>
        <v>7604557.0920276642</v>
      </c>
      <c r="R25" s="15">
        <f>J25-'1-DRR Original'!J25</f>
        <v>-7583880.8034446239</v>
      </c>
    </row>
    <row r="26" spans="1:18">
      <c r="A26" s="4">
        <f>A25+1</f>
        <v>111</v>
      </c>
      <c r="C26" s="105" t="s">
        <v>173</v>
      </c>
      <c r="D26" s="556"/>
      <c r="E26" s="265">
        <f>'16-UnfundedReserves'!E13</f>
        <v>-171092108.53659499</v>
      </c>
      <c r="F26" s="8" t="s">
        <v>174</v>
      </c>
      <c r="G26" t="s">
        <v>138</v>
      </c>
      <c r="H26" s="13">
        <f t="shared" si="7"/>
        <v>-163138191.26473755</v>
      </c>
      <c r="I26" s="13">
        <f>E26*$I$4</f>
        <v>-83252099.423032895</v>
      </c>
      <c r="J26" s="13">
        <f>E26*$J$4</f>
        <v>-79886091.841704667</v>
      </c>
      <c r="K26" t="s">
        <v>175</v>
      </c>
      <c r="L26" s="4">
        <f>A26</f>
        <v>111</v>
      </c>
      <c r="O26" s="13">
        <f>E26-'1-DRR Original'!E26</f>
        <v>-47517069.911279991</v>
      </c>
      <c r="P26" s="13">
        <f>H26-'1-DRR Original'!H26</f>
        <v>-45304163.837593704</v>
      </c>
      <c r="Q26" s="13">
        <f>I26-'1-DRR Original'!I26</f>
        <v>-22901878.276219286</v>
      </c>
      <c r="R26" s="13">
        <f>J26-'1-DRR Original'!J26</f>
        <v>-22402285.561374426</v>
      </c>
    </row>
    <row r="27" spans="1:18">
      <c r="A27" s="4">
        <f>A26+1</f>
        <v>112</v>
      </c>
      <c r="C27" s="2" t="s">
        <v>176</v>
      </c>
      <c r="D27" s="2"/>
      <c r="E27" s="14">
        <f>'17-RegAssets-1'!E25</f>
        <v>0</v>
      </c>
      <c r="F27" t="s">
        <v>177</v>
      </c>
      <c r="G27" t="s">
        <v>138</v>
      </c>
      <c r="H27" s="14">
        <f t="shared" si="7"/>
        <v>0</v>
      </c>
      <c r="I27" s="14">
        <f>E27*$I$4</f>
        <v>0</v>
      </c>
      <c r="J27" s="14">
        <f>E27*$J$4</f>
        <v>0</v>
      </c>
      <c r="K27" t="s">
        <v>178</v>
      </c>
      <c r="L27" s="4">
        <f>A27</f>
        <v>112</v>
      </c>
      <c r="O27" s="14">
        <f>E27-'1-DRR Original'!E27</f>
        <v>0</v>
      </c>
      <c r="P27" s="14">
        <f>H27-'1-DRR Original'!H27</f>
        <v>0</v>
      </c>
      <c r="Q27" s="14">
        <f>I27-'1-DRR Original'!I27</f>
        <v>0</v>
      </c>
      <c r="R27" s="14">
        <f>J27-'1-DRR Original'!J27</f>
        <v>0</v>
      </c>
    </row>
    <row r="28" spans="1:18">
      <c r="E28" s="13"/>
      <c r="H28" s="13"/>
      <c r="I28" s="13"/>
      <c r="J28" s="13"/>
      <c r="L28" s="4"/>
      <c r="O28" s="13"/>
      <c r="P28" s="13"/>
      <c r="Q28" s="13"/>
      <c r="R28" s="13"/>
    </row>
    <row r="29" spans="1:18" ht="30.75" customHeight="1">
      <c r="A29" s="4">
        <f>A27+1</f>
        <v>113</v>
      </c>
      <c r="C29" s="2" t="s">
        <v>179</v>
      </c>
      <c r="D29" s="2"/>
      <c r="E29" s="15">
        <f>+E10+E16+E21+E25+E27+E26</f>
        <v>18910595406.436909</v>
      </c>
      <c r="F29" s="34" t="str">
        <f>"Sum of Lines "&amp;$A$10&amp;", "&amp;$A$16&amp;", "&amp;$A$21&amp;" and Lines "&amp;$A$25&amp;$B$25&amp;" to "&amp;$A$27&amp;""</f>
        <v>Sum of Lines 102, 106, 109 and Lines 110c to 112</v>
      </c>
      <c r="H29" s="15">
        <f>I29+J29</f>
        <v>17504458667.56028</v>
      </c>
      <c r="I29" s="15">
        <f t="shared" ref="I29:J29" si="9">+I10+I16+I21+I25+I27+I26</f>
        <v>9136589546.6873932</v>
      </c>
      <c r="J29" s="15">
        <f t="shared" si="9"/>
        <v>8367869120.8728857</v>
      </c>
      <c r="K29" s="34" t="str">
        <f>"Sum of Lines "&amp;$A$10&amp;", "&amp;$A$16&amp;", "&amp;$A$21&amp;" and Lines "&amp;$A$25&amp;$B$25&amp;" to "&amp;$A$27&amp;""</f>
        <v>Sum of Lines 102, 106, 109 and Lines 110c to 112</v>
      </c>
      <c r="L29" s="4">
        <f>A29</f>
        <v>113</v>
      </c>
      <c r="O29" s="15">
        <f>E29-'1-DRR Original'!E29</f>
        <v>-214376617.32680511</v>
      </c>
      <c r="P29" s="15">
        <f>H29-'1-DRR Original'!H29</f>
        <v>-200154077.71424866</v>
      </c>
      <c r="Q29" s="15">
        <f>I29-'1-DRR Original'!I29</f>
        <v>-156818791.35723686</v>
      </c>
      <c r="R29" s="15">
        <f>J29-'1-DRR Original'!J29</f>
        <v>-43335286.357012749</v>
      </c>
    </row>
    <row r="30" spans="1:18">
      <c r="E30" s="8"/>
      <c r="H30" s="8"/>
      <c r="I30" s="8"/>
      <c r="J30" s="8"/>
      <c r="L30" s="4"/>
      <c r="O30" s="8"/>
      <c r="P30" s="8"/>
      <c r="Q30" s="8"/>
      <c r="R30" s="8"/>
    </row>
    <row r="31" spans="1:18">
      <c r="C31" s="41" t="s">
        <v>180</v>
      </c>
      <c r="D31" s="43"/>
      <c r="E31" s="43"/>
      <c r="F31" s="43"/>
      <c r="G31" s="43"/>
      <c r="H31" s="43"/>
      <c r="I31" s="43"/>
      <c r="J31" s="43"/>
      <c r="K31" s="43"/>
      <c r="O31" s="43"/>
      <c r="P31" s="43"/>
      <c r="Q31" s="43"/>
      <c r="R31" s="43"/>
    </row>
    <row r="32" spans="1:18" ht="29">
      <c r="A32" s="3" t="s">
        <v>90</v>
      </c>
      <c r="B32" s="3"/>
      <c r="C32" s="110" t="s">
        <v>7</v>
      </c>
      <c r="D32" s="34"/>
      <c r="E32" s="110" t="s">
        <v>130</v>
      </c>
      <c r="F32" s="110" t="s">
        <v>126</v>
      </c>
      <c r="G32" s="110" t="s">
        <v>131</v>
      </c>
      <c r="H32" s="110" t="s">
        <v>132</v>
      </c>
      <c r="I32" s="110" t="s">
        <v>133</v>
      </c>
      <c r="J32" s="110" t="s">
        <v>134</v>
      </c>
      <c r="K32" s="110" t="s">
        <v>126</v>
      </c>
      <c r="L32" s="3" t="str">
        <f>A32</f>
        <v>Line</v>
      </c>
      <c r="O32" s="110"/>
      <c r="P32" s="110"/>
      <c r="Q32" s="110"/>
      <c r="R32" s="110"/>
    </row>
    <row r="33" spans="1:18">
      <c r="C33" s="1" t="s">
        <v>181</v>
      </c>
      <c r="D33" s="1"/>
    </row>
    <row r="34" spans="1:18">
      <c r="A34" s="4">
        <v>200</v>
      </c>
      <c r="C34" t="s">
        <v>182</v>
      </c>
      <c r="E34" s="231">
        <v>0.4975</v>
      </c>
      <c r="F34" s="8" t="s">
        <v>183</v>
      </c>
      <c r="G34" s="8" t="s">
        <v>184</v>
      </c>
      <c r="H34" s="231">
        <f>E34</f>
        <v>0.4975</v>
      </c>
      <c r="I34" s="231">
        <f>E34</f>
        <v>0.4975</v>
      </c>
      <c r="J34" s="231">
        <f>E34</f>
        <v>0.4975</v>
      </c>
      <c r="K34" s="8" t="s">
        <v>185</v>
      </c>
      <c r="L34" s="4">
        <f>A34</f>
        <v>200</v>
      </c>
      <c r="O34" s="231">
        <f>E34-'1-DRR Original'!E34</f>
        <v>0</v>
      </c>
      <c r="P34" s="231">
        <f>H34-'1-DRR Original'!H34</f>
        <v>0</v>
      </c>
      <c r="Q34" s="231">
        <f>I34-'1-DRR Original'!I34</f>
        <v>0</v>
      </c>
      <c r="R34" s="231">
        <f>J34-'1-DRR Original'!J34</f>
        <v>0</v>
      </c>
    </row>
    <row r="35" spans="1:18">
      <c r="A35" s="4">
        <f>A34+1</f>
        <v>201</v>
      </c>
      <c r="C35" t="s">
        <v>186</v>
      </c>
      <c r="E35" s="231">
        <v>5.0000000000000001E-3</v>
      </c>
      <c r="F35" s="8" t="s">
        <v>187</v>
      </c>
      <c r="G35" s="8" t="s">
        <v>184</v>
      </c>
      <c r="H35" s="231">
        <f t="shared" ref="H35:H36" si="10">E35</f>
        <v>5.0000000000000001E-3</v>
      </c>
      <c r="I35" s="231">
        <f>E35</f>
        <v>5.0000000000000001E-3</v>
      </c>
      <c r="J35" s="231">
        <f>E35</f>
        <v>5.0000000000000001E-3</v>
      </c>
      <c r="K35" s="8" t="s">
        <v>188</v>
      </c>
      <c r="L35" s="4">
        <f>A35</f>
        <v>201</v>
      </c>
      <c r="O35" s="231">
        <f>E35-'1-DRR Original'!E35</f>
        <v>0</v>
      </c>
      <c r="P35" s="231">
        <f>H35-'1-DRR Original'!H35</f>
        <v>0</v>
      </c>
      <c r="Q35" s="231">
        <f>I35-'1-DRR Original'!I35</f>
        <v>0</v>
      </c>
      <c r="R35" s="231">
        <f>J35-'1-DRR Original'!J35</f>
        <v>0</v>
      </c>
    </row>
    <row r="36" spans="1:18">
      <c r="A36" s="4">
        <f>A35+1</f>
        <v>202</v>
      </c>
      <c r="C36" t="s">
        <v>189</v>
      </c>
      <c r="E36" s="231">
        <v>0.4975</v>
      </c>
      <c r="F36" s="8" t="s">
        <v>183</v>
      </c>
      <c r="G36" s="8" t="s">
        <v>184</v>
      </c>
      <c r="H36" s="231">
        <f t="shared" si="10"/>
        <v>0.4975</v>
      </c>
      <c r="I36" s="231">
        <f>E36</f>
        <v>0.4975</v>
      </c>
      <c r="J36" s="231">
        <f>E36</f>
        <v>0.4975</v>
      </c>
      <c r="K36" s="8" t="s">
        <v>190</v>
      </c>
      <c r="L36" s="4">
        <f>A36</f>
        <v>202</v>
      </c>
      <c r="O36" s="231">
        <f>E36-'1-DRR Original'!E36</f>
        <v>0</v>
      </c>
      <c r="P36" s="231">
        <f>H36-'1-DRR Original'!H36</f>
        <v>0</v>
      </c>
      <c r="Q36" s="231">
        <f>I36-'1-DRR Original'!I36</f>
        <v>0</v>
      </c>
      <c r="R36" s="231">
        <f>J36-'1-DRR Original'!J36</f>
        <v>0</v>
      </c>
    </row>
    <row r="37" spans="1:18">
      <c r="E37" s="8"/>
      <c r="F37" s="8"/>
      <c r="G37" s="8"/>
      <c r="H37" s="8"/>
      <c r="I37" s="8"/>
      <c r="J37" s="8"/>
      <c r="K37" s="8"/>
      <c r="O37" s="8"/>
      <c r="P37" s="8"/>
      <c r="Q37" s="8"/>
      <c r="R37" s="8"/>
    </row>
    <row r="38" spans="1:18">
      <c r="C38" s="1" t="s">
        <v>191</v>
      </c>
      <c r="D38" s="1"/>
      <c r="E38" s="8"/>
      <c r="F38" s="8"/>
      <c r="G38" s="8"/>
      <c r="H38" s="8"/>
      <c r="I38" s="8"/>
      <c r="J38" s="8"/>
      <c r="K38" s="8"/>
      <c r="L38" s="4"/>
      <c r="O38" s="8"/>
      <c r="P38" s="8"/>
      <c r="Q38" s="8"/>
      <c r="R38" s="8"/>
    </row>
    <row r="39" spans="1:18">
      <c r="A39" s="4">
        <f>A36+1</f>
        <v>203</v>
      </c>
      <c r="C39" t="s">
        <v>21</v>
      </c>
      <c r="E39" s="557">
        <f>'5-CostofCap-3'!F26</f>
        <v>3.5299999999999998E-2</v>
      </c>
      <c r="F39" s="8" t="s">
        <v>192</v>
      </c>
      <c r="G39" s="8"/>
      <c r="H39" s="557">
        <f t="shared" ref="H39:H40" si="11">E39</f>
        <v>3.5299999999999998E-2</v>
      </c>
      <c r="I39" s="557">
        <f>E39</f>
        <v>3.5299999999999998E-2</v>
      </c>
      <c r="J39" s="557">
        <f>E39</f>
        <v>3.5299999999999998E-2</v>
      </c>
      <c r="K39" s="8" t="s">
        <v>193</v>
      </c>
      <c r="L39" s="4">
        <f>A39</f>
        <v>203</v>
      </c>
      <c r="O39" s="557">
        <f>E39-'1-DRR Original'!E39</f>
        <v>0</v>
      </c>
      <c r="P39" s="557">
        <f>H39-'1-DRR Original'!H39</f>
        <v>0</v>
      </c>
      <c r="Q39" s="557">
        <f>I39-'1-DRR Original'!I39</f>
        <v>0</v>
      </c>
      <c r="R39" s="557">
        <f>J39-'1-DRR Original'!J39</f>
        <v>0</v>
      </c>
    </row>
    <row r="40" spans="1:18">
      <c r="A40" s="4">
        <f>A39+1</f>
        <v>204</v>
      </c>
      <c r="C40" t="s">
        <v>23</v>
      </c>
      <c r="E40" s="557">
        <f>'5-CostofCap-4'!E14</f>
        <v>5.5211589517762859E-2</v>
      </c>
      <c r="F40" s="8" t="s">
        <v>194</v>
      </c>
      <c r="G40" s="8"/>
      <c r="H40" s="557">
        <f t="shared" si="11"/>
        <v>5.5211589517762859E-2</v>
      </c>
      <c r="I40" s="557">
        <f>E40</f>
        <v>5.5211589517762859E-2</v>
      </c>
      <c r="J40" s="557">
        <f>E40</f>
        <v>5.5211589517762859E-2</v>
      </c>
      <c r="K40" s="8" t="s">
        <v>195</v>
      </c>
      <c r="L40" s="4">
        <f>A40</f>
        <v>204</v>
      </c>
      <c r="O40" s="557">
        <f>E40-'1-DRR Original'!E40</f>
        <v>0</v>
      </c>
      <c r="P40" s="557">
        <f>H40-'1-DRR Original'!H40</f>
        <v>0</v>
      </c>
      <c r="Q40" s="557">
        <f>I40-'1-DRR Original'!I40</f>
        <v>0</v>
      </c>
      <c r="R40" s="557">
        <f>J40-'1-DRR Original'!J40</f>
        <v>0</v>
      </c>
    </row>
    <row r="41" spans="1:18">
      <c r="E41" s="557"/>
      <c r="F41" s="8"/>
      <c r="G41" s="8"/>
      <c r="H41" s="557"/>
      <c r="I41" s="557"/>
      <c r="J41" s="557"/>
      <c r="K41" s="8"/>
      <c r="L41" s="4"/>
      <c r="O41" s="557"/>
      <c r="P41" s="557"/>
      <c r="Q41" s="557"/>
      <c r="R41" s="557"/>
    </row>
    <row r="42" spans="1:18">
      <c r="A42" s="4">
        <f>A40+1</f>
        <v>205</v>
      </c>
      <c r="C42" t="s">
        <v>196</v>
      </c>
      <c r="E42" s="231">
        <v>0.10249999999999999</v>
      </c>
      <c r="F42" s="8" t="s">
        <v>197</v>
      </c>
      <c r="G42" s="8" t="s">
        <v>184</v>
      </c>
      <c r="H42" s="231">
        <f t="shared" ref="H42" si="12">E42</f>
        <v>0.10249999999999999</v>
      </c>
      <c r="I42" s="231">
        <f>E42</f>
        <v>0.10249999999999999</v>
      </c>
      <c r="J42" s="231">
        <f>E42</f>
        <v>0.10249999999999999</v>
      </c>
      <c r="K42" s="8" t="s">
        <v>198</v>
      </c>
      <c r="L42" s="4">
        <f>A42</f>
        <v>205</v>
      </c>
      <c r="O42" s="231">
        <f>E42-'1-DRR Original'!E42</f>
        <v>0</v>
      </c>
      <c r="P42" s="231">
        <f>H42-'1-DRR Original'!H42</f>
        <v>0</v>
      </c>
      <c r="Q42" s="231">
        <f>I42-'1-DRR Original'!I42</f>
        <v>0</v>
      </c>
      <c r="R42" s="231">
        <f>J42-'1-DRR Original'!J42</f>
        <v>0</v>
      </c>
    </row>
    <row r="43" spans="1:18">
      <c r="E43" s="8"/>
      <c r="F43" s="8"/>
      <c r="G43" s="8"/>
      <c r="H43" s="8"/>
      <c r="I43" s="8"/>
      <c r="J43" s="8"/>
      <c r="K43" s="8"/>
      <c r="O43" s="8"/>
      <c r="P43" s="8"/>
      <c r="Q43" s="8"/>
      <c r="R43" s="8"/>
    </row>
    <row r="44" spans="1:18">
      <c r="C44" s="1" t="s">
        <v>199</v>
      </c>
      <c r="D44" s="1"/>
      <c r="E44" s="8"/>
      <c r="F44" s="8"/>
      <c r="G44" s="8"/>
      <c r="H44" s="8"/>
      <c r="I44" s="8"/>
      <c r="J44" s="8"/>
      <c r="K44" s="8"/>
      <c r="O44" s="8"/>
      <c r="P44" s="8"/>
      <c r="Q44" s="8"/>
      <c r="R44" s="8"/>
    </row>
    <row r="45" spans="1:18">
      <c r="A45" s="4">
        <f>A42+1</f>
        <v>206</v>
      </c>
      <c r="C45" t="s">
        <v>200</v>
      </c>
      <c r="E45" s="231">
        <f>E34*E39</f>
        <v>1.7561749999999998E-2</v>
      </c>
      <c r="F45" s="8" t="str">
        <f>"Line "&amp;A34&amp;" * Line "&amp;A39&amp;""</f>
        <v>Line 200 * Line 203</v>
      </c>
      <c r="G45" s="8"/>
      <c r="H45" s="231">
        <f t="shared" ref="H45:H48" si="13">E45</f>
        <v>1.7561749999999998E-2</v>
      </c>
      <c r="I45" s="231">
        <f>E45</f>
        <v>1.7561749999999998E-2</v>
      </c>
      <c r="J45" s="231">
        <f>E45</f>
        <v>1.7561749999999998E-2</v>
      </c>
      <c r="K45" s="8" t="s">
        <v>201</v>
      </c>
      <c r="L45" s="4">
        <f>A45</f>
        <v>206</v>
      </c>
      <c r="O45" s="231">
        <f>E45-'1-DRR Original'!E45</f>
        <v>0</v>
      </c>
      <c r="P45" s="231">
        <f>H45-'1-DRR Original'!H45</f>
        <v>0</v>
      </c>
      <c r="Q45" s="231">
        <f>I45-'1-DRR Original'!I45</f>
        <v>0</v>
      </c>
      <c r="R45" s="231">
        <f>J45-'1-DRR Original'!J45</f>
        <v>0</v>
      </c>
    </row>
    <row r="46" spans="1:18">
      <c r="A46" s="4">
        <f>A45+1</f>
        <v>207</v>
      </c>
      <c r="C46" t="s">
        <v>202</v>
      </c>
      <c r="E46" s="231">
        <f>E35*E40</f>
        <v>2.7605794758881429E-4</v>
      </c>
      <c r="F46" s="8" t="str">
        <f>"Line "&amp;A35&amp;" * Line "&amp;A40&amp;""</f>
        <v>Line 201 * Line 204</v>
      </c>
      <c r="G46" s="8"/>
      <c r="H46" s="231">
        <f t="shared" si="13"/>
        <v>2.7605794758881429E-4</v>
      </c>
      <c r="I46" s="231">
        <f>E46</f>
        <v>2.7605794758881429E-4</v>
      </c>
      <c r="J46" s="231">
        <f>E46</f>
        <v>2.7605794758881429E-4</v>
      </c>
      <c r="K46" s="8" t="s">
        <v>203</v>
      </c>
      <c r="L46" s="4">
        <f>A46</f>
        <v>207</v>
      </c>
      <c r="O46" s="231">
        <f>E46-'1-DRR Original'!E46</f>
        <v>0</v>
      </c>
      <c r="P46" s="231">
        <f>H46-'1-DRR Original'!H46</f>
        <v>0</v>
      </c>
      <c r="Q46" s="231">
        <f>I46-'1-DRR Original'!I46</f>
        <v>0</v>
      </c>
      <c r="R46" s="231">
        <f>J46-'1-DRR Original'!J46</f>
        <v>0</v>
      </c>
    </row>
    <row r="47" spans="1:18">
      <c r="A47" s="4">
        <f>A46+1</f>
        <v>208</v>
      </c>
      <c r="C47" t="s">
        <v>204</v>
      </c>
      <c r="E47" s="558">
        <f>E36*E42</f>
        <v>5.0993749999999997E-2</v>
      </c>
      <c r="F47" s="8" t="str">
        <f>"Line "&amp;A36&amp;" * Line "&amp;A42&amp;""</f>
        <v>Line 202 * Line 205</v>
      </c>
      <c r="G47" s="8"/>
      <c r="H47" s="558">
        <f t="shared" si="13"/>
        <v>5.0993749999999997E-2</v>
      </c>
      <c r="I47" s="558">
        <f>E47</f>
        <v>5.0993749999999997E-2</v>
      </c>
      <c r="J47" s="558">
        <f>E47</f>
        <v>5.0993749999999997E-2</v>
      </c>
      <c r="K47" s="8" t="s">
        <v>205</v>
      </c>
      <c r="L47" s="4">
        <f>A47</f>
        <v>208</v>
      </c>
      <c r="O47" s="558">
        <f>E47-'1-DRR Original'!E47</f>
        <v>0</v>
      </c>
      <c r="P47" s="558">
        <f>H47-'1-DRR Original'!H47</f>
        <v>0</v>
      </c>
      <c r="Q47" s="558">
        <f>I47-'1-DRR Original'!I47</f>
        <v>0</v>
      </c>
      <c r="R47" s="558">
        <f>J47-'1-DRR Original'!J47</f>
        <v>0</v>
      </c>
    </row>
    <row r="48" spans="1:18">
      <c r="A48" s="4">
        <f>A47+1</f>
        <v>209</v>
      </c>
      <c r="C48" s="2" t="s">
        <v>206</v>
      </c>
      <c r="D48" s="2"/>
      <c r="E48" s="559">
        <f>SUM(E45:E47)</f>
        <v>6.8831557947588801E-2</v>
      </c>
      <c r="F48" s="106" t="str">
        <f>"Sum of Lines "&amp;A45&amp;" to "&amp;A47&amp;""</f>
        <v>Sum of Lines 206 to 208</v>
      </c>
      <c r="G48" s="8"/>
      <c r="H48" s="559">
        <f t="shared" si="13"/>
        <v>6.8831557947588801E-2</v>
      </c>
      <c r="I48" s="559">
        <f>E48</f>
        <v>6.8831557947588801E-2</v>
      </c>
      <c r="J48" s="559">
        <f>E48</f>
        <v>6.8831557947588801E-2</v>
      </c>
      <c r="K48" s="8" t="s">
        <v>207</v>
      </c>
      <c r="L48" s="4">
        <f>A48</f>
        <v>209</v>
      </c>
      <c r="O48" s="559">
        <f>E48-'1-DRR Original'!E48</f>
        <v>0</v>
      </c>
      <c r="P48" s="559">
        <f>H48-'1-DRR Original'!H48</f>
        <v>0</v>
      </c>
      <c r="Q48" s="559">
        <f>I48-'1-DRR Original'!I48</f>
        <v>0</v>
      </c>
      <c r="R48" s="559">
        <f>J48-'1-DRR Original'!J48</f>
        <v>0</v>
      </c>
    </row>
    <row r="49" spans="1:18">
      <c r="E49" s="8"/>
      <c r="F49" s="8"/>
      <c r="G49" s="8"/>
      <c r="H49" s="8"/>
      <c r="I49" s="8"/>
      <c r="J49" s="8"/>
      <c r="K49" s="8"/>
      <c r="O49" s="8"/>
      <c r="P49" s="8"/>
      <c r="Q49" s="8"/>
      <c r="R49" s="8"/>
    </row>
    <row r="50" spans="1:18">
      <c r="A50" s="4">
        <f>A48+1</f>
        <v>210</v>
      </c>
      <c r="C50" s="2" t="s">
        <v>208</v>
      </c>
      <c r="D50" s="2"/>
      <c r="E50" s="557">
        <f>E46+E47</f>
        <v>5.1269807947588814E-2</v>
      </c>
      <c r="F50" s="8" t="str">
        <f>"Line "&amp;A46&amp;" + Line "&amp;A47&amp;""</f>
        <v>Line 207 + Line 208</v>
      </c>
      <c r="G50" s="8"/>
      <c r="H50" s="557">
        <f>E50</f>
        <v>5.1269807947588814E-2</v>
      </c>
      <c r="I50" s="557">
        <f>E50</f>
        <v>5.1269807947588814E-2</v>
      </c>
      <c r="J50" s="557">
        <f>E50</f>
        <v>5.1269807947588814E-2</v>
      </c>
      <c r="K50" s="8" t="s">
        <v>209</v>
      </c>
      <c r="L50" s="4">
        <f>A50</f>
        <v>210</v>
      </c>
      <c r="O50" s="557">
        <f>E50-'1-DRR Original'!E50</f>
        <v>0</v>
      </c>
      <c r="P50" s="557">
        <f>H50-'1-DRR Original'!H50</f>
        <v>0</v>
      </c>
      <c r="Q50" s="557">
        <f>I50-'1-DRR Original'!I50</f>
        <v>0</v>
      </c>
      <c r="R50" s="557">
        <f>J50-'1-DRR Original'!J50</f>
        <v>0</v>
      </c>
    </row>
    <row r="51" spans="1:18">
      <c r="E51" s="8"/>
      <c r="F51" s="8"/>
      <c r="G51" s="8"/>
      <c r="H51" s="8"/>
      <c r="I51" s="8"/>
      <c r="J51" s="8"/>
      <c r="K51" s="8"/>
      <c r="L51" s="4"/>
      <c r="O51" s="8"/>
      <c r="P51" s="8"/>
      <c r="Q51" s="8"/>
      <c r="R51" s="8"/>
    </row>
    <row r="52" spans="1:18">
      <c r="A52" s="4">
        <f>A50+1</f>
        <v>211</v>
      </c>
      <c r="C52" s="2" t="s">
        <v>210</v>
      </c>
      <c r="D52" s="2"/>
      <c r="E52" s="560">
        <f>E48*E29</f>
        <v>1301645743.5415688</v>
      </c>
      <c r="F52" s="8" t="str">
        <f>"Line "&amp;A29&amp;" * Line "&amp;A48&amp;""</f>
        <v>Line 113 * Line 209</v>
      </c>
      <c r="G52" s="8"/>
      <c r="H52" s="560">
        <f>I52+J52</f>
        <v>1204859161.1173484</v>
      </c>
      <c r="I52" s="560">
        <f>I48*I29</f>
        <v>628885692.82614744</v>
      </c>
      <c r="J52" s="560">
        <f>J48*J29</f>
        <v>575973468.291201</v>
      </c>
      <c r="K52" s="8" t="str">
        <f>"Line "&amp;A29&amp;" * Line "&amp;A48&amp;""</f>
        <v>Line 113 * Line 209</v>
      </c>
      <c r="L52" s="4">
        <f>A52</f>
        <v>211</v>
      </c>
      <c r="O52" s="560">
        <f>E52-'1-DRR Original'!E52</f>
        <v>-14755876.558137894</v>
      </c>
      <c r="P52" s="560">
        <f>H52-'1-DRR Original'!H52</f>
        <v>-13776916.998634577</v>
      </c>
      <c r="Q52" s="560">
        <f>I52-'1-DRR Original'!I52</f>
        <v>-10794081.724576473</v>
      </c>
      <c r="R52" s="560">
        <f>J52-'1-DRR Original'!J52</f>
        <v>-2982835.2740581036</v>
      </c>
    </row>
    <row r="53" spans="1:18">
      <c r="E53" s="8"/>
      <c r="F53" s="8"/>
      <c r="G53" s="8"/>
      <c r="H53" s="8"/>
      <c r="I53" s="8"/>
      <c r="J53" s="8"/>
      <c r="K53" s="8"/>
      <c r="O53" s="8"/>
      <c r="P53" s="8"/>
      <c r="Q53" s="8"/>
      <c r="R53" s="8"/>
    </row>
    <row r="54" spans="1:18">
      <c r="C54" s="41" t="s">
        <v>211</v>
      </c>
      <c r="D54" s="43"/>
      <c r="E54" s="43"/>
      <c r="F54" s="43"/>
      <c r="G54" s="43"/>
      <c r="H54" s="43"/>
      <c r="I54" s="43"/>
      <c r="J54" s="43"/>
      <c r="K54" s="43"/>
      <c r="O54" s="43"/>
      <c r="P54" s="43"/>
      <c r="Q54" s="43"/>
      <c r="R54" s="43"/>
    </row>
    <row r="55" spans="1:18" ht="29">
      <c r="A55" s="3" t="s">
        <v>90</v>
      </c>
      <c r="B55" s="3"/>
      <c r="C55" s="110" t="s">
        <v>7</v>
      </c>
      <c r="D55" s="34"/>
      <c r="E55" s="110" t="s">
        <v>130</v>
      </c>
      <c r="F55" s="110" t="s">
        <v>126</v>
      </c>
      <c r="G55" s="110" t="s">
        <v>131</v>
      </c>
      <c r="H55" s="110" t="s">
        <v>132</v>
      </c>
      <c r="I55" s="110" t="s">
        <v>133</v>
      </c>
      <c r="J55" s="110" t="s">
        <v>134</v>
      </c>
      <c r="K55" s="110" t="s">
        <v>126</v>
      </c>
      <c r="L55" s="3" t="str">
        <f>A55</f>
        <v>Line</v>
      </c>
      <c r="O55" s="110"/>
      <c r="P55" s="110"/>
      <c r="Q55" s="110"/>
      <c r="R55" s="110"/>
    </row>
    <row r="56" spans="1:18">
      <c r="C56" s="1" t="s">
        <v>212</v>
      </c>
      <c r="D56" s="1"/>
    </row>
    <row r="57" spans="1:18">
      <c r="A57" s="4">
        <v>300</v>
      </c>
      <c r="C57" t="s">
        <v>213</v>
      </c>
      <c r="E57" s="635">
        <v>386998160</v>
      </c>
      <c r="F57" t="s">
        <v>214</v>
      </c>
      <c r="H57" s="13">
        <f>I57+J57</f>
        <v>369006965.81033552</v>
      </c>
      <c r="I57" s="13">
        <f>E57*$I$4</f>
        <v>188310317.57352841</v>
      </c>
      <c r="J57" s="13">
        <f>E57*$J$4</f>
        <v>180696648.23680708</v>
      </c>
      <c r="K57" t="s">
        <v>215</v>
      </c>
      <c r="L57" s="4">
        <f>A57</f>
        <v>300</v>
      </c>
      <c r="O57" s="13">
        <f>E57-'1-DRR Original'!E57</f>
        <v>0</v>
      </c>
      <c r="P57" s="13">
        <f>H57-'1-DRR Original'!H57</f>
        <v>-12152.508212089539</v>
      </c>
      <c r="Q57" s="13">
        <f>I57-'1-DRR Original'!I57</f>
        <v>-687596.56206527352</v>
      </c>
      <c r="R57" s="13">
        <f>J57-'1-DRR Original'!J57</f>
        <v>675444.05385315418</v>
      </c>
    </row>
    <row r="58" spans="1:18">
      <c r="A58" s="4">
        <f>A57+1</f>
        <v>301</v>
      </c>
      <c r="C58" t="s">
        <v>216</v>
      </c>
      <c r="E58" s="30">
        <f>'24-Allocators'!$C$43</f>
        <v>0.56761302164611327</v>
      </c>
      <c r="F58" t="s">
        <v>217</v>
      </c>
      <c r="H58" s="30">
        <f>E58</f>
        <v>0.56761302164611327</v>
      </c>
      <c r="I58" s="30">
        <f>'24-Allocators'!$C$43</f>
        <v>0.56761302164611327</v>
      </c>
      <c r="J58" s="30">
        <f>'24-Allocators'!$C$43</f>
        <v>0.56761302164611327</v>
      </c>
      <c r="K58" t="s">
        <v>218</v>
      </c>
      <c r="L58" s="4">
        <f>A58</f>
        <v>301</v>
      </c>
      <c r="O58" s="30">
        <f>E58-'1-DRR Original'!E58</f>
        <v>-4.0319233517591702E-3</v>
      </c>
      <c r="P58" s="30">
        <f>H58-'1-DRR Original'!H58</f>
        <v>-4.0319233517591702E-3</v>
      </c>
      <c r="Q58" s="30">
        <f>I58-'1-DRR Original'!I58</f>
        <v>-4.0319233517591702E-3</v>
      </c>
      <c r="R58" s="30">
        <f>J58-'1-DRR Original'!J58</f>
        <v>-4.0319233517591702E-3</v>
      </c>
    </row>
    <row r="59" spans="1:18">
      <c r="A59" s="4">
        <f>A58+1</f>
        <v>302</v>
      </c>
      <c r="C59" s="2" t="s">
        <v>219</v>
      </c>
      <c r="D59" s="2"/>
      <c r="E59" s="15">
        <f>+E57*E58</f>
        <v>219665194.96908602</v>
      </c>
      <c r="F59" t="str">
        <f>"Line "&amp;$A$57&amp;" * Line "&amp;$A$58&amp;""</f>
        <v>Line 300 * Line 301</v>
      </c>
      <c r="H59" s="15">
        <f>I59+J59</f>
        <v>209453158.87206852</v>
      </c>
      <c r="I59" s="15">
        <f t="shared" ref="I59:J59" si="14">+I57*I58</f>
        <v>106887388.36504965</v>
      </c>
      <c r="J59" s="15">
        <f t="shared" si="14"/>
        <v>102565770.50701889</v>
      </c>
      <c r="K59" t="str">
        <f>"Line "&amp;$A$57&amp;" * Line "&amp;$A$58&amp;""</f>
        <v>Line 300 * Line 301</v>
      </c>
      <c r="L59" s="4">
        <f>A59</f>
        <v>302</v>
      </c>
      <c r="O59" s="15">
        <f>E59-'1-DRR Original'!E59</f>
        <v>-1560346.9183918238</v>
      </c>
      <c r="P59" s="15">
        <f>H59-'1-DRR Original'!H59</f>
        <v>-1494754.7223010063</v>
      </c>
      <c r="Q59" s="15">
        <f>I59-'1-DRR Original'!I59</f>
        <v>-1152313.8657044172</v>
      </c>
      <c r="R59" s="15">
        <f>J59-'1-DRR Original'!J59</f>
        <v>-342440.85659655929</v>
      </c>
    </row>
    <row r="61" spans="1:18">
      <c r="C61" s="1" t="s">
        <v>220</v>
      </c>
      <c r="D61" s="1"/>
    </row>
    <row r="62" spans="1:18">
      <c r="A62" s="4">
        <f>A59+1</f>
        <v>303</v>
      </c>
      <c r="C62" t="s">
        <v>221</v>
      </c>
      <c r="E62" s="636">
        <v>102363274</v>
      </c>
      <c r="F62" s="638" t="s">
        <v>222</v>
      </c>
      <c r="H62" s="13">
        <f t="shared" ref="H62:H67" si="15">I62+J62</f>
        <v>97604498.039866656</v>
      </c>
      <c r="I62" s="13">
        <f>E62*$I$4</f>
        <v>49809179.027636983</v>
      </c>
      <c r="J62" s="13">
        <f>E62*$J$4</f>
        <v>47795319.012229666</v>
      </c>
      <c r="K62" t="s">
        <v>223</v>
      </c>
      <c r="L62" s="4">
        <f t="shared" ref="L62:L67" si="16">A62</f>
        <v>303</v>
      </c>
      <c r="O62" s="13">
        <f>E62-'1-DRR Original'!E62</f>
        <v>0</v>
      </c>
      <c r="P62" s="13">
        <f>H62-'1-DRR Original'!H62</f>
        <v>-3214.4094119369984</v>
      </c>
      <c r="Q62" s="13">
        <f>I62-'1-DRR Original'!I62</f>
        <v>-181873.30731533468</v>
      </c>
      <c r="R62" s="13">
        <f>J62-'1-DRR Original'!J62</f>
        <v>178658.89790339023</v>
      </c>
    </row>
    <row r="63" spans="1:18">
      <c r="A63" s="4">
        <f>A62+1</f>
        <v>304</v>
      </c>
      <c r="C63" t="s">
        <v>224</v>
      </c>
      <c r="E63" s="636">
        <v>4436145</v>
      </c>
      <c r="F63" s="638" t="s">
        <v>225</v>
      </c>
      <c r="H63" s="13">
        <f t="shared" si="15"/>
        <v>4229912.6340670213</v>
      </c>
      <c r="I63" s="13">
        <f>E63*$I$4</f>
        <v>2158593.9161886973</v>
      </c>
      <c r="J63" s="13">
        <f>E63*$J$4</f>
        <v>2071318.717878324</v>
      </c>
      <c r="K63" t="s">
        <v>226</v>
      </c>
      <c r="L63" s="4">
        <f t="shared" si="16"/>
        <v>304</v>
      </c>
      <c r="O63" s="13">
        <f>E63-'1-DRR Original'!E63</f>
        <v>0</v>
      </c>
      <c r="P63" s="13">
        <f>H63-'1-DRR Original'!H63</f>
        <v>-139.30373349227011</v>
      </c>
      <c r="Q63" s="13">
        <f>I63-'1-DRR Original'!I63</f>
        <v>-7881.8929031165317</v>
      </c>
      <c r="R63" s="13">
        <f>J63-'1-DRR Original'!J63</f>
        <v>7742.5891696237959</v>
      </c>
    </row>
    <row r="64" spans="1:18">
      <c r="A64" s="4">
        <f>A63+1</f>
        <v>305</v>
      </c>
      <c r="C64" t="s">
        <v>227</v>
      </c>
      <c r="E64" s="636">
        <v>807174</v>
      </c>
      <c r="F64" s="638" t="s">
        <v>228</v>
      </c>
      <c r="H64" s="13">
        <f t="shared" si="15"/>
        <v>769649.2113063063</v>
      </c>
      <c r="I64" s="13">
        <f>E64*$I$4</f>
        <v>392764.63814994681</v>
      </c>
      <c r="J64" s="13">
        <f>E64*$J$4</f>
        <v>376884.57315635949</v>
      </c>
      <c r="K64" t="s">
        <v>229</v>
      </c>
      <c r="L64" s="4">
        <f t="shared" si="16"/>
        <v>305</v>
      </c>
      <c r="O64" s="13">
        <f>E64-'1-DRR Original'!E64</f>
        <v>0</v>
      </c>
      <c r="P64" s="13">
        <f>H64-'1-DRR Original'!H64</f>
        <v>-25.346861245110631</v>
      </c>
      <c r="Q64" s="13">
        <f>I64-'1-DRR Original'!I64</f>
        <v>-1434.1413597121136</v>
      </c>
      <c r="R64" s="13">
        <f>J64-'1-DRR Original'!J64</f>
        <v>1408.7944984670612</v>
      </c>
    </row>
    <row r="65" spans="1:18">
      <c r="A65" s="4">
        <f t="shared" ref="A65:A70" si="17">A64+1</f>
        <v>306</v>
      </c>
      <c r="C65" t="s">
        <v>230</v>
      </c>
      <c r="E65" s="636">
        <v>37665761</v>
      </c>
      <c r="F65" s="638" t="s">
        <v>231</v>
      </c>
      <c r="G65" s="638" t="s">
        <v>232</v>
      </c>
      <c r="H65" s="13">
        <f t="shared" si="15"/>
        <v>35914713.862069182</v>
      </c>
      <c r="I65" s="13">
        <f>E65*$I$4</f>
        <v>18327868.575805686</v>
      </c>
      <c r="J65" s="13">
        <f>E65*$J$4</f>
        <v>17586845.286263496</v>
      </c>
      <c r="K65" t="s">
        <v>233</v>
      </c>
      <c r="L65" s="4">
        <f t="shared" si="16"/>
        <v>306</v>
      </c>
      <c r="O65" s="13">
        <f>E65-'1-DRR Original'!E65</f>
        <v>0</v>
      </c>
      <c r="P65" s="13">
        <f>H65-'1-DRR Original'!H65</f>
        <v>-1182.7794475033879</v>
      </c>
      <c r="Q65" s="13">
        <f>I65-'1-DRR Original'!I65</f>
        <v>-66922.405448056757</v>
      </c>
      <c r="R65" s="13">
        <f>J65-'1-DRR Original'!J65</f>
        <v>65739.626000557095</v>
      </c>
    </row>
    <row r="66" spans="1:18">
      <c r="A66" s="4">
        <f t="shared" si="17"/>
        <v>307</v>
      </c>
      <c r="C66" t="s">
        <v>234</v>
      </c>
      <c r="E66" s="637">
        <v>0</v>
      </c>
      <c r="F66" s="638" t="s">
        <v>235</v>
      </c>
      <c r="G66" s="638" t="s">
        <v>232</v>
      </c>
      <c r="H66" s="14">
        <f t="shared" si="15"/>
        <v>0</v>
      </c>
      <c r="I66" s="14">
        <f>E66*$I$4</f>
        <v>0</v>
      </c>
      <c r="J66" s="14">
        <f>E66*$J$4</f>
        <v>0</v>
      </c>
      <c r="K66" t="s">
        <v>236</v>
      </c>
      <c r="L66" s="4">
        <f t="shared" si="16"/>
        <v>307</v>
      </c>
      <c r="O66" s="14">
        <f>E66-'1-DRR Original'!E66</f>
        <v>0</v>
      </c>
      <c r="P66" s="14">
        <f>H66-'1-DRR Original'!H66</f>
        <v>0</v>
      </c>
      <c r="Q66" s="14">
        <f>I66-'1-DRR Original'!I66</f>
        <v>0</v>
      </c>
      <c r="R66" s="14">
        <f>J66-'1-DRR Original'!J66</f>
        <v>0</v>
      </c>
    </row>
    <row r="67" spans="1:18">
      <c r="A67" s="4">
        <f t="shared" si="17"/>
        <v>308</v>
      </c>
      <c r="C67" s="2" t="s">
        <v>237</v>
      </c>
      <c r="D67" s="2"/>
      <c r="E67" s="15">
        <f>SUM(E62:E66)</f>
        <v>145272354</v>
      </c>
      <c r="F67" s="33" t="str">
        <f>"Sum of Lines "&amp;$A$62&amp;" to "&amp;$A$66&amp;""</f>
        <v>Sum of Lines 303 to 307</v>
      </c>
      <c r="H67" s="15">
        <f t="shared" si="15"/>
        <v>138518773.74730915</v>
      </c>
      <c r="I67" s="15">
        <f t="shared" ref="I67:J67" si="18">SUM(I62:I66)</f>
        <v>70688406.157781303</v>
      </c>
      <c r="J67" s="15">
        <f t="shared" si="18"/>
        <v>67830367.589527845</v>
      </c>
      <c r="K67" s="33" t="str">
        <f>"Sum of Lines "&amp;$A$62&amp;" to "&amp;$A$66&amp;""</f>
        <v>Sum of Lines 303 to 307</v>
      </c>
      <c r="L67" s="4">
        <f t="shared" si="16"/>
        <v>308</v>
      </c>
      <c r="O67" s="15">
        <f>E67-'1-DRR Original'!E67</f>
        <v>0</v>
      </c>
      <c r="P67" s="15">
        <f>H67-'1-DRR Original'!H67</f>
        <v>-4561.8394541740417</v>
      </c>
      <c r="Q67" s="15">
        <f>I67-'1-DRR Original'!I67</f>
        <v>-258111.74702623487</v>
      </c>
      <c r="R67" s="15">
        <f>J67-'1-DRR Original'!J67</f>
        <v>253549.90757204592</v>
      </c>
    </row>
    <row r="69" spans="1:18" ht="29">
      <c r="A69" s="4">
        <f>A67+1</f>
        <v>309</v>
      </c>
      <c r="C69" s="34" t="s">
        <v>238</v>
      </c>
      <c r="E69" s="30">
        <f>'24-Allocators'!$C$23</f>
        <v>0.43638724816634106</v>
      </c>
      <c r="F69" t="s">
        <v>239</v>
      </c>
      <c r="H69" s="30">
        <f>E69</f>
        <v>0.43638724816634106</v>
      </c>
      <c r="I69" s="30">
        <f>'24-Allocators'!$C$23</f>
        <v>0.43638724816634106</v>
      </c>
      <c r="J69" s="30">
        <f>'24-Allocators'!$C$23</f>
        <v>0.43638724816634106</v>
      </c>
      <c r="K69" t="s">
        <v>240</v>
      </c>
      <c r="L69" s="4">
        <f>A69</f>
        <v>309</v>
      </c>
      <c r="O69" s="30">
        <f>E69-'1-DRR Original'!E69</f>
        <v>0</v>
      </c>
      <c r="P69" s="30">
        <f>H69-'1-DRR Original'!H69</f>
        <v>0</v>
      </c>
      <c r="Q69" s="30">
        <f>I69-'1-DRR Original'!I69</f>
        <v>0</v>
      </c>
      <c r="R69" s="30">
        <f>J69-'1-DRR Original'!J69</f>
        <v>0</v>
      </c>
    </row>
    <row r="70" spans="1:18">
      <c r="A70" s="4">
        <f t="shared" si="17"/>
        <v>310</v>
      </c>
      <c r="C70" s="2" t="s">
        <v>241</v>
      </c>
      <c r="D70" s="2"/>
      <c r="E70" s="15">
        <f>E67*E69</f>
        <v>63395002.79670655</v>
      </c>
      <c r="F70" s="8" t="str">
        <f>"Line "&amp;$A$69&amp;" *  Line "&amp;$A$67&amp;""</f>
        <v>Line 309 *  Line 308</v>
      </c>
      <c r="H70" s="15">
        <f>I70+J70</f>
        <v>60447826.494964242</v>
      </c>
      <c r="I70" s="15">
        <f t="shared" ref="I70:J70" si="19">I67*I69</f>
        <v>30847519.040458821</v>
      </c>
      <c r="J70" s="15">
        <f t="shared" si="19"/>
        <v>29600307.454505425</v>
      </c>
      <c r="K70" s="8" t="str">
        <f>"Line "&amp;$A$69&amp;" *  Line "&amp;$A$67&amp;""</f>
        <v>Line 309 *  Line 308</v>
      </c>
      <c r="L70" s="4">
        <f>A70</f>
        <v>310</v>
      </c>
      <c r="O70" s="15">
        <f>E70-'1-DRR Original'!E70</f>
        <v>0</v>
      </c>
      <c r="P70" s="15">
        <f>H70-'1-DRR Original'!H70</f>
        <v>-1990.7285659909248</v>
      </c>
      <c r="Q70" s="15">
        <f>I70-'1-DRR Original'!I70</f>
        <v>-112636.67500418425</v>
      </c>
      <c r="R70" s="15">
        <f>J70-'1-DRR Original'!J70</f>
        <v>110645.94643819332</v>
      </c>
    </row>
    <row r="71" spans="1:18">
      <c r="H71" s="24"/>
      <c r="I71" s="24"/>
      <c r="J71" s="24"/>
      <c r="O71" s="24"/>
      <c r="P71" s="24"/>
      <c r="Q71" s="24"/>
      <c r="R71" s="24"/>
    </row>
    <row r="72" spans="1:18">
      <c r="A72" s="4">
        <f>A70+1</f>
        <v>311</v>
      </c>
      <c r="C72" s="2" t="s">
        <v>242</v>
      </c>
      <c r="D72" s="2"/>
      <c r="E72" s="15">
        <f>E70+E59</f>
        <v>283060197.76579255</v>
      </c>
      <c r="F72" t="str">
        <f>"Line "&amp;$A$59&amp;" + Line "&amp;$A$70&amp;""</f>
        <v>Line 302 + Line 310</v>
      </c>
      <c r="G72" s="86"/>
      <c r="H72" s="15">
        <f>I72+J72</f>
        <v>269900985.36703277</v>
      </c>
      <c r="I72" s="15">
        <f t="shared" ref="I72:J72" si="20">I70+I59</f>
        <v>137734907.40550846</v>
      </c>
      <c r="J72" s="15">
        <f t="shared" si="20"/>
        <v>132166077.96152432</v>
      </c>
      <c r="K72" t="str">
        <f>"Line "&amp;$A$59&amp;" + Line "&amp;$A$70&amp;""</f>
        <v>Line 302 + Line 310</v>
      </c>
      <c r="L72" s="4">
        <f>A72</f>
        <v>311</v>
      </c>
      <c r="O72" s="15">
        <f>E72-'1-DRR Original'!E72</f>
        <v>-1560346.9183918238</v>
      </c>
      <c r="P72" s="15">
        <f>H72-'1-DRR Original'!H72</f>
        <v>-1496745.4508669972</v>
      </c>
      <c r="Q72" s="15">
        <f>I72-'1-DRR Original'!I72</f>
        <v>-1264950.5407086015</v>
      </c>
      <c r="R72" s="15">
        <f>J72-'1-DRR Original'!J72</f>
        <v>-231794.91015836596</v>
      </c>
    </row>
    <row r="74" spans="1:18">
      <c r="A74"/>
      <c r="B74"/>
      <c r="C74" s="41" t="s">
        <v>243</v>
      </c>
      <c r="D74" s="43"/>
      <c r="E74" s="43"/>
      <c r="F74" s="43"/>
      <c r="G74" s="43"/>
      <c r="H74" s="43"/>
      <c r="I74" s="43"/>
      <c r="J74" s="43"/>
      <c r="K74" s="43"/>
      <c r="O74" s="43"/>
      <c r="P74" s="43"/>
      <c r="Q74" s="43"/>
      <c r="R74" s="43"/>
    </row>
    <row r="75" spans="1:18" ht="29">
      <c r="A75" s="3" t="s">
        <v>90</v>
      </c>
      <c r="B75" s="3"/>
      <c r="C75" s="110" t="s">
        <v>7</v>
      </c>
      <c r="D75" s="34"/>
      <c r="E75" s="110" t="s">
        <v>130</v>
      </c>
      <c r="F75" s="110" t="s">
        <v>126</v>
      </c>
      <c r="G75" s="110" t="s">
        <v>131</v>
      </c>
      <c r="H75" s="110" t="s">
        <v>132</v>
      </c>
      <c r="I75" s="110" t="s">
        <v>133</v>
      </c>
      <c r="J75" s="110" t="s">
        <v>134</v>
      </c>
      <c r="K75" s="110" t="s">
        <v>126</v>
      </c>
      <c r="L75" s="3" t="str">
        <f>A75</f>
        <v>Line</v>
      </c>
      <c r="O75" s="110"/>
      <c r="P75" s="110"/>
      <c r="Q75" s="110"/>
      <c r="R75" s="110"/>
    </row>
    <row r="76" spans="1:18">
      <c r="A76" s="4">
        <v>400</v>
      </c>
      <c r="C76" t="s">
        <v>244</v>
      </c>
      <c r="E76" s="22">
        <f>'22-TaxRates'!$C$6</f>
        <v>0.21</v>
      </c>
      <c r="F76" t="s">
        <v>245</v>
      </c>
      <c r="H76" s="22">
        <f>E76</f>
        <v>0.21</v>
      </c>
      <c r="I76" s="22">
        <f>'22-TaxRates'!$C$6</f>
        <v>0.21</v>
      </c>
      <c r="J76" s="22">
        <f>'22-TaxRates'!$C$6</f>
        <v>0.21</v>
      </c>
      <c r="K76" t="s">
        <v>246</v>
      </c>
      <c r="L76" s="4">
        <f>A76</f>
        <v>400</v>
      </c>
      <c r="O76" s="22">
        <f>E76-'1-DRR Original'!E76</f>
        <v>0</v>
      </c>
      <c r="P76" s="22">
        <f>H76-'1-DRR Original'!H76</f>
        <v>0</v>
      </c>
      <c r="Q76" s="22">
        <f>I76-'1-DRR Original'!I76</f>
        <v>0</v>
      </c>
      <c r="R76" s="22">
        <f>J76-'1-DRR Original'!J76</f>
        <v>0</v>
      </c>
    </row>
    <row r="77" spans="1:18">
      <c r="A77" s="4">
        <f>A76+1</f>
        <v>401</v>
      </c>
      <c r="C77" t="s">
        <v>247</v>
      </c>
      <c r="E77" s="25">
        <f>'22-TaxRates'!$C$7</f>
        <v>8.8400000000000006E-2</v>
      </c>
      <c r="F77" t="s">
        <v>248</v>
      </c>
      <c r="H77" s="25">
        <f>E77</f>
        <v>8.8400000000000006E-2</v>
      </c>
      <c r="I77" s="25">
        <f>'22-TaxRates'!$C$7</f>
        <v>8.8400000000000006E-2</v>
      </c>
      <c r="J77" s="25">
        <f>'22-TaxRates'!$C$7</f>
        <v>8.8400000000000006E-2</v>
      </c>
      <c r="K77" t="s">
        <v>249</v>
      </c>
      <c r="L77" s="4">
        <f>A77</f>
        <v>401</v>
      </c>
      <c r="O77" s="25">
        <f>E77-'1-DRR Original'!E77</f>
        <v>0</v>
      </c>
      <c r="P77" s="25">
        <f>H77-'1-DRR Original'!H77</f>
        <v>0</v>
      </c>
      <c r="Q77" s="25">
        <f>I77-'1-DRR Original'!I77</f>
        <v>0</v>
      </c>
      <c r="R77" s="25">
        <f>J77-'1-DRR Original'!J77</f>
        <v>0</v>
      </c>
    </row>
    <row r="78" spans="1:18">
      <c r="A78" s="4">
        <f>A77+1</f>
        <v>402</v>
      </c>
      <c r="C78" s="2" t="s">
        <v>250</v>
      </c>
      <c r="D78" s="2"/>
      <c r="E78" s="226">
        <f>'22-TaxRates'!C9</f>
        <v>0.27983599999999997</v>
      </c>
      <c r="F78" t="s">
        <v>251</v>
      </c>
      <c r="H78" s="226">
        <f>E78</f>
        <v>0.27983599999999997</v>
      </c>
      <c r="I78" s="226">
        <f t="shared" ref="I78:J78" si="21">(I76+I77)-(I76*I77)</f>
        <v>0.27983599999999997</v>
      </c>
      <c r="J78" s="226">
        <f t="shared" si="21"/>
        <v>0.27983599999999997</v>
      </c>
      <c r="K78" t="s">
        <v>252</v>
      </c>
      <c r="L78" s="4">
        <f>A78</f>
        <v>402</v>
      </c>
      <c r="O78" s="226">
        <f>E78-'1-DRR Original'!E78</f>
        <v>0</v>
      </c>
      <c r="P78" s="226">
        <f>H78-'1-DRR Original'!H78</f>
        <v>0</v>
      </c>
      <c r="Q78" s="226">
        <f>I78-'1-DRR Original'!I78</f>
        <v>0</v>
      </c>
      <c r="R78" s="226">
        <f>J78-'1-DRR Original'!J78</f>
        <v>0</v>
      </c>
    </row>
    <row r="80" spans="1:18">
      <c r="C80" s="1" t="s">
        <v>253</v>
      </c>
      <c r="L80" s="4"/>
    </row>
    <row r="81" spans="1:18">
      <c r="A81" s="4">
        <f>A78+1</f>
        <v>403</v>
      </c>
      <c r="C81" t="s">
        <v>254</v>
      </c>
      <c r="E81" s="37">
        <v>15121514.847330647</v>
      </c>
      <c r="F81" s="446" t="s">
        <v>255</v>
      </c>
      <c r="H81" s="14">
        <f>I81+J81</f>
        <v>14418529.308432423</v>
      </c>
      <c r="I81" s="14">
        <f>E81*$I$4</f>
        <v>7358012.4078462254</v>
      </c>
      <c r="J81" s="14">
        <f>E81*$J$4</f>
        <v>7060516.9005861972</v>
      </c>
      <c r="K81" t="s">
        <v>256</v>
      </c>
      <c r="L81" s="4">
        <f>A81</f>
        <v>403</v>
      </c>
      <c r="O81" s="14">
        <f>E81-'1-DRR Original'!E81</f>
        <v>-45595.394590739161</v>
      </c>
      <c r="P81" s="14">
        <f>H81-'1-DRR Original'!H81</f>
        <v>-43951.98324618116</v>
      </c>
      <c r="Q81" s="14">
        <f>I81-'1-DRR Original'!I81</f>
        <v>-49134.435404248536</v>
      </c>
      <c r="R81" s="14">
        <f>J81-'1-DRR Original'!J81</f>
        <v>5182.4521580664441</v>
      </c>
    </row>
    <row r="82" spans="1:18">
      <c r="A82" s="4">
        <f>A81+1</f>
        <v>404</v>
      </c>
      <c r="C82" s="2" t="s">
        <v>257</v>
      </c>
      <c r="E82" s="15">
        <f>SUM(E81:E81)</f>
        <v>15121514.847330647</v>
      </c>
      <c r="F82" t="str">
        <f>"Line "&amp;A81&amp;""</f>
        <v>Line 403</v>
      </c>
      <c r="H82" s="15">
        <f>I82+J82</f>
        <v>14418529.308432423</v>
      </c>
      <c r="I82" s="15">
        <f t="shared" ref="I82:J82" si="22">SUM(I81:I81)</f>
        <v>7358012.4078462254</v>
      </c>
      <c r="J82" s="15">
        <f t="shared" si="22"/>
        <v>7060516.9005861972</v>
      </c>
      <c r="L82" s="4">
        <f>A82</f>
        <v>404</v>
      </c>
      <c r="O82" s="15">
        <f>E82-'1-DRR Original'!E82</f>
        <v>-45595.394590739161</v>
      </c>
      <c r="P82" s="15">
        <f>H82-'1-DRR Original'!H82</f>
        <v>-43951.98324618116</v>
      </c>
      <c r="Q82" s="15">
        <f>I82-'1-DRR Original'!I82</f>
        <v>-49134.435404248536</v>
      </c>
      <c r="R82" s="15">
        <f>J82-'1-DRR Original'!J82</f>
        <v>5182.4521580664441</v>
      </c>
    </row>
    <row r="83" spans="1:18">
      <c r="E83" s="13"/>
      <c r="H83" s="13"/>
      <c r="I83" s="13"/>
      <c r="J83" s="13"/>
      <c r="L83" s="4"/>
      <c r="O83" s="13"/>
      <c r="P83" s="13"/>
      <c r="Q83" s="13"/>
      <c r="R83" s="13"/>
    </row>
    <row r="84" spans="1:18">
      <c r="C84" s="1" t="s">
        <v>258</v>
      </c>
      <c r="D84" s="1"/>
      <c r="E84" s="13"/>
      <c r="H84" s="13"/>
      <c r="I84" s="13"/>
      <c r="J84" s="13"/>
      <c r="O84" s="13"/>
      <c r="P84" s="13"/>
      <c r="Q84" s="13"/>
      <c r="R84" s="13"/>
    </row>
    <row r="85" spans="1:18">
      <c r="A85" s="4">
        <f>A82+1</f>
        <v>405</v>
      </c>
      <c r="C85" t="s">
        <v>259</v>
      </c>
      <c r="E85" s="23">
        <f>+'17-RegAssets-2'!AR22+'17-RegAssets-2'!AT22+'17-RegAssets-2'!AV22</f>
        <v>-34294564.060495451</v>
      </c>
      <c r="F85" t="s">
        <v>260</v>
      </c>
      <c r="H85" s="13">
        <f t="shared" ref="H85:H87" si="23">I85+J85</f>
        <v>-32700240.817040589</v>
      </c>
      <c r="I85" s="13">
        <f>E85*$I$4</f>
        <v>-16687470.165950174</v>
      </c>
      <c r="J85" s="13">
        <f>E85*$J$4</f>
        <v>-16012770.651090415</v>
      </c>
      <c r="K85" t="s">
        <v>261</v>
      </c>
      <c r="L85" s="4">
        <f>A85</f>
        <v>405</v>
      </c>
      <c r="O85" s="13">
        <f>E85-'1-DRR Original'!E85</f>
        <v>228651.98210975528</v>
      </c>
      <c r="P85" s="13">
        <f>H85-'1-DRR Original'!H85</f>
        <v>219106.25572821125</v>
      </c>
      <c r="Q85" s="13">
        <f>I85-'1-DRR Original'!I85</f>
        <v>172599.19795803912</v>
      </c>
      <c r="R85" s="13">
        <f>J85-'1-DRR Original'!J85</f>
        <v>46507.057770170271</v>
      </c>
    </row>
    <row r="86" spans="1:18">
      <c r="A86" s="4">
        <f t="shared" ref="A86" si="24">A85+1</f>
        <v>406</v>
      </c>
      <c r="C86" t="s">
        <v>262</v>
      </c>
      <c r="E86" s="37">
        <v>-2170771.9060328449</v>
      </c>
      <c r="F86" s="446" t="s">
        <v>263</v>
      </c>
      <c r="H86" s="14">
        <f t="shared" si="23"/>
        <v>-2069854.6848685243</v>
      </c>
      <c r="I86" s="14">
        <f>E86*$I$4</f>
        <v>-1056280.8541641091</v>
      </c>
      <c r="J86" s="14">
        <f>E86*$J$4</f>
        <v>-1013573.8307044152</v>
      </c>
      <c r="K86" t="s">
        <v>264</v>
      </c>
      <c r="L86" s="4">
        <f>A86</f>
        <v>406</v>
      </c>
      <c r="O86" s="14">
        <f>E86-'1-DRR Original'!E86</f>
        <v>215.93963904585689</v>
      </c>
      <c r="P86" s="14">
        <f>H86-'1-DRR Original'!H86</f>
        <v>274.07411607727408</v>
      </c>
      <c r="Q86" s="14">
        <f>I86-'1-DRR Original'!I86</f>
        <v>3962.36364786583</v>
      </c>
      <c r="R86" s="14">
        <f>J86-'1-DRR Original'!J86</f>
        <v>-3688.2895317886723</v>
      </c>
    </row>
    <row r="87" spans="1:18">
      <c r="A87" s="4">
        <f>A86+1</f>
        <v>407</v>
      </c>
      <c r="C87" s="2" t="s">
        <v>265</v>
      </c>
      <c r="D87" s="2"/>
      <c r="E87" s="15">
        <f>SUM(E85:E86)</f>
        <v>-36465335.966528296</v>
      </c>
      <c r="F87" t="str">
        <f>"Line "&amp;$A$85&amp;" + Line "&amp;$A$86&amp;""</f>
        <v>Line 405 + Line 406</v>
      </c>
      <c r="H87" s="15">
        <f t="shared" si="23"/>
        <v>-34770095.501909114</v>
      </c>
      <c r="I87" s="15">
        <f t="shared" ref="I87:J87" si="25">SUM(I85:I86)</f>
        <v>-17743751.020114284</v>
      </c>
      <c r="J87" s="15">
        <f t="shared" si="25"/>
        <v>-17026344.48179483</v>
      </c>
      <c r="K87" t="str">
        <f>"Line "&amp;$A$85&amp;" + Line "&amp;$A$86&amp;""</f>
        <v>Line 405 + Line 406</v>
      </c>
      <c r="L87" s="4">
        <f>A87</f>
        <v>407</v>
      </c>
      <c r="O87" s="15">
        <f>E87-'1-DRR Original'!E87</f>
        <v>228867.92174880207</v>
      </c>
      <c r="P87" s="15">
        <f>H87-'1-DRR Original'!H87</f>
        <v>219380.32984428853</v>
      </c>
      <c r="Q87" s="15">
        <f>I87-'1-DRR Original'!I87</f>
        <v>176561.56160590425</v>
      </c>
      <c r="R87" s="15">
        <f>J87-'1-DRR Original'!J87</f>
        <v>42818.768238380551</v>
      </c>
    </row>
    <row r="88" spans="1:18">
      <c r="E88" s="24"/>
      <c r="H88" s="24"/>
      <c r="I88" s="24"/>
      <c r="J88" s="24"/>
      <c r="O88" s="24"/>
      <c r="P88" s="24"/>
      <c r="Q88" s="24"/>
      <c r="R88" s="24"/>
    </row>
    <row r="89" spans="1:18">
      <c r="A89" s="4">
        <f>A87+1</f>
        <v>408</v>
      </c>
      <c r="C89" s="2" t="s">
        <v>266</v>
      </c>
      <c r="E89" s="15">
        <f>(((E94*E95)+E98)*(E96/(1-E96)))+E97/(1-E96)</f>
        <v>331978729.54255664</v>
      </c>
      <c r="F89" t="str">
        <f>"Line "&amp;$A$91&amp;""</f>
        <v>Line 409</v>
      </c>
      <c r="H89" s="15">
        <f>I89+J89</f>
        <v>306046416.89768028</v>
      </c>
      <c r="I89" s="15">
        <f t="shared" ref="I89:J89" si="26">(((I94*I95)+I98)*(I96/(1-I96)))+I97/(1-I96)</f>
        <v>160240162.80174577</v>
      </c>
      <c r="J89" s="15">
        <f t="shared" si="26"/>
        <v>145806254.09593454</v>
      </c>
      <c r="K89" t="str">
        <f>"Line "&amp;$A$91&amp;""</f>
        <v>Line 409</v>
      </c>
      <c r="L89" s="4">
        <f>A89</f>
        <v>408</v>
      </c>
      <c r="O89" s="15">
        <f>E89-'1-DRR Original'!E89</f>
        <v>-3970737.5249024034</v>
      </c>
      <c r="P89" s="15">
        <f>H89-'1-DRR Original'!H89</f>
        <v>-3699931.1086491346</v>
      </c>
      <c r="Q89" s="15">
        <f>I89-'1-DRR Original'!I89</f>
        <v>-2898074.4097463191</v>
      </c>
      <c r="R89" s="15">
        <f>J89-'1-DRR Original'!J89</f>
        <v>-801856.69890278578</v>
      </c>
    </row>
    <row r="90" spans="1:18">
      <c r="E90" s="24"/>
      <c r="H90" s="24"/>
      <c r="I90" s="24"/>
      <c r="J90" s="24"/>
      <c r="O90" s="24"/>
      <c r="P90" s="24"/>
      <c r="Q90" s="24"/>
      <c r="R90" s="24"/>
    </row>
    <row r="91" spans="1:18">
      <c r="A91" s="4">
        <f>A89+1</f>
        <v>409</v>
      </c>
      <c r="C91" t="s">
        <v>267</v>
      </c>
      <c r="E91" s="24"/>
      <c r="H91" s="24"/>
      <c r="I91" s="24"/>
      <c r="J91" s="24"/>
      <c r="L91" s="4">
        <f>A91</f>
        <v>409</v>
      </c>
      <c r="O91" s="24"/>
      <c r="P91" s="24"/>
      <c r="Q91" s="24"/>
      <c r="R91" s="24"/>
    </row>
    <row r="92" spans="1:18">
      <c r="E92" s="24"/>
      <c r="H92" s="24"/>
      <c r="I92" s="24"/>
      <c r="J92" s="24"/>
      <c r="O92" s="24"/>
      <c r="P92" s="24"/>
      <c r="Q92" s="24"/>
      <c r="R92" s="24"/>
    </row>
    <row r="93" spans="1:18">
      <c r="C93" t="s">
        <v>268</v>
      </c>
      <c r="E93" s="24"/>
      <c r="H93" s="24"/>
      <c r="I93" s="24"/>
      <c r="J93" s="24"/>
      <c r="O93" s="24"/>
      <c r="P93" s="24"/>
      <c r="Q93" s="24"/>
      <c r="R93" s="24"/>
    </row>
    <row r="94" spans="1:18">
      <c r="A94" s="4">
        <f>A91+1</f>
        <v>410</v>
      </c>
      <c r="C94" s="26" t="s">
        <v>269</v>
      </c>
      <c r="D94" s="26"/>
      <c r="E94" s="13">
        <f>+E29</f>
        <v>18910595406.436909</v>
      </c>
      <c r="F94" t="str">
        <f>"Line "&amp;$A$29&amp;", col 1"</f>
        <v>Line 113, col 1</v>
      </c>
      <c r="G94" s="12"/>
      <c r="H94" s="13">
        <f t="shared" ref="H94:H98" si="27">I94+J94</f>
        <v>17504458667.56028</v>
      </c>
      <c r="I94" s="13">
        <f>+I29</f>
        <v>9136589546.6873932</v>
      </c>
      <c r="J94" s="13">
        <f>+J29</f>
        <v>8367869120.8728857</v>
      </c>
      <c r="K94" t="str">
        <f>"Line "&amp;$A$29&amp;", col 3 and col 4"</f>
        <v>Line 113, col 3 and col 4</v>
      </c>
      <c r="L94" s="4">
        <f>A94</f>
        <v>410</v>
      </c>
      <c r="O94" s="13">
        <f>E94-'1-DRR Original'!E94</f>
        <v>-214376617.32680511</v>
      </c>
      <c r="P94" s="13">
        <f>H94-'1-DRR Original'!H94</f>
        <v>-200154077.71424866</v>
      </c>
      <c r="Q94" s="13">
        <f>I94-'1-DRR Original'!I94</f>
        <v>-156818791.35723686</v>
      </c>
      <c r="R94" s="13">
        <f>J94-'1-DRR Original'!J94</f>
        <v>-43335286.357012749</v>
      </c>
    </row>
    <row r="95" spans="1:18">
      <c r="A95" s="4">
        <f>A94+1</f>
        <v>411</v>
      </c>
      <c r="C95" s="9" t="s">
        <v>270</v>
      </c>
      <c r="D95" s="9"/>
      <c r="E95" s="22">
        <f>+E50</f>
        <v>5.1269807947588814E-2</v>
      </c>
      <c r="F95" t="str">
        <f>"Line "&amp;$A$50&amp;", col 1"</f>
        <v>Line 210, col 1</v>
      </c>
      <c r="H95" s="445">
        <f>E95</f>
        <v>5.1269807947588814E-2</v>
      </c>
      <c r="I95" s="22">
        <f t="shared" ref="I95:J95" si="28">+I50</f>
        <v>5.1269807947588814E-2</v>
      </c>
      <c r="J95" s="22">
        <f t="shared" si="28"/>
        <v>5.1269807947588814E-2</v>
      </c>
      <c r="K95" t="str">
        <f>"Line "&amp;$A$50&amp;", col 3 and col 4"</f>
        <v>Line 210, col 3 and col 4</v>
      </c>
      <c r="L95" s="4">
        <f>A95</f>
        <v>411</v>
      </c>
      <c r="O95" s="445">
        <f>E95-'1-DRR Original'!E95</f>
        <v>0</v>
      </c>
      <c r="P95" s="445">
        <f>H95-'1-DRR Original'!H95</f>
        <v>0</v>
      </c>
      <c r="Q95" s="445">
        <f>I95-'1-DRR Original'!I95</f>
        <v>0</v>
      </c>
      <c r="R95" s="445">
        <f>J95-'1-DRR Original'!J95</f>
        <v>0</v>
      </c>
    </row>
    <row r="96" spans="1:18">
      <c r="A96" s="4">
        <f t="shared" ref="A96:A98" si="29">A95+1</f>
        <v>412</v>
      </c>
      <c r="C96" s="26" t="s">
        <v>271</v>
      </c>
      <c r="D96" s="26"/>
      <c r="E96" s="19">
        <f>+E78</f>
        <v>0.27983599999999997</v>
      </c>
      <c r="F96" t="str">
        <f>"Line "&amp;$A$78&amp;", col 1"</f>
        <v>Line 402, col 1</v>
      </c>
      <c r="H96" s="445">
        <f>E96</f>
        <v>0.27983599999999997</v>
      </c>
      <c r="I96" s="19">
        <f t="shared" ref="I96:J96" si="30">+I78</f>
        <v>0.27983599999999997</v>
      </c>
      <c r="J96" s="19">
        <f t="shared" si="30"/>
        <v>0.27983599999999997</v>
      </c>
      <c r="K96" t="str">
        <f>"Line "&amp;$A$78&amp;", col 3 and col 4"</f>
        <v>Line 402, col 3 and col 4</v>
      </c>
      <c r="L96" s="4">
        <f>A96</f>
        <v>412</v>
      </c>
      <c r="O96" s="445">
        <f>E96-'1-DRR Original'!E96</f>
        <v>0</v>
      </c>
      <c r="P96" s="445">
        <f>H96-'1-DRR Original'!H96</f>
        <v>0</v>
      </c>
      <c r="Q96" s="445">
        <f>I96-'1-DRR Original'!I96</f>
        <v>0</v>
      </c>
      <c r="R96" s="445">
        <f>J96-'1-DRR Original'!J96</f>
        <v>0</v>
      </c>
    </row>
    <row r="97" spans="1:18">
      <c r="A97" s="4">
        <f t="shared" si="29"/>
        <v>413</v>
      </c>
      <c r="C97" s="26" t="s">
        <v>272</v>
      </c>
      <c r="D97" s="26"/>
      <c r="E97" s="13">
        <f>+E87</f>
        <v>-36465335.966528296</v>
      </c>
      <c r="F97" t="str">
        <f>"Line "&amp;$A$87&amp;", col 1"</f>
        <v>Line 407, col 1</v>
      </c>
      <c r="H97" s="13">
        <f t="shared" si="27"/>
        <v>-34770095.501909114</v>
      </c>
      <c r="I97" s="13">
        <f t="shared" ref="I97:J97" si="31">+I87</f>
        <v>-17743751.020114284</v>
      </c>
      <c r="J97" s="13">
        <f t="shared" si="31"/>
        <v>-17026344.48179483</v>
      </c>
      <c r="K97" t="str">
        <f>"Line "&amp;$A$87&amp;", col 3 and col 4"</f>
        <v>Line 407, col 3 and col 4</v>
      </c>
      <c r="L97" s="4">
        <f>A97</f>
        <v>413</v>
      </c>
      <c r="O97" s="13">
        <f>E97-'1-DRR Original'!E97</f>
        <v>228867.92174880207</v>
      </c>
      <c r="P97" s="13">
        <f>H97-'1-DRR Original'!H97</f>
        <v>219380.32984428853</v>
      </c>
      <c r="Q97" s="13">
        <f>I97-'1-DRR Original'!I97</f>
        <v>176561.56160590425</v>
      </c>
      <c r="R97" s="13">
        <f>J97-'1-DRR Original'!J97</f>
        <v>42818.768238380551</v>
      </c>
    </row>
    <row r="98" spans="1:18">
      <c r="A98" s="4">
        <f t="shared" si="29"/>
        <v>414</v>
      </c>
      <c r="C98" s="26" t="s">
        <v>273</v>
      </c>
      <c r="D98" s="26"/>
      <c r="E98" s="13">
        <f>+E82</f>
        <v>15121514.847330647</v>
      </c>
      <c r="F98" t="str">
        <f>"Line "&amp;$A$82&amp;", col 1"</f>
        <v>Line 404, col 1</v>
      </c>
      <c r="H98" s="13">
        <f t="shared" si="27"/>
        <v>14418529.308432423</v>
      </c>
      <c r="I98" s="13">
        <f t="shared" ref="I98:J98" si="32">+I82</f>
        <v>7358012.4078462254</v>
      </c>
      <c r="J98" s="13">
        <f t="shared" si="32"/>
        <v>7060516.9005861972</v>
      </c>
      <c r="K98" t="str">
        <f>"Line "&amp;$A$82&amp;", col 3 and col 4"</f>
        <v>Line 404, col 3 and col 4</v>
      </c>
      <c r="L98" s="4">
        <f>A98</f>
        <v>414</v>
      </c>
      <c r="O98" s="13">
        <f>E98-'1-DRR Original'!E98</f>
        <v>-45595.394590739161</v>
      </c>
      <c r="P98" s="13">
        <f>H98-'1-DRR Original'!H98</f>
        <v>-43951.98324618116</v>
      </c>
      <c r="Q98" s="13">
        <f>I98-'1-DRR Original'!I98</f>
        <v>-49134.435404248536</v>
      </c>
      <c r="R98" s="13">
        <f>J98-'1-DRR Original'!J98</f>
        <v>5182.4521580664441</v>
      </c>
    </row>
    <row r="99" spans="1:18">
      <c r="C99" s="26"/>
      <c r="D99" s="26"/>
      <c r="E99" s="13"/>
      <c r="H99" s="13"/>
      <c r="I99" s="13"/>
      <c r="J99" s="13"/>
      <c r="L99" s="4"/>
      <c r="O99" s="13"/>
      <c r="P99" s="13"/>
      <c r="Q99" s="13"/>
      <c r="R99" s="13"/>
    </row>
    <row r="100" spans="1:18">
      <c r="L100" s="4"/>
    </row>
    <row r="101" spans="1:18">
      <c r="C101" s="41" t="s">
        <v>274</v>
      </c>
      <c r="D101" s="43"/>
      <c r="E101" s="43"/>
      <c r="F101" s="43"/>
      <c r="G101" s="43"/>
      <c r="H101" s="43"/>
      <c r="I101" s="43"/>
      <c r="J101" s="43"/>
      <c r="K101" s="43"/>
      <c r="O101" s="43"/>
      <c r="P101" s="43"/>
      <c r="Q101" s="43"/>
      <c r="R101" s="43"/>
    </row>
    <row r="102" spans="1:18" ht="29">
      <c r="A102" s="3" t="s">
        <v>90</v>
      </c>
      <c r="B102" s="3"/>
      <c r="C102" s="110" t="s">
        <v>7</v>
      </c>
      <c r="D102" s="34"/>
      <c r="E102" s="110" t="s">
        <v>130</v>
      </c>
      <c r="F102" s="110" t="s">
        <v>126</v>
      </c>
      <c r="G102" s="110" t="s">
        <v>131</v>
      </c>
      <c r="H102" s="110" t="s">
        <v>132</v>
      </c>
      <c r="I102" s="110" t="s">
        <v>133</v>
      </c>
      <c r="J102" s="110" t="s">
        <v>134</v>
      </c>
      <c r="K102" s="110" t="s">
        <v>126</v>
      </c>
      <c r="L102" s="3" t="str">
        <f>A102</f>
        <v>Line</v>
      </c>
      <c r="O102" s="110"/>
      <c r="P102" s="110"/>
      <c r="Q102" s="110"/>
      <c r="R102" s="110"/>
    </row>
    <row r="103" spans="1:18">
      <c r="C103" s="1" t="s">
        <v>275</v>
      </c>
      <c r="D103" s="1"/>
    </row>
    <row r="104" spans="1:18">
      <c r="A104" s="4">
        <v>500</v>
      </c>
      <c r="C104" t="s">
        <v>276</v>
      </c>
      <c r="E104" s="13">
        <f>'18-OandM'!L11</f>
        <v>3087054872.4997315</v>
      </c>
      <c r="F104" t="s">
        <v>277</v>
      </c>
      <c r="H104" s="13">
        <f t="shared" ref="H104:H113" si="33">I104+J104</f>
        <v>3031005632.9977508</v>
      </c>
      <c r="I104" s="13">
        <f>'18-OandM'!M11</f>
        <v>2234800109.6646914</v>
      </c>
      <c r="J104" s="13">
        <f>'18-OandM'!N11</f>
        <v>796205523.33305943</v>
      </c>
      <c r="K104" t="s">
        <v>278</v>
      </c>
      <c r="L104" s="4">
        <f t="shared" ref="L104:L113" si="34">A104</f>
        <v>500</v>
      </c>
      <c r="O104" s="13">
        <f>E104-'1-DRR Original'!E104</f>
        <v>0</v>
      </c>
      <c r="P104" s="13">
        <f>H104-'1-DRR Original'!H104</f>
        <v>-16296.044151306152</v>
      </c>
      <c r="Q104" s="13">
        <f>I104-'1-DRR Original'!I104</f>
        <v>-922040.43297529221</v>
      </c>
      <c r="R104" s="13">
        <f>J104-'1-DRR Original'!J104</f>
        <v>905744.38882398605</v>
      </c>
    </row>
    <row r="105" spans="1:18">
      <c r="A105" s="4">
        <f>A104+1</f>
        <v>501</v>
      </c>
      <c r="C105" t="s">
        <v>279</v>
      </c>
      <c r="E105" s="13">
        <f>'19-AandG'!F45</f>
        <v>786665918.98235869</v>
      </c>
      <c r="F105" t="s">
        <v>280</v>
      </c>
      <c r="H105" s="13">
        <f t="shared" si="33"/>
        <v>750094532.41348577</v>
      </c>
      <c r="I105" s="13">
        <f>E105*$I$4</f>
        <v>382785564.22035581</v>
      </c>
      <c r="J105" s="13">
        <f>E105*$J$4</f>
        <v>367308968.19313002</v>
      </c>
      <c r="K105" t="s">
        <v>281</v>
      </c>
      <c r="L105" s="4">
        <f t="shared" si="34"/>
        <v>501</v>
      </c>
      <c r="O105" s="13">
        <f>E105-'1-DRR Original'!E105</f>
        <v>-960415.2183740139</v>
      </c>
      <c r="P105" s="13">
        <f>H105-'1-DRR Original'!H105</f>
        <v>-940499.40998363495</v>
      </c>
      <c r="Q105" s="13">
        <f>I105-'1-DRR Original'!I105</f>
        <v>-1866740.7988786697</v>
      </c>
      <c r="R105" s="13">
        <f>J105-'1-DRR Original'!J105</f>
        <v>926241.38889503479</v>
      </c>
    </row>
    <row r="106" spans="1:18">
      <c r="A106" s="4">
        <f>A105+1</f>
        <v>502</v>
      </c>
      <c r="C106" t="s">
        <v>282</v>
      </c>
      <c r="E106" s="13">
        <f>'11-Depreciation Updated'!AC13</f>
        <v>1400364261.8912339</v>
      </c>
      <c r="F106" t="s">
        <v>283</v>
      </c>
      <c r="H106" s="13">
        <f t="shared" si="33"/>
        <v>1299399083.280014</v>
      </c>
      <c r="I106" s="13">
        <f>'11-Depreciation Updated'!AC14</f>
        <v>702584885.90012896</v>
      </c>
      <c r="J106" s="13">
        <f>'11-Depreciation Updated'!AC15</f>
        <v>596814197.37988496</v>
      </c>
      <c r="K106" t="s">
        <v>284</v>
      </c>
      <c r="L106" s="4">
        <f t="shared" si="34"/>
        <v>502</v>
      </c>
      <c r="O106" s="13">
        <f>E106-'1-DRR Original'!E106</f>
        <v>-6893826.6587660313</v>
      </c>
      <c r="P106" s="13">
        <f>H106-'1-DRR Original'!H106</f>
        <v>-6361413.2699861526</v>
      </c>
      <c r="Q106" s="13">
        <f>I106-'1-DRR Original'!I106</f>
        <v>-5297625.7096265554</v>
      </c>
      <c r="R106" s="13">
        <f>J106-'1-DRR Original'!J106</f>
        <v>-1063787.5603595972</v>
      </c>
    </row>
    <row r="107" spans="1:18">
      <c r="A107" s="4">
        <f t="shared" ref="A107:A113" si="35">A106+1</f>
        <v>503</v>
      </c>
      <c r="C107" t="s">
        <v>285</v>
      </c>
      <c r="E107" s="40">
        <v>187565445.87686914</v>
      </c>
      <c r="F107" t="s">
        <v>286</v>
      </c>
      <c r="H107" s="13">
        <f t="shared" si="33"/>
        <v>132048916.37292728</v>
      </c>
      <c r="I107" s="13">
        <f>'11-Depreciation Updated'!C61</f>
        <v>67386731.637491912</v>
      </c>
      <c r="J107" s="13">
        <f>'11-Depreciation Updated'!D61</f>
        <v>64662184.735435359</v>
      </c>
      <c r="K107" t="s">
        <v>287</v>
      </c>
      <c r="L107" s="4">
        <f t="shared" si="34"/>
        <v>503</v>
      </c>
      <c r="O107" s="13">
        <f>E107-'1-DRR Original'!E107</f>
        <v>0</v>
      </c>
      <c r="P107" s="13">
        <f>H107-'1-DRR Original'!H107</f>
        <v>-4348.7676095664501</v>
      </c>
      <c r="Q107" s="13">
        <f>I107-'1-DRR Original'!I107</f>
        <v>-246056.00797557831</v>
      </c>
      <c r="R107" s="13">
        <f>J107-'1-DRR Original'!J107</f>
        <v>241707.24036599696</v>
      </c>
    </row>
    <row r="108" spans="1:18">
      <c r="A108" s="4">
        <f>A107+1</f>
        <v>504</v>
      </c>
      <c r="C108" t="s">
        <v>288</v>
      </c>
      <c r="E108" s="13">
        <f>E52</f>
        <v>1301645743.5415688</v>
      </c>
      <c r="F108" t="str">
        <f>"Line "&amp;$A$52&amp;", col 1"</f>
        <v>Line 211, col 1</v>
      </c>
      <c r="H108" s="13">
        <f t="shared" si="33"/>
        <v>1204859161.1173484</v>
      </c>
      <c r="I108" s="13">
        <f t="shared" ref="I108:J108" si="36">I52</f>
        <v>628885692.82614744</v>
      </c>
      <c r="J108" s="13">
        <f t="shared" si="36"/>
        <v>575973468.291201</v>
      </c>
      <c r="K108" t="str">
        <f>"Line "&amp;$A$52&amp;", col 3 and col 4"</f>
        <v>Line 211, col 3 and col 4</v>
      </c>
      <c r="L108" s="4">
        <f t="shared" si="34"/>
        <v>504</v>
      </c>
      <c r="O108" s="13">
        <f>E108-'1-DRR Original'!E108</f>
        <v>-14755876.558137894</v>
      </c>
      <c r="P108" s="13">
        <f>H108-'1-DRR Original'!H108</f>
        <v>-13776916.998634577</v>
      </c>
      <c r="Q108" s="13">
        <f>I108-'1-DRR Original'!I108</f>
        <v>-10794081.724576473</v>
      </c>
      <c r="R108" s="13">
        <f>J108-'1-DRR Original'!J108</f>
        <v>-2982835.2740581036</v>
      </c>
    </row>
    <row r="109" spans="1:18">
      <c r="A109" s="4">
        <f t="shared" si="35"/>
        <v>505</v>
      </c>
      <c r="C109" t="s">
        <v>289</v>
      </c>
      <c r="E109" s="13">
        <f>E72</f>
        <v>283060197.76579255</v>
      </c>
      <c r="F109" t="str">
        <f>"Line "&amp;$A$72&amp;", col 1"</f>
        <v>Line 311, col 1</v>
      </c>
      <c r="H109" s="13">
        <f t="shared" si="33"/>
        <v>269900985.36703277</v>
      </c>
      <c r="I109" s="13">
        <f>I72</f>
        <v>137734907.40550846</v>
      </c>
      <c r="J109" s="13">
        <f>J72</f>
        <v>132166077.96152432</v>
      </c>
      <c r="K109" t="str">
        <f>"Line "&amp;$A$72&amp;", col 3 and col 4"</f>
        <v>Line 311, col 3 and col 4</v>
      </c>
      <c r="L109" s="4">
        <f t="shared" si="34"/>
        <v>505</v>
      </c>
      <c r="O109" s="13">
        <f>E109-'1-DRR Original'!E109</f>
        <v>-1560346.9183918238</v>
      </c>
      <c r="P109" s="13">
        <f>H109-'1-DRR Original'!H109</f>
        <v>-1496745.4508669972</v>
      </c>
      <c r="Q109" s="13">
        <f>I109-'1-DRR Original'!I109</f>
        <v>-1264950.5407086015</v>
      </c>
      <c r="R109" s="13">
        <f>J109-'1-DRR Original'!J109</f>
        <v>-231794.91015836596</v>
      </c>
    </row>
    <row r="110" spans="1:18">
      <c r="A110" s="4">
        <f t="shared" si="35"/>
        <v>506</v>
      </c>
      <c r="C110" t="s">
        <v>290</v>
      </c>
      <c r="E110" s="13">
        <f>E89</f>
        <v>331978729.54255664</v>
      </c>
      <c r="F110" t="str">
        <f>"Line "&amp;$A$89&amp;", col 1"</f>
        <v>Line 408, col 1</v>
      </c>
      <c r="H110" s="13">
        <f t="shared" si="33"/>
        <v>306046416.89768028</v>
      </c>
      <c r="I110" s="13">
        <f t="shared" ref="I110:J110" si="37">I89</f>
        <v>160240162.80174577</v>
      </c>
      <c r="J110" s="13">
        <f t="shared" si="37"/>
        <v>145806254.09593454</v>
      </c>
      <c r="K110" t="str">
        <f>"Line "&amp;$A$89&amp;", col 3 and col 4"</f>
        <v>Line 408, col 3 and col 4</v>
      </c>
      <c r="L110" s="4">
        <f t="shared" si="34"/>
        <v>506</v>
      </c>
      <c r="O110" s="13">
        <f>E110-'1-DRR Original'!E110</f>
        <v>-3970737.5249024034</v>
      </c>
      <c r="P110" s="13">
        <f>H110-'1-DRR Original'!H110</f>
        <v>-3699931.1086491346</v>
      </c>
      <c r="Q110" s="13">
        <f>I110-'1-DRR Original'!I110</f>
        <v>-2898074.4097463191</v>
      </c>
      <c r="R110" s="13">
        <f>J110-'1-DRR Original'!J110</f>
        <v>-801856.69890278578</v>
      </c>
    </row>
    <row r="111" spans="1:18">
      <c r="A111" s="4">
        <f t="shared" si="35"/>
        <v>507</v>
      </c>
      <c r="C111" t="s">
        <v>55</v>
      </c>
      <c r="E111" s="13">
        <f>-'20-RevenueCredits'!F10</f>
        <v>-245369132.92999998</v>
      </c>
      <c r="F111" t="s">
        <v>291</v>
      </c>
      <c r="G111" t="s">
        <v>292</v>
      </c>
      <c r="H111" s="13">
        <f t="shared" si="33"/>
        <v>-233962144.0215947</v>
      </c>
      <c r="I111" s="13">
        <f>E111*$I$4</f>
        <v>-119394726.17851619</v>
      </c>
      <c r="J111" s="13">
        <f>E111*$J$4</f>
        <v>-114567417.84307852</v>
      </c>
      <c r="K111" t="s">
        <v>293</v>
      </c>
      <c r="L111" s="4">
        <f t="shared" si="34"/>
        <v>507</v>
      </c>
      <c r="O111" s="13">
        <f>E111-'1-DRR Original'!E111</f>
        <v>0</v>
      </c>
      <c r="P111" s="13">
        <f>H111-'1-DRR Original'!H111</f>
        <v>7705.0764348506927</v>
      </c>
      <c r="Q111" s="13">
        <f>I111-'1-DRR Original'!I111</f>
        <v>435958.07339139283</v>
      </c>
      <c r="R111" s="13">
        <f>J111-'1-DRR Original'!J111</f>
        <v>-428252.99695654213</v>
      </c>
    </row>
    <row r="112" spans="1:18">
      <c r="A112" s="4">
        <f>A111+1</f>
        <v>508</v>
      </c>
      <c r="C112" t="s">
        <v>294</v>
      </c>
      <c r="E112" s="14">
        <f>'17-RegAssets-1'!E27</f>
        <v>0</v>
      </c>
      <c r="F112" t="s">
        <v>295</v>
      </c>
      <c r="H112" s="14">
        <f t="shared" si="33"/>
        <v>0</v>
      </c>
      <c r="I112" s="14">
        <f>E112*$I$4</f>
        <v>0</v>
      </c>
      <c r="J112" s="14">
        <f>E112*$J$4</f>
        <v>0</v>
      </c>
      <c r="K112" t="s">
        <v>296</v>
      </c>
      <c r="L112" s="4">
        <f t="shared" si="34"/>
        <v>508</v>
      </c>
      <c r="O112" s="14">
        <f>E112-'1-DRR Original'!E112</f>
        <v>0</v>
      </c>
      <c r="P112" s="14">
        <f>H112-'1-DRR Original'!H112</f>
        <v>0</v>
      </c>
      <c r="Q112" s="14">
        <f>I112-'1-DRR Original'!I112</f>
        <v>0</v>
      </c>
      <c r="R112" s="14">
        <f>J112-'1-DRR Original'!J112</f>
        <v>0</v>
      </c>
    </row>
    <row r="113" spans="1:18">
      <c r="A113" s="4">
        <f t="shared" si="35"/>
        <v>509</v>
      </c>
      <c r="C113" s="2" t="s">
        <v>297</v>
      </c>
      <c r="D113" s="2"/>
      <c r="E113" s="15">
        <f>SUM(E104:E112)</f>
        <v>7132966037.1701107</v>
      </c>
      <c r="F113" t="str">
        <f>"Sum of Lines "&amp;$A$104&amp;" to Line "&amp;$A$112&amp;""</f>
        <v>Sum of Lines 500 to Line 508</v>
      </c>
      <c r="H113" s="15">
        <f t="shared" si="33"/>
        <v>6759392584.4246445</v>
      </c>
      <c r="I113" s="15">
        <f>SUM(I104:I112)</f>
        <v>4195023328.2775536</v>
      </c>
      <c r="J113" s="15">
        <f>SUM(J104:J112)</f>
        <v>2564369256.1470909</v>
      </c>
      <c r="K113" t="str">
        <f>"Sum of Lines "&amp;$A$104&amp;" to Line "&amp;$A$112&amp;""</f>
        <v>Sum of Lines 500 to Line 508</v>
      </c>
      <c r="L113" s="4">
        <f t="shared" si="34"/>
        <v>509</v>
      </c>
      <c r="O113" s="15">
        <f>E113-'1-DRR Original'!E113</f>
        <v>-28141202.878572464</v>
      </c>
      <c r="P113" s="15">
        <f>H113-'1-DRR Original'!H113</f>
        <v>-26288445.9734478</v>
      </c>
      <c r="Q113" s="15">
        <f>I113-'1-DRR Original'!I113</f>
        <v>-22853611.551096916</v>
      </c>
      <c r="R113" s="15">
        <f>J113-'1-DRR Original'!J113</f>
        <v>-3434834.4223508835</v>
      </c>
    </row>
    <row r="114" spans="1:18">
      <c r="L114" s="4"/>
    </row>
    <row r="115" spans="1:18">
      <c r="C115" s="1" t="s">
        <v>298</v>
      </c>
      <c r="D115" s="1"/>
      <c r="L115" s="4"/>
    </row>
    <row r="116" spans="1:18">
      <c r="A116" s="4">
        <f>+A113+1</f>
        <v>510</v>
      </c>
      <c r="C116" t="s">
        <v>299</v>
      </c>
      <c r="E116" s="10">
        <f>'25-RevenueFeeFactors'!$E$16</f>
        <v>7.4569999999999992E-3</v>
      </c>
      <c r="F116" t="s">
        <v>300</v>
      </c>
      <c r="H116" s="10">
        <f>E116</f>
        <v>7.4569999999999992E-3</v>
      </c>
      <c r="I116" s="10">
        <f>'25-RevenueFeeFactors'!$E$16</f>
        <v>7.4569999999999992E-3</v>
      </c>
      <c r="J116" s="10">
        <f>'25-RevenueFeeFactors'!$E$16</f>
        <v>7.4569999999999992E-3</v>
      </c>
      <c r="K116" t="s">
        <v>301</v>
      </c>
      <c r="L116" s="4">
        <f>A116</f>
        <v>510</v>
      </c>
      <c r="O116" s="10">
        <f>E116-'1-DRR Original'!E116</f>
        <v>0</v>
      </c>
      <c r="P116" s="10">
        <f>H116-'1-DRR Original'!H116</f>
        <v>0</v>
      </c>
      <c r="Q116" s="10">
        <f>I116-'1-DRR Original'!I116</f>
        <v>0</v>
      </c>
      <c r="R116" s="10">
        <f>J116-'1-DRR Original'!J116</f>
        <v>0</v>
      </c>
    </row>
    <row r="117" spans="1:18">
      <c r="A117" s="4">
        <f>A116+1</f>
        <v>511</v>
      </c>
      <c r="C117" t="s">
        <v>302</v>
      </c>
      <c r="D117" s="2"/>
      <c r="E117" s="31">
        <f>'25-RevenueFeeFactors'!$E$17</f>
        <v>2.7300000000000002E-4</v>
      </c>
      <c r="F117" t="s">
        <v>303</v>
      </c>
      <c r="H117" s="31">
        <f>E117</f>
        <v>2.7300000000000002E-4</v>
      </c>
      <c r="I117" s="31">
        <f>'25-RevenueFeeFactors'!$E$17</f>
        <v>2.7300000000000002E-4</v>
      </c>
      <c r="J117" s="31">
        <f>'25-RevenueFeeFactors'!$E$17</f>
        <v>2.7300000000000002E-4</v>
      </c>
      <c r="K117" t="s">
        <v>304</v>
      </c>
      <c r="L117" s="4">
        <f>A117</f>
        <v>511</v>
      </c>
      <c r="O117" s="31">
        <f>E117-'1-DRR Original'!E117</f>
        <v>0</v>
      </c>
      <c r="P117" s="31">
        <f>H117-'1-DRR Original'!H117</f>
        <v>0</v>
      </c>
      <c r="Q117" s="31">
        <f>I117-'1-DRR Original'!I117</f>
        <v>0</v>
      </c>
      <c r="R117" s="31">
        <f>J117-'1-DRR Original'!J117</f>
        <v>0</v>
      </c>
    </row>
    <row r="118" spans="1:18">
      <c r="A118" s="4">
        <f>A117+1</f>
        <v>512</v>
      </c>
      <c r="C118" s="2" t="s">
        <v>305</v>
      </c>
      <c r="D118" s="2"/>
      <c r="E118" s="15">
        <f>(E116+E117)*E113</f>
        <v>55137827.46732495</v>
      </c>
      <c r="F118" s="8" t="str">
        <f>"Line "&amp;$A$113&amp;" * (Line "&amp;$A$116&amp;" + Line "&amp;$A$117&amp;")"</f>
        <v>Line 509 * (Line 510 + Line 511)</v>
      </c>
      <c r="H118" s="15">
        <f>I118+J118</f>
        <v>52250104.6776025</v>
      </c>
      <c r="I118" s="15">
        <f t="shared" ref="I118:J118" si="38">(I116+I117)*I113</f>
        <v>32427530.327585485</v>
      </c>
      <c r="J118" s="15">
        <f t="shared" si="38"/>
        <v>19822574.350017011</v>
      </c>
      <c r="K118" s="8" t="str">
        <f>"Line "&amp;$A$113&amp;" * (Line "&amp;$A$116&amp;" + Line "&amp;$A$117&amp;")"</f>
        <v>Line 509 * (Line 510 + Line 511)</v>
      </c>
      <c r="L118" s="4">
        <f>A118</f>
        <v>512</v>
      </c>
      <c r="O118" s="15">
        <f>E118-'1-DRR Original'!E118</f>
        <v>-217531.49825136364</v>
      </c>
      <c r="P118" s="15">
        <f>H118-'1-DRR Original'!H118</f>
        <v>-203209.68737474829</v>
      </c>
      <c r="Q118" s="15">
        <f>I118-'1-DRR Original'!I118</f>
        <v>-176658.41728997976</v>
      </c>
      <c r="R118" s="15">
        <f>J118-'1-DRR Original'!J118</f>
        <v>-26551.270084772259</v>
      </c>
    </row>
    <row r="119" spans="1:18">
      <c r="C119" s="2"/>
      <c r="D119" s="2"/>
      <c r="E119" s="15"/>
      <c r="F119" s="8"/>
      <c r="H119" s="15"/>
      <c r="I119" s="15"/>
      <c r="J119" s="15"/>
      <c r="L119" s="4"/>
      <c r="O119" s="15"/>
      <c r="P119" s="15"/>
      <c r="Q119" s="15"/>
      <c r="R119" s="15"/>
    </row>
    <row r="120" spans="1:18">
      <c r="A120" s="4">
        <f>A118+1</f>
        <v>513</v>
      </c>
      <c r="C120" s="2" t="s">
        <v>9</v>
      </c>
      <c r="D120" s="2"/>
      <c r="E120" s="15">
        <f>E118+E113</f>
        <v>7188103864.6374359</v>
      </c>
      <c r="F120" t="str">
        <f>"Line "&amp;$A$113&amp;" + Line "&amp;$A$118&amp;""</f>
        <v>Line 509 + Line 512</v>
      </c>
      <c r="G120" s="474"/>
      <c r="H120" s="15">
        <f t="shared" ref="H120:J120" si="39">H118+H113</f>
        <v>6811642689.1022472</v>
      </c>
      <c r="I120" s="15">
        <f t="shared" si="39"/>
        <v>4227450858.6051393</v>
      </c>
      <c r="J120" s="15">
        <f t="shared" si="39"/>
        <v>2584191830.497108</v>
      </c>
      <c r="K120" t="str">
        <f>"Line "&amp;$A$113&amp;" + Line "&amp;$A$118&amp;""</f>
        <v>Line 509 + Line 512</v>
      </c>
      <c r="L120" s="4">
        <f>A120</f>
        <v>513</v>
      </c>
      <c r="O120" s="15">
        <f>E120-'1-DRR Original'!E120</f>
        <v>-28358734.376823425</v>
      </c>
      <c r="P120" s="15">
        <f>H120-'1-DRR Original'!H120</f>
        <v>-26491655.660821915</v>
      </c>
      <c r="Q120" s="15">
        <f>I120-'1-DRR Original'!I120</f>
        <v>-23030269.96838665</v>
      </c>
      <c r="R120" s="15">
        <f>J120-'1-DRR Original'!J120</f>
        <v>-3461385.6924357414</v>
      </c>
    </row>
    <row r="121" spans="1:18">
      <c r="E121" s="32"/>
      <c r="F121" s="32"/>
      <c r="I121" s="32"/>
      <c r="J121" s="32"/>
    </row>
    <row r="123" spans="1:18">
      <c r="E123" s="24"/>
    </row>
    <row r="124" spans="1:18">
      <c r="I124" s="12"/>
      <c r="J124" s="12"/>
    </row>
    <row r="125" spans="1:18">
      <c r="I125" s="19"/>
      <c r="J125" s="12"/>
    </row>
  </sheetData>
  <protectedRanges>
    <protectedRange password="F1C4" sqref="F85" name="AAReport1_23_1_1_2_1"/>
  </protectedRanges>
  <phoneticPr fontId="104" type="noConversion"/>
  <printOptions horizontalCentered="1"/>
  <pageMargins left="1" right="1" top="1" bottom="1" header="0.5" footer="0.5"/>
  <pageSetup scale="24" orientation="landscape" r:id="rId1"/>
  <headerFooter>
    <oddHeader>&amp;RDocket No. ER20-2878-000, et al.- Annual Update RY2024
&amp;F</oddHeader>
  </headerFooter>
  <rowBreaks count="2" manualBreakCount="2">
    <brk id="53" max="17" man="1"/>
    <brk id="100" max="17" man="1"/>
  </rowBreaks>
  <customProperties>
    <customPr name="_pios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pageSetUpPr fitToPage="1"/>
  </sheetPr>
  <dimension ref="A1:AA79"/>
  <sheetViews>
    <sheetView view="pageBreakPreview" zoomScale="25" zoomScaleNormal="100" zoomScaleSheetLayoutView="25" zoomScalePageLayoutView="55" workbookViewId="0">
      <selection activeCell="W98" sqref="W98"/>
    </sheetView>
  </sheetViews>
  <sheetFormatPr defaultColWidth="9.1796875" defaultRowHeight="14.5"/>
  <cols>
    <col min="1" max="1" width="8.54296875" style="52" bestFit="1" customWidth="1"/>
    <col min="2" max="2" width="2.7265625" style="52" customWidth="1"/>
    <col min="3" max="3" width="6.7265625" style="52" customWidth="1"/>
    <col min="4" max="4" width="61.7265625" style="52" customWidth="1"/>
    <col min="5" max="5" width="22.1796875" style="52" customWidth="1"/>
    <col min="6" max="7" width="20.7265625" style="52" customWidth="1"/>
    <col min="8" max="8" width="21.54296875" style="52" customWidth="1"/>
    <col min="9" max="9" width="25.54296875" style="57" bestFit="1" customWidth="1"/>
    <col min="10" max="10" width="21.7265625" style="52" bestFit="1" customWidth="1"/>
    <col min="11" max="11" width="24.453125" style="52" bestFit="1" customWidth="1"/>
    <col min="12" max="12" width="32" style="52" bestFit="1" customWidth="1"/>
    <col min="13" max="13" width="11" style="52" bestFit="1" customWidth="1"/>
    <col min="15" max="15" width="10.7265625" style="52" bestFit="1" customWidth="1"/>
    <col min="16" max="16384" width="9.1796875" style="52"/>
  </cols>
  <sheetData>
    <row r="1" spans="1:27">
      <c r="A1" s="54"/>
      <c r="B1" s="54" t="s">
        <v>53</v>
      </c>
      <c r="L1" s="6" t="str">
        <f>CONCATENATE("Prior Year: ",'1-DRR Corrected'!$K$2)</f>
        <v>Prior Year: 2021</v>
      </c>
    </row>
    <row r="2" spans="1:27">
      <c r="A2" s="54"/>
      <c r="B2" s="232" t="s">
        <v>1607</v>
      </c>
      <c r="C2" s="55"/>
      <c r="D2" s="55"/>
      <c r="K2" s="293"/>
      <c r="L2" s="112"/>
    </row>
    <row r="3" spans="1:27">
      <c r="A3" s="54"/>
      <c r="K3" s="112"/>
      <c r="L3" s="112"/>
    </row>
    <row r="4" spans="1:27">
      <c r="A4" s="59" t="s">
        <v>1121</v>
      </c>
      <c r="K4" s="112"/>
      <c r="L4" s="112"/>
      <c r="M4" s="59" t="s">
        <v>1121</v>
      </c>
    </row>
    <row r="5" spans="1:27" ht="29.25" customHeight="1">
      <c r="A5" s="293">
        <v>100</v>
      </c>
      <c r="C5" s="54" t="s">
        <v>1608</v>
      </c>
      <c r="E5" s="56" t="s">
        <v>122</v>
      </c>
      <c r="F5" s="56" t="s">
        <v>123</v>
      </c>
      <c r="G5" s="56" t="s">
        <v>124</v>
      </c>
      <c r="H5" s="56" t="s">
        <v>125</v>
      </c>
      <c r="I5" s="281" t="s">
        <v>1609</v>
      </c>
      <c r="J5" s="58" t="s">
        <v>491</v>
      </c>
      <c r="K5" s="58" t="s">
        <v>1610</v>
      </c>
      <c r="L5" s="58"/>
      <c r="M5" s="293">
        <f t="shared" ref="M5:M23" si="0">A5</f>
        <v>100</v>
      </c>
    </row>
    <row r="6" spans="1:27">
      <c r="A6" s="293">
        <f t="shared" ref="A6:A23" si="1">A5+1</f>
        <v>101</v>
      </c>
      <c r="J6" s="212" t="s">
        <v>1257</v>
      </c>
      <c r="M6" s="293">
        <f t="shared" si="0"/>
        <v>101</v>
      </c>
    </row>
    <row r="7" spans="1:27">
      <c r="A7" s="293">
        <f t="shared" si="1"/>
        <v>102</v>
      </c>
      <c r="E7" s="293" t="s">
        <v>682</v>
      </c>
      <c r="F7" s="293" t="s">
        <v>1611</v>
      </c>
      <c r="G7" s="293" t="s">
        <v>1612</v>
      </c>
      <c r="H7" s="293" t="s">
        <v>1611</v>
      </c>
      <c r="I7" s="293" t="s">
        <v>1613</v>
      </c>
      <c r="J7" s="293" t="s">
        <v>1613</v>
      </c>
      <c r="K7" s="293" t="s">
        <v>1614</v>
      </c>
      <c r="L7" s="293"/>
      <c r="M7" s="293">
        <f t="shared" si="0"/>
        <v>102</v>
      </c>
    </row>
    <row r="8" spans="1:27">
      <c r="A8" s="293">
        <f t="shared" si="1"/>
        <v>103</v>
      </c>
      <c r="B8" s="58"/>
      <c r="C8" s="58" t="s">
        <v>1615</v>
      </c>
      <c r="D8" s="58" t="s">
        <v>7</v>
      </c>
      <c r="E8" s="58" t="s">
        <v>630</v>
      </c>
      <c r="F8" s="58" t="s">
        <v>126</v>
      </c>
      <c r="G8" s="58" t="s">
        <v>630</v>
      </c>
      <c r="H8" s="58" t="s">
        <v>126</v>
      </c>
      <c r="I8" s="58" t="s">
        <v>630</v>
      </c>
      <c r="J8" s="58" t="s">
        <v>1616</v>
      </c>
      <c r="K8" s="58" t="s">
        <v>279</v>
      </c>
      <c r="L8" s="58" t="s">
        <v>631</v>
      </c>
      <c r="M8" s="293">
        <f t="shared" si="0"/>
        <v>103</v>
      </c>
      <c r="O8" s="58"/>
      <c r="P8" s="58"/>
      <c r="Q8" s="58"/>
      <c r="R8" s="58"/>
      <c r="S8" s="58"/>
      <c r="T8" s="58"/>
      <c r="U8" s="58"/>
      <c r="V8" s="58"/>
      <c r="W8" s="58"/>
      <c r="X8" s="58"/>
      <c r="Y8" s="58"/>
      <c r="Z8" s="58"/>
      <c r="AA8" s="58"/>
    </row>
    <row r="9" spans="1:27">
      <c r="A9" s="293">
        <f t="shared" si="1"/>
        <v>104</v>
      </c>
      <c r="C9" s="112">
        <v>920</v>
      </c>
      <c r="D9" s="52" t="s">
        <v>1617</v>
      </c>
      <c r="E9" s="262">
        <v>404709415</v>
      </c>
      <c r="F9" s="112" t="s">
        <v>1618</v>
      </c>
      <c r="G9" s="262">
        <v>191940723</v>
      </c>
      <c r="H9" s="112" t="s">
        <v>1619</v>
      </c>
      <c r="I9" s="258">
        <f t="shared" ref="I9:I22" si="2">E9+G9</f>
        <v>596650138</v>
      </c>
      <c r="J9" s="262">
        <v>88724339.745557114</v>
      </c>
      <c r="K9" s="258">
        <f t="shared" ref="K9:K22" si="3">I9-J9</f>
        <v>507925798.25444287</v>
      </c>
      <c r="L9" s="52" t="s">
        <v>1620</v>
      </c>
      <c r="M9" s="293">
        <f t="shared" si="0"/>
        <v>104</v>
      </c>
    </row>
    <row r="10" spans="1:27">
      <c r="A10" s="293">
        <f t="shared" si="1"/>
        <v>105</v>
      </c>
      <c r="C10" s="112">
        <v>921</v>
      </c>
      <c r="D10" s="52" t="s">
        <v>1621</v>
      </c>
      <c r="E10" s="262">
        <v>60800833</v>
      </c>
      <c r="F10" s="112" t="s">
        <v>1622</v>
      </c>
      <c r="G10" s="262">
        <v>28827748</v>
      </c>
      <c r="H10" s="112" t="s">
        <v>1623</v>
      </c>
      <c r="I10" s="258">
        <f t="shared" si="2"/>
        <v>89628581</v>
      </c>
      <c r="J10" s="262">
        <v>1167411.2599999998</v>
      </c>
      <c r="K10" s="258">
        <f t="shared" si="3"/>
        <v>88461169.739999995</v>
      </c>
      <c r="L10" s="52" t="s">
        <v>1624</v>
      </c>
      <c r="M10" s="293">
        <f t="shared" si="0"/>
        <v>105</v>
      </c>
    </row>
    <row r="11" spans="1:27">
      <c r="A11" s="293">
        <f t="shared" si="1"/>
        <v>106</v>
      </c>
      <c r="C11" s="112">
        <v>922</v>
      </c>
      <c r="D11" s="52" t="s">
        <v>1625</v>
      </c>
      <c r="E11" s="262">
        <v>-148789230</v>
      </c>
      <c r="F11" s="112" t="s">
        <v>1626</v>
      </c>
      <c r="G11" s="262">
        <v>-70566851</v>
      </c>
      <c r="H11" s="112" t="s">
        <v>1627</v>
      </c>
      <c r="I11" s="258">
        <f t="shared" si="2"/>
        <v>-219356081</v>
      </c>
      <c r="J11" s="262">
        <v>-58771034.269819304</v>
      </c>
      <c r="K11" s="258">
        <f t="shared" si="3"/>
        <v>-160585046.73018068</v>
      </c>
      <c r="L11" s="52" t="s">
        <v>1628</v>
      </c>
      <c r="M11" s="293">
        <f t="shared" si="0"/>
        <v>106</v>
      </c>
    </row>
    <row r="12" spans="1:27">
      <c r="A12" s="293">
        <f t="shared" si="1"/>
        <v>107</v>
      </c>
      <c r="B12" s="293"/>
      <c r="C12" s="112">
        <v>923</v>
      </c>
      <c r="D12" s="52" t="s">
        <v>1629</v>
      </c>
      <c r="E12" s="262">
        <v>346863593</v>
      </c>
      <c r="F12" s="112" t="s">
        <v>1630</v>
      </c>
      <c r="G12" s="262">
        <v>162200263</v>
      </c>
      <c r="H12" s="112" t="s">
        <v>1631</v>
      </c>
      <c r="I12" s="258">
        <f t="shared" si="2"/>
        <v>509063856</v>
      </c>
      <c r="J12" s="262">
        <v>81779195.049294576</v>
      </c>
      <c r="K12" s="258">
        <f t="shared" si="3"/>
        <v>427284660.95070541</v>
      </c>
      <c r="L12" s="52" t="s">
        <v>1632</v>
      </c>
      <c r="M12" s="293">
        <f t="shared" si="0"/>
        <v>107</v>
      </c>
    </row>
    <row r="13" spans="1:27">
      <c r="A13" s="293">
        <f t="shared" si="1"/>
        <v>108</v>
      </c>
      <c r="B13" s="293"/>
      <c r="C13" s="112">
        <v>924</v>
      </c>
      <c r="D13" s="52" t="s">
        <v>1133</v>
      </c>
      <c r="E13" s="262">
        <v>16065669</v>
      </c>
      <c r="F13" s="112" t="s">
        <v>1633</v>
      </c>
      <c r="G13" s="262">
        <v>7140661</v>
      </c>
      <c r="H13" s="112" t="s">
        <v>1634</v>
      </c>
      <c r="I13" s="258">
        <f t="shared" si="2"/>
        <v>23206330</v>
      </c>
      <c r="J13" s="262">
        <v>-4956686.1300000008</v>
      </c>
      <c r="K13" s="258">
        <f t="shared" si="3"/>
        <v>28163016.130000003</v>
      </c>
      <c r="L13" s="52" t="s">
        <v>1635</v>
      </c>
      <c r="M13" s="293">
        <f t="shared" si="0"/>
        <v>108</v>
      </c>
    </row>
    <row r="14" spans="1:27">
      <c r="A14" s="293">
        <f t="shared" si="1"/>
        <v>109</v>
      </c>
      <c r="B14" s="293"/>
      <c r="C14" s="112">
        <v>925</v>
      </c>
      <c r="D14" s="52" t="s">
        <v>1190</v>
      </c>
      <c r="E14" s="262">
        <v>1781245931</v>
      </c>
      <c r="F14" s="112" t="s">
        <v>1636</v>
      </c>
      <c r="G14" s="262">
        <v>417756470</v>
      </c>
      <c r="H14" s="112" t="s">
        <v>1637</v>
      </c>
      <c r="I14" s="258">
        <f t="shared" si="2"/>
        <v>2199002401</v>
      </c>
      <c r="J14" s="262">
        <v>1160879401.871917</v>
      </c>
      <c r="K14" s="258">
        <f t="shared" si="3"/>
        <v>1038122999.128083</v>
      </c>
      <c r="L14" s="52" t="s">
        <v>1638</v>
      </c>
      <c r="M14" s="293">
        <f t="shared" si="0"/>
        <v>109</v>
      </c>
    </row>
    <row r="15" spans="1:27">
      <c r="A15" s="293">
        <f t="shared" si="1"/>
        <v>110</v>
      </c>
      <c r="B15" s="293"/>
      <c r="C15" s="112">
        <v>926</v>
      </c>
      <c r="D15" s="52" t="s">
        <v>1639</v>
      </c>
      <c r="E15" s="262">
        <v>390655154</v>
      </c>
      <c r="F15" s="112" t="s">
        <v>1640</v>
      </c>
      <c r="G15" s="262">
        <v>183552769</v>
      </c>
      <c r="H15" s="112" t="s">
        <v>1641</v>
      </c>
      <c r="I15" s="258">
        <f t="shared" si="2"/>
        <v>574207923</v>
      </c>
      <c r="J15" s="262">
        <v>102720737.95948529</v>
      </c>
      <c r="K15" s="258">
        <f t="shared" si="3"/>
        <v>471487185.04051471</v>
      </c>
      <c r="L15" s="52" t="s">
        <v>1642</v>
      </c>
      <c r="M15" s="293">
        <f t="shared" si="0"/>
        <v>110</v>
      </c>
    </row>
    <row r="16" spans="1:27">
      <c r="A16" s="293">
        <f t="shared" si="1"/>
        <v>111</v>
      </c>
      <c r="B16" s="293"/>
      <c r="C16" s="112">
        <v>927</v>
      </c>
      <c r="D16" s="52" t="s">
        <v>1643</v>
      </c>
      <c r="E16" s="262">
        <v>101328358</v>
      </c>
      <c r="F16" s="112" t="s">
        <v>1644</v>
      </c>
      <c r="G16" s="262">
        <v>47245173</v>
      </c>
      <c r="H16" s="112" t="s">
        <v>1645</v>
      </c>
      <c r="I16" s="258">
        <f t="shared" si="2"/>
        <v>148573531</v>
      </c>
      <c r="J16" s="262">
        <v>148573531</v>
      </c>
      <c r="K16" s="258">
        <f t="shared" si="3"/>
        <v>0</v>
      </c>
      <c r="L16" s="52" t="s">
        <v>1646</v>
      </c>
      <c r="M16" s="293">
        <f t="shared" si="0"/>
        <v>111</v>
      </c>
    </row>
    <row r="17" spans="1:13">
      <c r="A17" s="293">
        <f t="shared" si="1"/>
        <v>112</v>
      </c>
      <c r="B17" s="293"/>
      <c r="C17" s="112">
        <v>928</v>
      </c>
      <c r="D17" s="52" t="s">
        <v>1647</v>
      </c>
      <c r="E17" s="262">
        <v>0</v>
      </c>
      <c r="F17" s="112" t="s">
        <v>1648</v>
      </c>
      <c r="G17" s="262">
        <v>0</v>
      </c>
      <c r="H17" s="112" t="s">
        <v>1649</v>
      </c>
      <c r="I17" s="258">
        <f t="shared" si="2"/>
        <v>0</v>
      </c>
      <c r="J17" s="262">
        <v>0</v>
      </c>
      <c r="K17" s="258">
        <f t="shared" si="3"/>
        <v>0</v>
      </c>
      <c r="L17" s="292" t="s">
        <v>1258</v>
      </c>
      <c r="M17" s="293">
        <f t="shared" si="0"/>
        <v>112</v>
      </c>
    </row>
    <row r="18" spans="1:13">
      <c r="A18" s="293">
        <f t="shared" si="1"/>
        <v>113</v>
      </c>
      <c r="B18" s="293"/>
      <c r="C18" s="112">
        <v>929</v>
      </c>
      <c r="D18" s="52" t="s">
        <v>1650</v>
      </c>
      <c r="E18" s="262">
        <v>0</v>
      </c>
      <c r="F18" s="112" t="s">
        <v>1651</v>
      </c>
      <c r="G18" s="262">
        <v>0</v>
      </c>
      <c r="H18" s="112" t="s">
        <v>1652</v>
      </c>
      <c r="I18" s="258">
        <f t="shared" si="2"/>
        <v>0</v>
      </c>
      <c r="J18" s="262">
        <v>0</v>
      </c>
      <c r="K18" s="258">
        <f t="shared" si="3"/>
        <v>0</v>
      </c>
      <c r="L18" s="292" t="s">
        <v>1258</v>
      </c>
      <c r="M18" s="293">
        <f t="shared" si="0"/>
        <v>113</v>
      </c>
    </row>
    <row r="19" spans="1:13">
      <c r="A19" s="293">
        <f t="shared" si="1"/>
        <v>114</v>
      </c>
      <c r="B19" s="293"/>
      <c r="C19" s="112">
        <v>930.1</v>
      </c>
      <c r="D19" s="52" t="s">
        <v>1653</v>
      </c>
      <c r="E19" s="262">
        <v>579767</v>
      </c>
      <c r="F19" s="112" t="s">
        <v>1654</v>
      </c>
      <c r="G19" s="262">
        <v>274968</v>
      </c>
      <c r="H19" s="112" t="s">
        <v>1655</v>
      </c>
      <c r="I19" s="258">
        <f t="shared" si="2"/>
        <v>854735</v>
      </c>
      <c r="J19" s="262">
        <v>0</v>
      </c>
      <c r="K19" s="258">
        <f t="shared" si="3"/>
        <v>854735</v>
      </c>
      <c r="L19" s="52" t="s">
        <v>1656</v>
      </c>
      <c r="M19" s="293">
        <f t="shared" si="0"/>
        <v>114</v>
      </c>
    </row>
    <row r="20" spans="1:13">
      <c r="A20" s="293">
        <f t="shared" si="1"/>
        <v>115</v>
      </c>
      <c r="B20" s="293"/>
      <c r="C20" s="112">
        <v>930.2</v>
      </c>
      <c r="D20" s="52" t="s">
        <v>1657</v>
      </c>
      <c r="E20" s="262">
        <v>16158682</v>
      </c>
      <c r="F20" s="112" t="s">
        <v>1658</v>
      </c>
      <c r="G20" s="262">
        <v>5699727</v>
      </c>
      <c r="H20" s="112" t="s">
        <v>1659</v>
      </c>
      <c r="I20" s="258">
        <f t="shared" si="2"/>
        <v>21858409</v>
      </c>
      <c r="J20" s="262">
        <v>14569695.440001793</v>
      </c>
      <c r="K20" s="258">
        <f t="shared" si="3"/>
        <v>7288713.5599982068</v>
      </c>
      <c r="L20" s="52" t="s">
        <v>1656</v>
      </c>
      <c r="M20" s="293">
        <f t="shared" si="0"/>
        <v>115</v>
      </c>
    </row>
    <row r="21" spans="1:13">
      <c r="A21" s="293">
        <f t="shared" si="1"/>
        <v>116</v>
      </c>
      <c r="B21" s="293"/>
      <c r="C21" s="112">
        <v>931</v>
      </c>
      <c r="D21" s="52" t="s">
        <v>1590</v>
      </c>
      <c r="E21" s="262">
        <v>0</v>
      </c>
      <c r="F21" s="112" t="s">
        <v>1660</v>
      </c>
      <c r="G21" s="262">
        <v>0</v>
      </c>
      <c r="H21" s="112" t="s">
        <v>1661</v>
      </c>
      <c r="I21" s="258">
        <f t="shared" si="2"/>
        <v>0</v>
      </c>
      <c r="J21" s="262">
        <v>0</v>
      </c>
      <c r="K21" s="258">
        <f t="shared" si="3"/>
        <v>0</v>
      </c>
      <c r="L21" s="292" t="s">
        <v>1258</v>
      </c>
      <c r="M21" s="293">
        <f t="shared" si="0"/>
        <v>116</v>
      </c>
    </row>
    <row r="22" spans="1:13">
      <c r="A22" s="293">
        <f t="shared" si="1"/>
        <v>117</v>
      </c>
      <c r="B22" s="293"/>
      <c r="C22" s="112">
        <v>935</v>
      </c>
      <c r="D22" s="52" t="s">
        <v>1662</v>
      </c>
      <c r="E22" s="263">
        <v>3004766</v>
      </c>
      <c r="F22" s="112" t="s">
        <v>1663</v>
      </c>
      <c r="G22" s="263">
        <v>1425082</v>
      </c>
      <c r="H22" s="112" t="s">
        <v>1664</v>
      </c>
      <c r="I22" s="260">
        <f t="shared" si="2"/>
        <v>4429848</v>
      </c>
      <c r="J22" s="263">
        <v>0</v>
      </c>
      <c r="K22" s="260">
        <f t="shared" si="3"/>
        <v>4429848</v>
      </c>
      <c r="L22" s="52" t="s">
        <v>1665</v>
      </c>
      <c r="M22" s="293">
        <f t="shared" si="0"/>
        <v>117</v>
      </c>
    </row>
    <row r="23" spans="1:13" s="54" customFormat="1">
      <c r="A23" s="293">
        <f t="shared" si="1"/>
        <v>118</v>
      </c>
      <c r="D23" s="218" t="s">
        <v>1666</v>
      </c>
      <c r="E23" s="259">
        <f>SUM(E9:E22)</f>
        <v>2972622938</v>
      </c>
      <c r="F23" s="112" t="s">
        <v>1667</v>
      </c>
      <c r="G23" s="259">
        <f>SUM(G9:G22)</f>
        <v>975496733</v>
      </c>
      <c r="H23" s="112" t="s">
        <v>1668</v>
      </c>
      <c r="I23" s="261">
        <f>SUM(I9:I22)</f>
        <v>3948119671</v>
      </c>
      <c r="J23" s="261">
        <f>SUM(J9:J22)</f>
        <v>1534686591.9264364</v>
      </c>
      <c r="K23" s="259">
        <f>SUM(K9:K22)</f>
        <v>2413433079.0735631</v>
      </c>
      <c r="M23" s="293">
        <f t="shared" si="0"/>
        <v>118</v>
      </c>
    </row>
    <row r="24" spans="1:13">
      <c r="A24" s="293"/>
      <c r="I24" s="217"/>
      <c r="M24" s="293"/>
    </row>
    <row r="25" spans="1:13">
      <c r="A25" s="293">
        <v>200</v>
      </c>
      <c r="C25" s="54" t="s">
        <v>1669</v>
      </c>
      <c r="I25" s="217"/>
      <c r="M25" s="293">
        <f t="shared" ref="M25:M39" si="4">A25</f>
        <v>200</v>
      </c>
    </row>
    <row r="26" spans="1:13">
      <c r="A26" s="293">
        <f t="shared" ref="A26:A44" si="5">A25+1</f>
        <v>201</v>
      </c>
      <c r="D26" s="494" t="s">
        <v>1670</v>
      </c>
      <c r="E26" s="495"/>
      <c r="F26" s="496" t="s">
        <v>630</v>
      </c>
      <c r="G26" s="496" t="s">
        <v>126</v>
      </c>
      <c r="H26" s="497"/>
      <c r="I26" s="52"/>
      <c r="K26" s="113"/>
      <c r="M26" s="293">
        <f t="shared" si="4"/>
        <v>201</v>
      </c>
    </row>
    <row r="27" spans="1:13">
      <c r="A27" s="293">
        <f t="shared" si="5"/>
        <v>202</v>
      </c>
      <c r="D27" s="214"/>
      <c r="E27" s="57" t="s">
        <v>1671</v>
      </c>
      <c r="F27" s="258">
        <f>K23</f>
        <v>2413433079.0735631</v>
      </c>
      <c r="G27" s="53" t="s">
        <v>1672</v>
      </c>
      <c r="H27" s="498"/>
      <c r="I27" s="52"/>
      <c r="M27" s="293">
        <f t="shared" si="4"/>
        <v>202</v>
      </c>
    </row>
    <row r="28" spans="1:13">
      <c r="A28" s="293">
        <f t="shared" si="5"/>
        <v>203</v>
      </c>
      <c r="D28" s="214"/>
      <c r="E28" s="57" t="s">
        <v>1673</v>
      </c>
      <c r="F28" s="258">
        <f>K13</f>
        <v>28163016.130000003</v>
      </c>
      <c r="G28" s="53" t="s">
        <v>1674</v>
      </c>
      <c r="H28" s="499"/>
      <c r="I28" s="52"/>
      <c r="M28" s="293">
        <f t="shared" si="4"/>
        <v>203</v>
      </c>
    </row>
    <row r="29" spans="1:13">
      <c r="A29" s="293">
        <f t="shared" si="5"/>
        <v>204</v>
      </c>
      <c r="D29" s="216"/>
      <c r="E29" s="216" t="s">
        <v>1675</v>
      </c>
      <c r="F29" s="262">
        <v>990591972.41066015</v>
      </c>
      <c r="G29" s="53" t="s">
        <v>1676</v>
      </c>
      <c r="H29" s="499"/>
      <c r="I29" s="52"/>
      <c r="M29" s="293">
        <f t="shared" si="4"/>
        <v>204</v>
      </c>
    </row>
    <row r="30" spans="1:13">
      <c r="A30" s="293">
        <f t="shared" si="5"/>
        <v>205</v>
      </c>
      <c r="D30" s="214"/>
      <c r="E30" s="57" t="s">
        <v>1677</v>
      </c>
      <c r="F30" s="500">
        <f>F27-F28-F29</f>
        <v>1394678090.5329027</v>
      </c>
      <c r="G30" s="53" t="s">
        <v>1678</v>
      </c>
      <c r="H30" s="498"/>
      <c r="I30" s="52"/>
      <c r="M30" s="293">
        <f t="shared" si="4"/>
        <v>205</v>
      </c>
    </row>
    <row r="31" spans="1:13">
      <c r="A31" s="293">
        <f t="shared" si="5"/>
        <v>206</v>
      </c>
      <c r="D31" s="214"/>
      <c r="E31" s="57" t="s">
        <v>1679</v>
      </c>
      <c r="F31" s="501">
        <f>'24-Allocators'!C17</f>
        <v>0.70304884104477328</v>
      </c>
      <c r="G31" s="502" t="s">
        <v>1680</v>
      </c>
      <c r="H31" s="632"/>
      <c r="I31" s="52"/>
      <c r="M31" s="293">
        <f t="shared" si="4"/>
        <v>206</v>
      </c>
    </row>
    <row r="32" spans="1:13">
      <c r="A32" s="293">
        <f t="shared" si="5"/>
        <v>207</v>
      </c>
      <c r="D32" s="214"/>
      <c r="E32" s="57" t="s">
        <v>1681</v>
      </c>
      <c r="F32" s="500">
        <f>F30*F31</f>
        <v>980526815.17969465</v>
      </c>
      <c r="G32" s="53" t="s">
        <v>1682</v>
      </c>
      <c r="H32" s="498"/>
      <c r="I32" s="52"/>
      <c r="M32" s="293">
        <f t="shared" si="4"/>
        <v>207</v>
      </c>
    </row>
    <row r="33" spans="1:14">
      <c r="A33" s="293">
        <f t="shared" si="5"/>
        <v>208</v>
      </c>
      <c r="D33" s="214"/>
      <c r="E33" s="57" t="s">
        <v>1683</v>
      </c>
      <c r="F33" s="503">
        <f>'24-Allocators'!C23</f>
        <v>0.43638724816634106</v>
      </c>
      <c r="G33" s="502" t="s">
        <v>239</v>
      </c>
      <c r="H33" s="498"/>
      <c r="I33" s="52"/>
      <c r="M33" s="293">
        <f t="shared" si="4"/>
        <v>208</v>
      </c>
    </row>
    <row r="34" spans="1:14">
      <c r="A34" s="293">
        <f t="shared" si="5"/>
        <v>209</v>
      </c>
      <c r="D34" s="213"/>
      <c r="E34" s="504" t="s">
        <v>1684</v>
      </c>
      <c r="F34" s="505">
        <f>F32*F33</f>
        <v>427889398.62957346</v>
      </c>
      <c r="G34" s="506" t="s">
        <v>1685</v>
      </c>
      <c r="H34" s="507"/>
      <c r="I34" s="52"/>
      <c r="M34" s="293">
        <f t="shared" si="4"/>
        <v>209</v>
      </c>
    </row>
    <row r="35" spans="1:14">
      <c r="A35" s="293">
        <f t="shared" si="5"/>
        <v>210</v>
      </c>
      <c r="D35" s="494" t="s">
        <v>1686</v>
      </c>
      <c r="E35" s="508"/>
      <c r="F35" s="509"/>
      <c r="G35" s="510"/>
      <c r="H35" s="511"/>
      <c r="I35" s="52"/>
      <c r="M35" s="293">
        <f t="shared" si="4"/>
        <v>210</v>
      </c>
    </row>
    <row r="36" spans="1:14">
      <c r="A36" s="293">
        <f t="shared" si="5"/>
        <v>211</v>
      </c>
      <c r="D36" s="214"/>
      <c r="E36" s="230" t="s">
        <v>1687</v>
      </c>
      <c r="F36" s="503">
        <f>'24-Allocators'!C48</f>
        <v>0.74333922377767991</v>
      </c>
      <c r="G36" s="53" t="s">
        <v>1688</v>
      </c>
      <c r="H36" s="512"/>
      <c r="I36" s="648"/>
      <c r="M36" s="293">
        <f t="shared" si="4"/>
        <v>211</v>
      </c>
    </row>
    <row r="37" spans="1:14">
      <c r="A37" s="293" t="s">
        <v>1689</v>
      </c>
      <c r="D37" s="214"/>
      <c r="E37" s="230" t="s">
        <v>1690</v>
      </c>
      <c r="F37" s="503">
        <f>'24-Allocators'!C52</f>
        <v>0.21404487846767417</v>
      </c>
      <c r="G37" s="53" t="s">
        <v>1691</v>
      </c>
      <c r="H37" s="512"/>
      <c r="I37" s="52"/>
      <c r="M37" s="293" t="str">
        <f t="shared" si="4"/>
        <v>211a</v>
      </c>
    </row>
    <row r="38" spans="1:14">
      <c r="A38" s="293">
        <f>A36+1</f>
        <v>212</v>
      </c>
      <c r="D38" s="214"/>
      <c r="E38" s="57" t="s">
        <v>1692</v>
      </c>
      <c r="F38" s="258">
        <f>F28</f>
        <v>28163016.130000003</v>
      </c>
      <c r="G38" s="53" t="s">
        <v>1693</v>
      </c>
      <c r="H38" s="499"/>
      <c r="I38" s="52"/>
      <c r="M38" s="293">
        <f t="shared" si="4"/>
        <v>212</v>
      </c>
    </row>
    <row r="39" spans="1:14">
      <c r="A39" s="293">
        <f t="shared" si="5"/>
        <v>213</v>
      </c>
      <c r="D39" s="213"/>
      <c r="E39" s="504" t="s">
        <v>1694</v>
      </c>
      <c r="F39" s="513">
        <f>F38*F37*F36</f>
        <v>4480959.8696679017</v>
      </c>
      <c r="G39" s="506" t="s">
        <v>1695</v>
      </c>
      <c r="H39" s="514"/>
      <c r="I39" s="52"/>
      <c r="M39" s="293">
        <f t="shared" si="4"/>
        <v>213</v>
      </c>
    </row>
    <row r="40" spans="1:14">
      <c r="A40" s="293">
        <f t="shared" si="5"/>
        <v>214</v>
      </c>
      <c r="D40" s="215" t="s">
        <v>1696</v>
      </c>
      <c r="E40" s="57"/>
      <c r="F40" s="515"/>
      <c r="G40" s="53"/>
      <c r="H40" s="499"/>
      <c r="I40" s="52"/>
      <c r="M40" s="293">
        <f t="shared" ref="M40:M45" si="6">A40</f>
        <v>214</v>
      </c>
      <c r="N40" s="52"/>
    </row>
    <row r="41" spans="1:14">
      <c r="A41" s="293">
        <f t="shared" si="5"/>
        <v>215</v>
      </c>
      <c r="D41" s="214"/>
      <c r="E41" s="57" t="s">
        <v>1697</v>
      </c>
      <c r="F41" s="259">
        <f>F29</f>
        <v>990591972.41066015</v>
      </c>
      <c r="G41" s="53" t="s">
        <v>459</v>
      </c>
      <c r="H41" s="499"/>
      <c r="I41" s="52"/>
      <c r="M41" s="293">
        <f t="shared" si="6"/>
        <v>215</v>
      </c>
      <c r="N41" s="52"/>
    </row>
    <row r="42" spans="1:14">
      <c r="A42" s="293">
        <f t="shared" si="5"/>
        <v>216</v>
      </c>
      <c r="D42" s="214"/>
      <c r="E42" s="57" t="s">
        <v>1698</v>
      </c>
      <c r="F42" s="729">
        <f>'24-Allocators'!C36</f>
        <v>0.35766043976807083</v>
      </c>
      <c r="G42" s="502" t="s">
        <v>1699</v>
      </c>
      <c r="H42" s="499"/>
      <c r="I42" s="52"/>
      <c r="M42" s="293">
        <f t="shared" si="6"/>
        <v>216</v>
      </c>
      <c r="N42" s="52"/>
    </row>
    <row r="43" spans="1:14">
      <c r="A43" s="293">
        <f t="shared" si="5"/>
        <v>217</v>
      </c>
      <c r="D43" s="214"/>
      <c r="E43" s="504" t="s">
        <v>1700</v>
      </c>
      <c r="F43" s="513">
        <f>F41*F42</f>
        <v>354295560.4831174</v>
      </c>
      <c r="G43" s="506" t="s">
        <v>1701</v>
      </c>
      <c r="H43" s="499"/>
      <c r="I43" s="52"/>
      <c r="M43" s="293">
        <f t="shared" si="6"/>
        <v>217</v>
      </c>
      <c r="N43" s="52"/>
    </row>
    <row r="44" spans="1:14">
      <c r="A44" s="293">
        <f t="shared" si="5"/>
        <v>218</v>
      </c>
      <c r="D44" s="516"/>
      <c r="E44" s="508"/>
      <c r="F44" s="509"/>
      <c r="G44" s="510"/>
      <c r="H44" s="517"/>
      <c r="I44" s="52"/>
      <c r="M44" s="293">
        <f t="shared" si="6"/>
        <v>218</v>
      </c>
      <c r="N44" s="52"/>
    </row>
    <row r="45" spans="1:14">
      <c r="A45" s="293">
        <f>A44+1</f>
        <v>219</v>
      </c>
      <c r="D45" s="213"/>
      <c r="E45" s="504" t="s">
        <v>1702</v>
      </c>
      <c r="F45" s="505">
        <f>F43+F39+F34</f>
        <v>786665918.98235869</v>
      </c>
      <c r="G45" s="506" t="s">
        <v>1703</v>
      </c>
      <c r="H45" s="507"/>
      <c r="I45" s="52"/>
      <c r="M45" s="293">
        <f t="shared" si="6"/>
        <v>219</v>
      </c>
      <c r="N45" s="52"/>
    </row>
    <row r="46" spans="1:14">
      <c r="A46" s="293"/>
      <c r="E46" s="57"/>
      <c r="F46" s="259"/>
      <c r="G46" s="53"/>
      <c r="H46" s="113"/>
      <c r="I46" s="52"/>
      <c r="M46" s="293"/>
      <c r="N46" s="52"/>
    </row>
    <row r="47" spans="1:14" s="8" customFormat="1">
      <c r="A47" s="91">
        <v>300</v>
      </c>
      <c r="C47" s="123" t="s">
        <v>1704</v>
      </c>
      <c r="I47" s="230"/>
      <c r="M47" s="293">
        <f t="shared" ref="M47:M64" si="7">A47</f>
        <v>300</v>
      </c>
    </row>
    <row r="48" spans="1:14" s="8" customFormat="1">
      <c r="A48" s="91">
        <f t="shared" ref="A48:A50" si="8">A47+1</f>
        <v>301</v>
      </c>
      <c r="E48" s="4" t="s">
        <v>497</v>
      </c>
      <c r="F48" s="4" t="s">
        <v>498</v>
      </c>
      <c r="G48" s="4" t="s">
        <v>499</v>
      </c>
      <c r="H48" s="4" t="s">
        <v>500</v>
      </c>
      <c r="I48" s="4" t="s">
        <v>441</v>
      </c>
      <c r="J48" s="4" t="s">
        <v>446</v>
      </c>
      <c r="K48" s="4" t="s">
        <v>461</v>
      </c>
      <c r="M48" s="293">
        <f t="shared" si="7"/>
        <v>301</v>
      </c>
    </row>
    <row r="49" spans="1:14" s="8" customFormat="1" ht="29">
      <c r="A49" s="284">
        <f t="shared" si="8"/>
        <v>302</v>
      </c>
      <c r="C49" s="58"/>
      <c r="D49" s="58"/>
      <c r="E49" s="686" t="s">
        <v>1705</v>
      </c>
      <c r="F49" s="686" t="s">
        <v>1706</v>
      </c>
      <c r="G49" s="686" t="s">
        <v>1707</v>
      </c>
      <c r="H49" s="686" t="s">
        <v>1708</v>
      </c>
      <c r="I49" s="686" t="s">
        <v>1709</v>
      </c>
      <c r="J49" s="686" t="s">
        <v>1710</v>
      </c>
      <c r="K49" s="686" t="s">
        <v>1711</v>
      </c>
      <c r="M49" s="293">
        <f t="shared" si="7"/>
        <v>302</v>
      </c>
    </row>
    <row r="50" spans="1:14" s="8" customFormat="1">
      <c r="A50" s="91">
        <f t="shared" si="8"/>
        <v>303</v>
      </c>
      <c r="C50" s="18">
        <v>920</v>
      </c>
      <c r="D50" s="8" t="s">
        <v>1617</v>
      </c>
      <c r="E50" s="256">
        <v>-16566674.539999999</v>
      </c>
      <c r="F50" s="256">
        <v>-21141312.069999997</v>
      </c>
      <c r="G50" s="256">
        <v>-79392785.569999993</v>
      </c>
      <c r="H50" s="256">
        <v>-68291.75</v>
      </c>
      <c r="I50" s="256">
        <v>-283184.69000000006</v>
      </c>
      <c r="J50" s="256">
        <v>28727908.874442879</v>
      </c>
      <c r="K50" s="242">
        <f t="shared" ref="K50:K63" si="9">SUM(E50:J50)</f>
        <v>-88724339.745557114</v>
      </c>
      <c r="M50" s="293">
        <f t="shared" si="7"/>
        <v>303</v>
      </c>
      <c r="N50" s="286"/>
    </row>
    <row r="51" spans="1:14" s="8" customFormat="1">
      <c r="A51" s="91">
        <f>A50+1</f>
        <v>304</v>
      </c>
      <c r="C51" s="18">
        <v>921</v>
      </c>
      <c r="D51" s="8" t="s">
        <v>1621</v>
      </c>
      <c r="E51" s="256">
        <v>0</v>
      </c>
      <c r="F51" s="256">
        <v>-912937.66999999993</v>
      </c>
      <c r="G51" s="256">
        <v>0</v>
      </c>
      <c r="H51" s="256">
        <v>-249244</v>
      </c>
      <c r="I51" s="256">
        <v>-5229.5900000000011</v>
      </c>
      <c r="J51" s="256">
        <v>0</v>
      </c>
      <c r="K51" s="242">
        <f t="shared" si="9"/>
        <v>-1167411.26</v>
      </c>
      <c r="M51" s="293">
        <f t="shared" si="7"/>
        <v>304</v>
      </c>
      <c r="N51" s="286"/>
    </row>
    <row r="52" spans="1:14" s="8" customFormat="1">
      <c r="A52" s="91">
        <f t="shared" ref="A52:A63" si="10">A51+1</f>
        <v>305</v>
      </c>
      <c r="C52" s="18">
        <v>922</v>
      </c>
      <c r="D52" s="8" t="s">
        <v>1625</v>
      </c>
      <c r="E52" s="256">
        <v>0</v>
      </c>
      <c r="F52" s="256">
        <v>0</v>
      </c>
      <c r="G52" s="256">
        <v>0</v>
      </c>
      <c r="H52" s="256">
        <v>0</v>
      </c>
      <c r="I52" s="256">
        <v>58771034.269819304</v>
      </c>
      <c r="J52" s="256">
        <v>0</v>
      </c>
      <c r="K52" s="242">
        <f t="shared" si="9"/>
        <v>58771034.269819304</v>
      </c>
      <c r="M52" s="293">
        <f t="shared" si="7"/>
        <v>305</v>
      </c>
      <c r="N52" s="286"/>
    </row>
    <row r="53" spans="1:14" s="8" customFormat="1">
      <c r="A53" s="91">
        <f t="shared" si="10"/>
        <v>306</v>
      </c>
      <c r="C53" s="18">
        <v>923</v>
      </c>
      <c r="D53" s="8" t="s">
        <v>1629</v>
      </c>
      <c r="E53" s="256">
        <v>-2358708.41</v>
      </c>
      <c r="F53" s="256">
        <v>-13272530.06189432</v>
      </c>
      <c r="G53" s="256">
        <v>-278182.43</v>
      </c>
      <c r="H53" s="256">
        <v>-75009900.99000001</v>
      </c>
      <c r="I53" s="256">
        <v>9022625.8000000007</v>
      </c>
      <c r="J53" s="256">
        <v>117501.04259974512</v>
      </c>
      <c r="K53" s="242">
        <f t="shared" si="9"/>
        <v>-81779195.049294576</v>
      </c>
      <c r="M53" s="293">
        <f t="shared" si="7"/>
        <v>306</v>
      </c>
      <c r="N53" s="286"/>
    </row>
    <row r="54" spans="1:14" s="8" customFormat="1">
      <c r="A54" s="91">
        <f t="shared" si="10"/>
        <v>307</v>
      </c>
      <c r="C54" s="18">
        <v>924</v>
      </c>
      <c r="D54" s="8" t="s">
        <v>1133</v>
      </c>
      <c r="E54" s="256">
        <v>0</v>
      </c>
      <c r="F54" s="256">
        <v>0</v>
      </c>
      <c r="G54" s="256">
        <v>0</v>
      </c>
      <c r="H54" s="256">
        <v>4956686.1300000008</v>
      </c>
      <c r="I54" s="256">
        <v>0</v>
      </c>
      <c r="J54" s="256">
        <v>0</v>
      </c>
      <c r="K54" s="242">
        <f t="shared" si="9"/>
        <v>4956686.1300000008</v>
      </c>
      <c r="M54" s="293">
        <f t="shared" si="7"/>
        <v>307</v>
      </c>
      <c r="N54" s="286"/>
    </row>
    <row r="55" spans="1:14" s="8" customFormat="1">
      <c r="A55" s="91">
        <f t="shared" si="10"/>
        <v>308</v>
      </c>
      <c r="C55" s="18">
        <v>925</v>
      </c>
      <c r="D55" s="8" t="s">
        <v>1190</v>
      </c>
      <c r="E55" s="256">
        <v>0</v>
      </c>
      <c r="F55" s="256">
        <v>0</v>
      </c>
      <c r="G55" s="256">
        <v>-1112467711.0600002</v>
      </c>
      <c r="H55" s="256">
        <v>-1191061.9099999999</v>
      </c>
      <c r="I55" s="256">
        <v>-47220628.90191678</v>
      </c>
      <c r="J55" s="256">
        <v>0</v>
      </c>
      <c r="K55" s="242">
        <f t="shared" si="9"/>
        <v>-1160879401.871917</v>
      </c>
      <c r="M55" s="293">
        <f t="shared" si="7"/>
        <v>308</v>
      </c>
      <c r="N55" s="286"/>
    </row>
    <row r="56" spans="1:14" s="8" customFormat="1">
      <c r="A56" s="91">
        <f t="shared" si="10"/>
        <v>309</v>
      </c>
      <c r="C56" s="18">
        <v>926</v>
      </c>
      <c r="D56" s="8" t="s">
        <v>1639</v>
      </c>
      <c r="E56" s="256">
        <v>0</v>
      </c>
      <c r="F56" s="256">
        <v>-8719220.3899999987</v>
      </c>
      <c r="G56" s="256">
        <v>568071.94775249099</v>
      </c>
      <c r="H56" s="256">
        <v>-2715322.5</v>
      </c>
      <c r="I56" s="256">
        <v>-91496904.765905008</v>
      </c>
      <c r="J56" s="256">
        <v>-357362.25133277872</v>
      </c>
      <c r="K56" s="242">
        <f t="shared" si="9"/>
        <v>-102720737.95948529</v>
      </c>
      <c r="M56" s="293">
        <f t="shared" si="7"/>
        <v>309</v>
      </c>
      <c r="N56" s="286"/>
    </row>
    <row r="57" spans="1:14" s="8" customFormat="1">
      <c r="A57" s="91">
        <f t="shared" si="10"/>
        <v>310</v>
      </c>
      <c r="C57" s="18">
        <v>927</v>
      </c>
      <c r="D57" s="8" t="s">
        <v>1643</v>
      </c>
      <c r="E57" s="256">
        <v>0</v>
      </c>
      <c r="F57" s="256">
        <v>0</v>
      </c>
      <c r="G57" s="256">
        <v>0</v>
      </c>
      <c r="H57" s="256">
        <v>-148573531</v>
      </c>
      <c r="I57" s="256">
        <v>0</v>
      </c>
      <c r="J57" s="256">
        <v>0</v>
      </c>
      <c r="K57" s="242">
        <f t="shared" si="9"/>
        <v>-148573531</v>
      </c>
      <c r="M57" s="293">
        <f t="shared" si="7"/>
        <v>310</v>
      </c>
      <c r="N57" s="286"/>
    </row>
    <row r="58" spans="1:14" s="8" customFormat="1">
      <c r="A58" s="91">
        <f t="shared" si="10"/>
        <v>311</v>
      </c>
      <c r="C58" s="18">
        <v>928</v>
      </c>
      <c r="D58" s="8" t="s">
        <v>1647</v>
      </c>
      <c r="E58" s="256">
        <v>0</v>
      </c>
      <c r="F58" s="256">
        <v>0</v>
      </c>
      <c r="G58" s="256">
        <v>0</v>
      </c>
      <c r="H58" s="256">
        <v>0</v>
      </c>
      <c r="I58" s="256">
        <v>0</v>
      </c>
      <c r="J58" s="256">
        <v>0</v>
      </c>
      <c r="K58" s="242">
        <f t="shared" si="9"/>
        <v>0</v>
      </c>
      <c r="M58" s="293">
        <f t="shared" si="7"/>
        <v>311</v>
      </c>
      <c r="N58" s="286"/>
    </row>
    <row r="59" spans="1:14" s="8" customFormat="1">
      <c r="A59" s="91">
        <f t="shared" si="10"/>
        <v>312</v>
      </c>
      <c r="C59" s="18">
        <v>929</v>
      </c>
      <c r="D59" s="8" t="s">
        <v>1650</v>
      </c>
      <c r="E59" s="256">
        <v>0</v>
      </c>
      <c r="F59" s="256">
        <v>0</v>
      </c>
      <c r="G59" s="256">
        <v>0</v>
      </c>
      <c r="H59" s="256">
        <v>0</v>
      </c>
      <c r="I59" s="256">
        <v>0</v>
      </c>
      <c r="J59" s="256">
        <v>0</v>
      </c>
      <c r="K59" s="242">
        <f t="shared" si="9"/>
        <v>0</v>
      </c>
      <c r="M59" s="293">
        <f t="shared" si="7"/>
        <v>312</v>
      </c>
      <c r="N59" s="286"/>
    </row>
    <row r="60" spans="1:14" s="8" customFormat="1">
      <c r="A60" s="91">
        <f t="shared" si="10"/>
        <v>313</v>
      </c>
      <c r="C60" s="18">
        <v>930.1</v>
      </c>
      <c r="D60" s="8" t="s">
        <v>1653</v>
      </c>
      <c r="E60" s="256">
        <v>0</v>
      </c>
      <c r="F60" s="256">
        <v>0</v>
      </c>
      <c r="G60" s="256">
        <v>0</v>
      </c>
      <c r="H60" s="256">
        <v>0</v>
      </c>
      <c r="I60" s="256">
        <v>0</v>
      </c>
      <c r="J60" s="256">
        <v>0</v>
      </c>
      <c r="K60" s="242">
        <f t="shared" si="9"/>
        <v>0</v>
      </c>
      <c r="M60" s="293">
        <f t="shared" si="7"/>
        <v>313</v>
      </c>
      <c r="N60" s="286"/>
    </row>
    <row r="61" spans="1:14" s="8" customFormat="1">
      <c r="A61" s="91">
        <f t="shared" si="10"/>
        <v>314</v>
      </c>
      <c r="C61" s="18">
        <v>930.2</v>
      </c>
      <c r="D61" s="8" t="s">
        <v>1657</v>
      </c>
      <c r="E61" s="256">
        <v>0</v>
      </c>
      <c r="F61" s="256">
        <v>0</v>
      </c>
      <c r="G61" s="256">
        <v>0</v>
      </c>
      <c r="H61" s="256">
        <v>-962628.20000178879</v>
      </c>
      <c r="I61" s="256">
        <v>-13607067.240000002</v>
      </c>
      <c r="J61" s="256">
        <v>0</v>
      </c>
      <c r="K61" s="242">
        <f t="shared" si="9"/>
        <v>-14569695.440001791</v>
      </c>
      <c r="M61" s="293">
        <f t="shared" si="7"/>
        <v>314</v>
      </c>
      <c r="N61" s="286"/>
    </row>
    <row r="62" spans="1:14" s="8" customFormat="1">
      <c r="A62" s="91">
        <f t="shared" si="10"/>
        <v>315</v>
      </c>
      <c r="C62" s="18">
        <v>931</v>
      </c>
      <c r="D62" s="8" t="s">
        <v>1590</v>
      </c>
      <c r="E62" s="256">
        <v>0</v>
      </c>
      <c r="F62" s="256">
        <v>0</v>
      </c>
      <c r="G62" s="256">
        <v>0</v>
      </c>
      <c r="H62" s="256">
        <v>0</v>
      </c>
      <c r="I62" s="256">
        <v>0</v>
      </c>
      <c r="J62" s="256">
        <v>0</v>
      </c>
      <c r="K62" s="242">
        <f t="shared" si="9"/>
        <v>0</v>
      </c>
      <c r="M62" s="293">
        <f t="shared" si="7"/>
        <v>315</v>
      </c>
      <c r="N62" s="286"/>
    </row>
    <row r="63" spans="1:14" s="8" customFormat="1">
      <c r="A63" s="91">
        <f t="shared" si="10"/>
        <v>316</v>
      </c>
      <c r="C63" s="18">
        <v>935</v>
      </c>
      <c r="D63" s="8" t="s">
        <v>1662</v>
      </c>
      <c r="E63" s="256">
        <v>0</v>
      </c>
      <c r="F63" s="256">
        <v>0</v>
      </c>
      <c r="G63" s="256">
        <v>0</v>
      </c>
      <c r="H63" s="256">
        <v>0</v>
      </c>
      <c r="I63" s="256">
        <v>0</v>
      </c>
      <c r="J63" s="256">
        <v>0</v>
      </c>
      <c r="K63" s="242">
        <f t="shared" si="9"/>
        <v>0</v>
      </c>
      <c r="M63" s="293">
        <f t="shared" si="7"/>
        <v>316</v>
      </c>
      <c r="N63" s="286"/>
    </row>
    <row r="64" spans="1:14" s="8" customFormat="1">
      <c r="A64" s="91">
        <v>318</v>
      </c>
      <c r="D64" s="105" t="s">
        <v>1712</v>
      </c>
      <c r="E64" s="473">
        <f>SUM(E50:E63)</f>
        <v>-18925382.949999999</v>
      </c>
      <c r="F64" s="473">
        <f t="shared" ref="F64:J64" si="11">SUM(F50:F63)</f>
        <v>-44046000.191894315</v>
      </c>
      <c r="G64" s="473">
        <f t="shared" si="11"/>
        <v>-1191570607.1122477</v>
      </c>
      <c r="H64" s="473">
        <f t="shared" si="11"/>
        <v>-223813294.22000179</v>
      </c>
      <c r="I64" s="473">
        <f t="shared" si="11"/>
        <v>-84819355.118002504</v>
      </c>
      <c r="J64" s="473">
        <f t="shared" si="11"/>
        <v>28488047.665709846</v>
      </c>
      <c r="K64" s="473">
        <f>SUM(K50:K63)</f>
        <v>-1534686591.9264364</v>
      </c>
      <c r="M64" s="293">
        <f t="shared" si="7"/>
        <v>318</v>
      </c>
    </row>
    <row r="65" spans="1:14" s="8" customFormat="1">
      <c r="A65" s="91"/>
      <c r="E65" s="285"/>
      <c r="F65" s="285"/>
      <c r="G65" s="285"/>
      <c r="H65" s="285"/>
      <c r="I65" s="287"/>
      <c r="J65" s="285"/>
    </row>
    <row r="66" spans="1:14" s="8" customFormat="1">
      <c r="A66" s="91"/>
      <c r="I66" s="230"/>
    </row>
    <row r="67" spans="1:14">
      <c r="A67" s="293"/>
      <c r="M67"/>
      <c r="N67" s="52"/>
    </row>
    <row r="68" spans="1:14">
      <c r="A68" s="293"/>
      <c r="C68" s="105" t="s">
        <v>674</v>
      </c>
      <c r="D68" s="8"/>
    </row>
    <row r="69" spans="1:14">
      <c r="A69" s="293"/>
      <c r="C69" s="212">
        <v>1</v>
      </c>
      <c r="D69" s="52" t="s">
        <v>1713</v>
      </c>
    </row>
    <row r="70" spans="1:14">
      <c r="D70" s="52" t="s">
        <v>1714</v>
      </c>
      <c r="E70" s="257"/>
      <c r="F70" s="257"/>
      <c r="G70" s="257"/>
      <c r="H70" s="257"/>
      <c r="I70" s="257"/>
      <c r="J70" s="257"/>
      <c r="K70" s="257"/>
    </row>
    <row r="71" spans="1:14">
      <c r="C71" s="212">
        <v>2</v>
      </c>
      <c r="D71" s="52" t="s">
        <v>1715</v>
      </c>
      <c r="E71" s="242"/>
      <c r="F71" s="242"/>
      <c r="G71" s="242"/>
      <c r="H71" s="242"/>
      <c r="I71" s="242"/>
      <c r="J71" s="242"/>
      <c r="K71" s="242"/>
    </row>
    <row r="72" spans="1:14">
      <c r="C72" s="91">
        <v>3</v>
      </c>
      <c r="D72" s="8" t="s">
        <v>1716</v>
      </c>
      <c r="E72" s="257"/>
      <c r="F72" s="257"/>
      <c r="G72" s="257"/>
      <c r="H72" s="257"/>
      <c r="I72" s="257"/>
      <c r="J72" s="257"/>
      <c r="K72" s="257"/>
    </row>
    <row r="73" spans="1:14">
      <c r="C73" s="91">
        <v>4</v>
      </c>
      <c r="D73" s="8" t="s">
        <v>1717</v>
      </c>
      <c r="E73" s="257"/>
      <c r="F73" s="257"/>
      <c r="G73" s="257"/>
      <c r="H73" s="257"/>
      <c r="I73" s="257"/>
      <c r="J73" s="257"/>
      <c r="K73" s="257"/>
    </row>
    <row r="74" spans="1:14">
      <c r="C74" s="4">
        <v>5</v>
      </c>
      <c r="D74" s="8" t="s">
        <v>1718</v>
      </c>
      <c r="E74" s="257"/>
      <c r="F74" s="257"/>
      <c r="G74" s="257"/>
      <c r="H74" s="257"/>
      <c r="I74" s="257"/>
      <c r="J74" s="257"/>
      <c r="K74" s="257"/>
    </row>
    <row r="75" spans="1:14">
      <c r="C75" s="4">
        <v>6</v>
      </c>
      <c r="D75" s="8" t="s">
        <v>1719</v>
      </c>
      <c r="E75" s="257"/>
      <c r="F75" s="257"/>
      <c r="G75" s="257"/>
      <c r="H75" s="257"/>
      <c r="I75" s="257"/>
      <c r="J75" s="257"/>
      <c r="K75" s="257"/>
    </row>
    <row r="76" spans="1:14">
      <c r="C76" s="4">
        <v>7</v>
      </c>
      <c r="D76" s="8" t="s">
        <v>1720</v>
      </c>
    </row>
    <row r="77" spans="1:14">
      <c r="C77" s="4">
        <v>8</v>
      </c>
      <c r="D77" s="8" t="s">
        <v>1721</v>
      </c>
    </row>
    <row r="78" spans="1:14">
      <c r="C78" s="4">
        <v>9</v>
      </c>
      <c r="D78" s="8" t="s">
        <v>1722</v>
      </c>
    </row>
    <row r="79" spans="1:14">
      <c r="C79" s="4"/>
      <c r="D79" s="8"/>
    </row>
  </sheetData>
  <printOptions horizontalCentered="1"/>
  <pageMargins left="1" right="1" top="1" bottom="1" header="0.5" footer="0.5"/>
  <pageSetup scale="40" orientation="landscape" r:id="rId1"/>
  <headerFooter>
    <oddHeader>&amp;RDocket No. ER20-2878-000, et al.- Annual Update RY2024
&amp;F</oddHeader>
  </headerFooter>
  <rowBreaks count="1" manualBreakCount="1">
    <brk id="46" max="12" man="1"/>
  </rowBreaks>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pageSetUpPr fitToPage="1"/>
  </sheetPr>
  <dimension ref="A1:H70"/>
  <sheetViews>
    <sheetView view="pageBreakPreview" zoomScale="25" zoomScaleNormal="115" zoomScaleSheetLayoutView="25" zoomScalePageLayoutView="70" workbookViewId="0">
      <selection activeCell="W98" sqref="W98"/>
    </sheetView>
  </sheetViews>
  <sheetFormatPr defaultColWidth="9.1796875" defaultRowHeight="14.5"/>
  <cols>
    <col min="1" max="1" width="4.7265625" bestFit="1" customWidth="1"/>
    <col min="2" max="2" width="10.453125" bestFit="1" customWidth="1"/>
    <col min="3" max="3" width="10.7265625" customWidth="1"/>
    <col min="4" max="4" width="71.7265625" bestFit="1" customWidth="1"/>
    <col min="5" max="5" width="16.1796875" customWidth="1"/>
    <col min="6" max="6" width="13.7265625" bestFit="1" customWidth="1"/>
    <col min="7" max="7" width="28" bestFit="1" customWidth="1"/>
    <col min="8" max="8" width="4.7265625" bestFit="1" customWidth="1"/>
  </cols>
  <sheetData>
    <row r="1" spans="1:8">
      <c r="B1" s="2" t="s">
        <v>55</v>
      </c>
      <c r="G1" s="6" t="str">
        <f>CONCATENATE("Prior Year: ",'1-DRR Corrected'!$K$2)</f>
        <v>Prior Year: 2021</v>
      </c>
    </row>
    <row r="2" spans="1:8">
      <c r="B2" s="78" t="s">
        <v>120</v>
      </c>
      <c r="C2" s="38"/>
      <c r="G2" s="6"/>
    </row>
    <row r="3" spans="1:8">
      <c r="A3" s="2"/>
      <c r="B3" s="105"/>
      <c r="G3" s="6"/>
      <c r="H3" s="2"/>
    </row>
    <row r="4" spans="1:8">
      <c r="B4" s="7" t="s">
        <v>361</v>
      </c>
      <c r="D4" s="195"/>
    </row>
    <row r="5" spans="1:8">
      <c r="B5" t="s">
        <v>1723</v>
      </c>
    </row>
    <row r="7" spans="1:8">
      <c r="B7" s="3" t="s">
        <v>122</v>
      </c>
      <c r="C7" s="3" t="s">
        <v>123</v>
      </c>
      <c r="D7" s="3" t="s">
        <v>124</v>
      </c>
      <c r="E7" s="3" t="s">
        <v>125</v>
      </c>
      <c r="F7" s="3" t="s">
        <v>490</v>
      </c>
      <c r="G7" s="3" t="s">
        <v>491</v>
      </c>
    </row>
    <row r="8" spans="1:8">
      <c r="B8" s="4"/>
      <c r="C8" s="4"/>
      <c r="D8" s="4"/>
      <c r="E8" s="4"/>
      <c r="F8" s="4"/>
      <c r="G8" s="4"/>
    </row>
    <row r="9" spans="1:8" ht="29">
      <c r="A9" s="3" t="s">
        <v>90</v>
      </c>
      <c r="B9" s="3" t="s">
        <v>1724</v>
      </c>
      <c r="C9" s="110" t="s">
        <v>1725</v>
      </c>
      <c r="D9" s="3" t="s">
        <v>1726</v>
      </c>
      <c r="E9" s="3" t="s">
        <v>1727</v>
      </c>
      <c r="F9" s="3" t="s">
        <v>737</v>
      </c>
      <c r="G9" s="110" t="s">
        <v>131</v>
      </c>
      <c r="H9" s="3" t="str">
        <f>A9</f>
        <v>Line</v>
      </c>
    </row>
    <row r="10" spans="1:8" ht="29">
      <c r="A10" s="4">
        <v>100</v>
      </c>
      <c r="D10" s="6" t="s">
        <v>1728</v>
      </c>
      <c r="E10" s="221">
        <f>E14+E20+E30+E36+E44</f>
        <v>-99305801.980000079</v>
      </c>
      <c r="F10" s="221">
        <f>F14+F20+F30+F36+F44</f>
        <v>245369132.92999998</v>
      </c>
      <c r="G10" s="34" t="s">
        <v>1729</v>
      </c>
      <c r="H10" s="3">
        <f>A10</f>
        <v>100</v>
      </c>
    </row>
    <row r="11" spans="1:8">
      <c r="A11" s="3"/>
      <c r="E11" s="6"/>
      <c r="F11" s="16"/>
      <c r="G11" s="110"/>
      <c r="H11" s="3"/>
    </row>
    <row r="12" spans="1:8">
      <c r="A12" s="3"/>
      <c r="B12" s="41" t="s">
        <v>1730</v>
      </c>
      <c r="C12" s="222"/>
      <c r="D12" s="222"/>
      <c r="E12" s="222"/>
      <c r="F12" s="43"/>
      <c r="G12" s="43"/>
    </row>
    <row r="13" spans="1:8">
      <c r="A13" s="4">
        <v>200</v>
      </c>
      <c r="B13" s="21"/>
      <c r="D13" s="6" t="s">
        <v>1731</v>
      </c>
      <c r="E13" s="280">
        <v>-296</v>
      </c>
      <c r="F13" s="210"/>
      <c r="G13" s="210"/>
      <c r="H13" s="4">
        <f>A13</f>
        <v>200</v>
      </c>
    </row>
    <row r="14" spans="1:8">
      <c r="A14" s="4">
        <f>A13+1</f>
        <v>201</v>
      </c>
      <c r="B14" s="21"/>
      <c r="D14" s="6" t="s">
        <v>1732</v>
      </c>
      <c r="E14" s="221">
        <f>SUM(E15:E17)</f>
        <v>-296</v>
      </c>
      <c r="F14" s="221">
        <f>SUM(F15:F17)</f>
        <v>-296</v>
      </c>
      <c r="G14" s="210"/>
      <c r="H14" s="4">
        <f>A14</f>
        <v>201</v>
      </c>
    </row>
    <row r="15" spans="1:8">
      <c r="A15" s="4">
        <f>A14+1</f>
        <v>202</v>
      </c>
      <c r="B15" s="21">
        <v>450</v>
      </c>
      <c r="C15">
        <v>4500000</v>
      </c>
      <c r="D15" t="s">
        <v>1730</v>
      </c>
      <c r="E15" s="220">
        <v>-296</v>
      </c>
      <c r="F15" s="220">
        <f>E15</f>
        <v>-296</v>
      </c>
      <c r="G15" s="210" t="s">
        <v>496</v>
      </c>
      <c r="H15" s="4">
        <f>A15</f>
        <v>202</v>
      </c>
    </row>
    <row r="16" spans="1:8">
      <c r="A16" s="4">
        <f>A15+1</f>
        <v>203</v>
      </c>
      <c r="B16" s="44"/>
      <c r="C16" s="38"/>
      <c r="D16" s="38"/>
      <c r="E16" s="220"/>
      <c r="F16" s="220"/>
      <c r="G16" s="210"/>
      <c r="H16" s="4">
        <f>A16</f>
        <v>203</v>
      </c>
    </row>
    <row r="17" spans="1:8">
      <c r="A17" s="4">
        <f>A16+1</f>
        <v>204</v>
      </c>
      <c r="B17" s="219" t="s">
        <v>672</v>
      </c>
      <c r="C17" s="38"/>
      <c r="D17" s="38"/>
      <c r="E17" s="220"/>
      <c r="F17" s="220"/>
      <c r="G17" s="210"/>
      <c r="H17" s="4">
        <f>A17</f>
        <v>204</v>
      </c>
    </row>
    <row r="18" spans="1:8">
      <c r="A18" s="4"/>
      <c r="B18" s="45" t="s">
        <v>1733</v>
      </c>
      <c r="C18" s="43"/>
      <c r="D18" s="43"/>
      <c r="E18" s="43"/>
      <c r="F18" s="43"/>
      <c r="G18" s="43"/>
      <c r="H18" s="4"/>
    </row>
    <row r="19" spans="1:8">
      <c r="A19" s="4">
        <v>300</v>
      </c>
      <c r="B19" s="21"/>
      <c r="D19" s="6" t="s">
        <v>1734</v>
      </c>
      <c r="E19" s="280">
        <v>8281661</v>
      </c>
      <c r="F19" s="221"/>
      <c r="G19" s="210"/>
      <c r="H19" s="4">
        <f t="shared" ref="H19:H27" si="0">A19</f>
        <v>300</v>
      </c>
    </row>
    <row r="20" spans="1:8">
      <c r="A20" s="4">
        <f t="shared" ref="A20:A27" si="1">A19+1</f>
        <v>301</v>
      </c>
      <c r="B20" s="21"/>
      <c r="D20" s="6" t="s">
        <v>1735</v>
      </c>
      <c r="E20" s="221">
        <f>SUM(E21:E27)</f>
        <v>8281661.3200000003</v>
      </c>
      <c r="F20" s="221">
        <f>SUM(F21:F27)</f>
        <v>7571383.3200000003</v>
      </c>
      <c r="G20" s="210"/>
      <c r="H20" s="4">
        <f t="shared" si="0"/>
        <v>301</v>
      </c>
    </row>
    <row r="21" spans="1:8">
      <c r="A21" s="4">
        <f t="shared" si="1"/>
        <v>302</v>
      </c>
      <c r="B21" s="21">
        <v>451</v>
      </c>
      <c r="C21">
        <v>4510000</v>
      </c>
      <c r="D21" t="s">
        <v>1733</v>
      </c>
      <c r="E21" s="220">
        <v>1188235.4099999999</v>
      </c>
      <c r="F21" s="220">
        <f>E21</f>
        <v>1188235.4099999999</v>
      </c>
      <c r="G21" s="210" t="s">
        <v>496</v>
      </c>
      <c r="H21" s="4">
        <f t="shared" si="0"/>
        <v>302</v>
      </c>
    </row>
    <row r="22" spans="1:8">
      <c r="A22" s="4">
        <f t="shared" si="1"/>
        <v>303</v>
      </c>
      <c r="B22" s="21">
        <v>451</v>
      </c>
      <c r="C22">
        <v>4510007</v>
      </c>
      <c r="D22" t="s">
        <v>1736</v>
      </c>
      <c r="E22" s="220">
        <v>899954.36</v>
      </c>
      <c r="F22" s="220">
        <f>E22-710278</f>
        <v>189676.36</v>
      </c>
      <c r="G22" s="210" t="s">
        <v>496</v>
      </c>
      <c r="H22" s="4">
        <f t="shared" si="0"/>
        <v>303</v>
      </c>
    </row>
    <row r="23" spans="1:8">
      <c r="A23" s="4">
        <f t="shared" si="1"/>
        <v>304</v>
      </c>
      <c r="B23" s="21">
        <v>451</v>
      </c>
      <c r="C23">
        <v>4510040</v>
      </c>
      <c r="D23" t="s">
        <v>1737</v>
      </c>
      <c r="E23" s="220">
        <v>4274474.96</v>
      </c>
      <c r="F23" s="220">
        <f t="shared" ref="F23:F26" si="2">E23</f>
        <v>4274474.96</v>
      </c>
      <c r="G23" s="210" t="s">
        <v>496</v>
      </c>
      <c r="H23" s="4">
        <f t="shared" si="0"/>
        <v>304</v>
      </c>
    </row>
    <row r="24" spans="1:8">
      <c r="A24" s="4">
        <f t="shared" si="1"/>
        <v>305</v>
      </c>
      <c r="B24" s="21">
        <v>451</v>
      </c>
      <c r="C24">
        <v>4510041</v>
      </c>
      <c r="D24" t="s">
        <v>1738</v>
      </c>
      <c r="E24" s="220">
        <v>1105295.1100000001</v>
      </c>
      <c r="F24" s="220">
        <f t="shared" si="2"/>
        <v>1105295.1100000001</v>
      </c>
      <c r="G24" s="210" t="s">
        <v>496</v>
      </c>
      <c r="H24" s="4">
        <f t="shared" si="0"/>
        <v>305</v>
      </c>
    </row>
    <row r="25" spans="1:8">
      <c r="A25" s="4">
        <f t="shared" si="1"/>
        <v>306</v>
      </c>
      <c r="B25" s="21">
        <v>451</v>
      </c>
      <c r="C25">
        <v>4510043</v>
      </c>
      <c r="D25" t="s">
        <v>1739</v>
      </c>
      <c r="E25" s="220">
        <v>813701.48</v>
      </c>
      <c r="F25" s="220">
        <f t="shared" si="2"/>
        <v>813701.48</v>
      </c>
      <c r="G25" s="210" t="s">
        <v>496</v>
      </c>
      <c r="H25" s="4">
        <f t="shared" si="0"/>
        <v>306</v>
      </c>
    </row>
    <row r="26" spans="1:8">
      <c r="A26" s="4">
        <f t="shared" si="1"/>
        <v>307</v>
      </c>
      <c r="B26" s="44">
        <v>451</v>
      </c>
      <c r="C26" s="38">
        <v>4510005</v>
      </c>
      <c r="D26" s="38" t="s">
        <v>1740</v>
      </c>
      <c r="E26" s="220">
        <v>0</v>
      </c>
      <c r="F26" s="220">
        <f t="shared" si="2"/>
        <v>0</v>
      </c>
      <c r="G26" s="210"/>
      <c r="H26" s="4">
        <f t="shared" si="0"/>
        <v>307</v>
      </c>
    </row>
    <row r="27" spans="1:8">
      <c r="A27" s="4">
        <f t="shared" si="1"/>
        <v>308</v>
      </c>
      <c r="B27" s="219" t="s">
        <v>672</v>
      </c>
      <c r="C27" s="38"/>
      <c r="D27" s="38"/>
      <c r="E27" s="220"/>
      <c r="F27" s="220"/>
      <c r="G27" s="210"/>
      <c r="H27" s="4">
        <f t="shared" si="0"/>
        <v>308</v>
      </c>
    </row>
    <row r="28" spans="1:8">
      <c r="A28" s="4"/>
      <c r="B28" s="45" t="s">
        <v>1741</v>
      </c>
      <c r="C28" s="43"/>
      <c r="D28" s="43"/>
      <c r="E28" s="43"/>
      <c r="F28" s="43"/>
      <c r="G28" s="43"/>
      <c r="H28" s="4"/>
    </row>
    <row r="29" spans="1:8">
      <c r="A29" s="4">
        <v>400</v>
      </c>
      <c r="B29" s="21"/>
      <c r="D29" s="6" t="s">
        <v>1742</v>
      </c>
      <c r="E29" s="220">
        <v>3191997</v>
      </c>
      <c r="F29" s="221"/>
      <c r="G29" s="210"/>
      <c r="H29" s="4">
        <f>A29</f>
        <v>400</v>
      </c>
    </row>
    <row r="30" spans="1:8">
      <c r="A30" s="4">
        <f>A29+1</f>
        <v>401</v>
      </c>
      <c r="B30" s="21"/>
      <c r="D30" s="6" t="s">
        <v>1743</v>
      </c>
      <c r="E30" s="221">
        <f>SUM(E31:E33)</f>
        <v>3191997</v>
      </c>
      <c r="F30" s="221">
        <f>SUM(F31:F33)</f>
        <v>0</v>
      </c>
      <c r="G30" s="210"/>
      <c r="H30" s="4">
        <f>A30</f>
        <v>401</v>
      </c>
    </row>
    <row r="31" spans="1:8">
      <c r="A31" s="4">
        <f>A30+1</f>
        <v>402</v>
      </c>
      <c r="B31" s="21">
        <v>453</v>
      </c>
      <c r="C31">
        <v>4530000</v>
      </c>
      <c r="D31" t="s">
        <v>1741</v>
      </c>
      <c r="E31" s="220">
        <v>3191997</v>
      </c>
      <c r="F31" s="220"/>
      <c r="G31" s="210" t="s">
        <v>496</v>
      </c>
      <c r="H31" s="4">
        <f>A31</f>
        <v>402</v>
      </c>
    </row>
    <row r="32" spans="1:8">
      <c r="A32" s="4">
        <f>A31+1</f>
        <v>403</v>
      </c>
      <c r="B32" s="44"/>
      <c r="C32" s="38"/>
      <c r="D32" s="38"/>
      <c r="E32" s="220"/>
      <c r="F32" s="220"/>
      <c r="G32" s="210"/>
      <c r="H32" s="4">
        <f>A32</f>
        <v>403</v>
      </c>
    </row>
    <row r="33" spans="1:8">
      <c r="A33" s="4">
        <f>A32+1</f>
        <v>404</v>
      </c>
      <c r="B33" s="219" t="s">
        <v>1744</v>
      </c>
      <c r="C33" s="38"/>
      <c r="D33" s="38"/>
      <c r="E33" s="220"/>
      <c r="F33" s="220"/>
      <c r="G33" s="210"/>
      <c r="H33" s="4">
        <f>A33</f>
        <v>404</v>
      </c>
    </row>
    <row r="34" spans="1:8">
      <c r="A34" s="4"/>
      <c r="B34" s="45" t="s">
        <v>1590</v>
      </c>
      <c r="C34" s="43"/>
      <c r="D34" s="43"/>
      <c r="E34" s="43"/>
      <c r="F34" s="43"/>
      <c r="G34" s="43"/>
      <c r="H34" s="4"/>
    </row>
    <row r="35" spans="1:8">
      <c r="A35" s="4">
        <v>500</v>
      </c>
      <c r="B35" s="21"/>
      <c r="D35" s="6" t="s">
        <v>1745</v>
      </c>
      <c r="E35" s="280">
        <v>68263578</v>
      </c>
      <c r="F35" s="221"/>
      <c r="G35" s="210"/>
      <c r="H35" s="4">
        <f t="shared" ref="H35:H41" si="3">A35</f>
        <v>500</v>
      </c>
    </row>
    <row r="36" spans="1:8">
      <c r="A36" s="4">
        <f t="shared" ref="A36:A41" si="4">A35+1</f>
        <v>501</v>
      </c>
      <c r="B36" s="21"/>
      <c r="D36" s="6" t="s">
        <v>1746</v>
      </c>
      <c r="E36" s="221">
        <f>SUM(E37:E41)</f>
        <v>68263578</v>
      </c>
      <c r="F36" s="221">
        <f>SUM(F37:F41)</f>
        <v>40035414</v>
      </c>
      <c r="G36" s="210"/>
      <c r="H36" s="4">
        <f t="shared" si="3"/>
        <v>501</v>
      </c>
    </row>
    <row r="37" spans="1:8">
      <c r="A37" s="4">
        <f t="shared" si="4"/>
        <v>502</v>
      </c>
      <c r="B37" s="21">
        <v>454</v>
      </c>
      <c r="C37">
        <v>4540010</v>
      </c>
      <c r="D37" s="8" t="s">
        <v>1747</v>
      </c>
      <c r="E37" s="220">
        <v>43701376</v>
      </c>
      <c r="F37" s="220">
        <f>43701376-11530262</f>
        <v>32171114</v>
      </c>
      <c r="G37" s="210" t="s">
        <v>1748</v>
      </c>
      <c r="H37" s="4">
        <f t="shared" si="3"/>
        <v>502</v>
      </c>
    </row>
    <row r="38" spans="1:8">
      <c r="A38" s="4">
        <f t="shared" si="4"/>
        <v>503</v>
      </c>
      <c r="B38" s="21">
        <v>454</v>
      </c>
      <c r="C38">
        <v>4540012</v>
      </c>
      <c r="D38" t="s">
        <v>1749</v>
      </c>
      <c r="E38" s="220">
        <v>20169782</v>
      </c>
      <c r="F38" s="220">
        <f>20169782-13325974</f>
        <v>6843808</v>
      </c>
      <c r="G38" s="210" t="s">
        <v>496</v>
      </c>
      <c r="H38" s="4">
        <f t="shared" si="3"/>
        <v>503</v>
      </c>
    </row>
    <row r="39" spans="1:8">
      <c r="A39" s="4">
        <f t="shared" si="4"/>
        <v>504</v>
      </c>
      <c r="B39" s="21">
        <v>454</v>
      </c>
      <c r="C39">
        <v>4540013</v>
      </c>
      <c r="D39" t="s">
        <v>1750</v>
      </c>
      <c r="E39" s="220">
        <v>4392420</v>
      </c>
      <c r="F39" s="220">
        <f>4392420-3371928</f>
        <v>1020492</v>
      </c>
      <c r="G39" s="210" t="s">
        <v>496</v>
      </c>
      <c r="H39" s="4">
        <f t="shared" si="3"/>
        <v>504</v>
      </c>
    </row>
    <row r="40" spans="1:8">
      <c r="A40" s="4">
        <f t="shared" si="4"/>
        <v>505</v>
      </c>
      <c r="B40" s="44"/>
      <c r="C40" s="38"/>
      <c r="D40" s="38"/>
      <c r="E40" s="220"/>
      <c r="F40" s="220"/>
      <c r="G40" s="210"/>
      <c r="H40" s="4">
        <f t="shared" si="3"/>
        <v>505</v>
      </c>
    </row>
    <row r="41" spans="1:8">
      <c r="A41" s="4">
        <f t="shared" si="4"/>
        <v>506</v>
      </c>
      <c r="B41" s="219" t="s">
        <v>1744</v>
      </c>
      <c r="C41" s="38"/>
      <c r="D41" s="38"/>
      <c r="E41" s="220"/>
      <c r="F41" s="220"/>
      <c r="G41" s="210"/>
      <c r="H41" s="4">
        <f t="shared" si="3"/>
        <v>506</v>
      </c>
    </row>
    <row r="42" spans="1:8">
      <c r="A42" s="4"/>
      <c r="B42" s="45" t="s">
        <v>1751</v>
      </c>
      <c r="C42" s="43"/>
      <c r="D42" s="43"/>
      <c r="E42" s="43"/>
      <c r="F42" s="43"/>
      <c r="G42" s="43"/>
      <c r="H42" s="4"/>
    </row>
    <row r="43" spans="1:8">
      <c r="A43" s="4">
        <v>600</v>
      </c>
      <c r="B43" s="21"/>
      <c r="D43" s="6" t="s">
        <v>1752</v>
      </c>
      <c r="E43" s="280">
        <v>-179042742.30000007</v>
      </c>
      <c r="F43" s="221"/>
      <c r="G43" s="8" t="s">
        <v>101</v>
      </c>
      <c r="H43" s="4">
        <f t="shared" ref="H43:H63" si="5">A43</f>
        <v>600</v>
      </c>
    </row>
    <row r="44" spans="1:8">
      <c r="A44" s="4">
        <f t="shared" ref="A44:A63" si="6">A43+1</f>
        <v>601</v>
      </c>
      <c r="B44" s="21"/>
      <c r="D44" s="6" t="s">
        <v>1753</v>
      </c>
      <c r="E44" s="221">
        <f>SUM(E45:E63)</f>
        <v>-179042742.30000007</v>
      </c>
      <c r="F44" s="221">
        <f>SUM(F45:F63)</f>
        <v>197762631.60999998</v>
      </c>
      <c r="G44" s="210"/>
      <c r="H44" s="4">
        <f t="shared" si="5"/>
        <v>601</v>
      </c>
    </row>
    <row r="45" spans="1:8">
      <c r="A45" s="4">
        <f t="shared" si="6"/>
        <v>602</v>
      </c>
      <c r="B45" s="21">
        <v>456</v>
      </c>
      <c r="C45">
        <v>4560099</v>
      </c>
      <c r="D45" t="s">
        <v>1754</v>
      </c>
      <c r="E45" s="220">
        <v>85614954.869999975</v>
      </c>
      <c r="F45" s="220">
        <v>85614954.869999975</v>
      </c>
      <c r="G45" s="210" t="s">
        <v>496</v>
      </c>
      <c r="H45" s="4">
        <f t="shared" si="5"/>
        <v>602</v>
      </c>
    </row>
    <row r="46" spans="1:8">
      <c r="A46" s="4">
        <f t="shared" si="6"/>
        <v>603</v>
      </c>
      <c r="B46" s="21">
        <v>456</v>
      </c>
      <c r="D46" t="s">
        <v>1755</v>
      </c>
      <c r="E46" s="220">
        <v>624405</v>
      </c>
      <c r="F46" s="220"/>
      <c r="G46" s="210" t="s">
        <v>496</v>
      </c>
      <c r="H46" s="4">
        <f t="shared" si="5"/>
        <v>603</v>
      </c>
    </row>
    <row r="47" spans="1:8">
      <c r="A47" s="4">
        <f t="shared" si="6"/>
        <v>604</v>
      </c>
      <c r="B47" s="21">
        <v>456</v>
      </c>
      <c r="C47">
        <v>4560050</v>
      </c>
      <c r="D47" t="s">
        <v>1756</v>
      </c>
      <c r="E47" s="220">
        <v>728872.17</v>
      </c>
      <c r="F47" s="220"/>
      <c r="G47" s="210" t="s">
        <v>496</v>
      </c>
      <c r="H47" s="4">
        <f t="shared" si="5"/>
        <v>604</v>
      </c>
    </row>
    <row r="48" spans="1:8">
      <c r="A48" s="4">
        <f t="shared" si="6"/>
        <v>605</v>
      </c>
      <c r="B48" s="21">
        <v>456</v>
      </c>
      <c r="C48">
        <v>4560070</v>
      </c>
      <c r="D48" t="s">
        <v>1757</v>
      </c>
      <c r="E48" s="220">
        <v>0</v>
      </c>
      <c r="F48" s="220"/>
      <c r="G48" s="210" t="s">
        <v>496</v>
      </c>
      <c r="H48" s="4">
        <f t="shared" si="5"/>
        <v>605</v>
      </c>
    </row>
    <row r="49" spans="1:8">
      <c r="A49" s="4">
        <f t="shared" si="6"/>
        <v>606</v>
      </c>
      <c r="B49" s="21">
        <v>456</v>
      </c>
      <c r="C49">
        <v>4560014</v>
      </c>
      <c r="D49" t="s">
        <v>1758</v>
      </c>
      <c r="E49" s="220">
        <v>71187.259999999995</v>
      </c>
      <c r="F49" s="220"/>
      <c r="G49" s="210" t="s">
        <v>496</v>
      </c>
      <c r="H49" s="4">
        <f t="shared" si="5"/>
        <v>606</v>
      </c>
    </row>
    <row r="50" spans="1:8">
      <c r="A50" s="4">
        <f t="shared" si="6"/>
        <v>607</v>
      </c>
      <c r="B50" s="21">
        <v>456</v>
      </c>
      <c r="C50">
        <v>4560022</v>
      </c>
      <c r="D50" t="s">
        <v>1759</v>
      </c>
      <c r="E50" s="220">
        <v>2867317.7300000004</v>
      </c>
      <c r="F50" s="220">
        <v>2867317.7300000004</v>
      </c>
      <c r="G50" s="210" t="s">
        <v>496</v>
      </c>
      <c r="H50" s="4">
        <f t="shared" si="5"/>
        <v>607</v>
      </c>
    </row>
    <row r="51" spans="1:8">
      <c r="A51" s="4">
        <f t="shared" si="6"/>
        <v>608</v>
      </c>
      <c r="B51" s="21">
        <v>456</v>
      </c>
      <c r="C51">
        <v>4560093</v>
      </c>
      <c r="D51" t="s">
        <v>1760</v>
      </c>
      <c r="E51" s="220">
        <v>4937.76</v>
      </c>
      <c r="F51" s="220">
        <v>4937.76</v>
      </c>
      <c r="G51" s="210" t="s">
        <v>496</v>
      </c>
      <c r="H51" s="4">
        <f t="shared" si="5"/>
        <v>608</v>
      </c>
    </row>
    <row r="52" spans="1:8">
      <c r="A52" s="4">
        <f t="shared" si="6"/>
        <v>609</v>
      </c>
      <c r="B52" s="21">
        <v>456</v>
      </c>
      <c r="C52">
        <v>4560091</v>
      </c>
      <c r="D52" t="s">
        <v>1761</v>
      </c>
      <c r="E52" s="220">
        <v>48106710.039999999</v>
      </c>
      <c r="F52" s="220"/>
      <c r="G52" s="210" t="s">
        <v>496</v>
      </c>
      <c r="H52" s="4">
        <f t="shared" si="5"/>
        <v>609</v>
      </c>
    </row>
    <row r="53" spans="1:8">
      <c r="A53" s="4">
        <f t="shared" si="6"/>
        <v>610</v>
      </c>
      <c r="B53" s="21">
        <v>456</v>
      </c>
      <c r="C53">
        <v>4560098</v>
      </c>
      <c r="D53" t="s">
        <v>1762</v>
      </c>
      <c r="E53" s="220">
        <v>77058758.680000007</v>
      </c>
      <c r="F53" s="220">
        <f>77058758.68-13022623</f>
        <v>64036135.680000007</v>
      </c>
      <c r="G53" s="210" t="s">
        <v>496</v>
      </c>
      <c r="H53" s="4">
        <f t="shared" si="5"/>
        <v>610</v>
      </c>
    </row>
    <row r="54" spans="1:8">
      <c r="A54" s="4">
        <f t="shared" si="6"/>
        <v>611</v>
      </c>
      <c r="B54" s="21">
        <v>456</v>
      </c>
      <c r="C54">
        <v>4560000</v>
      </c>
      <c r="D54" t="s">
        <v>1763</v>
      </c>
      <c r="E54" s="220">
        <v>35213382</v>
      </c>
      <c r="F54" s="220"/>
      <c r="G54" s="210" t="s">
        <v>496</v>
      </c>
      <c r="H54" s="4">
        <f t="shared" si="5"/>
        <v>611</v>
      </c>
    </row>
    <row r="55" spans="1:8">
      <c r="A55" s="4">
        <f t="shared" si="6"/>
        <v>612</v>
      </c>
      <c r="B55" s="21">
        <v>456</v>
      </c>
      <c r="C55">
        <v>4560001</v>
      </c>
      <c r="D55" t="s">
        <v>1764</v>
      </c>
      <c r="E55" s="220">
        <v>43991133.649999991</v>
      </c>
      <c r="F55" s="220">
        <f>43991133.65-1514202-12</f>
        <v>42476919.649999999</v>
      </c>
      <c r="G55" s="210" t="s">
        <v>1765</v>
      </c>
      <c r="H55" s="4">
        <f t="shared" si="5"/>
        <v>612</v>
      </c>
    </row>
    <row r="56" spans="1:8">
      <c r="A56" s="4">
        <f t="shared" si="6"/>
        <v>613</v>
      </c>
      <c r="B56" s="21">
        <v>456</v>
      </c>
      <c r="C56">
        <v>4560002</v>
      </c>
      <c r="D56" t="s">
        <v>1766</v>
      </c>
      <c r="E56" s="220">
        <v>-1254</v>
      </c>
      <c r="F56" s="220">
        <v>-1254</v>
      </c>
      <c r="G56" s="210" t="s">
        <v>496</v>
      </c>
      <c r="H56" s="4">
        <f t="shared" si="5"/>
        <v>613</v>
      </c>
    </row>
    <row r="57" spans="1:8">
      <c r="A57" s="4">
        <f t="shared" si="6"/>
        <v>614</v>
      </c>
      <c r="B57" s="21">
        <v>456</v>
      </c>
      <c r="C57">
        <v>4560003</v>
      </c>
      <c r="D57" t="s">
        <v>1767</v>
      </c>
      <c r="E57" s="220">
        <v>14702254.24</v>
      </c>
      <c r="F57" s="220"/>
      <c r="G57" s="210" t="s">
        <v>496</v>
      </c>
      <c r="H57" s="4">
        <f t="shared" si="5"/>
        <v>614</v>
      </c>
    </row>
    <row r="58" spans="1:8">
      <c r="A58" s="4">
        <f t="shared" si="6"/>
        <v>615</v>
      </c>
      <c r="B58" s="21">
        <v>456</v>
      </c>
      <c r="C58">
        <v>4560095</v>
      </c>
      <c r="D58" t="s">
        <v>1768</v>
      </c>
      <c r="E58" s="220">
        <v>-422472356.57999998</v>
      </c>
      <c r="F58" s="220"/>
      <c r="G58" s="210" t="s">
        <v>496</v>
      </c>
      <c r="H58" s="4">
        <f t="shared" si="5"/>
        <v>615</v>
      </c>
    </row>
    <row r="59" spans="1:8">
      <c r="A59" s="4">
        <f t="shared" si="6"/>
        <v>616</v>
      </c>
      <c r="B59" s="21">
        <v>456</v>
      </c>
      <c r="C59">
        <v>4560005</v>
      </c>
      <c r="D59" t="s">
        <v>1769</v>
      </c>
      <c r="E59" s="220">
        <v>-102089590.55</v>
      </c>
      <c r="F59" s="220"/>
      <c r="G59" s="210" t="s">
        <v>496</v>
      </c>
      <c r="H59" s="4">
        <f t="shared" si="5"/>
        <v>616</v>
      </c>
    </row>
    <row r="60" spans="1:8">
      <c r="A60" s="4">
        <f t="shared" si="6"/>
        <v>617</v>
      </c>
      <c r="B60" s="21">
        <v>456</v>
      </c>
      <c r="C60">
        <v>9414000</v>
      </c>
      <c r="D60" t="s">
        <v>1770</v>
      </c>
      <c r="E60" s="220">
        <v>0</v>
      </c>
      <c r="F60" s="220"/>
      <c r="G60" s="210" t="s">
        <v>496</v>
      </c>
      <c r="H60" s="4">
        <f t="shared" si="5"/>
        <v>617</v>
      </c>
    </row>
    <row r="61" spans="1:8">
      <c r="A61" s="4">
        <f t="shared" si="6"/>
        <v>618</v>
      </c>
      <c r="B61" s="21">
        <v>456.1</v>
      </c>
      <c r="C61">
        <v>4561000</v>
      </c>
      <c r="D61" t="s">
        <v>1771</v>
      </c>
      <c r="E61" s="220">
        <v>4420311.08</v>
      </c>
      <c r="F61" s="220"/>
      <c r="G61" s="210" t="s">
        <v>1772</v>
      </c>
      <c r="H61" s="4">
        <f t="shared" si="5"/>
        <v>618</v>
      </c>
    </row>
    <row r="62" spans="1:8">
      <c r="A62" s="4">
        <f t="shared" si="6"/>
        <v>619</v>
      </c>
      <c r="B62" s="44">
        <v>456</v>
      </c>
      <c r="C62" s="38">
        <v>4560052</v>
      </c>
      <c r="D62" s="38" t="s">
        <v>1754</v>
      </c>
      <c r="E62" s="220">
        <v>32116234.349999934</v>
      </c>
      <c r="F62" s="220">
        <v>2763619.92</v>
      </c>
      <c r="G62" s="210" t="s">
        <v>496</v>
      </c>
      <c r="H62" s="4">
        <f t="shared" si="5"/>
        <v>619</v>
      </c>
    </row>
    <row r="63" spans="1:8">
      <c r="A63" s="4">
        <f t="shared" si="6"/>
        <v>620</v>
      </c>
      <c r="B63" s="219" t="s">
        <v>1744</v>
      </c>
      <c r="C63" s="38"/>
      <c r="D63" s="38"/>
      <c r="E63" s="220"/>
      <c r="F63" s="220"/>
      <c r="G63" s="210"/>
      <c r="H63" s="4">
        <f t="shared" si="5"/>
        <v>620</v>
      </c>
    </row>
    <row r="65" spans="1:8">
      <c r="A65" s="4"/>
      <c r="B65" s="7" t="s">
        <v>674</v>
      </c>
      <c r="E65" s="210"/>
      <c r="H65" s="4"/>
    </row>
    <row r="66" spans="1:8">
      <c r="A66" s="4"/>
      <c r="B66" t="s">
        <v>1773</v>
      </c>
      <c r="H66" s="4"/>
    </row>
    <row r="67" spans="1:8">
      <c r="A67" s="4"/>
      <c r="B67" t="s">
        <v>1774</v>
      </c>
      <c r="H67" s="4"/>
    </row>
    <row r="68" spans="1:8">
      <c r="B68" t="s">
        <v>1775</v>
      </c>
    </row>
    <row r="69" spans="1:8">
      <c r="B69" t="s">
        <v>1776</v>
      </c>
    </row>
    <row r="70" spans="1:8">
      <c r="B70" t="s">
        <v>1777</v>
      </c>
    </row>
  </sheetData>
  <phoneticPr fontId="104" type="noConversion"/>
  <printOptions horizontalCentered="1"/>
  <pageMargins left="1" right="1" top="1" bottom="1" header="0.5" footer="0.5"/>
  <pageSetup scale="45" orientation="landscape" r:id="rId1"/>
  <headerFooter>
    <oddHeader>&amp;RDocket No. ER20-2878-000, et al.- Annual Update RY2024
&amp;F</oddHeader>
  </headerFooter>
  <rowBreaks count="1" manualBreakCount="1">
    <brk id="41" max="7" man="1"/>
  </rowBreaks>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42A27-762D-434C-B449-A5273A37DD24}">
  <sheetPr codeName="Sheet28">
    <pageSetUpPr fitToPage="1"/>
  </sheetPr>
  <dimension ref="A1:I22"/>
  <sheetViews>
    <sheetView view="pageBreakPreview" zoomScaleNormal="100" zoomScaleSheetLayoutView="100" workbookViewId="0">
      <selection activeCell="W98" sqref="W98"/>
    </sheetView>
  </sheetViews>
  <sheetFormatPr defaultRowHeight="14.5"/>
  <cols>
    <col min="2" max="2" width="64.7265625" bestFit="1" customWidth="1"/>
    <col min="3" max="3" width="17.54296875" bestFit="1" customWidth="1"/>
    <col min="4" max="4" width="56" bestFit="1" customWidth="1"/>
    <col min="6" max="6" width="15.54296875" bestFit="1" customWidth="1"/>
  </cols>
  <sheetData>
    <row r="1" spans="1:9">
      <c r="B1" s="2" t="s">
        <v>1778</v>
      </c>
      <c r="D1" s="6" t="str">
        <f>CONCATENATE("Rate Year: ",'1-DRR Corrected'!$K$1)</f>
        <v>Rate Year: 2023</v>
      </c>
    </row>
    <row r="2" spans="1:9">
      <c r="B2" s="2"/>
    </row>
    <row r="3" spans="1:9">
      <c r="B3" s="45" t="s">
        <v>1779</v>
      </c>
      <c r="C3" s="43"/>
      <c r="D3" s="43"/>
    </row>
    <row r="4" spans="1:9">
      <c r="A4" s="3" t="s">
        <v>90</v>
      </c>
      <c r="B4" s="2"/>
      <c r="D4" s="3" t="s">
        <v>126</v>
      </c>
      <c r="E4" s="3" t="s">
        <v>90</v>
      </c>
    </row>
    <row r="5" spans="1:9">
      <c r="A5" s="4">
        <v>100</v>
      </c>
      <c r="B5" s="6" t="s">
        <v>1780</v>
      </c>
      <c r="C5" s="226">
        <f>C17</f>
        <v>8.9783565139574303E-3</v>
      </c>
      <c r="D5" t="s">
        <v>1781</v>
      </c>
      <c r="E5" s="4">
        <f t="shared" ref="E5" si="0">A5</f>
        <v>100</v>
      </c>
    </row>
    <row r="6" spans="1:9">
      <c r="B6" s="2"/>
    </row>
    <row r="7" spans="1:9">
      <c r="B7" s="45" t="s">
        <v>1782</v>
      </c>
      <c r="C7" s="43"/>
      <c r="D7" s="43"/>
    </row>
    <row r="8" spans="1:9">
      <c r="A8" s="3" t="s">
        <v>90</v>
      </c>
      <c r="B8" s="3" t="s">
        <v>7</v>
      </c>
      <c r="C8" s="3" t="s">
        <v>599</v>
      </c>
      <c r="D8" s="3" t="s">
        <v>126</v>
      </c>
      <c r="E8" s="3" t="str">
        <f>A8</f>
        <v>Line</v>
      </c>
    </row>
    <row r="9" spans="1:9">
      <c r="A9" s="4">
        <v>200</v>
      </c>
      <c r="B9" t="s">
        <v>9</v>
      </c>
      <c r="C9" s="24">
        <f>'1-DRR Corrected'!E120</f>
        <v>7188103864.6374359</v>
      </c>
      <c r="D9" t="s">
        <v>1783</v>
      </c>
      <c r="E9" s="4">
        <f t="shared" ref="E9:E17" si="1">A9</f>
        <v>200</v>
      </c>
      <c r="F9" s="24"/>
    </row>
    <row r="10" spans="1:9">
      <c r="A10" s="4">
        <f>A9+1</f>
        <v>201</v>
      </c>
      <c r="B10" t="s">
        <v>282</v>
      </c>
      <c r="C10" s="24">
        <f>'1-DRR Corrected'!E106</f>
        <v>1400364261.8912339</v>
      </c>
      <c r="D10" t="s">
        <v>1784</v>
      </c>
      <c r="E10" s="4">
        <f t="shared" si="1"/>
        <v>201</v>
      </c>
      <c r="F10" s="24"/>
    </row>
    <row r="11" spans="1:9">
      <c r="A11" s="4">
        <f t="shared" ref="A11:A17" si="2">A10+1</f>
        <v>202</v>
      </c>
      <c r="B11" t="s">
        <v>1785</v>
      </c>
      <c r="C11" s="24">
        <f>'1-DRR Corrected'!E9</f>
        <v>2889991282.3299999</v>
      </c>
      <c r="D11" t="s">
        <v>1786</v>
      </c>
      <c r="E11" s="4">
        <f t="shared" si="1"/>
        <v>202</v>
      </c>
      <c r="F11" s="24"/>
      <c r="I11" s="400"/>
    </row>
    <row r="12" spans="1:9">
      <c r="A12" s="4">
        <f t="shared" si="2"/>
        <v>203</v>
      </c>
      <c r="B12" s="8" t="s">
        <v>1787</v>
      </c>
      <c r="C12" s="24">
        <f>'1-DRR Corrected'!E10</f>
        <v>39661594313.639999</v>
      </c>
      <c r="D12" t="s">
        <v>1788</v>
      </c>
      <c r="E12" s="4">
        <f t="shared" si="1"/>
        <v>203</v>
      </c>
      <c r="F12" s="24"/>
      <c r="I12" s="400"/>
    </row>
    <row r="13" spans="1:9">
      <c r="A13" s="4">
        <f t="shared" si="2"/>
        <v>204</v>
      </c>
      <c r="B13" t="s">
        <v>1789</v>
      </c>
      <c r="C13" s="24">
        <f>'1-DRR Corrected'!E108+'1-DRR Corrected'!E110</f>
        <v>1633624473.0841255</v>
      </c>
      <c r="D13" t="s">
        <v>1790</v>
      </c>
      <c r="E13" s="4">
        <f t="shared" si="1"/>
        <v>204</v>
      </c>
      <c r="F13" s="24"/>
      <c r="I13" s="400"/>
    </row>
    <row r="14" spans="1:9">
      <c r="A14" s="4">
        <f t="shared" si="2"/>
        <v>205</v>
      </c>
      <c r="B14" t="s">
        <v>1791</v>
      </c>
      <c r="C14" s="24">
        <f>(C11/C12)*C13</f>
        <v>119036074.25560324</v>
      </c>
      <c r="D14" t="s">
        <v>1792</v>
      </c>
      <c r="E14" s="4">
        <f t="shared" si="1"/>
        <v>205</v>
      </c>
      <c r="F14" s="24"/>
      <c r="I14" s="400"/>
    </row>
    <row r="15" spans="1:9">
      <c r="A15" s="4">
        <f t="shared" si="2"/>
        <v>206</v>
      </c>
      <c r="B15" t="s">
        <v>1793</v>
      </c>
      <c r="C15" s="24">
        <f>C9-C10-C13+C14</f>
        <v>4273151203.9176803</v>
      </c>
      <c r="D15" t="s">
        <v>1794</v>
      </c>
      <c r="E15" s="4">
        <f t="shared" si="1"/>
        <v>206</v>
      </c>
      <c r="F15" s="24"/>
    </row>
    <row r="16" spans="1:9">
      <c r="A16" s="4">
        <f t="shared" si="2"/>
        <v>207</v>
      </c>
      <c r="B16" t="s">
        <v>1795</v>
      </c>
      <c r="C16" s="442">
        <f>C15/C12</f>
        <v>0.10774027816748917</v>
      </c>
      <c r="D16" t="s">
        <v>1796</v>
      </c>
      <c r="E16" s="4">
        <f t="shared" si="1"/>
        <v>207</v>
      </c>
      <c r="F16" s="442"/>
    </row>
    <row r="17" spans="1:6">
      <c r="A17" s="4">
        <f t="shared" si="2"/>
        <v>208</v>
      </c>
      <c r="B17" t="s">
        <v>1797</v>
      </c>
      <c r="C17" s="442">
        <f>C16/12</f>
        <v>8.9783565139574303E-3</v>
      </c>
      <c r="D17" t="s">
        <v>1798</v>
      </c>
      <c r="E17" s="4">
        <f t="shared" si="1"/>
        <v>208</v>
      </c>
      <c r="F17" s="442"/>
    </row>
    <row r="22" spans="1:6">
      <c r="C22" s="29"/>
    </row>
  </sheetData>
  <printOptions horizontalCentered="1"/>
  <pageMargins left="1" right="1" top="1" bottom="1" header="0.5" footer="0.5"/>
  <pageSetup scale="74" orientation="landscape" r:id="rId1"/>
  <headerFooter>
    <oddHeader>&amp;RDocket No. ER20-2878-000, et al.- Annual Update RY2024
&amp;F</oddHeader>
  </headerFooter>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pageSetUpPr fitToPage="1"/>
  </sheetPr>
  <dimension ref="A1:F25"/>
  <sheetViews>
    <sheetView view="pageBreakPreview" topLeftCell="A4" zoomScale="85" zoomScaleNormal="100" zoomScaleSheetLayoutView="85" workbookViewId="0">
      <selection activeCell="W98" sqref="W98"/>
    </sheetView>
  </sheetViews>
  <sheetFormatPr defaultColWidth="9.1796875" defaultRowHeight="14.5"/>
  <cols>
    <col min="1" max="1" width="4.7265625" bestFit="1" customWidth="1"/>
    <col min="2" max="2" width="34.81640625" bestFit="1" customWidth="1"/>
    <col min="3" max="3" width="9.453125" customWidth="1"/>
    <col min="4" max="4" width="46" customWidth="1"/>
    <col min="5" max="5" width="46.1796875" customWidth="1"/>
    <col min="6" max="6" width="4.7265625" bestFit="1" customWidth="1"/>
  </cols>
  <sheetData>
    <row r="1" spans="1:6">
      <c r="B1" s="105" t="s">
        <v>59</v>
      </c>
      <c r="D1" s="5"/>
      <c r="E1" s="6" t="str">
        <f>CONCATENATE("Prior Year: ",'1-DRR Corrected'!$K$2)</f>
        <v>Prior Year: 2021</v>
      </c>
    </row>
    <row r="2" spans="1:6">
      <c r="B2" s="78" t="s">
        <v>120</v>
      </c>
      <c r="D2" s="5"/>
      <c r="E2" s="6"/>
    </row>
    <row r="3" spans="1:6">
      <c r="B3" s="105"/>
    </row>
    <row r="4" spans="1:6">
      <c r="B4" s="45" t="s">
        <v>1799</v>
      </c>
      <c r="C4" s="43"/>
      <c r="D4" s="43"/>
      <c r="E4" s="43"/>
    </row>
    <row r="5" spans="1:6">
      <c r="A5" s="3" t="s">
        <v>90</v>
      </c>
      <c r="B5" s="3" t="s">
        <v>7</v>
      </c>
      <c r="C5" s="3" t="s">
        <v>583</v>
      </c>
      <c r="D5" s="3" t="s">
        <v>631</v>
      </c>
      <c r="E5" s="3" t="s">
        <v>131</v>
      </c>
      <c r="F5" s="3" t="str">
        <f>A5</f>
        <v>Line</v>
      </c>
    </row>
    <row r="6" spans="1:6">
      <c r="A6" s="91">
        <v>100</v>
      </c>
      <c r="B6" t="s">
        <v>244</v>
      </c>
      <c r="C6" s="39">
        <v>0.21</v>
      </c>
      <c r="D6" s="33" t="s">
        <v>1800</v>
      </c>
      <c r="E6" s="180" t="s">
        <v>1801</v>
      </c>
      <c r="F6" s="91">
        <f>A6</f>
        <v>100</v>
      </c>
    </row>
    <row r="7" spans="1:6">
      <c r="A7" s="91">
        <f>A6+1</f>
        <v>101</v>
      </c>
      <c r="B7" t="s">
        <v>1802</v>
      </c>
      <c r="C7" s="39">
        <v>8.8400000000000006E-2</v>
      </c>
      <c r="D7" t="s">
        <v>1803</v>
      </c>
      <c r="E7" s="180" t="s">
        <v>1804</v>
      </c>
      <c r="F7" s="91">
        <f>A7</f>
        <v>101</v>
      </c>
    </row>
    <row r="8" spans="1:6" ht="30.75" customHeight="1">
      <c r="A8" s="91">
        <v>102</v>
      </c>
      <c r="B8" t="s">
        <v>1805</v>
      </c>
      <c r="C8" s="30">
        <f>-C6*C7</f>
        <v>-1.8564000000000001E-2</v>
      </c>
      <c r="D8" s="34" t="s">
        <v>1806</v>
      </c>
      <c r="E8" s="190" t="s">
        <v>1807</v>
      </c>
      <c r="F8" s="91">
        <v>102</v>
      </c>
    </row>
    <row r="9" spans="1:6">
      <c r="A9" s="91">
        <v>103</v>
      </c>
      <c r="B9" s="2" t="s">
        <v>1808</v>
      </c>
      <c r="C9" s="687">
        <f>SUM(C6:C8)</f>
        <v>0.27983599999999997</v>
      </c>
      <c r="D9" t="s">
        <v>1809</v>
      </c>
      <c r="F9" s="91">
        <v>103</v>
      </c>
    </row>
    <row r="10" spans="1:6">
      <c r="A10" s="91"/>
      <c r="B10" s="2"/>
      <c r="C10" s="226"/>
      <c r="F10" s="91"/>
    </row>
    <row r="11" spans="1:6">
      <c r="A11" s="91"/>
      <c r="B11" s="45" t="s">
        <v>1810</v>
      </c>
      <c r="C11" s="43"/>
      <c r="D11" s="43"/>
      <c r="E11" s="43"/>
    </row>
    <row r="12" spans="1:6">
      <c r="A12" s="3" t="s">
        <v>90</v>
      </c>
      <c r="B12" s="3" t="s">
        <v>7</v>
      </c>
      <c r="C12" s="3" t="s">
        <v>583</v>
      </c>
      <c r="D12" s="3" t="s">
        <v>631</v>
      </c>
      <c r="E12" s="3" t="s">
        <v>131</v>
      </c>
      <c r="F12" s="3" t="str">
        <f>A12</f>
        <v>Line</v>
      </c>
    </row>
    <row r="13" spans="1:6">
      <c r="A13" s="91">
        <v>200</v>
      </c>
      <c r="B13" t="s">
        <v>244</v>
      </c>
      <c r="C13" s="39">
        <v>0.21</v>
      </c>
      <c r="D13" s="33" t="s">
        <v>1800</v>
      </c>
      <c r="E13" s="180" t="s">
        <v>1801</v>
      </c>
      <c r="F13" s="91">
        <f>A13</f>
        <v>200</v>
      </c>
    </row>
    <row r="14" spans="1:6">
      <c r="A14" s="91">
        <f>A13+1</f>
        <v>201</v>
      </c>
      <c r="B14" t="s">
        <v>1802</v>
      </c>
      <c r="C14" s="39">
        <v>8.8400000000000006E-2</v>
      </c>
      <c r="D14" t="s">
        <v>1803</v>
      </c>
      <c r="E14" s="180" t="s">
        <v>1804</v>
      </c>
      <c r="F14" s="91">
        <f>A14</f>
        <v>201</v>
      </c>
    </row>
    <row r="15" spans="1:6" ht="29">
      <c r="A15" s="91">
        <f>A14+1</f>
        <v>202</v>
      </c>
      <c r="B15" t="s">
        <v>1805</v>
      </c>
      <c r="C15" s="30">
        <f>-C13*C14</f>
        <v>-1.8564000000000001E-2</v>
      </c>
      <c r="D15" s="34" t="s">
        <v>1806</v>
      </c>
      <c r="E15" s="190" t="s">
        <v>1807</v>
      </c>
      <c r="F15" s="91">
        <f>A15</f>
        <v>202</v>
      </c>
    </row>
    <row r="16" spans="1:6">
      <c r="A16" s="91">
        <f>A15+1</f>
        <v>203</v>
      </c>
      <c r="B16" s="2" t="s">
        <v>1808</v>
      </c>
      <c r="C16" s="687">
        <f>SUM(C13:C15)</f>
        <v>0.27983599999999997</v>
      </c>
      <c r="D16" t="s">
        <v>1809</v>
      </c>
      <c r="F16" s="91">
        <f>A16</f>
        <v>203</v>
      </c>
    </row>
    <row r="25" spans="4:4">
      <c r="D25" s="8"/>
    </row>
  </sheetData>
  <printOptions horizontalCentered="1"/>
  <pageMargins left="1" right="1" top="1" bottom="1" header="0.5" footer="0.5"/>
  <pageSetup scale="77" orientation="landscape" r:id="rId1"/>
  <headerFooter>
    <oddHeader>&amp;RDocket No. ER20-2878-000, et al.- Annual Update RY2024
&amp;F</oddHeader>
  </headerFooter>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113CF-59E6-4409-9A03-FEE686309C0A}">
  <sheetPr codeName="Sheet30">
    <pageSetUpPr fitToPage="1"/>
  </sheetPr>
  <dimension ref="A1:E41"/>
  <sheetViews>
    <sheetView view="pageBreakPreview" zoomScale="40" zoomScaleNormal="100" zoomScaleSheetLayoutView="40" workbookViewId="0">
      <selection activeCell="W98" sqref="W98"/>
    </sheetView>
  </sheetViews>
  <sheetFormatPr defaultColWidth="9.1796875" defaultRowHeight="14.5"/>
  <cols>
    <col min="1" max="1" width="4.7265625" style="455" bestFit="1" customWidth="1"/>
    <col min="2" max="2" width="44.7265625" style="455" bestFit="1" customWidth="1"/>
    <col min="3" max="3" width="9.1796875" style="455" bestFit="1" customWidth="1"/>
    <col min="4" max="4" width="62.81640625" style="455" bestFit="1" customWidth="1"/>
    <col min="5" max="5" width="4.7265625" style="455" bestFit="1" customWidth="1"/>
    <col min="6" max="16384" width="9.1796875" style="455"/>
  </cols>
  <sheetData>
    <row r="1" spans="1:5">
      <c r="B1" s="105" t="s">
        <v>1811</v>
      </c>
      <c r="D1" s="6" t="str">
        <f>CONCATENATE("Rate Year: ",'1-DRR Corrected'!$K$1)</f>
        <v>Rate Year: 2023</v>
      </c>
    </row>
    <row r="2" spans="1:5">
      <c r="B2" s="472" t="s">
        <v>120</v>
      </c>
    </row>
    <row r="4" spans="1:5">
      <c r="B4" s="45" t="s">
        <v>1812</v>
      </c>
      <c r="C4" s="45"/>
      <c r="D4" s="45"/>
    </row>
    <row r="5" spans="1:5">
      <c r="B5" s="2"/>
      <c r="C5" s="2"/>
      <c r="D5" s="2"/>
    </row>
    <row r="6" spans="1:5">
      <c r="B6" s="775" t="s">
        <v>1813</v>
      </c>
      <c r="C6" s="775"/>
      <c r="D6" s="775"/>
    </row>
    <row r="7" spans="1:5">
      <c r="A7" s="3" t="s">
        <v>90</v>
      </c>
      <c r="B7" s="3" t="s">
        <v>7</v>
      </c>
      <c r="C7" s="453" t="s">
        <v>599</v>
      </c>
      <c r="D7" s="3" t="s">
        <v>126</v>
      </c>
      <c r="E7" s="3" t="str">
        <f>A7</f>
        <v>Line</v>
      </c>
    </row>
    <row r="8" spans="1:5">
      <c r="A8" s="454">
        <v>100</v>
      </c>
      <c r="B8" s="447" t="s">
        <v>1814</v>
      </c>
      <c r="C8" s="449">
        <v>78.89</v>
      </c>
      <c r="D8" s="456" t="s">
        <v>1815</v>
      </c>
      <c r="E8" s="4">
        <f t="shared" ref="E8:E20" si="0">A8</f>
        <v>100</v>
      </c>
    </row>
    <row r="9" spans="1:5">
      <c r="A9" s="454"/>
      <c r="B9" s="448"/>
      <c r="C9" s="459"/>
      <c r="D9" s="456"/>
      <c r="E9" s="4"/>
    </row>
    <row r="10" spans="1:5">
      <c r="A10" s="454"/>
      <c r="B10" s="448" t="s">
        <v>1816</v>
      </c>
      <c r="C10" s="452"/>
      <c r="D10" s="456"/>
      <c r="E10" s="4"/>
    </row>
    <row r="11" spans="1:5">
      <c r="A11" s="454">
        <f>A8+1</f>
        <v>101</v>
      </c>
      <c r="B11" s="455" t="s">
        <v>1817</v>
      </c>
      <c r="C11" s="449">
        <v>7.52</v>
      </c>
      <c r="D11" s="144" t="s">
        <v>1818</v>
      </c>
      <c r="E11" s="4">
        <f t="shared" si="0"/>
        <v>101</v>
      </c>
    </row>
    <row r="12" spans="1:5">
      <c r="A12" s="454">
        <f>A11+1</f>
        <v>102</v>
      </c>
      <c r="B12" s="455" t="s">
        <v>1819</v>
      </c>
      <c r="C12" s="449">
        <v>1.95</v>
      </c>
      <c r="D12" s="144" t="s">
        <v>1818</v>
      </c>
      <c r="E12" s="4">
        <f t="shared" si="0"/>
        <v>102</v>
      </c>
    </row>
    <row r="13" spans="1:5">
      <c r="A13" s="454">
        <f t="shared" ref="A13:A18" si="1">A12+1</f>
        <v>103</v>
      </c>
      <c r="B13" s="455" t="s">
        <v>1820</v>
      </c>
      <c r="C13" s="449">
        <v>3.59</v>
      </c>
      <c r="D13" s="144" t="s">
        <v>1818</v>
      </c>
      <c r="E13" s="4">
        <f t="shared" si="0"/>
        <v>103</v>
      </c>
    </row>
    <row r="14" spans="1:5">
      <c r="A14" s="454">
        <f t="shared" si="1"/>
        <v>104</v>
      </c>
      <c r="B14" s="455" t="s">
        <v>1821</v>
      </c>
      <c r="C14" s="449">
        <v>25.85</v>
      </c>
      <c r="D14" s="144" t="s">
        <v>1818</v>
      </c>
      <c r="E14" s="4">
        <f t="shared" si="0"/>
        <v>104</v>
      </c>
    </row>
    <row r="15" spans="1:5">
      <c r="A15" s="454">
        <f t="shared" si="1"/>
        <v>105</v>
      </c>
      <c r="B15" s="455" t="s">
        <v>1822</v>
      </c>
      <c r="C15" s="449">
        <v>5.16</v>
      </c>
      <c r="D15" s="144" t="s">
        <v>1818</v>
      </c>
      <c r="E15" s="4">
        <f t="shared" si="0"/>
        <v>105</v>
      </c>
    </row>
    <row r="16" spans="1:5">
      <c r="A16" s="454">
        <f t="shared" si="1"/>
        <v>106</v>
      </c>
      <c r="B16" s="455" t="s">
        <v>1823</v>
      </c>
      <c r="C16" s="449">
        <v>7.73</v>
      </c>
      <c r="D16" s="144" t="s">
        <v>1818</v>
      </c>
      <c r="E16" s="4">
        <f t="shared" si="0"/>
        <v>106</v>
      </c>
    </row>
    <row r="17" spans="1:5">
      <c r="A17" s="454">
        <f t="shared" si="1"/>
        <v>107</v>
      </c>
      <c r="B17" s="455" t="s">
        <v>1824</v>
      </c>
      <c r="C17" s="449">
        <v>34.92</v>
      </c>
      <c r="D17" s="144" t="s">
        <v>1818</v>
      </c>
      <c r="E17" s="4">
        <f t="shared" si="0"/>
        <v>107</v>
      </c>
    </row>
    <row r="18" spans="1:5">
      <c r="A18" s="454">
        <f t="shared" si="1"/>
        <v>108</v>
      </c>
      <c r="B18" s="447" t="s">
        <v>1825</v>
      </c>
      <c r="C18" s="450">
        <f>SUM(C11:C17)</f>
        <v>86.72</v>
      </c>
      <c r="D18" s="456" t="s">
        <v>1826</v>
      </c>
      <c r="E18" s="4">
        <f t="shared" si="0"/>
        <v>108</v>
      </c>
    </row>
    <row r="19" spans="1:5" ht="15" customHeight="1">
      <c r="A19" s="454"/>
      <c r="C19" s="452"/>
      <c r="D19" s="456"/>
      <c r="E19" s="4"/>
    </row>
    <row r="20" spans="1:5">
      <c r="A20" s="454">
        <f>A18+1</f>
        <v>109</v>
      </c>
      <c r="B20" s="447" t="s">
        <v>1827</v>
      </c>
      <c r="C20" s="451">
        <f>C8+C18</f>
        <v>165.61</v>
      </c>
      <c r="D20" s="456" t="s">
        <v>1828</v>
      </c>
      <c r="E20" s="4">
        <f t="shared" si="0"/>
        <v>109</v>
      </c>
    </row>
    <row r="22" spans="1:5">
      <c r="B22" s="45" t="s">
        <v>1829</v>
      </c>
      <c r="C22" s="45"/>
      <c r="D22" s="45"/>
    </row>
    <row r="24" spans="1:5" ht="29">
      <c r="A24" s="3" t="s">
        <v>90</v>
      </c>
      <c r="B24" s="3" t="s">
        <v>489</v>
      </c>
      <c r="C24" s="110" t="s">
        <v>1830</v>
      </c>
      <c r="D24" s="458" t="s">
        <v>1831</v>
      </c>
      <c r="E24" s="3" t="str">
        <f>A24</f>
        <v>Line</v>
      </c>
    </row>
    <row r="25" spans="1:5">
      <c r="A25" s="454">
        <v>200</v>
      </c>
      <c r="B25" s="460" t="s">
        <v>1832</v>
      </c>
      <c r="C25" s="180">
        <v>40</v>
      </c>
      <c r="D25" s="452">
        <f>C25*$C$20</f>
        <v>6624.4000000000005</v>
      </c>
      <c r="E25" s="454">
        <f t="shared" ref="E25:E31" si="2">A25</f>
        <v>200</v>
      </c>
    </row>
    <row r="26" spans="1:5">
      <c r="A26" s="454">
        <f>A25+1</f>
        <v>201</v>
      </c>
      <c r="B26" s="460" t="s">
        <v>930</v>
      </c>
      <c r="C26" s="180">
        <v>3.5</v>
      </c>
      <c r="D26" s="452">
        <f t="shared" ref="D26:D31" si="3">C26*$C$20</f>
        <v>579.63499999999999</v>
      </c>
      <c r="E26" s="454">
        <f t="shared" si="2"/>
        <v>201</v>
      </c>
    </row>
    <row r="27" spans="1:5">
      <c r="A27" s="454">
        <f t="shared" ref="A27:A30" si="4">A26+1</f>
        <v>202</v>
      </c>
      <c r="B27" s="460" t="s">
        <v>1833</v>
      </c>
      <c r="C27" s="180">
        <v>3.5</v>
      </c>
      <c r="D27" s="452">
        <f t="shared" si="3"/>
        <v>579.63499999999999</v>
      </c>
      <c r="E27" s="454">
        <f t="shared" si="2"/>
        <v>202</v>
      </c>
    </row>
    <row r="28" spans="1:5">
      <c r="A28" s="454">
        <f t="shared" si="4"/>
        <v>203</v>
      </c>
      <c r="B28" s="460" t="s">
        <v>933</v>
      </c>
      <c r="C28" s="180">
        <v>3.5</v>
      </c>
      <c r="D28" s="452">
        <f t="shared" si="3"/>
        <v>579.63499999999999</v>
      </c>
      <c r="E28" s="454">
        <f t="shared" si="2"/>
        <v>203</v>
      </c>
    </row>
    <row r="29" spans="1:5">
      <c r="A29" s="454">
        <f t="shared" si="4"/>
        <v>204</v>
      </c>
      <c r="B29" s="460" t="s">
        <v>1834</v>
      </c>
      <c r="C29" s="180">
        <v>45</v>
      </c>
      <c r="D29" s="452">
        <f t="shared" si="3"/>
        <v>7452.4500000000007</v>
      </c>
      <c r="E29" s="454">
        <f t="shared" si="2"/>
        <v>204</v>
      </c>
    </row>
    <row r="30" spans="1:5">
      <c r="A30" s="454">
        <f t="shared" si="4"/>
        <v>205</v>
      </c>
      <c r="B30" s="460" t="s">
        <v>1835</v>
      </c>
      <c r="C30" s="180">
        <v>3.5</v>
      </c>
      <c r="D30" s="452">
        <f t="shared" si="3"/>
        <v>579.63499999999999</v>
      </c>
      <c r="E30" s="454">
        <f t="shared" si="2"/>
        <v>205</v>
      </c>
    </row>
    <row r="31" spans="1:5">
      <c r="A31" s="454" t="s">
        <v>117</v>
      </c>
      <c r="B31" s="460"/>
      <c r="C31" s="180"/>
      <c r="D31" s="452">
        <f t="shared" si="3"/>
        <v>0</v>
      </c>
      <c r="E31" s="454" t="str">
        <f t="shared" si="2"/>
        <v>…</v>
      </c>
    </row>
    <row r="32" spans="1:5">
      <c r="A32" s="457"/>
    </row>
    <row r="34" spans="1:5" ht="15" customHeight="1">
      <c r="A34" s="454"/>
      <c r="B34" s="776" t="s">
        <v>1836</v>
      </c>
      <c r="C34" s="776"/>
      <c r="D34" s="776"/>
      <c r="E34" s="454"/>
    </row>
    <row r="35" spans="1:5">
      <c r="A35" s="454"/>
      <c r="B35" s="776"/>
      <c r="C35" s="776"/>
      <c r="D35" s="776"/>
      <c r="E35" s="454"/>
    </row>
    <row r="36" spans="1:5">
      <c r="A36" s="454"/>
      <c r="B36" s="776"/>
      <c r="C36" s="776"/>
      <c r="D36" s="776"/>
      <c r="E36" s="454"/>
    </row>
    <row r="37" spans="1:5">
      <c r="A37" s="454"/>
      <c r="B37" s="774" t="s">
        <v>1837</v>
      </c>
      <c r="C37" s="774"/>
      <c r="D37" s="774"/>
      <c r="E37" s="454"/>
    </row>
    <row r="38" spans="1:5">
      <c r="B38" s="774"/>
      <c r="C38" s="774"/>
      <c r="D38" s="774"/>
    </row>
    <row r="39" spans="1:5">
      <c r="B39" s="774"/>
      <c r="C39" s="774"/>
      <c r="D39" s="774"/>
    </row>
    <row r="40" spans="1:5" ht="34.5" customHeight="1">
      <c r="B40" s="774"/>
      <c r="C40" s="774"/>
      <c r="D40" s="774"/>
    </row>
    <row r="41" spans="1:5">
      <c r="B41" s="455" t="s">
        <v>1838</v>
      </c>
    </row>
  </sheetData>
  <mergeCells count="3">
    <mergeCell ref="B37:D40"/>
    <mergeCell ref="B6:D6"/>
    <mergeCell ref="B34:D36"/>
  </mergeCells>
  <printOptions horizontalCentered="1"/>
  <pageMargins left="1" right="1" top="1" bottom="1" header="0.5" footer="0.5"/>
  <pageSetup scale="72" orientation="landscape" r:id="rId1"/>
  <headerFooter>
    <oddHeader>&amp;RDocket No. ER20-2878-000, et al.- Annual Update RY2024
&amp;F</oddHeader>
  </headerFooter>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92D050"/>
    <pageSetUpPr fitToPage="1"/>
  </sheetPr>
  <dimension ref="A1:H58"/>
  <sheetViews>
    <sheetView view="pageBreakPreview" topLeftCell="A13" zoomScale="40" zoomScaleNormal="100" zoomScaleSheetLayoutView="40" workbookViewId="0">
      <selection activeCell="W98" sqref="W98"/>
    </sheetView>
  </sheetViews>
  <sheetFormatPr defaultColWidth="9.1796875" defaultRowHeight="14.5"/>
  <cols>
    <col min="1" max="1" width="4.7265625" bestFit="1" customWidth="1"/>
    <col min="2" max="2" width="68.26953125" customWidth="1"/>
    <col min="3" max="3" width="18.81640625" customWidth="1"/>
    <col min="4" max="4" width="86.453125" bestFit="1" customWidth="1"/>
    <col min="5" max="5" width="19.1796875" bestFit="1" customWidth="1"/>
    <col min="6" max="6" width="4.7265625" bestFit="1" customWidth="1"/>
    <col min="7" max="7" width="19.1796875" bestFit="1" customWidth="1"/>
    <col min="8" max="8" width="13.81640625" bestFit="1" customWidth="1"/>
    <col min="9" max="9" width="10.1796875" bestFit="1" customWidth="1"/>
    <col min="10" max="10" width="9.453125" bestFit="1" customWidth="1"/>
  </cols>
  <sheetData>
    <row r="1" spans="1:6">
      <c r="B1" s="2" t="s">
        <v>63</v>
      </c>
      <c r="D1" s="6"/>
      <c r="E1" s="6" t="str">
        <f>CONCATENATE("Prior Year: ",'1-DRR Corrected'!$K$2)</f>
        <v>Prior Year: 2021</v>
      </c>
    </row>
    <row r="2" spans="1:6">
      <c r="B2" s="78" t="s">
        <v>120</v>
      </c>
    </row>
    <row r="4" spans="1:6">
      <c r="A4" s="3" t="s">
        <v>90</v>
      </c>
      <c r="B4" s="3" t="s">
        <v>7</v>
      </c>
      <c r="C4" s="3" t="s">
        <v>583</v>
      </c>
      <c r="D4" s="3" t="s">
        <v>631</v>
      </c>
      <c r="E4" s="3" t="s">
        <v>131</v>
      </c>
      <c r="F4" s="3" t="str">
        <f>A4</f>
        <v>Line</v>
      </c>
    </row>
    <row r="5" spans="1:6">
      <c r="B5" s="45" t="s">
        <v>1839</v>
      </c>
      <c r="C5" s="43"/>
      <c r="D5" s="43"/>
      <c r="E5" s="43"/>
    </row>
    <row r="6" spans="1:6">
      <c r="A6" s="4">
        <v>100</v>
      </c>
      <c r="B6" t="s">
        <v>1840</v>
      </c>
      <c r="C6" s="220">
        <v>2478234429</v>
      </c>
      <c r="D6" s="33" t="s">
        <v>1841</v>
      </c>
      <c r="F6" s="4">
        <f>A6</f>
        <v>100</v>
      </c>
    </row>
    <row r="7" spans="1:6">
      <c r="A7" s="4">
        <f>A6+1</f>
        <v>101</v>
      </c>
      <c r="B7" t="s">
        <v>1842</v>
      </c>
      <c r="C7" s="220">
        <v>-405958047</v>
      </c>
      <c r="D7" s="33" t="s">
        <v>1843</v>
      </c>
      <c r="F7" s="4">
        <f>A7</f>
        <v>101</v>
      </c>
    </row>
    <row r="8" spans="1:6">
      <c r="A8" s="4">
        <f>A7+1</f>
        <v>102</v>
      </c>
      <c r="B8" t="s">
        <v>1844</v>
      </c>
      <c r="C8" s="220">
        <v>-192530083</v>
      </c>
      <c r="D8" s="33" t="s">
        <v>1845</v>
      </c>
      <c r="F8" s="4">
        <f>A8</f>
        <v>102</v>
      </c>
    </row>
    <row r="9" spans="1:6">
      <c r="A9" s="4">
        <f>A8+1</f>
        <v>103</v>
      </c>
      <c r="B9" t="s">
        <v>1846</v>
      </c>
      <c r="C9" s="441">
        <v>-66197418.454298273</v>
      </c>
      <c r="D9" s="33" t="s">
        <v>1847</v>
      </c>
      <c r="F9" s="4">
        <f>A9</f>
        <v>103</v>
      </c>
    </row>
    <row r="10" spans="1:6">
      <c r="A10" s="4">
        <f>A9+1</f>
        <v>104</v>
      </c>
      <c r="B10" s="2" t="s">
        <v>1848</v>
      </c>
      <c r="C10" s="221">
        <f>SUM(C6:C9)</f>
        <v>1813548880.5457017</v>
      </c>
      <c r="D10" s="106" t="s">
        <v>1849</v>
      </c>
      <c r="F10" s="4">
        <f>A10</f>
        <v>104</v>
      </c>
    </row>
    <row r="11" spans="1:6">
      <c r="A11" s="4"/>
      <c r="C11" s="24"/>
      <c r="D11" s="33"/>
      <c r="F11" s="4"/>
    </row>
    <row r="12" spans="1:6">
      <c r="A12" s="4">
        <f>A10+1</f>
        <v>105</v>
      </c>
      <c r="B12" t="s">
        <v>1850</v>
      </c>
      <c r="C12" s="220">
        <v>1736871956</v>
      </c>
      <c r="D12" s="33" t="s">
        <v>1851</v>
      </c>
      <c r="F12" s="4">
        <f>A12</f>
        <v>105</v>
      </c>
    </row>
    <row r="13" spans="1:6">
      <c r="A13" s="4">
        <f>A12+1</f>
        <v>106</v>
      </c>
      <c r="B13" t="s">
        <v>1852</v>
      </c>
      <c r="C13" s="24">
        <f>C7</f>
        <v>-405958047</v>
      </c>
      <c r="D13" s="106" t="str">
        <f>"Line "&amp;A7&amp;""</f>
        <v>Line 101</v>
      </c>
      <c r="F13" s="4">
        <f>A13</f>
        <v>106</v>
      </c>
    </row>
    <row r="14" spans="1:6">
      <c r="A14" s="4">
        <f>A13+1</f>
        <v>107</v>
      </c>
      <c r="B14" t="s">
        <v>1846</v>
      </c>
      <c r="C14" s="220">
        <v>-55900470.354298264</v>
      </c>
      <c r="D14" s="33" t="s">
        <v>1853</v>
      </c>
      <c r="F14" s="4">
        <f>A14</f>
        <v>107</v>
      </c>
    </row>
    <row r="15" spans="1:6">
      <c r="A15" s="4">
        <f>A14+1</f>
        <v>108</v>
      </c>
      <c r="B15" s="2" t="s">
        <v>1854</v>
      </c>
      <c r="C15" s="221">
        <f>SUM(C12:C14)</f>
        <v>1275013438.6457016</v>
      </c>
      <c r="D15" s="106" t="s">
        <v>1855</v>
      </c>
      <c r="F15" s="4">
        <f>A15</f>
        <v>108</v>
      </c>
    </row>
    <row r="16" spans="1:6">
      <c r="A16" s="4"/>
      <c r="D16" s="33"/>
      <c r="F16" s="4"/>
    </row>
    <row r="17" spans="1:8">
      <c r="A17" s="4">
        <f>A15+1</f>
        <v>109</v>
      </c>
      <c r="B17" s="2" t="s">
        <v>1856</v>
      </c>
      <c r="C17" s="226">
        <f>C15/C10</f>
        <v>0.70304884104477328</v>
      </c>
      <c r="D17" s="106" t="str">
        <f>"Line "&amp;A15&amp;" / Line "&amp;A10&amp;""</f>
        <v>Line 108 / Line 104</v>
      </c>
      <c r="F17" s="4">
        <f>A17</f>
        <v>109</v>
      </c>
    </row>
    <row r="18" spans="1:8">
      <c r="F18" s="4"/>
    </row>
    <row r="19" spans="1:8">
      <c r="B19" s="45" t="s">
        <v>1857</v>
      </c>
      <c r="C19" s="43"/>
      <c r="D19" s="43"/>
      <c r="E19" s="43"/>
      <c r="F19" s="4"/>
    </row>
    <row r="20" spans="1:8">
      <c r="A20" s="4">
        <f>A17+1</f>
        <v>110</v>
      </c>
      <c r="B20" t="s">
        <v>1854</v>
      </c>
      <c r="C20" s="24">
        <f>C15</f>
        <v>1275013438.6457016</v>
      </c>
      <c r="D20" s="106" t="str">
        <f>"Line "&amp;A15&amp;""</f>
        <v>Line 108</v>
      </c>
      <c r="F20" s="4">
        <f>A20</f>
        <v>110</v>
      </c>
    </row>
    <row r="21" spans="1:8">
      <c r="A21" s="4">
        <f>A20+1</f>
        <v>111</v>
      </c>
      <c r="B21" t="s">
        <v>1858</v>
      </c>
      <c r="C21" s="24">
        <f>'18-OandM'!J11</f>
        <v>556399605.86570168</v>
      </c>
      <c r="D21" s="106" t="s">
        <v>1859</v>
      </c>
      <c r="E21" s="29"/>
      <c r="F21" s="4">
        <f>A21</f>
        <v>111</v>
      </c>
    </row>
    <row r="22" spans="1:8">
      <c r="A22" s="4"/>
      <c r="D22" s="33"/>
      <c r="F22" s="4"/>
    </row>
    <row r="23" spans="1:8">
      <c r="A23" s="4">
        <f>A21+1</f>
        <v>112</v>
      </c>
      <c r="B23" s="2" t="s">
        <v>1860</v>
      </c>
      <c r="C23" s="226">
        <f>C21/C20</f>
        <v>0.43638724816634106</v>
      </c>
      <c r="D23" s="106" t="str">
        <f>"Line "&amp;A21&amp;" / Line "&amp;A20&amp;""</f>
        <v>Line 111 / Line 110</v>
      </c>
      <c r="F23" s="4">
        <f>A23</f>
        <v>112</v>
      </c>
      <c r="H23" s="19"/>
    </row>
    <row r="24" spans="1:8">
      <c r="A24" s="4">
        <f>+A23+1</f>
        <v>113</v>
      </c>
      <c r="B24" s="2" t="s">
        <v>1861</v>
      </c>
      <c r="C24" s="224">
        <f>C21/C10</f>
        <v>0.30680154907006396</v>
      </c>
      <c r="D24" s="106" t="str">
        <f>"Line "&amp;A21&amp;" / Line "&amp;A10&amp;""</f>
        <v>Line 111 / Line 104</v>
      </c>
      <c r="F24" s="4">
        <f>A24</f>
        <v>113</v>
      </c>
      <c r="H24" s="19"/>
    </row>
    <row r="25" spans="1:8">
      <c r="A25" s="4"/>
      <c r="B25" s="2"/>
      <c r="C25" s="224"/>
      <c r="F25" s="4"/>
    </row>
    <row r="26" spans="1:8">
      <c r="B26" s="45" t="s">
        <v>1862</v>
      </c>
      <c r="C26" s="43"/>
      <c r="D26" s="43"/>
      <c r="E26" s="43"/>
      <c r="F26" s="400"/>
    </row>
    <row r="27" spans="1:8">
      <c r="A27" s="4">
        <f>A24+1</f>
        <v>114</v>
      </c>
      <c r="B27" s="8" t="s">
        <v>1863</v>
      </c>
      <c r="C27" s="707">
        <v>40561781837.790504</v>
      </c>
      <c r="D27" s="33" t="s">
        <v>1864</v>
      </c>
      <c r="E27" s="234" t="s">
        <v>1865</v>
      </c>
      <c r="F27" s="4">
        <f>+A27</f>
        <v>114</v>
      </c>
    </row>
    <row r="28" spans="1:8">
      <c r="A28" s="4">
        <f>+A27+1</f>
        <v>115</v>
      </c>
      <c r="B28" s="8" t="s">
        <v>1866</v>
      </c>
      <c r="C28" s="220">
        <v>99289749132.590042</v>
      </c>
      <c r="D28" s="33" t="s">
        <v>1867</v>
      </c>
      <c r="E28" s="234" t="s">
        <v>1865</v>
      </c>
      <c r="F28" s="4">
        <f>+A28</f>
        <v>115</v>
      </c>
    </row>
    <row r="29" spans="1:8">
      <c r="A29" s="4">
        <f>+A28+1</f>
        <v>116</v>
      </c>
      <c r="B29" s="2" t="s">
        <v>1868</v>
      </c>
      <c r="C29" s="127">
        <f>+C27/C28</f>
        <v>0.40851933046607769</v>
      </c>
      <c r="D29" s="106" t="str">
        <f>"Line "&amp;A27&amp;" / Line "&amp;A28&amp;""</f>
        <v>Line 114 / Line 115</v>
      </c>
      <c r="F29" s="4">
        <f>+A29</f>
        <v>116</v>
      </c>
    </row>
    <row r="30" spans="1:8">
      <c r="A30" s="4"/>
      <c r="C30" s="20"/>
      <c r="D30" s="106"/>
      <c r="F30" s="4"/>
    </row>
    <row r="31" spans="1:8">
      <c r="A31" s="4">
        <f>+A29+1</f>
        <v>117</v>
      </c>
      <c r="B31" s="8" t="s">
        <v>1863</v>
      </c>
      <c r="C31" s="24">
        <f>C27</f>
        <v>40561781837.790504</v>
      </c>
      <c r="D31" s="125" t="str">
        <f>"Line "&amp;A27&amp;""</f>
        <v>Line 114</v>
      </c>
      <c r="E31" s="234" t="s">
        <v>1865</v>
      </c>
      <c r="F31" s="4">
        <f>+A31</f>
        <v>117</v>
      </c>
    </row>
    <row r="32" spans="1:8">
      <c r="A32" s="4">
        <f>+A31+1</f>
        <v>118</v>
      </c>
      <c r="B32" s="8" t="s">
        <v>1869</v>
      </c>
      <c r="C32" s="220">
        <v>73805965049.300049</v>
      </c>
      <c r="D32" s="33" t="s">
        <v>1870</v>
      </c>
      <c r="E32" s="234" t="s">
        <v>1865</v>
      </c>
      <c r="F32" s="4">
        <f>+A32</f>
        <v>118</v>
      </c>
    </row>
    <row r="33" spans="1:6">
      <c r="A33" s="4">
        <f>+A32+1</f>
        <v>119</v>
      </c>
      <c r="B33" s="2" t="s">
        <v>1871</v>
      </c>
      <c r="C33" s="127">
        <f>+C31/C32</f>
        <v>0.5495732195994798</v>
      </c>
      <c r="D33" s="106" t="str">
        <f>"Line "&amp;A31&amp;" / Line "&amp;A32&amp;""</f>
        <v>Line 117 / Line 118</v>
      </c>
      <c r="F33" s="4">
        <f>+A33</f>
        <v>119</v>
      </c>
    </row>
    <row r="35" spans="1:6">
      <c r="B35" s="45" t="s">
        <v>1872</v>
      </c>
      <c r="C35" s="225"/>
      <c r="D35" s="43"/>
      <c r="E35" s="43"/>
    </row>
    <row r="36" spans="1:6">
      <c r="A36" s="4">
        <f>A33+1</f>
        <v>120</v>
      </c>
      <c r="B36" s="2" t="s">
        <v>1873</v>
      </c>
      <c r="C36" s="224">
        <f>AVERAGE(C24,C29)</f>
        <v>0.35766043976807083</v>
      </c>
      <c r="D36" s="106" t="str">
        <f>"Average of Line "&amp;A24&amp;" and Line "&amp;A29&amp;""</f>
        <v>Average of Line 113 and Line 116</v>
      </c>
      <c r="F36" s="4">
        <f>A36</f>
        <v>120</v>
      </c>
    </row>
    <row r="37" spans="1:6">
      <c r="A37" s="4"/>
      <c r="B37" s="2"/>
      <c r="C37" s="224"/>
    </row>
    <row r="38" spans="1:6">
      <c r="A38" s="4"/>
      <c r="B38" s="45" t="s">
        <v>1874</v>
      </c>
      <c r="C38" s="225"/>
      <c r="D38" s="43"/>
      <c r="E38" s="43"/>
    </row>
    <row r="39" spans="1:6">
      <c r="A39" s="4">
        <f>+A36+1</f>
        <v>121</v>
      </c>
      <c r="B39" t="s">
        <v>1875</v>
      </c>
      <c r="C39" s="707">
        <v>17151588107.426765</v>
      </c>
      <c r="D39" s="33" t="s">
        <v>1876</v>
      </c>
      <c r="E39" s="234" t="s">
        <v>1865</v>
      </c>
      <c r="F39" s="4">
        <f>A39</f>
        <v>121</v>
      </c>
    </row>
    <row r="40" spans="1:6">
      <c r="A40" s="4">
        <f>+A39+1</f>
        <v>122</v>
      </c>
      <c r="B40" s="8" t="s">
        <v>1877</v>
      </c>
      <c r="C40" s="220">
        <v>32562736233.87804</v>
      </c>
      <c r="D40" s="33" t="s">
        <v>1878</v>
      </c>
      <c r="E40" s="234" t="s">
        <v>1865</v>
      </c>
      <c r="F40" s="4">
        <f>A40</f>
        <v>122</v>
      </c>
    </row>
    <row r="41" spans="1:6">
      <c r="A41" s="4">
        <f>+A40+1</f>
        <v>123</v>
      </c>
      <c r="B41" t="s">
        <v>1879</v>
      </c>
      <c r="C41" s="24">
        <f>+C31-C39</f>
        <v>23410193730.363739</v>
      </c>
      <c r="D41" s="33" t="s">
        <v>1880</v>
      </c>
      <c r="E41" s="234" t="s">
        <v>1865</v>
      </c>
      <c r="F41" s="4">
        <f>A41</f>
        <v>123</v>
      </c>
    </row>
    <row r="42" spans="1:6">
      <c r="A42" s="4">
        <f>+A41+1</f>
        <v>124</v>
      </c>
      <c r="B42" s="8" t="s">
        <v>1881</v>
      </c>
      <c r="C42" s="24">
        <f>+C32-C40</f>
        <v>41243228815.422012</v>
      </c>
      <c r="D42" s="33" t="s">
        <v>1882</v>
      </c>
      <c r="E42" s="234" t="s">
        <v>1865</v>
      </c>
      <c r="F42" s="4">
        <f>A42</f>
        <v>124</v>
      </c>
    </row>
    <row r="43" spans="1:6">
      <c r="A43" s="4">
        <f>+A42+1</f>
        <v>125</v>
      </c>
      <c r="B43" s="2" t="s">
        <v>1883</v>
      </c>
      <c r="C43" s="224">
        <f>C41/C42</f>
        <v>0.56761302164611327</v>
      </c>
      <c r="D43" s="106" t="s">
        <v>1884</v>
      </c>
      <c r="F43" s="4">
        <f>A43</f>
        <v>125</v>
      </c>
    </row>
    <row r="45" spans="1:6" s="86" customFormat="1">
      <c r="A45" s="527"/>
      <c r="B45" s="45" t="s">
        <v>1885</v>
      </c>
      <c r="C45" s="528"/>
      <c r="D45" s="529"/>
      <c r="E45" s="529"/>
    </row>
    <row r="46" spans="1:6" s="86" customFormat="1">
      <c r="A46" s="105">
        <f>A43+1</f>
        <v>126</v>
      </c>
      <c r="B46" s="8" t="s">
        <v>1869</v>
      </c>
      <c r="C46" s="629">
        <f>C32</f>
        <v>73805965049.300049</v>
      </c>
      <c r="D46" s="8" t="s">
        <v>1886</v>
      </c>
      <c r="E46" s="8"/>
      <c r="F46" s="91">
        <f>A46</f>
        <v>126</v>
      </c>
    </row>
    <row r="47" spans="1:6" s="86" customFormat="1">
      <c r="A47" s="105">
        <f>A46+1</f>
        <v>127</v>
      </c>
      <c r="B47" s="8" t="s">
        <v>1866</v>
      </c>
      <c r="C47" s="629">
        <f>C28</f>
        <v>99289749132.590042</v>
      </c>
      <c r="D47" s="8" t="s">
        <v>1887</v>
      </c>
      <c r="E47" s="8"/>
      <c r="F47" s="91">
        <f>A47</f>
        <v>127</v>
      </c>
    </row>
    <row r="48" spans="1:6" s="86" customFormat="1">
      <c r="A48" s="105">
        <f>A47+1</f>
        <v>128</v>
      </c>
      <c r="B48" s="8" t="s">
        <v>1687</v>
      </c>
      <c r="C48" s="630">
        <f>C46/C47</f>
        <v>0.74333922377767991</v>
      </c>
      <c r="D48" s="8" t="s">
        <v>1888</v>
      </c>
      <c r="E48" s="8"/>
      <c r="F48" s="91">
        <f>A48</f>
        <v>128</v>
      </c>
    </row>
    <row r="49" spans="1:6" s="86" customFormat="1">
      <c r="A49" s="91"/>
      <c r="B49" s="105"/>
      <c r="C49" s="630"/>
      <c r="D49" s="8"/>
      <c r="E49" s="8"/>
      <c r="F49" s="8"/>
    </row>
    <row r="50" spans="1:6" s="86" customFormat="1">
      <c r="A50" s="105">
        <f>A48+1</f>
        <v>129</v>
      </c>
      <c r="B50" s="8" t="s">
        <v>1889</v>
      </c>
      <c r="C50" s="631">
        <v>4427610009</v>
      </c>
      <c r="D50" s="8" t="s">
        <v>1890</v>
      </c>
      <c r="E50" s="8"/>
      <c r="F50" s="91">
        <f>A50</f>
        <v>129</v>
      </c>
    </row>
    <row r="51" spans="1:6" s="86" customFormat="1">
      <c r="A51" s="105">
        <f>A50+1</f>
        <v>130</v>
      </c>
      <c r="B51" s="8" t="s">
        <v>1891</v>
      </c>
      <c r="C51" s="631">
        <v>20685428405</v>
      </c>
      <c r="D51" s="8" t="s">
        <v>1892</v>
      </c>
      <c r="E51" s="8"/>
      <c r="F51" s="91">
        <f>A51</f>
        <v>130</v>
      </c>
    </row>
    <row r="52" spans="1:6" s="86" customFormat="1">
      <c r="A52" s="105">
        <f>A51+1</f>
        <v>131</v>
      </c>
      <c r="B52" s="8" t="s">
        <v>1690</v>
      </c>
      <c r="C52" s="630">
        <f>C50/C51</f>
        <v>0.21404487846767417</v>
      </c>
      <c r="D52" s="106" t="s">
        <v>1893</v>
      </c>
      <c r="E52" s="8"/>
      <c r="F52" s="91">
        <f>A52</f>
        <v>131</v>
      </c>
    </row>
    <row r="53" spans="1:6" s="86" customFormat="1"/>
    <row r="54" spans="1:6">
      <c r="C54" s="532"/>
    </row>
    <row r="56" spans="1:6">
      <c r="C56" s="533"/>
    </row>
    <row r="58" spans="1:6">
      <c r="C58" s="533"/>
    </row>
  </sheetData>
  <printOptions horizontalCentered="1"/>
  <pageMargins left="1" right="1" top="1" bottom="1" header="0.5" footer="0.5"/>
  <pageSetup scale="57" orientation="landscape" r:id="rId1"/>
  <headerFooter>
    <oddHeader>&amp;RDocket No. ER20-2878-000, et al.- Annual Update RY2024
&amp;F</oddHeader>
  </headerFooter>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4372D-B710-4A24-A73B-A479945F055E}">
  <sheetPr>
    <tabColor rgb="FFFF0000"/>
    <pageSetUpPr fitToPage="1"/>
  </sheetPr>
  <dimension ref="A1:H58"/>
  <sheetViews>
    <sheetView view="pageBreakPreview" topLeftCell="A7" zoomScale="40" zoomScaleNormal="100" zoomScaleSheetLayoutView="40" workbookViewId="0">
      <selection activeCell="W98" sqref="W98"/>
    </sheetView>
  </sheetViews>
  <sheetFormatPr defaultColWidth="9.1796875" defaultRowHeight="14.5"/>
  <cols>
    <col min="1" max="1" width="4.7265625" bestFit="1" customWidth="1"/>
    <col min="2" max="2" width="68.26953125" customWidth="1"/>
    <col min="3" max="3" width="18.81640625" customWidth="1"/>
    <col min="4" max="4" width="86.453125" bestFit="1" customWidth="1"/>
    <col min="5" max="5" width="19.1796875" bestFit="1" customWidth="1"/>
    <col min="6" max="6" width="4.7265625" bestFit="1" customWidth="1"/>
    <col min="7" max="7" width="19.1796875" bestFit="1" customWidth="1"/>
    <col min="8" max="8" width="13.81640625" bestFit="1" customWidth="1"/>
    <col min="9" max="9" width="10.1796875" bestFit="1" customWidth="1"/>
    <col min="10" max="10" width="9.453125" bestFit="1" customWidth="1"/>
  </cols>
  <sheetData>
    <row r="1" spans="1:6">
      <c r="B1" s="2" t="s">
        <v>63</v>
      </c>
      <c r="D1" s="6"/>
      <c r="E1" s="6" t="s">
        <v>384</v>
      </c>
    </row>
    <row r="2" spans="1:6">
      <c r="B2" s="78" t="s">
        <v>120</v>
      </c>
    </row>
    <row r="4" spans="1:6">
      <c r="A4" s="3" t="s">
        <v>90</v>
      </c>
      <c r="B4" s="3" t="s">
        <v>7</v>
      </c>
      <c r="C4" s="3" t="s">
        <v>583</v>
      </c>
      <c r="D4" s="3" t="s">
        <v>631</v>
      </c>
      <c r="E4" s="3" t="s">
        <v>131</v>
      </c>
      <c r="F4" s="3" t="s">
        <v>90</v>
      </c>
    </row>
    <row r="5" spans="1:6">
      <c r="B5" s="45" t="s">
        <v>1839</v>
      </c>
      <c r="C5" s="43"/>
      <c r="D5" s="43"/>
      <c r="E5" s="43"/>
    </row>
    <row r="6" spans="1:6">
      <c r="A6" s="4">
        <v>100</v>
      </c>
      <c r="B6" t="s">
        <v>1840</v>
      </c>
      <c r="C6" s="220">
        <v>2478234429</v>
      </c>
      <c r="D6" s="33" t="s">
        <v>1841</v>
      </c>
      <c r="F6" s="4">
        <v>100</v>
      </c>
    </row>
    <row r="7" spans="1:6">
      <c r="A7" s="4">
        <v>101</v>
      </c>
      <c r="B7" t="s">
        <v>1842</v>
      </c>
      <c r="C7" s="220">
        <v>-405958047</v>
      </c>
      <c r="D7" s="33" t="s">
        <v>1843</v>
      </c>
      <c r="F7" s="4">
        <v>101</v>
      </c>
    </row>
    <row r="8" spans="1:6">
      <c r="A8" s="4">
        <v>102</v>
      </c>
      <c r="B8" t="s">
        <v>1844</v>
      </c>
      <c r="C8" s="220">
        <v>-192530083</v>
      </c>
      <c r="D8" s="33" t="s">
        <v>1845</v>
      </c>
      <c r="F8" s="4">
        <v>102</v>
      </c>
    </row>
    <row r="9" spans="1:6">
      <c r="A9" s="4">
        <v>103</v>
      </c>
      <c r="B9" t="s">
        <v>1846</v>
      </c>
      <c r="C9" s="441">
        <v>-66197418.454298273</v>
      </c>
      <c r="D9" s="33" t="s">
        <v>1847</v>
      </c>
      <c r="F9" s="4">
        <v>103</v>
      </c>
    </row>
    <row r="10" spans="1:6">
      <c r="A10" s="4">
        <v>104</v>
      </c>
      <c r="B10" s="2" t="s">
        <v>1848</v>
      </c>
      <c r="C10" s="221">
        <v>1813548880.5457017</v>
      </c>
      <c r="D10" s="106" t="s">
        <v>1849</v>
      </c>
      <c r="F10" s="4">
        <v>104</v>
      </c>
    </row>
    <row r="11" spans="1:6">
      <c r="A11" s="4"/>
      <c r="C11" s="24"/>
      <c r="D11" s="33"/>
      <c r="F11" s="4"/>
    </row>
    <row r="12" spans="1:6">
      <c r="A12" s="4">
        <v>105</v>
      </c>
      <c r="B12" t="s">
        <v>1850</v>
      </c>
      <c r="C12" s="220">
        <v>1736871956</v>
      </c>
      <c r="D12" s="33" t="s">
        <v>1851</v>
      </c>
      <c r="F12" s="4">
        <v>105</v>
      </c>
    </row>
    <row r="13" spans="1:6">
      <c r="A13" s="4">
        <v>106</v>
      </c>
      <c r="B13" t="s">
        <v>1852</v>
      </c>
      <c r="C13" s="24">
        <v>-405958047</v>
      </c>
      <c r="D13" s="106" t="s">
        <v>1941</v>
      </c>
      <c r="F13" s="4">
        <v>106</v>
      </c>
    </row>
    <row r="14" spans="1:6">
      <c r="A14" s="4">
        <v>107</v>
      </c>
      <c r="B14" t="s">
        <v>1846</v>
      </c>
      <c r="C14" s="220">
        <v>-55900470.354298264</v>
      </c>
      <c r="D14" s="33" t="s">
        <v>1853</v>
      </c>
      <c r="F14" s="4">
        <v>107</v>
      </c>
    </row>
    <row r="15" spans="1:6">
      <c r="A15" s="4">
        <v>108</v>
      </c>
      <c r="B15" s="2" t="s">
        <v>1854</v>
      </c>
      <c r="C15" s="221">
        <v>1275013438.6457016</v>
      </c>
      <c r="D15" s="106" t="s">
        <v>1855</v>
      </c>
      <c r="F15" s="4">
        <v>108</v>
      </c>
    </row>
    <row r="16" spans="1:6">
      <c r="A16" s="4"/>
      <c r="D16" s="33"/>
      <c r="F16" s="4"/>
    </row>
    <row r="17" spans="1:8">
      <c r="A17" s="4">
        <v>109</v>
      </c>
      <c r="B17" s="2" t="s">
        <v>1856</v>
      </c>
      <c r="C17" s="226">
        <v>0.70304884104477328</v>
      </c>
      <c r="D17" s="106" t="s">
        <v>1942</v>
      </c>
      <c r="F17" s="4">
        <v>109</v>
      </c>
    </row>
    <row r="18" spans="1:8">
      <c r="F18" s="4"/>
    </row>
    <row r="19" spans="1:8">
      <c r="B19" s="45" t="s">
        <v>1857</v>
      </c>
      <c r="C19" s="43"/>
      <c r="D19" s="43"/>
      <c r="E19" s="43"/>
      <c r="F19" s="4"/>
    </row>
    <row r="20" spans="1:8">
      <c r="A20" s="4">
        <v>110</v>
      </c>
      <c r="B20" t="s">
        <v>1854</v>
      </c>
      <c r="C20" s="24">
        <v>1275013438.6457016</v>
      </c>
      <c r="D20" s="106" t="s">
        <v>1943</v>
      </c>
      <c r="F20" s="4">
        <v>110</v>
      </c>
    </row>
    <row r="21" spans="1:8">
      <c r="A21" s="4">
        <v>111</v>
      </c>
      <c r="B21" t="s">
        <v>1858</v>
      </c>
      <c r="C21" s="24">
        <v>556399605.86570168</v>
      </c>
      <c r="D21" s="106" t="s">
        <v>1859</v>
      </c>
      <c r="E21" s="29"/>
      <c r="F21" s="4">
        <v>111</v>
      </c>
    </row>
    <row r="22" spans="1:8">
      <c r="A22" s="4"/>
      <c r="D22" s="33"/>
      <c r="F22" s="4"/>
    </row>
    <row r="23" spans="1:8">
      <c r="A23" s="4">
        <v>112</v>
      </c>
      <c r="B23" s="2" t="s">
        <v>1860</v>
      </c>
      <c r="C23" s="226">
        <v>0.43638724816634106</v>
      </c>
      <c r="D23" s="106" t="s">
        <v>1944</v>
      </c>
      <c r="F23" s="4">
        <v>112</v>
      </c>
      <c r="H23" s="19"/>
    </row>
    <row r="24" spans="1:8">
      <c r="A24" s="4">
        <v>113</v>
      </c>
      <c r="B24" s="2" t="s">
        <v>1861</v>
      </c>
      <c r="C24" s="224">
        <v>0.30680154907006396</v>
      </c>
      <c r="D24" s="106" t="s">
        <v>1945</v>
      </c>
      <c r="F24" s="4">
        <v>113</v>
      </c>
      <c r="H24" s="19"/>
    </row>
    <row r="25" spans="1:8">
      <c r="A25" s="4"/>
      <c r="B25" s="2"/>
      <c r="C25" s="224"/>
      <c r="F25" s="4"/>
    </row>
    <row r="26" spans="1:8">
      <c r="B26" s="45" t="s">
        <v>1862</v>
      </c>
      <c r="C26" s="43"/>
      <c r="D26" s="43"/>
      <c r="E26" s="43"/>
      <c r="F26" s="400"/>
    </row>
    <row r="27" spans="1:8">
      <c r="A27" s="4">
        <v>114</v>
      </c>
      <c r="B27" s="8" t="s">
        <v>1863</v>
      </c>
      <c r="C27" s="220">
        <v>40754311938.480499</v>
      </c>
      <c r="D27" s="33" t="s">
        <v>1864</v>
      </c>
      <c r="E27" s="234" t="s">
        <v>1865</v>
      </c>
      <c r="F27" s="4">
        <v>114</v>
      </c>
    </row>
    <row r="28" spans="1:8">
      <c r="A28" s="4">
        <v>115</v>
      </c>
      <c r="B28" s="8" t="s">
        <v>1866</v>
      </c>
      <c r="C28" s="220">
        <v>99289749132.590042</v>
      </c>
      <c r="D28" s="33" t="s">
        <v>1867</v>
      </c>
      <c r="E28" s="234" t="s">
        <v>1865</v>
      </c>
      <c r="F28" s="4">
        <v>115</v>
      </c>
    </row>
    <row r="29" spans="1:8">
      <c r="A29" s="4">
        <v>116</v>
      </c>
      <c r="B29" s="2" t="s">
        <v>1868</v>
      </c>
      <c r="C29" s="127">
        <v>0.4104584037578522</v>
      </c>
      <c r="D29" s="106" t="s">
        <v>1946</v>
      </c>
      <c r="F29" s="4">
        <v>116</v>
      </c>
    </row>
    <row r="30" spans="1:8">
      <c r="A30" s="4"/>
      <c r="C30" s="20"/>
      <c r="D30" s="106"/>
      <c r="F30" s="4"/>
    </row>
    <row r="31" spans="1:8">
      <c r="A31" s="4">
        <v>117</v>
      </c>
      <c r="B31" s="8" t="s">
        <v>1863</v>
      </c>
      <c r="C31" s="24">
        <v>40754311938.480499</v>
      </c>
      <c r="D31" s="125" t="s">
        <v>1947</v>
      </c>
      <c r="E31" s="234" t="s">
        <v>1865</v>
      </c>
      <c r="F31" s="4">
        <v>117</v>
      </c>
    </row>
    <row r="32" spans="1:8">
      <c r="A32" s="4">
        <v>118</v>
      </c>
      <c r="B32" s="8" t="s">
        <v>1869</v>
      </c>
      <c r="C32" s="220">
        <v>73805965049.300049</v>
      </c>
      <c r="D32" s="33" t="s">
        <v>1870</v>
      </c>
      <c r="E32" s="234" t="s">
        <v>1865</v>
      </c>
      <c r="F32" s="4">
        <v>118</v>
      </c>
    </row>
    <row r="33" spans="1:6">
      <c r="A33" s="4">
        <v>119</v>
      </c>
      <c r="B33" s="2" t="s">
        <v>1871</v>
      </c>
      <c r="C33" s="127">
        <v>0.55218181770616925</v>
      </c>
      <c r="D33" s="106" t="s">
        <v>1948</v>
      </c>
      <c r="F33" s="4">
        <v>119</v>
      </c>
    </row>
    <row r="35" spans="1:6">
      <c r="B35" s="45" t="s">
        <v>1872</v>
      </c>
      <c r="C35" s="225"/>
      <c r="D35" s="43"/>
      <c r="E35" s="43"/>
    </row>
    <row r="36" spans="1:6">
      <c r="A36" s="4">
        <v>120</v>
      </c>
      <c r="B36" s="2" t="s">
        <v>1873</v>
      </c>
      <c r="C36" s="224">
        <v>0.35862997641395811</v>
      </c>
      <c r="D36" s="106" t="s">
        <v>1949</v>
      </c>
      <c r="F36" s="4">
        <v>120</v>
      </c>
    </row>
    <row r="37" spans="1:6">
      <c r="A37" s="4"/>
      <c r="B37" s="2"/>
      <c r="C37" s="224"/>
    </row>
    <row r="38" spans="1:6">
      <c r="A38" s="4"/>
      <c r="B38" s="45" t="s">
        <v>1874</v>
      </c>
      <c r="C38" s="225"/>
      <c r="D38" s="43"/>
      <c r="E38" s="43"/>
    </row>
    <row r="39" spans="1:6">
      <c r="A39" s="4">
        <v>121</v>
      </c>
      <c r="B39" t="s">
        <v>1875</v>
      </c>
      <c r="C39" s="220">
        <v>17177828670.753914</v>
      </c>
      <c r="D39" s="33" t="s">
        <v>1876</v>
      </c>
      <c r="E39" s="234" t="s">
        <v>1865</v>
      </c>
      <c r="F39" s="4">
        <v>121</v>
      </c>
    </row>
    <row r="40" spans="1:6">
      <c r="A40" s="4">
        <v>122</v>
      </c>
      <c r="B40" s="8" t="s">
        <v>1877</v>
      </c>
      <c r="C40" s="220">
        <v>32562736233.87804</v>
      </c>
      <c r="D40" s="33" t="s">
        <v>1878</v>
      </c>
      <c r="E40" s="234" t="s">
        <v>1865</v>
      </c>
      <c r="F40" s="4">
        <v>122</v>
      </c>
    </row>
    <row r="41" spans="1:6">
      <c r="A41" s="4">
        <v>123</v>
      </c>
      <c r="B41" t="s">
        <v>1879</v>
      </c>
      <c r="C41" s="24">
        <v>23576483267.726585</v>
      </c>
      <c r="D41" s="33" t="s">
        <v>1880</v>
      </c>
      <c r="E41" s="234" t="s">
        <v>1865</v>
      </c>
      <c r="F41" s="4">
        <v>123</v>
      </c>
    </row>
    <row r="42" spans="1:6">
      <c r="A42" s="4">
        <v>124</v>
      </c>
      <c r="B42" s="8" t="s">
        <v>1881</v>
      </c>
      <c r="C42" s="24">
        <v>41243228815.422012</v>
      </c>
      <c r="D42" s="33" t="s">
        <v>1882</v>
      </c>
      <c r="E42" s="234" t="s">
        <v>1865</v>
      </c>
      <c r="F42" s="4">
        <v>124</v>
      </c>
    </row>
    <row r="43" spans="1:6">
      <c r="A43" s="4">
        <v>125</v>
      </c>
      <c r="B43" s="2" t="s">
        <v>1883</v>
      </c>
      <c r="C43" s="224">
        <v>0.57164494499787244</v>
      </c>
      <c r="D43" s="106" t="s">
        <v>1884</v>
      </c>
      <c r="F43" s="4">
        <v>125</v>
      </c>
    </row>
    <row r="45" spans="1:6" s="86" customFormat="1">
      <c r="A45" s="527"/>
      <c r="B45" s="45" t="s">
        <v>1885</v>
      </c>
      <c r="C45" s="528"/>
      <c r="D45" s="529"/>
      <c r="E45" s="529"/>
    </row>
    <row r="46" spans="1:6" s="86" customFormat="1">
      <c r="A46" s="105">
        <v>126</v>
      </c>
      <c r="B46" s="8" t="s">
        <v>1869</v>
      </c>
      <c r="C46" s="629">
        <v>73805965049.300049</v>
      </c>
      <c r="D46" s="8" t="s">
        <v>1886</v>
      </c>
      <c r="E46" s="8"/>
      <c r="F46" s="91">
        <v>126</v>
      </c>
    </row>
    <row r="47" spans="1:6" s="86" customFormat="1">
      <c r="A47" s="105">
        <v>127</v>
      </c>
      <c r="B47" s="8" t="s">
        <v>1866</v>
      </c>
      <c r="C47" s="629">
        <v>99289749132.590042</v>
      </c>
      <c r="D47" s="8" t="s">
        <v>1887</v>
      </c>
      <c r="E47" s="8"/>
      <c r="F47" s="91">
        <v>127</v>
      </c>
    </row>
    <row r="48" spans="1:6" s="86" customFormat="1">
      <c r="A48" s="105">
        <v>128</v>
      </c>
      <c r="B48" s="8" t="s">
        <v>1687</v>
      </c>
      <c r="C48" s="630">
        <v>0.74333922377767991</v>
      </c>
      <c r="D48" s="8" t="s">
        <v>1888</v>
      </c>
      <c r="E48" s="8"/>
      <c r="F48" s="91">
        <v>128</v>
      </c>
    </row>
    <row r="49" spans="1:6" s="86" customFormat="1">
      <c r="A49" s="91"/>
      <c r="B49" s="105"/>
      <c r="C49" s="630"/>
      <c r="D49" s="8"/>
      <c r="E49" s="8"/>
      <c r="F49" s="8"/>
    </row>
    <row r="50" spans="1:6" s="86" customFormat="1">
      <c r="A50" s="105">
        <v>129</v>
      </c>
      <c r="B50" s="8" t="s">
        <v>1889</v>
      </c>
      <c r="C50" s="631">
        <v>4427610009</v>
      </c>
      <c r="D50" s="8" t="s">
        <v>1890</v>
      </c>
      <c r="E50" s="8"/>
      <c r="F50" s="91">
        <v>129</v>
      </c>
    </row>
    <row r="51" spans="1:6" s="86" customFormat="1">
      <c r="A51" s="105">
        <v>130</v>
      </c>
      <c r="B51" s="8" t="s">
        <v>1891</v>
      </c>
      <c r="C51" s="631">
        <v>20685428405</v>
      </c>
      <c r="D51" s="8" t="s">
        <v>1892</v>
      </c>
      <c r="E51" s="8"/>
      <c r="F51" s="91">
        <v>130</v>
      </c>
    </row>
    <row r="52" spans="1:6" s="86" customFormat="1">
      <c r="A52" s="105">
        <v>131</v>
      </c>
      <c r="B52" s="8" t="s">
        <v>1690</v>
      </c>
      <c r="C52" s="630">
        <v>0.21404487846767417</v>
      </c>
      <c r="D52" s="106" t="s">
        <v>1893</v>
      </c>
      <c r="E52" s="8"/>
      <c r="F52" s="91">
        <v>131</v>
      </c>
    </row>
    <row r="53" spans="1:6" s="86" customFormat="1"/>
    <row r="54" spans="1:6">
      <c r="C54" s="532"/>
    </row>
    <row r="56" spans="1:6">
      <c r="C56" s="533"/>
    </row>
    <row r="58" spans="1:6">
      <c r="C58" s="533"/>
    </row>
  </sheetData>
  <printOptions horizontalCentered="1"/>
  <pageMargins left="1" right="1" top="1" bottom="1" header="0.5" footer="0.5"/>
  <pageSetup scale="57" orientation="landscape" r:id="rId1"/>
  <headerFooter>
    <oddHeader>&amp;RDocket No. ER20-2878-000, et al.- Annual Update RY2024
&amp;F</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pageSetUpPr fitToPage="1"/>
  </sheetPr>
  <dimension ref="A1:J22"/>
  <sheetViews>
    <sheetView view="pageBreakPreview" zoomScaleNormal="100" zoomScaleSheetLayoutView="100" workbookViewId="0">
      <selection activeCell="W98" sqref="W98"/>
    </sheetView>
  </sheetViews>
  <sheetFormatPr defaultColWidth="9.1796875" defaultRowHeight="14.5"/>
  <cols>
    <col min="1" max="1" width="6.7265625" bestFit="1" customWidth="1"/>
    <col min="2" max="2" width="9.54296875" customWidth="1"/>
    <col min="3" max="3" width="8.54296875" customWidth="1"/>
    <col min="4" max="4" width="17.81640625" customWidth="1"/>
    <col min="5" max="5" width="19.453125" bestFit="1" customWidth="1"/>
    <col min="6" max="6" width="33.453125" bestFit="1" customWidth="1"/>
    <col min="7" max="7" width="4.7265625" bestFit="1" customWidth="1"/>
    <col min="10" max="10" width="15.54296875" bestFit="1" customWidth="1"/>
  </cols>
  <sheetData>
    <row r="1" spans="1:10">
      <c r="B1" s="2" t="s">
        <v>1894</v>
      </c>
      <c r="E1" s="6"/>
      <c r="F1" s="6" t="str">
        <f>CONCATENATE("Prior Year: ",'1-DRR Corrected'!$K$2)</f>
        <v>Prior Year: 2021</v>
      </c>
    </row>
    <row r="2" spans="1:10">
      <c r="B2" s="320" t="s">
        <v>120</v>
      </c>
      <c r="C2" s="405"/>
    </row>
    <row r="4" spans="1:10">
      <c r="A4" s="3" t="s">
        <v>90</v>
      </c>
      <c r="G4" s="3" t="str">
        <f>A4</f>
        <v>Line</v>
      </c>
    </row>
    <row r="5" spans="1:10">
      <c r="B5" s="45" t="s">
        <v>1895</v>
      </c>
      <c r="C5" s="43"/>
      <c r="D5" s="43"/>
      <c r="E5" s="43"/>
      <c r="F5" s="43"/>
      <c r="J5" s="210"/>
    </row>
    <row r="6" spans="1:10">
      <c r="B6" s="7" t="s">
        <v>1896</v>
      </c>
      <c r="C6" s="7" t="s">
        <v>1897</v>
      </c>
      <c r="D6" s="7" t="s">
        <v>1898</v>
      </c>
      <c r="E6" s="7" t="s">
        <v>1899</v>
      </c>
      <c r="F6" s="3" t="s">
        <v>631</v>
      </c>
      <c r="J6" s="210"/>
    </row>
    <row r="7" spans="1:10">
      <c r="A7" s="4">
        <v>100</v>
      </c>
      <c r="B7" s="94"/>
      <c r="C7" s="38" t="s">
        <v>1900</v>
      </c>
      <c r="D7" s="38">
        <v>366</v>
      </c>
      <c r="E7" s="229">
        <v>7.4570000000000001E-3</v>
      </c>
      <c r="F7" s="228" t="s">
        <v>1901</v>
      </c>
      <c r="G7" s="4">
        <f>A7</f>
        <v>100</v>
      </c>
    </row>
    <row r="8" spans="1:10">
      <c r="A8" s="4">
        <f>A7+1</f>
        <v>101</v>
      </c>
      <c r="B8" s="227" t="s">
        <v>1744</v>
      </c>
      <c r="C8" s="38"/>
      <c r="D8" s="38"/>
      <c r="E8" s="229"/>
      <c r="F8" s="228"/>
      <c r="G8" s="4">
        <f>A8</f>
        <v>101</v>
      </c>
      <c r="J8" s="10"/>
    </row>
    <row r="9" spans="1:10">
      <c r="A9" s="4"/>
      <c r="G9" s="4"/>
    </row>
    <row r="10" spans="1:10">
      <c r="A10" s="4"/>
      <c r="B10" s="45" t="s">
        <v>1902</v>
      </c>
      <c r="C10" s="43"/>
      <c r="D10" s="43"/>
      <c r="E10" s="43"/>
      <c r="F10" s="43"/>
      <c r="G10" s="4"/>
    </row>
    <row r="11" spans="1:10">
      <c r="A11" s="4"/>
      <c r="B11" s="2" t="s">
        <v>1896</v>
      </c>
      <c r="C11" s="2" t="s">
        <v>1897</v>
      </c>
      <c r="D11" s="2" t="s">
        <v>1898</v>
      </c>
      <c r="E11" s="2" t="s">
        <v>302</v>
      </c>
      <c r="F11" s="2" t="s">
        <v>631</v>
      </c>
      <c r="G11" s="4"/>
    </row>
    <row r="12" spans="1:10">
      <c r="A12" s="4">
        <v>200</v>
      </c>
      <c r="B12" s="94"/>
      <c r="C12" s="38" t="s">
        <v>1900</v>
      </c>
      <c r="D12" s="38">
        <v>366</v>
      </c>
      <c r="E12" s="229">
        <v>2.7300000000000002E-4</v>
      </c>
      <c r="F12" s="228" t="s">
        <v>1903</v>
      </c>
      <c r="G12" s="4">
        <f>A12</f>
        <v>200</v>
      </c>
    </row>
    <row r="13" spans="1:10">
      <c r="A13" s="4">
        <f>A12+1</f>
        <v>201</v>
      </c>
      <c r="B13" s="227" t="s">
        <v>1744</v>
      </c>
      <c r="C13" s="38"/>
      <c r="D13" s="38"/>
      <c r="E13" s="38"/>
      <c r="G13" s="4">
        <f>A13</f>
        <v>201</v>
      </c>
    </row>
    <row r="14" spans="1:10">
      <c r="A14" s="4"/>
      <c r="G14" s="4"/>
    </row>
    <row r="15" spans="1:10">
      <c r="A15" s="4"/>
      <c r="B15" s="45" t="s">
        <v>1904</v>
      </c>
      <c r="C15" s="43"/>
      <c r="D15" s="43"/>
      <c r="E15" s="43"/>
      <c r="F15" s="43"/>
      <c r="G15" s="4"/>
    </row>
    <row r="16" spans="1:10">
      <c r="A16" s="4">
        <v>400</v>
      </c>
      <c r="B16" s="2" t="s">
        <v>1899</v>
      </c>
      <c r="C16" s="2"/>
      <c r="D16" s="2"/>
      <c r="E16" s="10">
        <f>((E7*D7)+(E8*D8))/(D7+D8)</f>
        <v>7.4569999999999992E-3</v>
      </c>
      <c r="F16" s="10"/>
      <c r="G16" s="4">
        <f>A16</f>
        <v>400</v>
      </c>
    </row>
    <row r="17" spans="1:7">
      <c r="A17" s="4">
        <f>A16+1</f>
        <v>401</v>
      </c>
      <c r="B17" s="2" t="s">
        <v>302</v>
      </c>
      <c r="C17" s="2"/>
      <c r="D17" s="2"/>
      <c r="E17" s="10">
        <f>((E12*D12)+(E13*D13))/(D12+D13)</f>
        <v>2.7300000000000002E-4</v>
      </c>
      <c r="F17" s="10"/>
      <c r="G17" s="4">
        <f>A17</f>
        <v>401</v>
      </c>
    </row>
    <row r="22" spans="1:7">
      <c r="D22" s="8"/>
    </row>
  </sheetData>
  <printOptions horizontalCentered="1"/>
  <pageMargins left="1" right="1" top="1" bottom="1" header="0.5" footer="0.5"/>
  <pageSetup orientation="landscape" r:id="rId1"/>
  <headerFooter>
    <oddHeader>&amp;RDocket No. ER20-2878-000, et al.- Annual Update RY2024
&amp;F</oddHead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8DF3A-D4FC-4BC3-9968-F1CFE8D3BDE4}">
  <sheetPr>
    <tabColor rgb="FFFF0000"/>
    <pageSetUpPr fitToPage="1"/>
  </sheetPr>
  <dimension ref="A1:Q125"/>
  <sheetViews>
    <sheetView view="pageBreakPreview" topLeftCell="A43" zoomScale="25" zoomScaleNormal="100" zoomScaleSheetLayoutView="25" zoomScalePageLayoutView="70" workbookViewId="0">
      <selection activeCell="W98" sqref="W98"/>
    </sheetView>
  </sheetViews>
  <sheetFormatPr defaultColWidth="9.1796875" defaultRowHeight="14.5"/>
  <cols>
    <col min="1" max="1" width="6" style="4" bestFit="1" customWidth="1"/>
    <col min="2" max="2" width="2.1796875" style="4" bestFit="1" customWidth="1"/>
    <col min="3" max="3" width="51.1796875" customWidth="1"/>
    <col min="4" max="4" width="3.7265625" customWidth="1"/>
    <col min="5" max="5" width="17.7265625" bestFit="1" customWidth="1"/>
    <col min="6" max="6" width="33.453125" bestFit="1" customWidth="1"/>
    <col min="7" max="7" width="30.26953125" bestFit="1" customWidth="1"/>
    <col min="8" max="8" width="17.7265625" bestFit="1" customWidth="1"/>
    <col min="9" max="10" width="16.26953125" bestFit="1" customWidth="1"/>
    <col min="11" max="11" width="38.26953125" bestFit="1" customWidth="1"/>
    <col min="12" max="12" width="4.54296875" bestFit="1" customWidth="1"/>
    <col min="13" max="13" width="2.7265625" customWidth="1"/>
    <col min="17" max="17" width="11.81640625" bestFit="1" customWidth="1"/>
  </cols>
  <sheetData>
    <row r="1" spans="1:17">
      <c r="C1" s="2" t="s">
        <v>9</v>
      </c>
      <c r="J1" s="6" t="s">
        <v>119</v>
      </c>
      <c r="K1" s="36">
        <v>2023</v>
      </c>
    </row>
    <row r="2" spans="1:17">
      <c r="A2" s="5"/>
      <c r="B2" s="5"/>
      <c r="C2" s="35" t="s">
        <v>120</v>
      </c>
      <c r="J2" s="6" t="s">
        <v>121</v>
      </c>
      <c r="K2" s="5">
        <v>2021</v>
      </c>
      <c r="M2" s="6"/>
    </row>
    <row r="3" spans="1:17">
      <c r="A3" s="3" t="s">
        <v>90</v>
      </c>
      <c r="B3" s="3"/>
      <c r="E3" s="3" t="s">
        <v>122</v>
      </c>
      <c r="G3" s="33"/>
      <c r="H3" s="3" t="s">
        <v>123</v>
      </c>
      <c r="I3" s="3" t="s">
        <v>124</v>
      </c>
      <c r="J3" s="3" t="s">
        <v>125</v>
      </c>
      <c r="K3" s="3" t="s">
        <v>126</v>
      </c>
      <c r="L3" s="3"/>
    </row>
    <row r="4" spans="1:17">
      <c r="A4" s="4">
        <v>1</v>
      </c>
      <c r="B4" s="3"/>
      <c r="E4" s="3"/>
      <c r="G4" s="33"/>
      <c r="H4" s="4" t="s">
        <v>127</v>
      </c>
      <c r="I4" s="440">
        <v>0.4883690251540051</v>
      </c>
      <c r="J4" s="440">
        <v>0.46517328191677687</v>
      </c>
      <c r="K4" s="34" t="s">
        <v>128</v>
      </c>
      <c r="L4" s="3"/>
    </row>
    <row r="5" spans="1:17">
      <c r="C5" s="41" t="s">
        <v>129</v>
      </c>
      <c r="D5" s="42"/>
      <c r="E5" s="43"/>
      <c r="F5" s="43"/>
      <c r="G5" s="43"/>
      <c r="H5" s="43"/>
      <c r="I5" s="43"/>
      <c r="J5" s="43"/>
      <c r="K5" s="43"/>
    </row>
    <row r="6" spans="1:17" ht="29">
      <c r="A6" s="3" t="s">
        <v>90</v>
      </c>
      <c r="B6" s="3"/>
      <c r="C6" s="110" t="s">
        <v>7</v>
      </c>
      <c r="D6" s="34"/>
      <c r="E6" s="110" t="s">
        <v>130</v>
      </c>
      <c r="F6" s="110" t="s">
        <v>126</v>
      </c>
      <c r="G6" s="110" t="s">
        <v>131</v>
      </c>
      <c r="H6" s="110" t="s">
        <v>132</v>
      </c>
      <c r="I6" s="110" t="s">
        <v>133</v>
      </c>
      <c r="J6" s="110" t="s">
        <v>134</v>
      </c>
      <c r="K6" s="3" t="s">
        <v>126</v>
      </c>
      <c r="L6" s="3" t="s">
        <v>90</v>
      </c>
    </row>
    <row r="7" spans="1:17">
      <c r="C7" s="1" t="s">
        <v>135</v>
      </c>
      <c r="D7" s="1"/>
    </row>
    <row r="8" spans="1:17">
      <c r="A8" s="4">
        <v>100</v>
      </c>
      <c r="C8" t="s">
        <v>136</v>
      </c>
      <c r="E8" s="13">
        <v>36964133131.999985</v>
      </c>
      <c r="F8" t="s">
        <v>137</v>
      </c>
      <c r="G8" t="s">
        <v>138</v>
      </c>
      <c r="H8" s="13">
        <v>35246864786.429993</v>
      </c>
      <c r="I8" s="13">
        <v>18052137663.515579</v>
      </c>
      <c r="J8" s="13">
        <v>17194727122.914413</v>
      </c>
      <c r="K8" t="s">
        <v>139</v>
      </c>
      <c r="L8" s="4">
        <v>100</v>
      </c>
      <c r="Q8" s="24"/>
    </row>
    <row r="9" spans="1:17">
      <c r="A9" s="4">
        <v>101</v>
      </c>
      <c r="C9" t="s">
        <v>140</v>
      </c>
      <c r="E9" s="40">
        <v>2889991282.3299999</v>
      </c>
      <c r="F9" s="33" t="s">
        <v>141</v>
      </c>
      <c r="G9" t="s">
        <v>138</v>
      </c>
      <c r="H9" s="13">
        <v>2025054620.5164266</v>
      </c>
      <c r="I9" s="13">
        <v>1037157914.8315742</v>
      </c>
      <c r="J9" s="13">
        <v>987896705.68485224</v>
      </c>
      <c r="K9" t="s">
        <v>142</v>
      </c>
      <c r="L9" s="4">
        <v>101</v>
      </c>
      <c r="Q9" s="24"/>
    </row>
    <row r="10" spans="1:17">
      <c r="A10" s="4">
        <v>102</v>
      </c>
      <c r="C10" s="2" t="s">
        <v>143</v>
      </c>
      <c r="D10" s="2"/>
      <c r="E10" s="444">
        <v>39854124414.329987</v>
      </c>
      <c r="F10" s="33" t="s">
        <v>306</v>
      </c>
      <c r="H10" s="444">
        <v>37271919406.946419</v>
      </c>
      <c r="I10" s="444">
        <v>19089295578.347153</v>
      </c>
      <c r="J10" s="444">
        <v>18182623828.599266</v>
      </c>
      <c r="K10" s="33" t="s">
        <v>306</v>
      </c>
      <c r="L10" s="4">
        <v>102</v>
      </c>
      <c r="Q10" s="24"/>
    </row>
    <row r="11" spans="1:17">
      <c r="E11" s="24"/>
      <c r="H11" s="24"/>
      <c r="I11" s="24"/>
      <c r="J11" s="24"/>
      <c r="Q11" s="24"/>
    </row>
    <row r="12" spans="1:17">
      <c r="C12" s="1" t="s">
        <v>144</v>
      </c>
      <c r="D12" s="1"/>
      <c r="E12" s="24"/>
      <c r="H12" s="24"/>
      <c r="I12" s="24"/>
      <c r="J12" s="24"/>
      <c r="Q12" s="24"/>
    </row>
    <row r="13" spans="1:17">
      <c r="A13" s="4">
        <v>103</v>
      </c>
      <c r="C13" t="s">
        <v>145</v>
      </c>
      <c r="E13" s="13">
        <v>243542773.03879631</v>
      </c>
      <c r="F13" t="s">
        <v>146</v>
      </c>
      <c r="G13" t="s">
        <v>138</v>
      </c>
      <c r="H13" s="13">
        <v>232228337.67382967</v>
      </c>
      <c r="I13" s="13">
        <v>118938746.65226007</v>
      </c>
      <c r="J13" s="13">
        <v>113289591.02156959</v>
      </c>
      <c r="K13" t="s">
        <v>147</v>
      </c>
      <c r="L13" s="4">
        <v>103</v>
      </c>
      <c r="Q13" s="24"/>
    </row>
    <row r="14" spans="1:17">
      <c r="A14" s="4">
        <v>104</v>
      </c>
      <c r="C14" t="s">
        <v>148</v>
      </c>
      <c r="E14" s="13">
        <v>165911494</v>
      </c>
      <c r="F14" t="s">
        <v>149</v>
      </c>
      <c r="G14" t="s">
        <v>138</v>
      </c>
      <c r="H14" s="13">
        <v>158203628.75832021</v>
      </c>
      <c r="I14" s="13">
        <v>81026034.586624563</v>
      </c>
      <c r="J14" s="13">
        <v>77177594.171695635</v>
      </c>
      <c r="K14" t="s">
        <v>150</v>
      </c>
      <c r="L14" s="4">
        <v>104</v>
      </c>
      <c r="Q14" s="24"/>
    </row>
    <row r="15" spans="1:17">
      <c r="A15" s="4">
        <v>105</v>
      </c>
      <c r="C15" t="s">
        <v>151</v>
      </c>
      <c r="E15" s="14">
        <v>484335150.83755803</v>
      </c>
      <c r="F15" t="s">
        <v>307</v>
      </c>
      <c r="H15" s="14">
        <v>461834057.12512028</v>
      </c>
      <c r="I15" s="14">
        <v>236534285.46235624</v>
      </c>
      <c r="J15" s="14">
        <v>225299771.66276404</v>
      </c>
      <c r="K15" t="s">
        <v>152</v>
      </c>
      <c r="L15" s="4">
        <v>105</v>
      </c>
      <c r="Q15" s="24"/>
    </row>
    <row r="16" spans="1:17">
      <c r="A16" s="4">
        <v>106</v>
      </c>
      <c r="C16" s="2" t="s">
        <v>153</v>
      </c>
      <c r="D16" s="2"/>
      <c r="E16" s="15">
        <v>893789417.87635434</v>
      </c>
      <c r="F16" s="33" t="s">
        <v>308</v>
      </c>
      <c r="H16" s="15">
        <v>852266023.55727005</v>
      </c>
      <c r="I16" s="15">
        <v>436499066.70124084</v>
      </c>
      <c r="J16" s="15">
        <v>415766956.85602927</v>
      </c>
      <c r="K16" s="33" t="s">
        <v>308</v>
      </c>
      <c r="L16" s="4">
        <v>106</v>
      </c>
      <c r="Q16" s="24"/>
    </row>
    <row r="17" spans="1:17">
      <c r="E17" s="24"/>
      <c r="H17" s="24"/>
      <c r="I17" s="24"/>
      <c r="J17" s="24"/>
      <c r="Q17" s="24"/>
    </row>
    <row r="18" spans="1:17">
      <c r="C18" s="1" t="s">
        <v>154</v>
      </c>
      <c r="D18" s="1"/>
      <c r="E18" s="24"/>
      <c r="H18" s="24"/>
      <c r="I18" s="24"/>
      <c r="J18" s="24"/>
      <c r="Q18" s="24"/>
    </row>
    <row r="19" spans="1:17">
      <c r="A19" s="4">
        <v>107</v>
      </c>
      <c r="C19" t="s">
        <v>155</v>
      </c>
      <c r="E19" s="23">
        <v>-16083875762.020004</v>
      </c>
      <c r="F19" t="s">
        <v>156</v>
      </c>
      <c r="G19" t="s">
        <v>157</v>
      </c>
      <c r="H19" s="13">
        <v>-15447683383.700008</v>
      </c>
      <c r="I19" s="13">
        <v>-7685968897.5650244</v>
      </c>
      <c r="J19" s="13">
        <v>-7761714486.1349831</v>
      </c>
      <c r="K19" t="s">
        <v>158</v>
      </c>
      <c r="L19" s="4">
        <v>107</v>
      </c>
      <c r="Q19" s="24"/>
    </row>
    <row r="20" spans="1:17">
      <c r="A20" s="4">
        <v>108</v>
      </c>
      <c r="C20" t="s">
        <v>159</v>
      </c>
      <c r="E20" s="40">
        <v>-1102476559</v>
      </c>
      <c r="F20" s="33" t="s">
        <v>160</v>
      </c>
      <c r="G20" t="s">
        <v>157</v>
      </c>
      <c r="H20" s="13">
        <v>-741413526.16620278</v>
      </c>
      <c r="I20" s="13">
        <v>-379724526.45764387</v>
      </c>
      <c r="J20" s="13">
        <v>-361688999.70855898</v>
      </c>
      <c r="K20" t="s">
        <v>161</v>
      </c>
      <c r="L20" s="4">
        <v>108</v>
      </c>
      <c r="Q20" s="24"/>
    </row>
    <row r="21" spans="1:17">
      <c r="A21" s="4">
        <v>109</v>
      </c>
      <c r="C21" s="2" t="s">
        <v>162</v>
      </c>
      <c r="D21" s="2"/>
      <c r="E21" s="444">
        <v>-17186352321.020004</v>
      </c>
      <c r="F21" t="s">
        <v>309</v>
      </c>
      <c r="H21" s="444">
        <v>-16189096909.866211</v>
      </c>
      <c r="I21" s="444">
        <v>-8065693424.0226679</v>
      </c>
      <c r="J21" s="444">
        <v>-8123403485.8435421</v>
      </c>
      <c r="K21" t="s">
        <v>309</v>
      </c>
      <c r="L21" s="4">
        <v>109</v>
      </c>
      <c r="M21" s="2"/>
      <c r="Q21" s="24"/>
    </row>
    <row r="22" spans="1:17">
      <c r="E22" s="24"/>
      <c r="H22" s="24"/>
      <c r="I22" s="24"/>
      <c r="J22" s="24"/>
      <c r="M22" s="2"/>
      <c r="Q22" s="24"/>
    </row>
    <row r="23" spans="1:17">
      <c r="A23" s="4">
        <v>110</v>
      </c>
      <c r="B23" s="5" t="s">
        <v>163</v>
      </c>
      <c r="C23" s="5" t="s">
        <v>164</v>
      </c>
      <c r="D23" s="5"/>
      <c r="E23" s="13">
        <v>-2870649317.6736646</v>
      </c>
      <c r="F23" t="s">
        <v>165</v>
      </c>
      <c r="G23" t="s">
        <v>138</v>
      </c>
      <c r="H23" s="13">
        <v>-2737285573.1657124</v>
      </c>
      <c r="I23" s="13">
        <v>-1401936208.8312974</v>
      </c>
      <c r="J23" s="13">
        <v>-1335349364.3344147</v>
      </c>
      <c r="K23" t="s">
        <v>166</v>
      </c>
      <c r="L23" s="4">
        <v>110</v>
      </c>
      <c r="M23" s="2" t="s">
        <v>163</v>
      </c>
      <c r="Q23" s="24"/>
    </row>
    <row r="24" spans="1:17">
      <c r="A24" s="4">
        <v>110</v>
      </c>
      <c r="B24" s="5" t="s">
        <v>167</v>
      </c>
      <c r="C24" s="5" t="s">
        <v>168</v>
      </c>
      <c r="D24" s="5"/>
      <c r="E24" s="14">
        <v>-1442365131.1236477</v>
      </c>
      <c r="F24" t="s">
        <v>169</v>
      </c>
      <c r="G24" t="s">
        <v>138</v>
      </c>
      <c r="H24" s="14">
        <v>-1375356174.7700939</v>
      </c>
      <c r="I24" s="14">
        <v>-704406453.00298452</v>
      </c>
      <c r="J24" s="14">
        <v>-670949721.76710939</v>
      </c>
      <c r="K24" t="s">
        <v>170</v>
      </c>
      <c r="L24" s="4">
        <v>110</v>
      </c>
      <c r="M24" s="2" t="s">
        <v>167</v>
      </c>
      <c r="Q24" s="24"/>
    </row>
    <row r="25" spans="1:17">
      <c r="A25" s="4">
        <v>110</v>
      </c>
      <c r="B25" s="5" t="s">
        <v>171</v>
      </c>
      <c r="C25" s="5" t="s">
        <v>172</v>
      </c>
      <c r="D25" s="329"/>
      <c r="E25" s="15">
        <v>-4313014448.7973118</v>
      </c>
      <c r="F25" t="s">
        <v>310</v>
      </c>
      <c r="G25" t="s">
        <v>138</v>
      </c>
      <c r="H25" s="15">
        <v>-4112641747.9358063</v>
      </c>
      <c r="I25" s="15">
        <v>-2106342661.8342819</v>
      </c>
      <c r="J25" s="15">
        <v>-2006299086.1015241</v>
      </c>
      <c r="K25" t="s">
        <v>310</v>
      </c>
      <c r="L25" s="4">
        <v>110</v>
      </c>
      <c r="M25" s="2" t="s">
        <v>171</v>
      </c>
      <c r="Q25" s="24"/>
    </row>
    <row r="26" spans="1:17">
      <c r="A26" s="4">
        <v>111</v>
      </c>
      <c r="C26" s="105" t="s">
        <v>173</v>
      </c>
      <c r="D26" s="556"/>
      <c r="E26" s="265">
        <v>-123575038.625315</v>
      </c>
      <c r="F26" s="8" t="s">
        <v>174</v>
      </c>
      <c r="G26" t="s">
        <v>138</v>
      </c>
      <c r="H26" s="13">
        <v>-117834027.42714384</v>
      </c>
      <c r="I26" s="13">
        <v>-60350221.146813609</v>
      </c>
      <c r="J26" s="13">
        <v>-57483806.280330241</v>
      </c>
      <c r="K26" t="s">
        <v>175</v>
      </c>
      <c r="L26" s="4">
        <v>111</v>
      </c>
    </row>
    <row r="27" spans="1:17">
      <c r="A27" s="4">
        <v>112</v>
      </c>
      <c r="C27" s="2" t="s">
        <v>176</v>
      </c>
      <c r="D27" s="2"/>
      <c r="E27" s="14">
        <v>0</v>
      </c>
      <c r="F27" t="s">
        <v>177</v>
      </c>
      <c r="G27" t="s">
        <v>138</v>
      </c>
      <c r="H27" s="14">
        <v>0</v>
      </c>
      <c r="I27" s="14">
        <v>0</v>
      </c>
      <c r="J27" s="14">
        <v>0</v>
      </c>
      <c r="K27" t="s">
        <v>178</v>
      </c>
      <c r="L27" s="4">
        <v>112</v>
      </c>
    </row>
    <row r="28" spans="1:17">
      <c r="E28" s="13"/>
      <c r="H28" s="13"/>
      <c r="I28" s="13"/>
      <c r="J28" s="13"/>
      <c r="L28" s="4"/>
    </row>
    <row r="29" spans="1:17" ht="30.75" customHeight="1">
      <c r="A29" s="4">
        <v>113</v>
      </c>
      <c r="C29" s="2" t="s">
        <v>179</v>
      </c>
      <c r="D29" s="2"/>
      <c r="E29" s="15">
        <v>19124972023.763714</v>
      </c>
      <c r="F29" s="34" t="s">
        <v>311</v>
      </c>
      <c r="H29" s="15">
        <v>17704612745.274529</v>
      </c>
      <c r="I29" s="15">
        <v>9293408338.0446301</v>
      </c>
      <c r="J29" s="15">
        <v>8411204407.2298985</v>
      </c>
      <c r="K29" s="34" t="s">
        <v>311</v>
      </c>
      <c r="L29" s="4">
        <v>113</v>
      </c>
    </row>
    <row r="30" spans="1:17">
      <c r="E30" s="8"/>
      <c r="H30" s="8"/>
      <c r="I30" s="8"/>
      <c r="J30" s="8"/>
      <c r="L30" s="4"/>
    </row>
    <row r="31" spans="1:17">
      <c r="C31" s="41" t="s">
        <v>180</v>
      </c>
      <c r="D31" s="43"/>
      <c r="E31" s="43"/>
      <c r="F31" s="43"/>
      <c r="G31" s="43"/>
      <c r="H31" s="43"/>
      <c r="I31" s="43"/>
      <c r="J31" s="43"/>
      <c r="K31" s="43"/>
    </row>
    <row r="32" spans="1:17" ht="29">
      <c r="A32" s="3" t="s">
        <v>90</v>
      </c>
      <c r="B32" s="3"/>
      <c r="C32" s="110" t="s">
        <v>7</v>
      </c>
      <c r="D32" s="34"/>
      <c r="E32" s="110" t="s">
        <v>130</v>
      </c>
      <c r="F32" s="110" t="s">
        <v>126</v>
      </c>
      <c r="G32" s="110" t="s">
        <v>131</v>
      </c>
      <c r="H32" s="110" t="s">
        <v>132</v>
      </c>
      <c r="I32" s="110" t="s">
        <v>133</v>
      </c>
      <c r="J32" s="110" t="s">
        <v>134</v>
      </c>
      <c r="K32" s="110" t="s">
        <v>126</v>
      </c>
      <c r="L32" s="3" t="s">
        <v>90</v>
      </c>
    </row>
    <row r="33" spans="1:12">
      <c r="C33" s="1" t="s">
        <v>181</v>
      </c>
      <c r="D33" s="1"/>
    </row>
    <row r="34" spans="1:12">
      <c r="A34" s="4">
        <v>200</v>
      </c>
      <c r="C34" t="s">
        <v>182</v>
      </c>
      <c r="E34" s="231">
        <v>0.4975</v>
      </c>
      <c r="F34" s="8" t="s">
        <v>183</v>
      </c>
      <c r="G34" s="8" t="s">
        <v>184</v>
      </c>
      <c r="H34" s="231">
        <v>0.4975</v>
      </c>
      <c r="I34" s="231">
        <v>0.4975</v>
      </c>
      <c r="J34" s="231">
        <v>0.4975</v>
      </c>
      <c r="K34" s="8" t="s">
        <v>185</v>
      </c>
      <c r="L34" s="4">
        <v>200</v>
      </c>
    </row>
    <row r="35" spans="1:12">
      <c r="A35" s="4">
        <v>201</v>
      </c>
      <c r="C35" t="s">
        <v>186</v>
      </c>
      <c r="E35" s="231">
        <v>5.0000000000000001E-3</v>
      </c>
      <c r="F35" s="8" t="s">
        <v>187</v>
      </c>
      <c r="G35" s="8" t="s">
        <v>184</v>
      </c>
      <c r="H35" s="231">
        <v>5.0000000000000001E-3</v>
      </c>
      <c r="I35" s="231">
        <v>5.0000000000000001E-3</v>
      </c>
      <c r="J35" s="231">
        <v>5.0000000000000001E-3</v>
      </c>
      <c r="K35" s="8" t="s">
        <v>188</v>
      </c>
      <c r="L35" s="4">
        <v>201</v>
      </c>
    </row>
    <row r="36" spans="1:12">
      <c r="A36" s="4">
        <v>202</v>
      </c>
      <c r="C36" t="s">
        <v>189</v>
      </c>
      <c r="E36" s="231">
        <v>0.4975</v>
      </c>
      <c r="F36" s="8" t="s">
        <v>183</v>
      </c>
      <c r="G36" s="8" t="s">
        <v>184</v>
      </c>
      <c r="H36" s="231">
        <v>0.4975</v>
      </c>
      <c r="I36" s="231">
        <v>0.4975</v>
      </c>
      <c r="J36" s="231">
        <v>0.4975</v>
      </c>
      <c r="K36" s="8" t="s">
        <v>190</v>
      </c>
      <c r="L36" s="4">
        <v>202</v>
      </c>
    </row>
    <row r="37" spans="1:12">
      <c r="E37" s="8"/>
      <c r="F37" s="8"/>
      <c r="G37" s="8"/>
      <c r="H37" s="8"/>
      <c r="I37" s="8"/>
      <c r="J37" s="8"/>
      <c r="K37" s="8"/>
    </row>
    <row r="38" spans="1:12">
      <c r="C38" s="1" t="s">
        <v>191</v>
      </c>
      <c r="D38" s="1"/>
      <c r="E38" s="8"/>
      <c r="F38" s="8"/>
      <c r="G38" s="8"/>
      <c r="H38" s="8"/>
      <c r="I38" s="8"/>
      <c r="J38" s="8"/>
      <c r="K38" s="8"/>
      <c r="L38" s="4"/>
    </row>
    <row r="39" spans="1:12">
      <c r="A39" s="4">
        <v>203</v>
      </c>
      <c r="C39" t="s">
        <v>21</v>
      </c>
      <c r="E39" s="557">
        <v>3.5299999999999998E-2</v>
      </c>
      <c r="F39" s="8" t="s">
        <v>192</v>
      </c>
      <c r="G39" s="8"/>
      <c r="H39" s="557">
        <v>3.5299999999999998E-2</v>
      </c>
      <c r="I39" s="557">
        <v>3.5299999999999998E-2</v>
      </c>
      <c r="J39" s="557">
        <v>3.5299999999999998E-2</v>
      </c>
      <c r="K39" s="8" t="s">
        <v>193</v>
      </c>
      <c r="L39" s="4">
        <v>203</v>
      </c>
    </row>
    <row r="40" spans="1:12">
      <c r="A40" s="4">
        <v>204</v>
      </c>
      <c r="C40" t="s">
        <v>23</v>
      </c>
      <c r="E40" s="557">
        <v>5.5211589517762859E-2</v>
      </c>
      <c r="F40" s="8" t="s">
        <v>194</v>
      </c>
      <c r="G40" s="8"/>
      <c r="H40" s="557">
        <v>5.5211589517762859E-2</v>
      </c>
      <c r="I40" s="557">
        <v>5.5211589517762859E-2</v>
      </c>
      <c r="J40" s="557">
        <v>5.5211589517762859E-2</v>
      </c>
      <c r="K40" s="8" t="s">
        <v>195</v>
      </c>
      <c r="L40" s="4">
        <v>204</v>
      </c>
    </row>
    <row r="41" spans="1:12">
      <c r="E41" s="557"/>
      <c r="F41" s="8"/>
      <c r="G41" s="8"/>
      <c r="H41" s="557"/>
      <c r="I41" s="557"/>
      <c r="J41" s="557"/>
      <c r="K41" s="8"/>
      <c r="L41" s="4"/>
    </row>
    <row r="42" spans="1:12">
      <c r="A42" s="4">
        <v>205</v>
      </c>
      <c r="C42" t="s">
        <v>196</v>
      </c>
      <c r="E42" s="231">
        <v>0.10249999999999999</v>
      </c>
      <c r="F42" s="8" t="s">
        <v>197</v>
      </c>
      <c r="G42" s="8" t="s">
        <v>184</v>
      </c>
      <c r="H42" s="231">
        <v>0.10249999999999999</v>
      </c>
      <c r="I42" s="231">
        <v>0.10249999999999999</v>
      </c>
      <c r="J42" s="231">
        <v>0.10249999999999999</v>
      </c>
      <c r="K42" s="8" t="s">
        <v>198</v>
      </c>
      <c r="L42" s="4">
        <v>205</v>
      </c>
    </row>
    <row r="43" spans="1:12">
      <c r="E43" s="8"/>
      <c r="F43" s="8"/>
      <c r="G43" s="8"/>
      <c r="H43" s="8"/>
      <c r="I43" s="8"/>
      <c r="J43" s="8"/>
      <c r="K43" s="8"/>
    </row>
    <row r="44" spans="1:12">
      <c r="C44" s="1" t="s">
        <v>199</v>
      </c>
      <c r="D44" s="1"/>
      <c r="E44" s="8"/>
      <c r="F44" s="8"/>
      <c r="G44" s="8"/>
      <c r="H44" s="8"/>
      <c r="I44" s="8"/>
      <c r="J44" s="8"/>
      <c r="K44" s="8"/>
    </row>
    <row r="45" spans="1:12">
      <c r="A45" s="4">
        <v>206</v>
      </c>
      <c r="C45" t="s">
        <v>200</v>
      </c>
      <c r="E45" s="231">
        <v>1.7561749999999998E-2</v>
      </c>
      <c r="F45" s="8" t="s">
        <v>312</v>
      </c>
      <c r="G45" s="8"/>
      <c r="H45" s="231">
        <v>1.7561749999999998E-2</v>
      </c>
      <c r="I45" s="231">
        <v>1.7561749999999998E-2</v>
      </c>
      <c r="J45" s="231">
        <v>1.7561749999999998E-2</v>
      </c>
      <c r="K45" s="8" t="s">
        <v>201</v>
      </c>
      <c r="L45" s="4">
        <v>206</v>
      </c>
    </row>
    <row r="46" spans="1:12">
      <c r="A46" s="4">
        <v>207</v>
      </c>
      <c r="C46" t="s">
        <v>202</v>
      </c>
      <c r="E46" s="231">
        <v>2.7605794758881429E-4</v>
      </c>
      <c r="F46" s="8" t="s">
        <v>313</v>
      </c>
      <c r="G46" s="8"/>
      <c r="H46" s="231">
        <v>2.7605794758881429E-4</v>
      </c>
      <c r="I46" s="231">
        <v>2.7605794758881429E-4</v>
      </c>
      <c r="J46" s="231">
        <v>2.7605794758881429E-4</v>
      </c>
      <c r="K46" s="8" t="s">
        <v>203</v>
      </c>
      <c r="L46" s="4">
        <v>207</v>
      </c>
    </row>
    <row r="47" spans="1:12">
      <c r="A47" s="4">
        <v>208</v>
      </c>
      <c r="C47" t="s">
        <v>204</v>
      </c>
      <c r="E47" s="558">
        <v>5.0993749999999997E-2</v>
      </c>
      <c r="F47" s="8" t="s">
        <v>314</v>
      </c>
      <c r="G47" s="8"/>
      <c r="H47" s="558">
        <v>5.0993749999999997E-2</v>
      </c>
      <c r="I47" s="558">
        <v>5.0993749999999997E-2</v>
      </c>
      <c r="J47" s="558">
        <v>5.0993749999999997E-2</v>
      </c>
      <c r="K47" s="8" t="s">
        <v>205</v>
      </c>
      <c r="L47" s="4">
        <v>208</v>
      </c>
    </row>
    <row r="48" spans="1:12">
      <c r="A48" s="4">
        <v>209</v>
      </c>
      <c r="C48" s="2" t="s">
        <v>206</v>
      </c>
      <c r="D48" s="2"/>
      <c r="E48" s="559">
        <v>6.8831557947588801E-2</v>
      </c>
      <c r="F48" s="106" t="s">
        <v>315</v>
      </c>
      <c r="G48" s="8"/>
      <c r="H48" s="559">
        <v>6.8831557947588801E-2</v>
      </c>
      <c r="I48" s="559">
        <v>6.8831557947588801E-2</v>
      </c>
      <c r="J48" s="559">
        <v>6.8831557947588801E-2</v>
      </c>
      <c r="K48" s="8" t="s">
        <v>207</v>
      </c>
      <c r="L48" s="4">
        <v>209</v>
      </c>
    </row>
    <row r="49" spans="1:12">
      <c r="E49" s="8"/>
      <c r="F49" s="8"/>
      <c r="G49" s="8"/>
      <c r="H49" s="8"/>
      <c r="I49" s="8"/>
      <c r="J49" s="8"/>
      <c r="K49" s="8"/>
    </row>
    <row r="50" spans="1:12">
      <c r="A50" s="4">
        <v>210</v>
      </c>
      <c r="C50" s="2" t="s">
        <v>208</v>
      </c>
      <c r="D50" s="2"/>
      <c r="E50" s="557">
        <v>5.1269807947588814E-2</v>
      </c>
      <c r="F50" s="8" t="s">
        <v>316</v>
      </c>
      <c r="G50" s="8"/>
      <c r="H50" s="557">
        <v>5.1269807947588814E-2</v>
      </c>
      <c r="I50" s="557">
        <v>5.1269807947588814E-2</v>
      </c>
      <c r="J50" s="557">
        <v>5.1269807947588814E-2</v>
      </c>
      <c r="K50" s="8" t="s">
        <v>209</v>
      </c>
      <c r="L50" s="4">
        <v>210</v>
      </c>
    </row>
    <row r="51" spans="1:12">
      <c r="E51" s="8"/>
      <c r="F51" s="8"/>
      <c r="G51" s="8"/>
      <c r="H51" s="8"/>
      <c r="I51" s="8"/>
      <c r="J51" s="8"/>
      <c r="K51" s="8"/>
      <c r="L51" s="4"/>
    </row>
    <row r="52" spans="1:12">
      <c r="A52" s="4">
        <v>211</v>
      </c>
      <c r="C52" s="2" t="s">
        <v>210</v>
      </c>
      <c r="D52" s="2"/>
      <c r="E52" s="560">
        <v>1316401620.0997066</v>
      </c>
      <c r="F52" s="8" t="s">
        <v>317</v>
      </c>
      <c r="G52" s="8"/>
      <c r="H52" s="560">
        <v>1218636078.115983</v>
      </c>
      <c r="I52" s="560">
        <v>639679774.55072391</v>
      </c>
      <c r="J52" s="560">
        <v>578956303.5652591</v>
      </c>
      <c r="K52" s="8" t="s">
        <v>317</v>
      </c>
      <c r="L52" s="4">
        <v>211</v>
      </c>
    </row>
    <row r="53" spans="1:12">
      <c r="E53" s="8"/>
      <c r="F53" s="8"/>
      <c r="G53" s="8"/>
      <c r="H53" s="8"/>
      <c r="I53" s="8"/>
      <c r="J53" s="8"/>
      <c r="K53" s="8"/>
    </row>
    <row r="54" spans="1:12">
      <c r="C54" s="41" t="s">
        <v>211</v>
      </c>
      <c r="D54" s="43"/>
      <c r="E54" s="43"/>
      <c r="F54" s="43"/>
      <c r="G54" s="43"/>
      <c r="H54" s="43"/>
      <c r="I54" s="43"/>
      <c r="J54" s="43"/>
      <c r="K54" s="43"/>
    </row>
    <row r="55" spans="1:12" ht="29">
      <c r="A55" s="3" t="s">
        <v>90</v>
      </c>
      <c r="B55" s="3"/>
      <c r="C55" s="110" t="s">
        <v>7</v>
      </c>
      <c r="D55" s="34"/>
      <c r="E55" s="110" t="s">
        <v>130</v>
      </c>
      <c r="F55" s="110" t="s">
        <v>126</v>
      </c>
      <c r="G55" s="110" t="s">
        <v>131</v>
      </c>
      <c r="H55" s="110" t="s">
        <v>132</v>
      </c>
      <c r="I55" s="110" t="s">
        <v>133</v>
      </c>
      <c r="J55" s="110" t="s">
        <v>134</v>
      </c>
      <c r="K55" s="110" t="s">
        <v>126</v>
      </c>
      <c r="L55" s="3" t="s">
        <v>90</v>
      </c>
    </row>
    <row r="56" spans="1:12">
      <c r="C56" s="1" t="s">
        <v>212</v>
      </c>
      <c r="D56" s="1"/>
    </row>
    <row r="57" spans="1:12">
      <c r="A57" s="4">
        <v>300</v>
      </c>
      <c r="C57" t="s">
        <v>213</v>
      </c>
      <c r="E57" s="635">
        <v>386998160</v>
      </c>
      <c r="F57" t="s">
        <v>214</v>
      </c>
      <c r="H57" s="13">
        <v>369019118.31854761</v>
      </c>
      <c r="I57" s="13">
        <v>188997914.13559368</v>
      </c>
      <c r="J57" s="13">
        <v>180021204.18295392</v>
      </c>
      <c r="K57" t="s">
        <v>215</v>
      </c>
      <c r="L57" s="4">
        <v>300</v>
      </c>
    </row>
    <row r="58" spans="1:12">
      <c r="A58" s="4">
        <v>301</v>
      </c>
      <c r="C58" t="s">
        <v>216</v>
      </c>
      <c r="E58" s="30">
        <v>0.57164494499787244</v>
      </c>
      <c r="F58" t="s">
        <v>217</v>
      </c>
      <c r="H58" s="30">
        <v>0.57164494499787244</v>
      </c>
      <c r="I58" s="30">
        <v>0.57164494499787244</v>
      </c>
      <c r="J58" s="30">
        <v>0.57164494499787244</v>
      </c>
      <c r="K58" t="s">
        <v>218</v>
      </c>
      <c r="L58" s="4">
        <v>301</v>
      </c>
    </row>
    <row r="59" spans="1:12">
      <c r="A59" s="4">
        <v>302</v>
      </c>
      <c r="C59" s="2" t="s">
        <v>219</v>
      </c>
      <c r="D59" s="2"/>
      <c r="E59" s="15">
        <v>221225541.88747784</v>
      </c>
      <c r="F59" t="s">
        <v>318</v>
      </c>
      <c r="H59" s="15">
        <v>210947913.59436953</v>
      </c>
      <c r="I59" s="15">
        <v>108039702.23075406</v>
      </c>
      <c r="J59" s="15">
        <v>102908211.36361545</v>
      </c>
      <c r="K59" t="s">
        <v>318</v>
      </c>
      <c r="L59" s="4">
        <v>302</v>
      </c>
    </row>
    <row r="61" spans="1:12">
      <c r="C61" s="1" t="s">
        <v>220</v>
      </c>
      <c r="D61" s="1"/>
    </row>
    <row r="62" spans="1:12">
      <c r="A62" s="4">
        <v>303</v>
      </c>
      <c r="C62" t="s">
        <v>221</v>
      </c>
      <c r="E62" s="636">
        <v>102363274</v>
      </c>
      <c r="F62" s="638" t="s">
        <v>222</v>
      </c>
      <c r="H62" s="13">
        <v>97607712.449278593</v>
      </c>
      <c r="I62" s="13">
        <v>49991052.334952317</v>
      </c>
      <c r="J62" s="13">
        <v>47616660.114326276</v>
      </c>
      <c r="K62" t="s">
        <v>223</v>
      </c>
      <c r="L62" s="4">
        <v>303</v>
      </c>
    </row>
    <row r="63" spans="1:12">
      <c r="A63" s="4">
        <v>304</v>
      </c>
      <c r="C63" t="s">
        <v>224</v>
      </c>
      <c r="E63" s="636">
        <v>4436145</v>
      </c>
      <c r="F63" s="638" t="s">
        <v>225</v>
      </c>
      <c r="H63" s="13">
        <v>4230051.9378005136</v>
      </c>
      <c r="I63" s="13">
        <v>2166475.8090918139</v>
      </c>
      <c r="J63" s="13">
        <v>2063576.1287087002</v>
      </c>
      <c r="K63" t="s">
        <v>226</v>
      </c>
      <c r="L63" s="4">
        <v>304</v>
      </c>
    </row>
    <row r="64" spans="1:12">
      <c r="A64" s="4">
        <v>305</v>
      </c>
      <c r="C64" t="s">
        <v>227</v>
      </c>
      <c r="E64" s="636">
        <v>807174</v>
      </c>
      <c r="F64" s="638" t="s">
        <v>228</v>
      </c>
      <c r="H64" s="13">
        <v>769674.55816755141</v>
      </c>
      <c r="I64" s="13">
        <v>394198.77950965893</v>
      </c>
      <c r="J64" s="13">
        <v>375475.77865789243</v>
      </c>
      <c r="K64" t="s">
        <v>229</v>
      </c>
      <c r="L64" s="4">
        <v>305</v>
      </c>
    </row>
    <row r="65" spans="1:12">
      <c r="A65" s="4">
        <v>306</v>
      </c>
      <c r="C65" t="s">
        <v>230</v>
      </c>
      <c r="E65" s="636">
        <v>37665761</v>
      </c>
      <c r="F65" s="638" t="s">
        <v>231</v>
      </c>
      <c r="G65" s="638" t="s">
        <v>232</v>
      </c>
      <c r="H65" s="13">
        <v>35915896.641516685</v>
      </c>
      <c r="I65" s="13">
        <v>18394790.981253743</v>
      </c>
      <c r="J65" s="13">
        <v>17521105.660262939</v>
      </c>
      <c r="K65" t="s">
        <v>233</v>
      </c>
      <c r="L65" s="4">
        <v>306</v>
      </c>
    </row>
    <row r="66" spans="1:12">
      <c r="A66" s="4">
        <v>307</v>
      </c>
      <c r="C66" t="s">
        <v>234</v>
      </c>
      <c r="E66" s="637">
        <v>0</v>
      </c>
      <c r="F66" s="638" t="s">
        <v>235</v>
      </c>
      <c r="G66" s="638" t="s">
        <v>232</v>
      </c>
      <c r="H66" s="14">
        <v>0</v>
      </c>
      <c r="I66" s="14">
        <v>0</v>
      </c>
      <c r="J66" s="14">
        <v>0</v>
      </c>
      <c r="K66" t="s">
        <v>236</v>
      </c>
      <c r="L66" s="4">
        <v>307</v>
      </c>
    </row>
    <row r="67" spans="1:12">
      <c r="A67" s="4">
        <v>308</v>
      </c>
      <c r="C67" s="2" t="s">
        <v>237</v>
      </c>
      <c r="D67" s="2"/>
      <c r="E67" s="15">
        <v>145272354</v>
      </c>
      <c r="F67" s="33" t="s">
        <v>319</v>
      </c>
      <c r="H67" s="15">
        <v>138523335.58676332</v>
      </c>
      <c r="I67" s="15">
        <v>70946517.904807538</v>
      </c>
      <c r="J67" s="15">
        <v>67576817.681955799</v>
      </c>
      <c r="K67" s="33" t="s">
        <v>319</v>
      </c>
      <c r="L67" s="4">
        <v>308</v>
      </c>
    </row>
    <row r="69" spans="1:12" ht="29">
      <c r="A69" s="4">
        <v>309</v>
      </c>
      <c r="C69" s="34" t="s">
        <v>238</v>
      </c>
      <c r="E69" s="30">
        <v>0.43638724816634106</v>
      </c>
      <c r="F69" t="s">
        <v>239</v>
      </c>
      <c r="H69" s="30">
        <v>0.43638724816634106</v>
      </c>
      <c r="I69" s="30">
        <v>0.43638724816634106</v>
      </c>
      <c r="J69" s="30">
        <v>0.43638724816634106</v>
      </c>
      <c r="K69" t="s">
        <v>240</v>
      </c>
      <c r="L69" s="4">
        <v>309</v>
      </c>
    </row>
    <row r="70" spans="1:12">
      <c r="A70" s="4">
        <v>310</v>
      </c>
      <c r="C70" s="2" t="s">
        <v>241</v>
      </c>
      <c r="D70" s="2"/>
      <c r="E70" s="15">
        <v>63395002.79670655</v>
      </c>
      <c r="F70" s="8" t="s">
        <v>320</v>
      </c>
      <c r="H70" s="15">
        <v>60449817.223530233</v>
      </c>
      <c r="I70" s="15">
        <v>30960155.715463005</v>
      </c>
      <c r="J70" s="15">
        <v>29489661.508067232</v>
      </c>
      <c r="K70" s="8" t="s">
        <v>320</v>
      </c>
      <c r="L70" s="4">
        <v>310</v>
      </c>
    </row>
    <row r="71" spans="1:12">
      <c r="H71" s="24"/>
      <c r="I71" s="24"/>
      <c r="J71" s="24"/>
    </row>
    <row r="72" spans="1:12">
      <c r="A72" s="4">
        <v>311</v>
      </c>
      <c r="C72" s="2" t="s">
        <v>242</v>
      </c>
      <c r="D72" s="2"/>
      <c r="E72" s="15">
        <v>284620544.68418437</v>
      </c>
      <c r="F72" t="s">
        <v>321</v>
      </c>
      <c r="G72" s="86"/>
      <c r="H72" s="15">
        <v>271397730.81789976</v>
      </c>
      <c r="I72" s="15">
        <v>138999857.94621706</v>
      </c>
      <c r="J72" s="15">
        <v>132397872.87168269</v>
      </c>
      <c r="K72" t="s">
        <v>321</v>
      </c>
      <c r="L72" s="4">
        <v>311</v>
      </c>
    </row>
    <row r="74" spans="1:12">
      <c r="A74"/>
      <c r="B74"/>
      <c r="C74" s="41" t="s">
        <v>243</v>
      </c>
      <c r="D74" s="43"/>
      <c r="E74" s="43"/>
      <c r="F74" s="43"/>
      <c r="G74" s="43"/>
      <c r="H74" s="43"/>
      <c r="I74" s="43"/>
      <c r="J74" s="43"/>
      <c r="K74" s="43"/>
    </row>
    <row r="75" spans="1:12" ht="29">
      <c r="A75" s="3" t="s">
        <v>90</v>
      </c>
      <c r="B75" s="3"/>
      <c r="C75" s="110" t="s">
        <v>7</v>
      </c>
      <c r="D75" s="34"/>
      <c r="E75" s="110" t="s">
        <v>130</v>
      </c>
      <c r="F75" s="110" t="s">
        <v>126</v>
      </c>
      <c r="G75" s="110" t="s">
        <v>131</v>
      </c>
      <c r="H75" s="110" t="s">
        <v>132</v>
      </c>
      <c r="I75" s="110" t="s">
        <v>133</v>
      </c>
      <c r="J75" s="110" t="s">
        <v>134</v>
      </c>
      <c r="K75" s="110" t="s">
        <v>126</v>
      </c>
      <c r="L75" s="3" t="s">
        <v>90</v>
      </c>
    </row>
    <row r="76" spans="1:12">
      <c r="A76" s="4">
        <v>400</v>
      </c>
      <c r="C76" t="s">
        <v>244</v>
      </c>
      <c r="E76" s="22">
        <v>0.21</v>
      </c>
      <c r="F76" t="s">
        <v>245</v>
      </c>
      <c r="H76" s="22">
        <v>0.21</v>
      </c>
      <c r="I76" s="22">
        <v>0.21</v>
      </c>
      <c r="J76" s="22">
        <v>0.21</v>
      </c>
      <c r="K76" t="s">
        <v>246</v>
      </c>
      <c r="L76" s="4">
        <v>400</v>
      </c>
    </row>
    <row r="77" spans="1:12">
      <c r="A77" s="4">
        <v>401</v>
      </c>
      <c r="C77" t="s">
        <v>247</v>
      </c>
      <c r="E77" s="25">
        <v>8.8400000000000006E-2</v>
      </c>
      <c r="F77" t="s">
        <v>248</v>
      </c>
      <c r="H77" s="25">
        <v>8.8400000000000006E-2</v>
      </c>
      <c r="I77" s="25">
        <v>8.8400000000000006E-2</v>
      </c>
      <c r="J77" s="25">
        <v>8.8400000000000006E-2</v>
      </c>
      <c r="K77" t="s">
        <v>249</v>
      </c>
      <c r="L77" s="4">
        <v>401</v>
      </c>
    </row>
    <row r="78" spans="1:12">
      <c r="A78" s="4">
        <v>402</v>
      </c>
      <c r="C78" s="2" t="s">
        <v>250</v>
      </c>
      <c r="D78" s="2"/>
      <c r="E78" s="226">
        <v>0.27983599999999997</v>
      </c>
      <c r="F78" t="s">
        <v>251</v>
      </c>
      <c r="H78" s="226">
        <v>0.27983599999999997</v>
      </c>
      <c r="I78" s="226">
        <v>0.27983599999999997</v>
      </c>
      <c r="J78" s="226">
        <v>0.27983599999999997</v>
      </c>
      <c r="K78" t="s">
        <v>252</v>
      </c>
      <c r="L78" s="4">
        <v>402</v>
      </c>
    </row>
    <row r="80" spans="1:12">
      <c r="C80" s="1" t="s">
        <v>253</v>
      </c>
      <c r="L80" s="4"/>
    </row>
    <row r="81" spans="1:12">
      <c r="A81" s="4">
        <v>403</v>
      </c>
      <c r="C81" t="s">
        <v>254</v>
      </c>
      <c r="E81" s="37">
        <v>15167110.241921386</v>
      </c>
      <c r="F81" s="446" t="s">
        <v>255</v>
      </c>
      <c r="H81" s="14">
        <v>14462481.291678604</v>
      </c>
      <c r="I81" s="14">
        <v>7407146.843250474</v>
      </c>
      <c r="J81" s="14">
        <v>7055334.4484281307</v>
      </c>
      <c r="K81" t="s">
        <v>256</v>
      </c>
      <c r="L81" s="4">
        <v>403</v>
      </c>
    </row>
    <row r="82" spans="1:12">
      <c r="A82" s="4">
        <v>404</v>
      </c>
      <c r="C82" s="2" t="s">
        <v>257</v>
      </c>
      <c r="E82" s="15">
        <v>15167110.241921386</v>
      </c>
      <c r="F82" t="s">
        <v>322</v>
      </c>
      <c r="H82" s="15">
        <v>14462481.291678604</v>
      </c>
      <c r="I82" s="15">
        <v>7407146.843250474</v>
      </c>
      <c r="J82" s="15">
        <v>7055334.4484281307</v>
      </c>
      <c r="L82" s="4">
        <v>404</v>
      </c>
    </row>
    <row r="83" spans="1:12">
      <c r="E83" s="13"/>
      <c r="H83" s="13"/>
      <c r="I83" s="13"/>
      <c r="J83" s="13"/>
      <c r="L83" s="4"/>
    </row>
    <row r="84" spans="1:12">
      <c r="C84" s="1" t="s">
        <v>258</v>
      </c>
      <c r="D84" s="1"/>
      <c r="E84" s="13"/>
      <c r="H84" s="13"/>
      <c r="I84" s="13"/>
      <c r="J84" s="13"/>
    </row>
    <row r="85" spans="1:12">
      <c r="A85" s="4">
        <v>405</v>
      </c>
      <c r="C85" t="s">
        <v>259</v>
      </c>
      <c r="E85" s="23">
        <v>-34523216.042605206</v>
      </c>
      <c r="F85" t="s">
        <v>260</v>
      </c>
      <c r="H85" s="13">
        <v>-32919347.0727688</v>
      </c>
      <c r="I85" s="13">
        <v>-16860069.363908213</v>
      </c>
      <c r="J85" s="13">
        <v>-16059277.708860585</v>
      </c>
      <c r="K85" t="s">
        <v>261</v>
      </c>
      <c r="L85" s="4">
        <v>405</v>
      </c>
    </row>
    <row r="86" spans="1:12">
      <c r="A86" s="4">
        <v>406</v>
      </c>
      <c r="C86" t="s">
        <v>262</v>
      </c>
      <c r="E86" s="37">
        <v>-2170987.8456718908</v>
      </c>
      <c r="F86" s="446" t="s">
        <v>263</v>
      </c>
      <c r="H86" s="14">
        <v>-2070128.7589846016</v>
      </c>
      <c r="I86" s="14">
        <v>-1060243.2178119749</v>
      </c>
      <c r="J86" s="14">
        <v>-1009885.5411726265</v>
      </c>
      <c r="K86" t="s">
        <v>264</v>
      </c>
      <c r="L86" s="4">
        <v>406</v>
      </c>
    </row>
    <row r="87" spans="1:12">
      <c r="A87" s="4">
        <v>407</v>
      </c>
      <c r="C87" s="2" t="s">
        <v>265</v>
      </c>
      <c r="D87" s="2"/>
      <c r="E87" s="15">
        <v>-36694203.888277099</v>
      </c>
      <c r="F87" t="s">
        <v>323</v>
      </c>
      <c r="H87" s="15">
        <v>-34989475.831753403</v>
      </c>
      <c r="I87" s="15">
        <v>-17920312.581720188</v>
      </c>
      <c r="J87" s="15">
        <v>-17069163.250033211</v>
      </c>
      <c r="K87" t="s">
        <v>323</v>
      </c>
      <c r="L87" s="4">
        <v>407</v>
      </c>
    </row>
    <row r="88" spans="1:12">
      <c r="E88" s="24"/>
      <c r="H88" s="24"/>
      <c r="I88" s="24"/>
      <c r="J88" s="24"/>
    </row>
    <row r="89" spans="1:12">
      <c r="A89" s="4">
        <v>408</v>
      </c>
      <c r="C89" s="2" t="s">
        <v>266</v>
      </c>
      <c r="E89" s="15">
        <v>335949467.06745905</v>
      </c>
      <c r="F89" t="s">
        <v>324</v>
      </c>
      <c r="H89" s="15">
        <v>309746348.00632942</v>
      </c>
      <c r="I89" s="15">
        <v>163138237.21149209</v>
      </c>
      <c r="J89" s="15">
        <v>146608110.79483733</v>
      </c>
      <c r="K89" t="s">
        <v>324</v>
      </c>
      <c r="L89" s="4">
        <v>408</v>
      </c>
    </row>
    <row r="90" spans="1:12">
      <c r="E90" s="24"/>
      <c r="H90" s="24"/>
      <c r="I90" s="24"/>
      <c r="J90" s="24"/>
    </row>
    <row r="91" spans="1:12">
      <c r="A91" s="4">
        <v>409</v>
      </c>
      <c r="C91" t="s">
        <v>267</v>
      </c>
      <c r="E91" s="24"/>
      <c r="H91" s="24"/>
      <c r="I91" s="24"/>
      <c r="J91" s="24"/>
      <c r="L91" s="4">
        <v>409</v>
      </c>
    </row>
    <row r="92" spans="1:12">
      <c r="E92" s="24"/>
      <c r="H92" s="24"/>
      <c r="I92" s="24"/>
      <c r="J92" s="24"/>
    </row>
    <row r="93" spans="1:12">
      <c r="C93" t="s">
        <v>268</v>
      </c>
      <c r="E93" s="24"/>
      <c r="H93" s="24"/>
      <c r="I93" s="24"/>
      <c r="J93" s="24"/>
    </row>
    <row r="94" spans="1:12">
      <c r="A94" s="4">
        <v>410</v>
      </c>
      <c r="C94" s="26" t="s">
        <v>269</v>
      </c>
      <c r="D94" s="26"/>
      <c r="E94" s="13">
        <v>19124972023.763714</v>
      </c>
      <c r="F94" t="s">
        <v>325</v>
      </c>
      <c r="G94" s="12"/>
      <c r="H94" s="13">
        <v>17704612745.274529</v>
      </c>
      <c r="I94" s="13">
        <v>9293408338.0446301</v>
      </c>
      <c r="J94" s="13">
        <v>8411204407.2298985</v>
      </c>
      <c r="K94" t="s">
        <v>326</v>
      </c>
      <c r="L94" s="4">
        <v>410</v>
      </c>
    </row>
    <row r="95" spans="1:12">
      <c r="A95" s="4">
        <v>411</v>
      </c>
      <c r="C95" s="9" t="s">
        <v>270</v>
      </c>
      <c r="D95" s="9"/>
      <c r="E95" s="22">
        <v>5.1269807947588814E-2</v>
      </c>
      <c r="F95" t="s">
        <v>209</v>
      </c>
      <c r="H95" s="445">
        <v>5.1269807947588814E-2</v>
      </c>
      <c r="I95" s="22">
        <v>5.1269807947588814E-2</v>
      </c>
      <c r="J95" s="22">
        <v>5.1269807947588814E-2</v>
      </c>
      <c r="K95" t="s">
        <v>327</v>
      </c>
      <c r="L95" s="4">
        <v>411</v>
      </c>
    </row>
    <row r="96" spans="1:12">
      <c r="A96" s="4">
        <v>412</v>
      </c>
      <c r="C96" s="26" t="s">
        <v>271</v>
      </c>
      <c r="D96" s="26"/>
      <c r="E96" s="19">
        <v>0.27983599999999997</v>
      </c>
      <c r="F96" t="s">
        <v>252</v>
      </c>
      <c r="H96" s="445">
        <v>0.27983599999999997</v>
      </c>
      <c r="I96" s="19">
        <v>0.27983599999999997</v>
      </c>
      <c r="J96" s="19">
        <v>0.27983599999999997</v>
      </c>
      <c r="K96" t="s">
        <v>328</v>
      </c>
      <c r="L96" s="4">
        <v>412</v>
      </c>
    </row>
    <row r="97" spans="1:17">
      <c r="A97" s="4">
        <v>413</v>
      </c>
      <c r="C97" s="26" t="s">
        <v>272</v>
      </c>
      <c r="D97" s="26"/>
      <c r="E97" s="13">
        <v>-36694203.888277099</v>
      </c>
      <c r="F97" t="s">
        <v>329</v>
      </c>
      <c r="H97" s="13">
        <v>-34989475.831753403</v>
      </c>
      <c r="I97" s="13">
        <v>-17920312.581720188</v>
      </c>
      <c r="J97" s="13">
        <v>-17069163.250033211</v>
      </c>
      <c r="K97" t="s">
        <v>330</v>
      </c>
      <c r="L97" s="4">
        <v>413</v>
      </c>
    </row>
    <row r="98" spans="1:17">
      <c r="A98" s="4">
        <v>414</v>
      </c>
      <c r="C98" s="26" t="s">
        <v>273</v>
      </c>
      <c r="D98" s="26"/>
      <c r="E98" s="13">
        <v>15167110.241921386</v>
      </c>
      <c r="F98" t="s">
        <v>331</v>
      </c>
      <c r="H98" s="13">
        <v>14462481.291678604</v>
      </c>
      <c r="I98" s="13">
        <v>7407146.843250474</v>
      </c>
      <c r="J98" s="13">
        <v>7055334.4484281307</v>
      </c>
      <c r="K98" t="s">
        <v>332</v>
      </c>
      <c r="L98" s="4">
        <v>414</v>
      </c>
    </row>
    <row r="99" spans="1:17">
      <c r="C99" s="26"/>
      <c r="D99" s="26"/>
      <c r="E99" s="13"/>
      <c r="H99" s="13"/>
      <c r="I99" s="13"/>
      <c r="J99" s="13"/>
      <c r="L99" s="4"/>
    </row>
    <row r="100" spans="1:17">
      <c r="L100" s="4"/>
    </row>
    <row r="101" spans="1:17">
      <c r="C101" s="41" t="s">
        <v>274</v>
      </c>
      <c r="D101" s="43"/>
      <c r="E101" s="43"/>
      <c r="F101" s="43"/>
      <c r="G101" s="43"/>
      <c r="H101" s="43"/>
      <c r="I101" s="43"/>
      <c r="J101" s="43"/>
      <c r="K101" s="43"/>
    </row>
    <row r="102" spans="1:17" ht="29">
      <c r="A102" s="3" t="s">
        <v>90</v>
      </c>
      <c r="B102" s="3"/>
      <c r="C102" s="110" t="s">
        <v>7</v>
      </c>
      <c r="D102" s="34"/>
      <c r="E102" s="110" t="s">
        <v>130</v>
      </c>
      <c r="F102" s="110" t="s">
        <v>126</v>
      </c>
      <c r="G102" s="110" t="s">
        <v>131</v>
      </c>
      <c r="H102" s="110" t="s">
        <v>132</v>
      </c>
      <c r="I102" s="110" t="s">
        <v>133</v>
      </c>
      <c r="J102" s="110" t="s">
        <v>134</v>
      </c>
      <c r="K102" s="110" t="s">
        <v>126</v>
      </c>
      <c r="L102" s="3" t="s">
        <v>90</v>
      </c>
    </row>
    <row r="103" spans="1:17">
      <c r="C103" s="1" t="s">
        <v>275</v>
      </c>
      <c r="D103" s="1"/>
    </row>
    <row r="104" spans="1:17">
      <c r="A104" s="4">
        <v>500</v>
      </c>
      <c r="C104" t="s">
        <v>276</v>
      </c>
      <c r="E104" s="13">
        <v>3087054872.4997315</v>
      </c>
      <c r="F104" t="s">
        <v>277</v>
      </c>
      <c r="H104" s="13">
        <v>3031021929.0419021</v>
      </c>
      <c r="I104" s="13">
        <v>2235722150.0976667</v>
      </c>
      <c r="J104" s="13">
        <v>795299778.94423544</v>
      </c>
      <c r="K104" t="s">
        <v>278</v>
      </c>
      <c r="L104" s="4">
        <v>500</v>
      </c>
      <c r="Q104" s="24"/>
    </row>
    <row r="105" spans="1:17">
      <c r="A105" s="4">
        <v>501</v>
      </c>
      <c r="C105" t="s">
        <v>279</v>
      </c>
      <c r="E105" s="13">
        <v>787626334.20073271</v>
      </c>
      <c r="F105" t="s">
        <v>280</v>
      </c>
      <c r="H105" s="13">
        <v>751035031.8234694</v>
      </c>
      <c r="I105" s="13">
        <v>384652305.01923448</v>
      </c>
      <c r="J105" s="13">
        <v>366382726.80423498</v>
      </c>
      <c r="K105" t="s">
        <v>281</v>
      </c>
      <c r="L105" s="4">
        <v>501</v>
      </c>
      <c r="Q105" s="24"/>
    </row>
    <row r="106" spans="1:17">
      <c r="A106" s="4">
        <v>502</v>
      </c>
      <c r="C106" t="s">
        <v>282</v>
      </c>
      <c r="E106" s="13">
        <v>1407258088.55</v>
      </c>
      <c r="F106" t="s">
        <v>283</v>
      </c>
      <c r="H106" s="13">
        <v>1305760496.5500002</v>
      </c>
      <c r="I106" s="13">
        <v>707882511.60975552</v>
      </c>
      <c r="J106" s="13">
        <v>597877984.94024456</v>
      </c>
      <c r="K106" t="s">
        <v>284</v>
      </c>
      <c r="L106" s="4">
        <v>502</v>
      </c>
      <c r="Q106" s="24"/>
    </row>
    <row r="107" spans="1:17">
      <c r="A107" s="4">
        <v>503</v>
      </c>
      <c r="C107" t="s">
        <v>285</v>
      </c>
      <c r="E107" s="40">
        <v>187565445.87686914</v>
      </c>
      <c r="F107" t="s">
        <v>286</v>
      </c>
      <c r="H107" s="13">
        <v>132053265.14053684</v>
      </c>
      <c r="I107" s="13">
        <v>67632787.64546749</v>
      </c>
      <c r="J107" s="13">
        <v>64420477.495069362</v>
      </c>
      <c r="K107" t="s">
        <v>287</v>
      </c>
      <c r="L107" s="4">
        <v>503</v>
      </c>
      <c r="Q107" s="24"/>
    </row>
    <row r="108" spans="1:17">
      <c r="A108" s="4">
        <v>504</v>
      </c>
      <c r="C108" t="s">
        <v>288</v>
      </c>
      <c r="E108" s="13">
        <v>1316401620.0997066</v>
      </c>
      <c r="F108" t="s">
        <v>333</v>
      </c>
      <c r="H108" s="13">
        <v>1218636078.115983</v>
      </c>
      <c r="I108" s="13">
        <v>639679774.55072391</v>
      </c>
      <c r="J108" s="13">
        <v>578956303.5652591</v>
      </c>
      <c r="K108" t="s">
        <v>334</v>
      </c>
      <c r="L108" s="4">
        <v>504</v>
      </c>
      <c r="Q108" s="24"/>
    </row>
    <row r="109" spans="1:17">
      <c r="A109" s="4">
        <v>505</v>
      </c>
      <c r="C109" t="s">
        <v>289</v>
      </c>
      <c r="E109" s="13">
        <v>284620544.68418437</v>
      </c>
      <c r="F109" t="s">
        <v>335</v>
      </c>
      <c r="H109" s="13">
        <v>271397730.81789976</v>
      </c>
      <c r="I109" s="13">
        <v>138999857.94621706</v>
      </c>
      <c r="J109" s="13">
        <v>132397872.87168269</v>
      </c>
      <c r="K109" t="s">
        <v>336</v>
      </c>
      <c r="L109" s="4">
        <v>505</v>
      </c>
      <c r="Q109" s="24"/>
    </row>
    <row r="110" spans="1:17">
      <c r="A110" s="4">
        <v>506</v>
      </c>
      <c r="C110" t="s">
        <v>290</v>
      </c>
      <c r="E110" s="13">
        <v>335949467.06745905</v>
      </c>
      <c r="F110" t="s">
        <v>337</v>
      </c>
      <c r="H110" s="13">
        <v>309746348.00632942</v>
      </c>
      <c r="I110" s="13">
        <v>163138237.21149209</v>
      </c>
      <c r="J110" s="13">
        <v>146608110.79483733</v>
      </c>
      <c r="K110" t="s">
        <v>338</v>
      </c>
      <c r="L110" s="4">
        <v>506</v>
      </c>
      <c r="Q110" s="24"/>
    </row>
    <row r="111" spans="1:17">
      <c r="A111" s="4">
        <v>507</v>
      </c>
      <c r="C111" t="s">
        <v>55</v>
      </c>
      <c r="E111" s="13">
        <v>-245369132.92999998</v>
      </c>
      <c r="F111" t="s">
        <v>291</v>
      </c>
      <c r="G111" t="s">
        <v>292</v>
      </c>
      <c r="H111" s="13">
        <v>-233969849.09802955</v>
      </c>
      <c r="I111" s="13">
        <v>-119830684.25190759</v>
      </c>
      <c r="J111" s="13">
        <v>-114139164.84612198</v>
      </c>
      <c r="K111" t="s">
        <v>293</v>
      </c>
      <c r="L111" s="4">
        <v>507</v>
      </c>
      <c r="Q111" s="24"/>
    </row>
    <row r="112" spans="1:17">
      <c r="A112" s="4">
        <v>508</v>
      </c>
      <c r="C112" t="s">
        <v>294</v>
      </c>
      <c r="E112" s="14">
        <v>0</v>
      </c>
      <c r="F112" t="s">
        <v>295</v>
      </c>
      <c r="H112" s="14">
        <v>0</v>
      </c>
      <c r="I112" s="14">
        <v>0</v>
      </c>
      <c r="J112" s="14">
        <v>0</v>
      </c>
      <c r="K112" t="s">
        <v>296</v>
      </c>
      <c r="L112" s="4">
        <v>508</v>
      </c>
      <c r="Q112" s="24"/>
    </row>
    <row r="113" spans="1:12">
      <c r="A113" s="4">
        <v>509</v>
      </c>
      <c r="C113" s="2" t="s">
        <v>297</v>
      </c>
      <c r="D113" s="2"/>
      <c r="E113" s="15">
        <v>7161107240.0486832</v>
      </c>
      <c r="F113" t="s">
        <v>339</v>
      </c>
      <c r="H113" s="15">
        <v>6785681030.3980923</v>
      </c>
      <c r="I113" s="15">
        <v>4217876939.8286505</v>
      </c>
      <c r="J113" s="15">
        <v>2567804090.5694418</v>
      </c>
      <c r="K113" t="s">
        <v>339</v>
      </c>
      <c r="L113" s="4">
        <v>509</v>
      </c>
    </row>
    <row r="114" spans="1:12">
      <c r="L114" s="4"/>
    </row>
    <row r="115" spans="1:12">
      <c r="C115" s="1" t="s">
        <v>298</v>
      </c>
      <c r="D115" s="1"/>
      <c r="L115" s="4"/>
    </row>
    <row r="116" spans="1:12">
      <c r="A116" s="4">
        <v>510</v>
      </c>
      <c r="C116" t="s">
        <v>299</v>
      </c>
      <c r="E116" s="10">
        <v>7.4569999999999992E-3</v>
      </c>
      <c r="F116" t="s">
        <v>300</v>
      </c>
      <c r="H116" s="10">
        <v>7.4569999999999992E-3</v>
      </c>
      <c r="I116" s="10">
        <v>7.4569999999999992E-3</v>
      </c>
      <c r="J116" s="10">
        <v>7.4569999999999992E-3</v>
      </c>
      <c r="K116" t="s">
        <v>301</v>
      </c>
      <c r="L116" s="4">
        <v>510</v>
      </c>
    </row>
    <row r="117" spans="1:12">
      <c r="A117" s="4">
        <v>511</v>
      </c>
      <c r="C117" t="s">
        <v>302</v>
      </c>
      <c r="D117" s="2"/>
      <c r="E117" s="31">
        <v>2.7300000000000002E-4</v>
      </c>
      <c r="F117" t="s">
        <v>303</v>
      </c>
      <c r="H117" s="31">
        <v>2.7300000000000002E-4</v>
      </c>
      <c r="I117" s="31">
        <v>2.7300000000000002E-4</v>
      </c>
      <c r="J117" s="31">
        <v>2.7300000000000002E-4</v>
      </c>
      <c r="K117" t="s">
        <v>304</v>
      </c>
      <c r="L117" s="4">
        <v>511</v>
      </c>
    </row>
    <row r="118" spans="1:12">
      <c r="A118" s="4">
        <v>512</v>
      </c>
      <c r="C118" s="2" t="s">
        <v>305</v>
      </c>
      <c r="D118" s="2"/>
      <c r="E118" s="15">
        <v>55355358.965576313</v>
      </c>
      <c r="F118" s="8" t="s">
        <v>340</v>
      </c>
      <c r="H118" s="15">
        <v>52453314.364977248</v>
      </c>
      <c r="I118" s="15">
        <v>32604188.744875465</v>
      </c>
      <c r="J118" s="15">
        <v>19849125.620101783</v>
      </c>
      <c r="K118" s="8" t="s">
        <v>340</v>
      </c>
      <c r="L118" s="4">
        <v>512</v>
      </c>
    </row>
    <row r="119" spans="1:12">
      <c r="C119" s="2"/>
      <c r="D119" s="2"/>
      <c r="E119" s="15"/>
      <c r="F119" s="8"/>
      <c r="H119" s="15"/>
      <c r="I119" s="15"/>
      <c r="J119" s="15"/>
      <c r="L119" s="4"/>
    </row>
    <row r="120" spans="1:12">
      <c r="A120" s="4">
        <v>513</v>
      </c>
      <c r="C120" s="2" t="s">
        <v>9</v>
      </c>
      <c r="D120" s="2"/>
      <c r="E120" s="15">
        <v>7216462599.0142593</v>
      </c>
      <c r="F120" t="s">
        <v>341</v>
      </c>
      <c r="G120" s="474"/>
      <c r="H120" s="15">
        <v>6838134344.7630692</v>
      </c>
      <c r="I120" s="15">
        <v>4250481128.5735259</v>
      </c>
      <c r="J120" s="15">
        <v>2587653216.1895437</v>
      </c>
      <c r="K120" t="s">
        <v>341</v>
      </c>
      <c r="L120" s="4">
        <v>513</v>
      </c>
    </row>
    <row r="121" spans="1:12">
      <c r="E121" s="32"/>
      <c r="F121" s="32"/>
      <c r="I121" s="32"/>
      <c r="J121" s="32"/>
    </row>
    <row r="123" spans="1:12">
      <c r="E123" s="24"/>
    </row>
    <row r="124" spans="1:12">
      <c r="I124" s="12"/>
      <c r="J124" s="12"/>
    </row>
    <row r="125" spans="1:12">
      <c r="I125" s="19"/>
      <c r="J125" s="12"/>
    </row>
  </sheetData>
  <protectedRanges>
    <protectedRange password="F1C4" sqref="F85" name="AAReport1_23_1_1_2_1"/>
  </protectedRanges>
  <printOptions horizontalCentered="1"/>
  <pageMargins left="1" right="1" top="1" bottom="1" header="0.5" footer="0.5"/>
  <pageSetup scale="24" orientation="landscape" r:id="rId1"/>
  <headerFooter>
    <oddHeader>&amp;RDocket No. ER20-2878-000, et al.- Annual Update RY2024
&amp;F</oddHeader>
  </headerFooter>
  <rowBreaks count="2" manualBreakCount="2">
    <brk id="53" max="12" man="1"/>
    <brk id="100"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92D050"/>
    <pageSetUpPr fitToPage="1"/>
  </sheetPr>
  <dimension ref="A1:Y94"/>
  <sheetViews>
    <sheetView view="pageBreakPreview" topLeftCell="C68" zoomScale="25" zoomScaleNormal="85" zoomScaleSheetLayoutView="25" zoomScalePageLayoutView="70" workbookViewId="0">
      <pane xSplit="1" topLeftCell="D1" activePane="topRight" state="frozen"/>
      <selection activeCell="W98" sqref="W98"/>
      <selection pane="topRight" activeCell="W98" sqref="W98"/>
    </sheetView>
  </sheetViews>
  <sheetFormatPr defaultColWidth="9.1796875" defaultRowHeight="14.5"/>
  <cols>
    <col min="1" max="1" width="6" style="4" bestFit="1" customWidth="1"/>
    <col min="2" max="2" width="2.1796875" style="4" bestFit="1" customWidth="1"/>
    <col min="3" max="3" width="73.453125" bestFit="1" customWidth="1"/>
    <col min="4" max="4" width="4.54296875" customWidth="1"/>
    <col min="5" max="5" width="22.54296875" bestFit="1" customWidth="1"/>
    <col min="6" max="6" width="45.26953125" bestFit="1" customWidth="1"/>
    <col min="7" max="7" width="22.26953125" bestFit="1" customWidth="1"/>
    <col min="8" max="8" width="22.26953125" customWidth="1"/>
    <col min="9" max="10" width="22.1796875" bestFit="1" customWidth="1"/>
    <col min="11" max="11" width="38.26953125" bestFit="1" customWidth="1"/>
    <col min="12" max="12" width="4.54296875" bestFit="1" customWidth="1"/>
    <col min="13" max="13" width="2.1796875" customWidth="1"/>
    <col min="15" max="15" width="22.54296875" bestFit="1" customWidth="1"/>
    <col min="16" max="16" width="22.26953125" customWidth="1"/>
    <col min="17" max="18" width="22.1796875" bestFit="1" customWidth="1"/>
    <col min="19" max="19" width="1.453125" customWidth="1"/>
    <col min="20" max="20" width="22.54296875" bestFit="1" customWidth="1"/>
    <col min="21" max="21" width="22.26953125" customWidth="1"/>
    <col min="22" max="23" width="22.1796875" bestFit="1" customWidth="1"/>
    <col min="24" max="24" width="5.54296875" customWidth="1"/>
    <col min="25" max="25" width="80.7265625" customWidth="1"/>
  </cols>
  <sheetData>
    <row r="1" spans="1:25">
      <c r="C1" s="5" t="s">
        <v>11</v>
      </c>
      <c r="I1" s="6"/>
      <c r="K1" s="6" t="str">
        <f>CONCATENATE("Prior Year: ",'1-DRR Corrected'!$K$2)</f>
        <v>Prior Year: 2021</v>
      </c>
      <c r="O1" s="4" t="s">
        <v>1911</v>
      </c>
      <c r="P1" s="4" t="s">
        <v>1911</v>
      </c>
      <c r="Q1" s="4" t="s">
        <v>1911</v>
      </c>
      <c r="R1" s="4" t="s">
        <v>1911</v>
      </c>
      <c r="T1" s="4" t="s">
        <v>1427</v>
      </c>
      <c r="U1" s="4" t="s">
        <v>1427</v>
      </c>
      <c r="V1" s="4" t="s">
        <v>1427</v>
      </c>
      <c r="W1" s="4" t="s">
        <v>1427</v>
      </c>
    </row>
    <row r="2" spans="1:25">
      <c r="C2" s="35" t="s">
        <v>120</v>
      </c>
      <c r="I2" s="6"/>
      <c r="Q2" s="6"/>
      <c r="T2" s="21" t="s">
        <v>1912</v>
      </c>
      <c r="U2" s="21" t="s">
        <v>1912</v>
      </c>
      <c r="V2" s="21" t="s">
        <v>1912</v>
      </c>
      <c r="W2" s="21" t="s">
        <v>1912</v>
      </c>
    </row>
    <row r="3" spans="1:25">
      <c r="A3" s="3" t="s">
        <v>90</v>
      </c>
      <c r="B3" s="3"/>
      <c r="E3" s="3" t="s">
        <v>122</v>
      </c>
      <c r="H3" s="3" t="s">
        <v>123</v>
      </c>
      <c r="I3" s="3" t="s">
        <v>124</v>
      </c>
      <c r="J3" s="3" t="s">
        <v>125</v>
      </c>
      <c r="K3" s="3" t="s">
        <v>126</v>
      </c>
      <c r="L3" s="3"/>
      <c r="O3" s="3" t="s">
        <v>122</v>
      </c>
      <c r="P3" s="3" t="s">
        <v>123</v>
      </c>
      <c r="Q3" s="3" t="s">
        <v>124</v>
      </c>
      <c r="R3" s="3" t="s">
        <v>125</v>
      </c>
      <c r="T3" s="3" t="s">
        <v>122</v>
      </c>
      <c r="U3" s="3" t="s">
        <v>123</v>
      </c>
      <c r="V3" s="3" t="s">
        <v>124</v>
      </c>
      <c r="W3" s="3" t="s">
        <v>125</v>
      </c>
    </row>
    <row r="4" spans="1:25">
      <c r="A4" s="4">
        <v>1</v>
      </c>
      <c r="B4" s="3"/>
      <c r="E4" s="3"/>
      <c r="H4" s="4" t="s">
        <v>127</v>
      </c>
      <c r="I4" s="440">
        <f>'6-PlantJurisdiction'!E85</f>
        <v>0.48659228140394362</v>
      </c>
      <c r="J4" s="440">
        <f>'6-PlantJurisdiction'!F85</f>
        <v>0.4669186236875314</v>
      </c>
      <c r="K4" s="34" t="s">
        <v>128</v>
      </c>
      <c r="L4" s="3">
        <f>A4</f>
        <v>1</v>
      </c>
      <c r="O4" s="3"/>
      <c r="P4" s="4" t="s">
        <v>127</v>
      </c>
      <c r="Q4" s="440">
        <v>0.4883690251540051</v>
      </c>
      <c r="R4" s="440">
        <v>0.46517328191677687</v>
      </c>
      <c r="T4" s="3"/>
      <c r="U4" s="4"/>
      <c r="V4" s="440">
        <f>I4-Q4</f>
        <v>-1.7767437500614824E-3</v>
      </c>
      <c r="W4" s="440">
        <f>J4-R4</f>
        <v>1.7453417707545271E-3</v>
      </c>
    </row>
    <row r="5" spans="1:25">
      <c r="C5" s="41" t="s">
        <v>129</v>
      </c>
      <c r="D5" s="42"/>
      <c r="E5" s="43"/>
      <c r="F5" s="43"/>
      <c r="G5" s="43"/>
      <c r="H5" s="43"/>
      <c r="I5" s="43"/>
      <c r="J5" s="43"/>
      <c r="K5" s="43"/>
      <c r="O5" s="43"/>
      <c r="P5" s="43"/>
      <c r="Q5" s="43"/>
      <c r="R5" s="43"/>
      <c r="T5" s="43"/>
      <c r="U5" s="43"/>
      <c r="V5" s="43"/>
      <c r="W5" s="43"/>
    </row>
    <row r="6" spans="1:25" ht="29">
      <c r="A6" s="3" t="s">
        <v>90</v>
      </c>
      <c r="B6" s="3"/>
      <c r="C6" s="110" t="s">
        <v>7</v>
      </c>
      <c r="D6" s="34"/>
      <c r="E6" s="110" t="s">
        <v>342</v>
      </c>
      <c r="F6" s="110" t="s">
        <v>126</v>
      </c>
      <c r="G6" s="110" t="s">
        <v>131</v>
      </c>
      <c r="H6" s="110" t="s">
        <v>132</v>
      </c>
      <c r="I6" s="110" t="s">
        <v>133</v>
      </c>
      <c r="J6" s="110" t="s">
        <v>134</v>
      </c>
      <c r="K6" s="110" t="s">
        <v>126</v>
      </c>
      <c r="L6" s="3" t="str">
        <f>A6</f>
        <v>Line</v>
      </c>
      <c r="O6" s="110" t="s">
        <v>342</v>
      </c>
      <c r="P6" s="110" t="s">
        <v>132</v>
      </c>
      <c r="Q6" s="110" t="s">
        <v>133</v>
      </c>
      <c r="R6" s="110" t="s">
        <v>134</v>
      </c>
      <c r="T6" s="110" t="s">
        <v>342</v>
      </c>
      <c r="U6" s="110" t="s">
        <v>132</v>
      </c>
      <c r="V6" s="110" t="s">
        <v>133</v>
      </c>
      <c r="W6" s="110" t="s">
        <v>134</v>
      </c>
    </row>
    <row r="7" spans="1:25">
      <c r="A7"/>
      <c r="B7"/>
      <c r="C7" s="1" t="s">
        <v>135</v>
      </c>
      <c r="D7" s="1"/>
    </row>
    <row r="8" spans="1:25">
      <c r="A8" s="4">
        <v>100</v>
      </c>
      <c r="C8" t="s">
        <v>136</v>
      </c>
      <c r="E8" s="23">
        <f>'7-PlantInService Corrected'!AC26</f>
        <v>35892190909.055008</v>
      </c>
      <c r="F8" t="s">
        <v>343</v>
      </c>
      <c r="G8" t="s">
        <v>344</v>
      </c>
      <c r="H8" s="13">
        <f>I8+J8</f>
        <v>34239879102.205772</v>
      </c>
      <c r="I8" s="23">
        <f>'7-PlantInService Corrected'!AC51</f>
        <v>17579996874.885643</v>
      </c>
      <c r="J8" s="23">
        <f>'7-PlantInService Corrected'!AC76</f>
        <v>16659882227.320129</v>
      </c>
      <c r="K8" t="s">
        <v>345</v>
      </c>
      <c r="L8" s="4">
        <f>A8</f>
        <v>100</v>
      </c>
      <c r="O8" s="23">
        <v>36082140825.14077</v>
      </c>
      <c r="P8" s="13">
        <v>34422039214.931541</v>
      </c>
      <c r="Q8" s="23">
        <v>17736613836.474236</v>
      </c>
      <c r="R8" s="23">
        <v>16685425378.457308</v>
      </c>
      <c r="T8" s="23">
        <f>E8-O8</f>
        <v>-189949916.08576202</v>
      </c>
      <c r="U8" s="13">
        <f t="shared" ref="U8:W9" si="0">H8-P8</f>
        <v>-182160112.72576904</v>
      </c>
      <c r="V8" s="23">
        <f t="shared" si="0"/>
        <v>-156616961.58859253</v>
      </c>
      <c r="W8" s="23">
        <f t="shared" si="0"/>
        <v>-25543151.137178421</v>
      </c>
    </row>
    <row r="9" spans="1:25" ht="43.5">
      <c r="A9" s="4">
        <f>A8+1</f>
        <v>101</v>
      </c>
      <c r="C9" t="s">
        <v>140</v>
      </c>
      <c r="E9" s="40">
        <v>2868793561.130291</v>
      </c>
      <c r="F9" s="33" t="s">
        <v>141</v>
      </c>
      <c r="G9" t="s">
        <v>346</v>
      </c>
      <c r="H9" s="13">
        <f>I9+J9</f>
        <v>2054361045.9720569</v>
      </c>
      <c r="I9" s="23">
        <f>'7-PlantInService Corrected'!D130</f>
        <v>1048374195.6690416</v>
      </c>
      <c r="J9" s="23">
        <f>'7-PlantInService Corrected'!E130</f>
        <v>1005986850.3030152</v>
      </c>
      <c r="K9" t="s">
        <v>347</v>
      </c>
      <c r="L9" s="4">
        <f>A9</f>
        <v>101</v>
      </c>
      <c r="O9" s="40">
        <v>2889991282.3299999</v>
      </c>
      <c r="P9" s="13">
        <v>2054428702.2544446</v>
      </c>
      <c r="Q9" s="23">
        <v>1052202230.7017931</v>
      </c>
      <c r="R9" s="23">
        <v>1002226471.5526516</v>
      </c>
      <c r="T9" s="40">
        <f t="shared" ref="T9:T10" si="1">E9-O9</f>
        <v>-21197721.199708939</v>
      </c>
      <c r="U9" s="13">
        <f t="shared" si="0"/>
        <v>-67656.282387733459</v>
      </c>
      <c r="V9" s="23">
        <f t="shared" si="0"/>
        <v>-3828035.032751441</v>
      </c>
      <c r="W9" s="23">
        <f t="shared" si="0"/>
        <v>3760378.7503635883</v>
      </c>
      <c r="Y9" s="34" t="s">
        <v>1953</v>
      </c>
    </row>
    <row r="10" spans="1:25">
      <c r="A10" s="4">
        <f>A9+1</f>
        <v>102</v>
      </c>
      <c r="C10" s="2" t="s">
        <v>143</v>
      </c>
      <c r="D10" s="2"/>
      <c r="E10" s="654">
        <f>SUM(E8:E9)</f>
        <v>38760984470.185303</v>
      </c>
      <c r="F10" s="33" t="str">
        <f>"Line "&amp;A8&amp;" + Line "&amp;A9&amp;""</f>
        <v>Line 100 + Line 101</v>
      </c>
      <c r="H10" s="444">
        <f t="shared" ref="H10" si="2">I10+J10</f>
        <v>36294240148.177826</v>
      </c>
      <c r="I10" s="654">
        <f t="shared" ref="I10:J10" si="3">SUM(I8:I9)</f>
        <v>18628371070.554684</v>
      </c>
      <c r="J10" s="654">
        <f t="shared" si="3"/>
        <v>17665869077.623146</v>
      </c>
      <c r="K10" s="443"/>
      <c r="L10" s="4">
        <f>A10</f>
        <v>102</v>
      </c>
      <c r="O10" s="654">
        <v>38972132107.470772</v>
      </c>
      <c r="P10" s="444">
        <v>36476467917.185989</v>
      </c>
      <c r="Q10" s="654">
        <v>18788816067.176029</v>
      </c>
      <c r="R10" s="654">
        <v>17687651850.00996</v>
      </c>
      <c r="T10" s="654">
        <f t="shared" si="1"/>
        <v>-211147637.28546906</v>
      </c>
      <c r="U10" s="444">
        <f t="shared" ref="U10" si="4">H10-P10</f>
        <v>-182227769.00816345</v>
      </c>
      <c r="V10" s="654">
        <f t="shared" ref="V10" si="5">I10-Q10</f>
        <v>-160444996.62134552</v>
      </c>
      <c r="W10" s="654">
        <f t="shared" ref="W10" si="6">J10-R10</f>
        <v>-21782772.386814117</v>
      </c>
    </row>
    <row r="11" spans="1:25">
      <c r="H11" s="24"/>
      <c r="P11" s="24"/>
      <c r="U11" s="24"/>
    </row>
    <row r="12" spans="1:25">
      <c r="C12" s="1" t="s">
        <v>144</v>
      </c>
      <c r="D12" s="1"/>
      <c r="H12" s="24"/>
      <c r="P12" s="24"/>
      <c r="U12" s="24"/>
    </row>
    <row r="13" spans="1:25">
      <c r="A13" s="4">
        <f>A10+1</f>
        <v>103</v>
      </c>
      <c r="C13" t="s">
        <v>145</v>
      </c>
      <c r="E13" s="23">
        <f>'13-WorkCap'!E26</f>
        <v>237891080.13564813</v>
      </c>
      <c r="F13" t="s">
        <v>348</v>
      </c>
      <c r="G13" t="s">
        <v>344</v>
      </c>
      <c r="H13" s="13">
        <f t="shared" ref="H13:H16" si="7">I13+J13</f>
        <v>226831739.13333046</v>
      </c>
      <c r="I13" s="23">
        <f>E13*$I$4</f>
        <v>115755963.4088534</v>
      </c>
      <c r="J13" s="23">
        <f>E13*$J$4</f>
        <v>111075775.72447707</v>
      </c>
      <c r="K13" t="s">
        <v>147</v>
      </c>
      <c r="L13" s="4">
        <f>A13</f>
        <v>103</v>
      </c>
      <c r="O13" s="23">
        <v>237891080.13564813</v>
      </c>
      <c r="P13" s="13">
        <v>226839209.38410619</v>
      </c>
      <c r="Q13" s="23">
        <v>116178634.89867978</v>
      </c>
      <c r="R13" s="23">
        <v>110660574.48542641</v>
      </c>
      <c r="T13" s="23">
        <f t="shared" ref="T13:T16" si="8">E13-O13</f>
        <v>0</v>
      </c>
      <c r="U13" s="13">
        <f t="shared" ref="U13:U16" si="9">H13-P13</f>
        <v>-7470.2507757246494</v>
      </c>
      <c r="V13" s="23">
        <f t="shared" ref="V13:V16" si="10">I13-Q13</f>
        <v>-422671.48982638121</v>
      </c>
      <c r="W13" s="23">
        <f t="shared" ref="W13:W16" si="11">J13-R13</f>
        <v>415201.23905065656</v>
      </c>
    </row>
    <row r="14" spans="1:25">
      <c r="A14" s="4">
        <f>A13+1</f>
        <v>104</v>
      </c>
      <c r="C14" t="s">
        <v>148</v>
      </c>
      <c r="E14" s="23">
        <f>'13-WorkCap'!F57</f>
        <v>209859196</v>
      </c>
      <c r="F14" t="s">
        <v>349</v>
      </c>
      <c r="G14" t="s">
        <v>344</v>
      </c>
      <c r="H14" s="13">
        <f t="shared" si="7"/>
        <v>200103031.91972923</v>
      </c>
      <c r="I14" s="23">
        <f>E14*$I$4</f>
        <v>102115864.95523736</v>
      </c>
      <c r="J14" s="23">
        <f>E14*$J$4</f>
        <v>97987166.964491889</v>
      </c>
      <c r="K14" t="s">
        <v>150</v>
      </c>
      <c r="L14" s="4">
        <f>A14</f>
        <v>104</v>
      </c>
      <c r="O14" s="23">
        <v>210294289</v>
      </c>
      <c r="P14" s="13">
        <v>200524501.49686977</v>
      </c>
      <c r="Q14" s="23">
        <v>102701216.91438462</v>
      </c>
      <c r="R14" s="23">
        <v>97823284.582485154</v>
      </c>
      <c r="T14" s="23">
        <f t="shared" si="8"/>
        <v>-435093</v>
      </c>
      <c r="U14" s="13">
        <f t="shared" si="9"/>
        <v>-421469.57714053988</v>
      </c>
      <c r="V14" s="23">
        <f t="shared" si="10"/>
        <v>-585351.95914725959</v>
      </c>
      <c r="W14" s="23">
        <f t="shared" si="11"/>
        <v>163882.38200673461</v>
      </c>
    </row>
    <row r="15" spans="1:25">
      <c r="A15" s="4">
        <f t="shared" ref="A15:A16" si="12">A14+1</f>
        <v>105</v>
      </c>
      <c r="C15" t="s">
        <v>151</v>
      </c>
      <c r="E15" s="17">
        <f>(E74+E75)/8</f>
        <v>484215098.93526125</v>
      </c>
      <c r="F15" t="str">
        <f>"(Line "&amp;A74&amp;" + Line "&amp;A75&amp;") / 8"</f>
        <v>(Line 400 + Line 401) / 8</v>
      </c>
      <c r="H15" s="14">
        <f t="shared" si="7"/>
        <v>461704377.24471909</v>
      </c>
      <c r="I15" s="17">
        <f>E15*$I$4</f>
        <v>235615329.68114504</v>
      </c>
      <c r="J15" s="17">
        <f>E15*$J$4</f>
        <v>226089047.56357405</v>
      </c>
      <c r="K15" t="s">
        <v>152</v>
      </c>
      <c r="L15" s="4">
        <f>A15</f>
        <v>105</v>
      </c>
      <c r="O15" s="17">
        <v>484335150.83755803</v>
      </c>
      <c r="P15" s="14">
        <v>461834057.12512028</v>
      </c>
      <c r="Q15" s="17">
        <v>236534285.46235624</v>
      </c>
      <c r="R15" s="17">
        <v>225299771.66276404</v>
      </c>
      <c r="T15" s="17">
        <f t="shared" si="8"/>
        <v>-120051.90229678154</v>
      </c>
      <c r="U15" s="14">
        <f t="shared" si="9"/>
        <v>-129679.8804011941</v>
      </c>
      <c r="V15" s="17">
        <f t="shared" si="10"/>
        <v>-918955.78121119738</v>
      </c>
      <c r="W15" s="17">
        <f t="shared" si="11"/>
        <v>789275.90081000328</v>
      </c>
    </row>
    <row r="16" spans="1:25">
      <c r="A16" s="4">
        <f t="shared" si="12"/>
        <v>106</v>
      </c>
      <c r="C16" s="2" t="s">
        <v>153</v>
      </c>
      <c r="D16" s="2"/>
      <c r="E16" s="51">
        <f>SUM(E13:E15)</f>
        <v>931965375.07090938</v>
      </c>
      <c r="F16" s="33" t="str">
        <f>"Sum of Lines "&amp;A13&amp;" to "&amp;A15&amp;""</f>
        <v>Sum of Lines 103 to 105</v>
      </c>
      <c r="H16" s="15">
        <f t="shared" si="7"/>
        <v>888639148.29777873</v>
      </c>
      <c r="I16" s="51">
        <f t="shared" ref="I16:J16" si="13">SUM(I13:I15)</f>
        <v>453487158.04523575</v>
      </c>
      <c r="J16" s="51">
        <f t="shared" si="13"/>
        <v>435151990.25254297</v>
      </c>
      <c r="K16" s="33" t="str">
        <f>"Sum of Lines "&amp;$A$13&amp;" to "&amp;$A$15&amp;""</f>
        <v>Sum of Lines 103 to 105</v>
      </c>
      <c r="L16" s="4">
        <f>A16</f>
        <v>106</v>
      </c>
      <c r="O16" s="51">
        <v>932520519.97320616</v>
      </c>
      <c r="P16" s="15">
        <v>889197768.00609624</v>
      </c>
      <c r="Q16" s="51">
        <v>455414137.27542067</v>
      </c>
      <c r="R16" s="51">
        <v>433783630.73067558</v>
      </c>
      <c r="T16" s="51">
        <f t="shared" si="8"/>
        <v>-555144.90229678154</v>
      </c>
      <c r="U16" s="15">
        <f t="shared" si="9"/>
        <v>-558619.70831751823</v>
      </c>
      <c r="V16" s="51">
        <f t="shared" si="10"/>
        <v>-1926979.2301849127</v>
      </c>
      <c r="W16" s="51">
        <f t="shared" si="11"/>
        <v>1368359.5218673944</v>
      </c>
    </row>
    <row r="17" spans="1:23">
      <c r="H17" s="24"/>
      <c r="P17" s="24"/>
      <c r="U17" s="24"/>
    </row>
    <row r="18" spans="1:23">
      <c r="C18" s="1" t="s">
        <v>154</v>
      </c>
      <c r="D18" s="1"/>
      <c r="H18" s="24"/>
      <c r="P18" s="24"/>
      <c r="U18" s="24"/>
    </row>
    <row r="19" spans="1:23">
      <c r="A19" s="4">
        <f>A16+1</f>
        <v>107</v>
      </c>
      <c r="C19" t="s">
        <v>155</v>
      </c>
      <c r="E19" s="23">
        <f>-'10-AccDep Corrected'!AC26</f>
        <v>-15611749562.403271</v>
      </c>
      <c r="F19" t="s">
        <v>350</v>
      </c>
      <c r="G19" t="s">
        <v>351</v>
      </c>
      <c r="H19" s="13">
        <f t="shared" ref="H19:H21" si="14">I19+J19</f>
        <v>-15016803195.72929</v>
      </c>
      <c r="I19" s="23">
        <f>-'10-AccDep Corrected'!AC51</f>
        <v>-7462181445.0814629</v>
      </c>
      <c r="J19" s="23">
        <f>-'10-AccDep Corrected'!AC76</f>
        <v>-7554621750.6478271</v>
      </c>
      <c r="K19" t="s">
        <v>352</v>
      </c>
      <c r="L19" s="4">
        <f>A19</f>
        <v>107</v>
      </c>
      <c r="O19" s="23">
        <v>-15635284930.61692</v>
      </c>
      <c r="P19" s="13">
        <v>-15044938512.662308</v>
      </c>
      <c r="Q19" s="23">
        <v>-7482562988.0022888</v>
      </c>
      <c r="R19" s="23">
        <v>-7562375524.6600189</v>
      </c>
      <c r="T19" s="23">
        <f t="shared" ref="T19:T21" si="15">E19-O19</f>
        <v>23535368.21364975</v>
      </c>
      <c r="U19" s="13">
        <f t="shared" ref="U19:U21" si="16">H19-P19</f>
        <v>28135316.933017731</v>
      </c>
      <c r="V19" s="23">
        <f t="shared" ref="V19:V21" si="17">I19-Q19</f>
        <v>20381542.920825958</v>
      </c>
      <c r="W19" s="23">
        <f t="shared" ref="W19:W21" si="18">J19-R19</f>
        <v>7753774.0121917725</v>
      </c>
    </row>
    <row r="20" spans="1:23">
      <c r="A20" s="4">
        <f>A19+1</f>
        <v>108</v>
      </c>
      <c r="C20" t="s">
        <v>159</v>
      </c>
      <c r="E20" s="40">
        <v>-1102409205.59201</v>
      </c>
      <c r="F20" s="33" t="s">
        <v>160</v>
      </c>
      <c r="G20" t="s">
        <v>353</v>
      </c>
      <c r="H20" s="13">
        <f t="shared" si="14"/>
        <v>-755764449.55088389</v>
      </c>
      <c r="I20" s="274">
        <f>-'10-AccDep Corrected'!D130</f>
        <v>-385679016.09439933</v>
      </c>
      <c r="J20" s="274">
        <f>-'10-AccDep Corrected'!E130</f>
        <v>-370085433.45648456</v>
      </c>
      <c r="K20" t="s">
        <v>354</v>
      </c>
      <c r="L20" s="4">
        <f>A20</f>
        <v>108</v>
      </c>
      <c r="O20" s="40">
        <v>-1102476559</v>
      </c>
      <c r="P20" s="13">
        <v>-755789339.14520204</v>
      </c>
      <c r="Q20" s="274">
        <v>-387087285.00363564</v>
      </c>
      <c r="R20" s="274">
        <v>-368702054.1415664</v>
      </c>
      <c r="T20" s="40">
        <f t="shared" si="15"/>
        <v>67353.40798997879</v>
      </c>
      <c r="U20" s="13">
        <f t="shared" si="16"/>
        <v>24889.594318151474</v>
      </c>
      <c r="V20" s="274">
        <f t="shared" si="17"/>
        <v>1408268.9092363119</v>
      </c>
      <c r="W20" s="274">
        <f t="shared" si="18"/>
        <v>-1383379.3149181604</v>
      </c>
    </row>
    <row r="21" spans="1:23">
      <c r="A21" s="4">
        <f>A20+1</f>
        <v>109</v>
      </c>
      <c r="C21" s="2" t="s">
        <v>162</v>
      </c>
      <c r="D21" s="2"/>
      <c r="E21" s="654">
        <f>E19+E20</f>
        <v>-16714158767.995281</v>
      </c>
      <c r="F21" s="33" t="str">
        <f>"Line "&amp;A19&amp;" + Line "&amp;A20&amp;""</f>
        <v>Line 107 + Line 108</v>
      </c>
      <c r="H21" s="444">
        <f t="shared" si="14"/>
        <v>-15772567645.280174</v>
      </c>
      <c r="I21" s="654">
        <f t="shared" ref="I21:J21" si="19">I19+I20</f>
        <v>-7847860461.1758623</v>
      </c>
      <c r="J21" s="654">
        <f t="shared" si="19"/>
        <v>-7924707184.1043119</v>
      </c>
      <c r="K21" t="str">
        <f>"Line "&amp;$A$19&amp;" + Line "&amp;$A$20&amp;""</f>
        <v>Line 107 + Line 108</v>
      </c>
      <c r="L21" s="4">
        <f>A21</f>
        <v>109</v>
      </c>
      <c r="O21" s="654">
        <v>-16737761489.61692</v>
      </c>
      <c r="P21" s="444">
        <v>-15800727851.80751</v>
      </c>
      <c r="Q21" s="654">
        <v>-7869650273.0059242</v>
      </c>
      <c r="R21" s="654">
        <v>-7931077578.8015852</v>
      </c>
      <c r="T21" s="654">
        <f t="shared" si="15"/>
        <v>23602721.621639252</v>
      </c>
      <c r="U21" s="444">
        <f t="shared" si="16"/>
        <v>28160206.527336121</v>
      </c>
      <c r="V21" s="654">
        <f t="shared" si="17"/>
        <v>21789811.830061913</v>
      </c>
      <c r="W21" s="654">
        <f t="shared" si="18"/>
        <v>6370394.6972732544</v>
      </c>
    </row>
    <row r="22" spans="1:23">
      <c r="H22" s="24"/>
      <c r="P22" s="24"/>
      <c r="U22" s="24"/>
    </row>
    <row r="23" spans="1:23">
      <c r="A23" s="4">
        <f>A21+1</f>
        <v>110</v>
      </c>
      <c r="B23" s="4" t="s">
        <v>163</v>
      </c>
      <c r="C23" s="5" t="s">
        <v>164</v>
      </c>
      <c r="D23" s="5"/>
      <c r="E23" s="23">
        <f>'14-ADIT'!D21</f>
        <v>-2902151341.8059635</v>
      </c>
      <c r="F23" t="s">
        <v>355</v>
      </c>
      <c r="G23" t="s">
        <v>356</v>
      </c>
      <c r="H23" s="13">
        <f t="shared" ref="H23:H27" si="20">I23+J23</f>
        <v>-2767232952.6378431</v>
      </c>
      <c r="I23" s="23">
        <f>E23*$I$4</f>
        <v>-1412164442.38888</v>
      </c>
      <c r="J23" s="23">
        <f>E23*$J$4</f>
        <v>-1355068510.2489629</v>
      </c>
      <c r="K23" t="s">
        <v>166</v>
      </c>
      <c r="L23" s="4">
        <f>A23</f>
        <v>110</v>
      </c>
      <c r="M23" t="s">
        <v>163</v>
      </c>
      <c r="O23" s="23">
        <v>-2902758429.1305637</v>
      </c>
      <c r="P23" s="13">
        <v>-2767902969.3823166</v>
      </c>
      <c r="Q23" s="23">
        <v>-1417617304.2920647</v>
      </c>
      <c r="R23" s="23">
        <v>-1350285665.0902522</v>
      </c>
      <c r="T23" s="23">
        <f t="shared" ref="T23:T27" si="21">E23-O23</f>
        <v>607087.32460021973</v>
      </c>
      <c r="U23" s="13">
        <f t="shared" ref="U23:U27" si="22">H23-P23</f>
        <v>670016.74447345734</v>
      </c>
      <c r="V23" s="23">
        <f t="shared" ref="V23:V27" si="23">I23-Q23</f>
        <v>5452861.9031846523</v>
      </c>
      <c r="W23" s="23">
        <f t="shared" ref="W23:W27" si="24">J23-R23</f>
        <v>-4782845.1587107182</v>
      </c>
    </row>
    <row r="24" spans="1:23">
      <c r="A24" s="4">
        <f>A23</f>
        <v>110</v>
      </c>
      <c r="B24" s="4" t="s">
        <v>167</v>
      </c>
      <c r="C24" s="5" t="s">
        <v>168</v>
      </c>
      <c r="D24" s="5"/>
      <c r="E24" s="17">
        <f>+'17-RegAssets-1'!C48</f>
        <v>-1461001664.4085484</v>
      </c>
      <c r="F24" t="s">
        <v>357</v>
      </c>
      <c r="G24" t="s">
        <v>356</v>
      </c>
      <c r="H24" s="14">
        <f t="shared" si="20"/>
        <v>-1393081019.3703463</v>
      </c>
      <c r="I24" s="17">
        <f>E24*$I$4</f>
        <v>-710912133.01951432</v>
      </c>
      <c r="J24" s="17">
        <f>E24*$J$4</f>
        <v>-682168886.35083199</v>
      </c>
      <c r="K24" t="s">
        <v>170</v>
      </c>
      <c r="L24" s="4">
        <f>A24</f>
        <v>110</v>
      </c>
      <c r="M24" t="s">
        <v>167</v>
      </c>
      <c r="O24" s="17">
        <v>-1460895743.2049639</v>
      </c>
      <c r="P24" s="14">
        <v>-1393025897.365546</v>
      </c>
      <c r="Q24" s="17">
        <v>-713456229.96064401</v>
      </c>
      <c r="R24" s="17">
        <v>-679569667.40490198</v>
      </c>
      <c r="T24" s="17">
        <f t="shared" si="21"/>
        <v>-105921.2035844326</v>
      </c>
      <c r="U24" s="14">
        <f t="shared" si="22"/>
        <v>-55122.004800319672</v>
      </c>
      <c r="V24" s="17">
        <f t="shared" si="23"/>
        <v>2544096.9411296844</v>
      </c>
      <c r="W24" s="17">
        <f t="shared" si="24"/>
        <v>-2599218.9459300041</v>
      </c>
    </row>
    <row r="25" spans="1:23">
      <c r="A25" s="4">
        <f>A24</f>
        <v>110</v>
      </c>
      <c r="B25" s="4" t="s">
        <v>171</v>
      </c>
      <c r="C25" s="5" t="s">
        <v>358</v>
      </c>
      <c r="D25" s="5"/>
      <c r="E25" s="51">
        <f>+E23+E24</f>
        <v>-4363153006.2145119</v>
      </c>
      <c r="F25" t="str">
        <f>"Line "&amp;A23&amp;"a + Line "&amp;A24&amp;"b"</f>
        <v>Line 110a + Line 110b</v>
      </c>
      <c r="G25" t="s">
        <v>356</v>
      </c>
      <c r="H25" s="15">
        <f t="shared" si="20"/>
        <v>-4160313972.0081892</v>
      </c>
      <c r="I25" s="51">
        <f t="shared" ref="I25:J25" si="25">+I23+I24</f>
        <v>-2123076575.4083943</v>
      </c>
      <c r="J25" s="51">
        <f t="shared" si="25"/>
        <v>-2037237396.5997949</v>
      </c>
      <c r="K25" t="str">
        <f>"Line "&amp;$A$23&amp;"a + Line "&amp;$A$24&amp;"b"</f>
        <v>Line 110a + Line 110b</v>
      </c>
      <c r="L25" s="4">
        <f>A25</f>
        <v>110</v>
      </c>
      <c r="M25" t="s">
        <v>171</v>
      </c>
      <c r="O25" s="51">
        <v>-4363654172.3355274</v>
      </c>
      <c r="P25" s="15">
        <v>-4160928866.7478628</v>
      </c>
      <c r="Q25" s="51">
        <v>-2131073534.2527087</v>
      </c>
      <c r="R25" s="51">
        <v>-2029855332.4951541</v>
      </c>
      <c r="T25" s="51">
        <f t="shared" si="21"/>
        <v>501166.12101554871</v>
      </c>
      <c r="U25" s="15">
        <f t="shared" si="22"/>
        <v>614894.7396736145</v>
      </c>
      <c r="V25" s="51">
        <f t="shared" si="23"/>
        <v>7996958.8443143368</v>
      </c>
      <c r="W25" s="51">
        <f t="shared" si="24"/>
        <v>-7382064.1046407223</v>
      </c>
    </row>
    <row r="26" spans="1:23">
      <c r="A26" s="4">
        <f>A25+1</f>
        <v>111</v>
      </c>
      <c r="C26" s="105" t="str">
        <f>+'1-DRR Corrected'!C26</f>
        <v>Unfunded Reserves</v>
      </c>
      <c r="D26" s="2"/>
      <c r="E26" s="23">
        <f>'16-UnfundedReserves'!E12</f>
        <v>-161043499.78506362</v>
      </c>
      <c r="F26" s="8" t="s">
        <v>359</v>
      </c>
      <c r="G26" t="s">
        <v>344</v>
      </c>
      <c r="H26" s="13">
        <f t="shared" si="20"/>
        <v>-153556733.23915479</v>
      </c>
      <c r="I26" s="23">
        <f>E26*$I$4</f>
        <v>-78362523.965689614</v>
      </c>
      <c r="J26" s="23">
        <f>E26*$J$4</f>
        <v>-75194209.273465171</v>
      </c>
      <c r="K26" t="s">
        <v>175</v>
      </c>
      <c r="L26" s="4">
        <f>A26</f>
        <v>111</v>
      </c>
      <c r="O26" s="23">
        <v>-124034270.15149625</v>
      </c>
      <c r="P26" s="13">
        <v>-118271924.11609837</v>
      </c>
      <c r="Q26" s="23">
        <v>-60574495.599574737</v>
      </c>
      <c r="R26" s="23">
        <v>-57697428.516523629</v>
      </c>
      <c r="T26" s="23">
        <f t="shared" si="21"/>
        <v>-37009229.633567378</v>
      </c>
      <c r="U26" s="13">
        <f t="shared" si="22"/>
        <v>-35284809.123056412</v>
      </c>
      <c r="V26" s="23">
        <f t="shared" si="23"/>
        <v>-17788028.366114877</v>
      </c>
      <c r="W26" s="23">
        <f t="shared" si="24"/>
        <v>-17496780.756941542</v>
      </c>
    </row>
    <row r="27" spans="1:23">
      <c r="A27" s="4">
        <f>A26+1</f>
        <v>112</v>
      </c>
      <c r="C27" s="2" t="s">
        <v>176</v>
      </c>
      <c r="D27" s="2"/>
      <c r="E27" s="17">
        <f>'17-RegAssets-1'!E26</f>
        <v>0</v>
      </c>
      <c r="F27" t="s">
        <v>360</v>
      </c>
      <c r="G27" t="s">
        <v>346</v>
      </c>
      <c r="H27" s="14">
        <f t="shared" si="20"/>
        <v>0</v>
      </c>
      <c r="I27" s="17">
        <f>E27*$I$4</f>
        <v>0</v>
      </c>
      <c r="J27" s="17">
        <f>E27*$J$4</f>
        <v>0</v>
      </c>
      <c r="K27" t="s">
        <v>178</v>
      </c>
      <c r="L27" s="4">
        <f>A27</f>
        <v>112</v>
      </c>
      <c r="O27" s="17">
        <v>0</v>
      </c>
      <c r="P27" s="14">
        <v>0</v>
      </c>
      <c r="Q27" s="17">
        <v>0</v>
      </c>
      <c r="R27" s="17">
        <v>0</v>
      </c>
      <c r="T27" s="17">
        <f t="shared" si="21"/>
        <v>0</v>
      </c>
      <c r="U27" s="14">
        <f t="shared" si="22"/>
        <v>0</v>
      </c>
      <c r="V27" s="17">
        <f t="shared" si="23"/>
        <v>0</v>
      </c>
      <c r="W27" s="17">
        <f t="shared" si="24"/>
        <v>0</v>
      </c>
    </row>
    <row r="28" spans="1:23">
      <c r="E28" s="51"/>
      <c r="H28" s="13"/>
      <c r="I28" s="51"/>
      <c r="J28" s="51"/>
      <c r="L28" s="4"/>
      <c r="O28" s="51"/>
      <c r="P28" s="13"/>
      <c r="Q28" s="51"/>
      <c r="R28" s="51"/>
      <c r="T28" s="51"/>
      <c r="U28" s="13"/>
      <c r="V28" s="51"/>
      <c r="W28" s="51"/>
    </row>
    <row r="29" spans="1:23" ht="29">
      <c r="A29" s="4">
        <f>A27+1</f>
        <v>113</v>
      </c>
      <c r="C29" s="2" t="s">
        <v>179</v>
      </c>
      <c r="D29" s="2"/>
      <c r="E29" s="51">
        <f>+E10+E16+E21+E25+E27+E26</f>
        <v>18454594571.261353</v>
      </c>
      <c r="F29" t="str">
        <f>"Sum of Lines "&amp;A10&amp;", "&amp;A16&amp;", "&amp;A21&amp;" and Lines "&amp;A25&amp;B25&amp;" to "&amp;A27&amp;""</f>
        <v>Sum of Lines 102, 106, 109 and Lines 110c to 112</v>
      </c>
      <c r="H29" s="15">
        <f>I29+J29</f>
        <v>17096440945.948093</v>
      </c>
      <c r="I29" s="51">
        <f t="shared" ref="I29:J29" si="26">+I10+I16+I21+I25+I27+I26</f>
        <v>9032558668.0499744</v>
      </c>
      <c r="J29" s="51">
        <f t="shared" si="26"/>
        <v>8063882277.898118</v>
      </c>
      <c r="K29" s="34" t="str">
        <f>"Sum of Lines "&amp;$A$10&amp;", "&amp;$A$16&amp;", "&amp;$A$21&amp;" and Lines "&amp;$A$25&amp;$B$25&amp;" to "&amp;$A$27&amp;""</f>
        <v>Sum of Lines 102, 106, 109 and Lines 110c to 112</v>
      </c>
      <c r="L29" s="4">
        <f>A29</f>
        <v>113</v>
      </c>
      <c r="O29" s="51">
        <v>18679202695.340034</v>
      </c>
      <c r="P29" s="15">
        <v>17285737042.520615</v>
      </c>
      <c r="Q29" s="51">
        <v>9182931901.5932426</v>
      </c>
      <c r="R29" s="51">
        <v>8102805140.927371</v>
      </c>
      <c r="T29" s="51">
        <f>E29-O29</f>
        <v>-224608124.07868195</v>
      </c>
      <c r="U29" s="15">
        <f>H29-P29</f>
        <v>-189296096.57252121</v>
      </c>
      <c r="V29" s="51">
        <f>I29-Q29</f>
        <v>-150373233.5432682</v>
      </c>
      <c r="W29" s="51">
        <f>J29-R29</f>
        <v>-38922863.029253006</v>
      </c>
    </row>
    <row r="30" spans="1:23">
      <c r="E30" s="8"/>
      <c r="I30" s="8"/>
      <c r="J30" s="8"/>
      <c r="K30" s="8"/>
      <c r="L30" s="4"/>
      <c r="O30" s="8"/>
      <c r="Q30" s="8"/>
      <c r="R30" s="8"/>
      <c r="T30" s="8"/>
      <c r="V30" s="8"/>
      <c r="W30" s="8"/>
    </row>
    <row r="31" spans="1:23">
      <c r="C31" s="41" t="s">
        <v>180</v>
      </c>
      <c r="D31" s="43"/>
      <c r="E31" s="43"/>
      <c r="F31" s="43"/>
      <c r="G31" s="43"/>
      <c r="H31" s="43"/>
      <c r="I31" s="43"/>
      <c r="J31" s="43"/>
      <c r="K31" s="43"/>
      <c r="O31" s="43"/>
      <c r="P31" s="43"/>
      <c r="Q31" s="43"/>
      <c r="R31" s="43"/>
      <c r="T31" s="43"/>
      <c r="U31" s="43"/>
      <c r="V31" s="43"/>
      <c r="W31" s="43"/>
    </row>
    <row r="32" spans="1:23">
      <c r="C32" s="2" t="s">
        <v>361</v>
      </c>
    </row>
    <row r="33" spans="1:25">
      <c r="C33" t="s">
        <v>362</v>
      </c>
      <c r="E33" s="3"/>
      <c r="H33" s="3"/>
      <c r="I33" s="3"/>
      <c r="J33" s="3"/>
      <c r="O33" s="3"/>
      <c r="P33" s="3"/>
      <c r="Q33" s="3"/>
      <c r="R33" s="3"/>
      <c r="T33" s="3"/>
      <c r="U33" s="3"/>
      <c r="V33" s="3"/>
      <c r="W33" s="3"/>
    </row>
    <row r="34" spans="1:25">
      <c r="C34" s="5"/>
      <c r="H34" s="4"/>
      <c r="I34" s="440"/>
      <c r="J34" s="440"/>
      <c r="P34" s="4"/>
      <c r="Q34" s="440"/>
      <c r="R34" s="440"/>
      <c r="U34" s="4"/>
      <c r="V34" s="440"/>
      <c r="W34" s="440"/>
    </row>
    <row r="35" spans="1:25" ht="29">
      <c r="A35" s="3" t="s">
        <v>90</v>
      </c>
      <c r="B35" s="3"/>
      <c r="C35" s="110" t="s">
        <v>7</v>
      </c>
      <c r="D35" s="34"/>
      <c r="E35" s="110" t="s">
        <v>342</v>
      </c>
      <c r="F35" s="110" t="s">
        <v>126</v>
      </c>
      <c r="G35" s="110" t="s">
        <v>131</v>
      </c>
      <c r="H35" s="110" t="s">
        <v>132</v>
      </c>
      <c r="I35" s="110" t="s">
        <v>133</v>
      </c>
      <c r="J35" s="110" t="s">
        <v>134</v>
      </c>
      <c r="K35" s="110" t="s">
        <v>126</v>
      </c>
      <c r="L35" s="3" t="str">
        <f>A35</f>
        <v>Line</v>
      </c>
      <c r="O35" s="110" t="s">
        <v>342</v>
      </c>
      <c r="P35" s="110" t="s">
        <v>132</v>
      </c>
      <c r="Q35" s="110" t="s">
        <v>133</v>
      </c>
      <c r="R35" s="110" t="s">
        <v>134</v>
      </c>
      <c r="T35" s="110" t="s">
        <v>342</v>
      </c>
      <c r="U35" s="110" t="s">
        <v>132</v>
      </c>
      <c r="V35" s="110" t="s">
        <v>133</v>
      </c>
      <c r="W35" s="110" t="s">
        <v>134</v>
      </c>
    </row>
    <row r="36" spans="1:25" ht="77.25" customHeight="1">
      <c r="A36" s="4">
        <v>200</v>
      </c>
      <c r="C36" t="s">
        <v>363</v>
      </c>
      <c r="E36" s="39">
        <f>'1-DRR Corrected'!E42</f>
        <v>0.10249999999999999</v>
      </c>
      <c r="F36" s="38" t="str">
        <f>CONCATENATE("1-DRR, L. ",'1-DRR Corrected'!A42)</f>
        <v>1-DRR, L. 205</v>
      </c>
      <c r="G36" s="34" t="s">
        <v>364</v>
      </c>
      <c r="H36" s="464">
        <f>E36</f>
        <v>0.10249999999999999</v>
      </c>
      <c r="I36" s="20">
        <f>E36</f>
        <v>0.10249999999999999</v>
      </c>
      <c r="J36" s="20">
        <f>I36</f>
        <v>0.10249999999999999</v>
      </c>
      <c r="K36" s="20" t="s">
        <v>365</v>
      </c>
      <c r="L36" s="4">
        <f>A36</f>
        <v>200</v>
      </c>
      <c r="O36" s="39">
        <v>0.10249999999999999</v>
      </c>
      <c r="P36" s="464">
        <v>0.10249999999999999</v>
      </c>
      <c r="Q36" s="20">
        <v>0.10249999999999999</v>
      </c>
      <c r="R36" s="20">
        <v>0.10249999999999999</v>
      </c>
      <c r="T36" s="39">
        <f t="shared" ref="T36" si="27">E36-O36</f>
        <v>0</v>
      </c>
      <c r="U36" s="464">
        <f t="shared" ref="U36" si="28">H36-P36</f>
        <v>0</v>
      </c>
      <c r="V36" s="20">
        <f t="shared" ref="V36" si="29">I36-Q36</f>
        <v>0</v>
      </c>
      <c r="W36" s="20">
        <f t="shared" ref="W36" si="30">J36-R36</f>
        <v>0</v>
      </c>
    </row>
    <row r="37" spans="1:25">
      <c r="C37" s="5"/>
    </row>
    <row r="38" spans="1:25">
      <c r="C38" s="1" t="s">
        <v>199</v>
      </c>
      <c r="D38" s="1"/>
    </row>
    <row r="39" spans="1:25">
      <c r="A39" s="4">
        <f>A36+1</f>
        <v>201</v>
      </c>
      <c r="C39" t="s">
        <v>200</v>
      </c>
      <c r="E39" s="20">
        <f>'1-DRR Corrected'!E45</f>
        <v>1.7561749999999998E-2</v>
      </c>
      <c r="F39" t="str">
        <f>CONCATENATE("1-DRR, L. ",'1-DRR Corrected'!A45)</f>
        <v>1-DRR, L. 206</v>
      </c>
      <c r="H39" s="20">
        <f>E39</f>
        <v>1.7561749999999998E-2</v>
      </c>
      <c r="I39" s="20">
        <f>E39</f>
        <v>1.7561749999999998E-2</v>
      </c>
      <c r="J39" s="20">
        <f>E39</f>
        <v>1.7561749999999998E-2</v>
      </c>
      <c r="K39" s="20" t="s">
        <v>366</v>
      </c>
      <c r="L39" s="4">
        <f>A39</f>
        <v>201</v>
      </c>
      <c r="O39" s="20">
        <v>1.7561749999999998E-2</v>
      </c>
      <c r="P39" s="20">
        <v>1.7561749999999998E-2</v>
      </c>
      <c r="Q39" s="20">
        <v>1.7561749999999998E-2</v>
      </c>
      <c r="R39" s="20">
        <v>1.7561749999999998E-2</v>
      </c>
      <c r="T39" s="20">
        <f t="shared" ref="T39:T42" si="31">E39-O39</f>
        <v>0</v>
      </c>
      <c r="U39" s="20">
        <f t="shared" ref="U39:U42" si="32">H39-P39</f>
        <v>0</v>
      </c>
      <c r="V39" s="20">
        <f t="shared" ref="V39:V42" si="33">I39-Q39</f>
        <v>0</v>
      </c>
      <c r="W39" s="20">
        <f t="shared" ref="W39:W42" si="34">J39-R39</f>
        <v>0</v>
      </c>
    </row>
    <row r="40" spans="1:25">
      <c r="A40" s="4">
        <f>A39+1</f>
        <v>202</v>
      </c>
      <c r="C40" t="s">
        <v>202</v>
      </c>
      <c r="E40" s="20">
        <f>'1-DRR Corrected'!E46</f>
        <v>2.7605794758881429E-4</v>
      </c>
      <c r="F40" t="str">
        <f>CONCATENATE("1-DRR, L. ",'1-DRR Corrected'!A46)</f>
        <v>1-DRR, L. 207</v>
      </c>
      <c r="H40" s="20">
        <f t="shared" ref="H40:H42" si="35">E40</f>
        <v>2.7605794758881429E-4</v>
      </c>
      <c r="I40" s="20">
        <f>E40</f>
        <v>2.7605794758881429E-4</v>
      </c>
      <c r="J40" s="20">
        <f>E40</f>
        <v>2.7605794758881429E-4</v>
      </c>
      <c r="K40" s="20" t="s">
        <v>367</v>
      </c>
      <c r="L40" s="4">
        <f>A40</f>
        <v>202</v>
      </c>
      <c r="O40" s="20">
        <v>2.7605794758881429E-4</v>
      </c>
      <c r="P40" s="20">
        <v>2.7605794758881429E-4</v>
      </c>
      <c r="Q40" s="20">
        <v>2.7605794758881429E-4</v>
      </c>
      <c r="R40" s="20">
        <v>2.7605794758881429E-4</v>
      </c>
      <c r="T40" s="20">
        <f t="shared" si="31"/>
        <v>0</v>
      </c>
      <c r="U40" s="20">
        <f t="shared" si="32"/>
        <v>0</v>
      </c>
      <c r="V40" s="20">
        <f t="shared" si="33"/>
        <v>0</v>
      </c>
      <c r="W40" s="20">
        <f t="shared" si="34"/>
        <v>0</v>
      </c>
    </row>
    <row r="41" spans="1:25">
      <c r="A41" s="4">
        <f>A40+1</f>
        <v>203</v>
      </c>
      <c r="C41" t="s">
        <v>204</v>
      </c>
      <c r="E41" s="233">
        <f>E36*'1-DRR Corrected'!E36</f>
        <v>5.0993749999999997E-2</v>
      </c>
      <c r="F41" t="str">
        <f>CONCATENATE("Line ",A36," * ","1-DRR, L. ",'1-DRR Corrected'!A36)</f>
        <v>Line 200 * 1-DRR, L. 202</v>
      </c>
      <c r="H41" s="233">
        <f t="shared" si="35"/>
        <v>5.0993749999999997E-2</v>
      </c>
      <c r="I41" s="233">
        <f>E41</f>
        <v>5.0993749999999997E-2</v>
      </c>
      <c r="J41" s="233">
        <f>E41</f>
        <v>5.0993749999999997E-2</v>
      </c>
      <c r="K41" s="20" t="s">
        <v>368</v>
      </c>
      <c r="L41" s="4">
        <f>A41</f>
        <v>203</v>
      </c>
      <c r="O41" s="233">
        <v>5.0993749999999997E-2</v>
      </c>
      <c r="P41" s="233">
        <v>5.0993749999999997E-2</v>
      </c>
      <c r="Q41" s="233">
        <v>5.0993749999999997E-2</v>
      </c>
      <c r="R41" s="233">
        <v>5.0993749999999997E-2</v>
      </c>
      <c r="T41" s="233">
        <f t="shared" si="31"/>
        <v>0</v>
      </c>
      <c r="U41" s="233">
        <f t="shared" si="32"/>
        <v>0</v>
      </c>
      <c r="V41" s="233">
        <f t="shared" si="33"/>
        <v>0</v>
      </c>
      <c r="W41" s="233">
        <f t="shared" si="34"/>
        <v>0</v>
      </c>
    </row>
    <row r="42" spans="1:25">
      <c r="A42" s="4">
        <f>A41+1</f>
        <v>204</v>
      </c>
      <c r="C42" s="2" t="s">
        <v>206</v>
      </c>
      <c r="D42" s="2"/>
      <c r="E42" s="226">
        <f>SUM(E39:E41)</f>
        <v>6.8831557947588801E-2</v>
      </c>
      <c r="F42" s="33" t="str">
        <f>"Sum of Lines "&amp;A39&amp;" to "&amp;A41&amp;""</f>
        <v>Sum of Lines 201 to 203</v>
      </c>
      <c r="H42" s="226">
        <f t="shared" si="35"/>
        <v>6.8831557947588801E-2</v>
      </c>
      <c r="I42" s="226">
        <f t="shared" ref="I42:J42" si="36">SUM(I39:I41)</f>
        <v>6.8831557947588801E-2</v>
      </c>
      <c r="J42" s="226">
        <f t="shared" si="36"/>
        <v>6.8831557947588801E-2</v>
      </c>
      <c r="K42" s="20" t="s">
        <v>369</v>
      </c>
      <c r="L42" s="4">
        <f>A42</f>
        <v>204</v>
      </c>
      <c r="O42" s="226">
        <v>6.8831557947588801E-2</v>
      </c>
      <c r="P42" s="226">
        <v>6.8831557947588801E-2</v>
      </c>
      <c r="Q42" s="226">
        <v>6.8831557947588801E-2</v>
      </c>
      <c r="R42" s="226">
        <v>6.8831557947588801E-2</v>
      </c>
      <c r="T42" s="226">
        <f t="shared" si="31"/>
        <v>0</v>
      </c>
      <c r="U42" s="226">
        <f t="shared" si="32"/>
        <v>0</v>
      </c>
      <c r="V42" s="226">
        <f t="shared" si="33"/>
        <v>0</v>
      </c>
      <c r="W42" s="226">
        <f t="shared" si="34"/>
        <v>0</v>
      </c>
    </row>
    <row r="44" spans="1:25">
      <c r="A44" s="4">
        <f>A42+1</f>
        <v>205</v>
      </c>
      <c r="C44" s="2" t="s">
        <v>208</v>
      </c>
      <c r="D44" s="2"/>
      <c r="E44" s="226">
        <f>E40+E41</f>
        <v>5.1269807947588814E-2</v>
      </c>
      <c r="F44" t="str">
        <f>"Line "&amp;A40&amp;" + Line "&amp;A41&amp;""</f>
        <v>Line 202 + Line 203</v>
      </c>
      <c r="G44" s="8"/>
      <c r="H44" s="226">
        <f>E44</f>
        <v>5.1269807947588814E-2</v>
      </c>
      <c r="I44" s="226">
        <f t="shared" ref="I44:J44" si="37">I40+I41</f>
        <v>5.1269807947588814E-2</v>
      </c>
      <c r="J44" s="226">
        <f t="shared" si="37"/>
        <v>5.1269807947588814E-2</v>
      </c>
      <c r="K44" s="20" t="s">
        <v>370</v>
      </c>
      <c r="L44" s="4">
        <f>A44</f>
        <v>205</v>
      </c>
      <c r="O44" s="226">
        <v>5.1269807947588814E-2</v>
      </c>
      <c r="P44" s="226">
        <v>5.1269807947588814E-2</v>
      </c>
      <c r="Q44" s="226">
        <v>5.1269807947588814E-2</v>
      </c>
      <c r="R44" s="226">
        <v>5.1269807947588814E-2</v>
      </c>
      <c r="T44" s="226">
        <f t="shared" ref="T44" si="38">E44-O44</f>
        <v>0</v>
      </c>
      <c r="U44" s="226">
        <f t="shared" ref="U44" si="39">H44-P44</f>
        <v>0</v>
      </c>
      <c r="V44" s="226">
        <f t="shared" ref="V44" si="40">I44-Q44</f>
        <v>0</v>
      </c>
      <c r="W44" s="226">
        <f t="shared" ref="W44" si="41">J44-R44</f>
        <v>0</v>
      </c>
    </row>
    <row r="45" spans="1:25">
      <c r="L45" s="4"/>
      <c r="Y45" t="s">
        <v>1917</v>
      </c>
    </row>
    <row r="46" spans="1:25">
      <c r="A46" s="4">
        <f>A44+1</f>
        <v>206</v>
      </c>
      <c r="C46" s="2" t="s">
        <v>210</v>
      </c>
      <c r="D46" s="2"/>
      <c r="E46" s="51">
        <f>E42*E29</f>
        <v>1270258495.6310334</v>
      </c>
      <c r="F46" t="str">
        <f>"Line "&amp;A29&amp;" * Line "&amp;A42&amp;""</f>
        <v>Line 113 * Line 204</v>
      </c>
      <c r="H46" s="15">
        <f>I46+J46</f>
        <v>1176774665.668556</v>
      </c>
      <c r="I46" s="51">
        <f t="shared" ref="I46:J46" si="42">I42*I29</f>
        <v>621725085.37487733</v>
      </c>
      <c r="J46" s="51">
        <f t="shared" si="42"/>
        <v>555049580.29367864</v>
      </c>
      <c r="K46" s="51" t="str">
        <f>"Line "&amp;A29&amp;" * Line "&amp;A42&amp;""</f>
        <v>Line 113 * Line 204</v>
      </c>
      <c r="L46" s="4">
        <f>A46</f>
        <v>206</v>
      </c>
      <c r="O46" s="51">
        <v>1285718622.7390544</v>
      </c>
      <c r="P46" s="15">
        <v>1189804210.90904</v>
      </c>
      <c r="Q46" s="51">
        <v>632075509.31327713</v>
      </c>
      <c r="R46" s="51">
        <v>557728701.59576273</v>
      </c>
      <c r="T46" s="51">
        <f>E46-O46</f>
        <v>-15460127.108021021</v>
      </c>
      <c r="U46" s="15">
        <f t="shared" ref="U46" si="43">H46-P46</f>
        <v>-13029545.240483999</v>
      </c>
      <c r="V46" s="51">
        <f t="shared" ref="V46" si="44">I46-Q46</f>
        <v>-10350423.938399792</v>
      </c>
      <c r="W46" s="51">
        <f t="shared" ref="W46" si="45">J46-R46</f>
        <v>-2679121.3020840883</v>
      </c>
      <c r="Y46" s="708">
        <f>T29*E42</f>
        <v>-15460127.108021012</v>
      </c>
    </row>
    <row r="47" spans="1:25">
      <c r="Y47" s="29"/>
    </row>
    <row r="48" spans="1:25">
      <c r="C48" s="41" t="s">
        <v>371</v>
      </c>
      <c r="D48" s="43"/>
      <c r="E48" s="43"/>
      <c r="F48" s="43"/>
      <c r="G48" s="43"/>
      <c r="H48" s="43"/>
      <c r="I48" s="43"/>
      <c r="J48" s="43"/>
      <c r="K48" s="43"/>
      <c r="O48" s="43"/>
      <c r="P48" s="43"/>
      <c r="Q48" s="43"/>
      <c r="R48" s="43"/>
      <c r="T48" s="43"/>
      <c r="U48" s="43"/>
      <c r="V48" s="43"/>
      <c r="W48" s="43"/>
    </row>
    <row r="49" spans="1:23">
      <c r="C49" s="5"/>
    </row>
    <row r="50" spans="1:23" ht="29">
      <c r="A50" s="3" t="s">
        <v>90</v>
      </c>
      <c r="B50" s="3"/>
      <c r="C50" s="110" t="s">
        <v>7</v>
      </c>
      <c r="D50" s="34"/>
      <c r="E50" s="110" t="s">
        <v>342</v>
      </c>
      <c r="F50" s="110" t="s">
        <v>126</v>
      </c>
      <c r="G50" s="110" t="s">
        <v>131</v>
      </c>
      <c r="H50" s="110" t="s">
        <v>132</v>
      </c>
      <c r="I50" s="110" t="s">
        <v>133</v>
      </c>
      <c r="J50" s="110" t="s">
        <v>134</v>
      </c>
      <c r="K50" s="110" t="s">
        <v>126</v>
      </c>
      <c r="L50" s="3" t="str">
        <f>A50</f>
        <v>Line</v>
      </c>
      <c r="O50" s="110" t="s">
        <v>342</v>
      </c>
      <c r="P50" s="110" t="s">
        <v>132</v>
      </c>
      <c r="Q50" s="110" t="s">
        <v>133</v>
      </c>
      <c r="R50" s="110" t="s">
        <v>134</v>
      </c>
      <c r="T50" s="110"/>
      <c r="U50" s="110"/>
      <c r="V50" s="110"/>
      <c r="W50" s="110"/>
    </row>
    <row r="51" spans="1:23">
      <c r="A51" s="4">
        <v>300</v>
      </c>
      <c r="C51" t="s">
        <v>244</v>
      </c>
      <c r="E51" s="22">
        <f>'22-TaxRates'!C13</f>
        <v>0.21</v>
      </c>
      <c r="F51" t="s">
        <v>372</v>
      </c>
      <c r="H51" s="22">
        <f>E51</f>
        <v>0.21</v>
      </c>
      <c r="I51" s="22">
        <f>E51</f>
        <v>0.21</v>
      </c>
      <c r="J51" s="22">
        <f>E51</f>
        <v>0.21</v>
      </c>
      <c r="K51" s="20" t="s">
        <v>373</v>
      </c>
      <c r="L51" s="4">
        <f>A51</f>
        <v>300</v>
      </c>
      <c r="O51" s="22">
        <v>0.21</v>
      </c>
      <c r="P51" s="22">
        <v>0.21</v>
      </c>
      <c r="Q51" s="22">
        <v>0.21</v>
      </c>
      <c r="R51" s="22">
        <v>0.21</v>
      </c>
      <c r="T51" s="22">
        <f t="shared" ref="T51:T53" si="46">E51-O51</f>
        <v>0</v>
      </c>
      <c r="U51" s="22">
        <f t="shared" ref="U51:U53" si="47">H51-P51</f>
        <v>0</v>
      </c>
      <c r="V51" s="22">
        <f t="shared" ref="V51:V53" si="48">I51-Q51</f>
        <v>0</v>
      </c>
      <c r="W51" s="22">
        <f t="shared" ref="W51:W53" si="49">J51-R51</f>
        <v>0</v>
      </c>
    </row>
    <row r="52" spans="1:23">
      <c r="A52" s="4">
        <f>A51+1</f>
        <v>301</v>
      </c>
      <c r="C52" t="s">
        <v>247</v>
      </c>
      <c r="E52" s="233">
        <f>'22-TaxRates'!C14</f>
        <v>8.8400000000000006E-2</v>
      </c>
      <c r="F52" t="s">
        <v>374</v>
      </c>
      <c r="H52" s="30">
        <f t="shared" ref="H52:H53" si="50">E52</f>
        <v>8.8400000000000006E-2</v>
      </c>
      <c r="I52" s="30">
        <f>E52</f>
        <v>8.8400000000000006E-2</v>
      </c>
      <c r="J52" s="30">
        <f>E52</f>
        <v>8.8400000000000006E-2</v>
      </c>
      <c r="K52" s="20" t="s">
        <v>375</v>
      </c>
      <c r="L52" s="4">
        <f>A52</f>
        <v>301</v>
      </c>
      <c r="O52" s="233">
        <v>8.8400000000000006E-2</v>
      </c>
      <c r="P52" s="30">
        <v>8.8400000000000006E-2</v>
      </c>
      <c r="Q52" s="30">
        <v>8.8400000000000006E-2</v>
      </c>
      <c r="R52" s="30">
        <v>8.8400000000000006E-2</v>
      </c>
      <c r="T52" s="233">
        <f t="shared" si="46"/>
        <v>0</v>
      </c>
      <c r="U52" s="30">
        <f t="shared" si="47"/>
        <v>0</v>
      </c>
      <c r="V52" s="30">
        <f t="shared" si="48"/>
        <v>0</v>
      </c>
      <c r="W52" s="30">
        <f t="shared" si="49"/>
        <v>0</v>
      </c>
    </row>
    <row r="53" spans="1:23">
      <c r="A53" s="4">
        <f>A52+1</f>
        <v>302</v>
      </c>
      <c r="C53" s="2" t="s">
        <v>250</v>
      </c>
      <c r="D53" s="2"/>
      <c r="E53" s="226">
        <f>'22-TaxRates'!C16</f>
        <v>0.27983599999999997</v>
      </c>
      <c r="F53" t="s">
        <v>376</v>
      </c>
      <c r="H53" s="226">
        <f t="shared" si="50"/>
        <v>0.27983599999999997</v>
      </c>
      <c r="I53" s="226">
        <f t="shared" ref="I53:J53" si="51">(I51+I52)-(I51*I52)</f>
        <v>0.27983599999999997</v>
      </c>
      <c r="J53" s="226">
        <f t="shared" si="51"/>
        <v>0.27983599999999997</v>
      </c>
      <c r="K53" s="20" t="s">
        <v>377</v>
      </c>
      <c r="L53" s="4">
        <f>A53</f>
        <v>302</v>
      </c>
      <c r="O53" s="226">
        <v>0.27983599999999997</v>
      </c>
      <c r="P53" s="226">
        <v>0.27983599999999997</v>
      </c>
      <c r="Q53" s="226">
        <v>0.27983599999999997</v>
      </c>
      <c r="R53" s="226">
        <v>0.27983599999999997</v>
      </c>
      <c r="T53" s="226">
        <f t="shared" si="46"/>
        <v>0</v>
      </c>
      <c r="U53" s="226">
        <f t="shared" si="47"/>
        <v>0</v>
      </c>
      <c r="V53" s="226">
        <f t="shared" si="48"/>
        <v>0</v>
      </c>
      <c r="W53" s="226">
        <f t="shared" si="49"/>
        <v>0</v>
      </c>
    </row>
    <row r="55" spans="1:23">
      <c r="A55" s="4">
        <f>A53+1</f>
        <v>303</v>
      </c>
      <c r="C55" s="2" t="s">
        <v>266</v>
      </c>
      <c r="E55" s="15">
        <f>(((E60*E61)+E64)*(E62/(1-E62)))+E63/(1-E62)</f>
        <v>322894261.42167097</v>
      </c>
      <c r="F55" t="str">
        <f>"Line "&amp;A57</f>
        <v>Line 304</v>
      </c>
      <c r="H55" s="221">
        <f>I55+J55</f>
        <v>297917870.41527021</v>
      </c>
      <c r="I55" s="15">
        <f t="shared" ref="I55:J55" si="52">(((I60*I61)+I64)*(I62/(1-I62)))+I63/(1-I62)</f>
        <v>158167655.19283861</v>
      </c>
      <c r="J55" s="15">
        <f t="shared" si="52"/>
        <v>139750215.2224316</v>
      </c>
      <c r="K55" t="str">
        <f>"Line "&amp;A57</f>
        <v>Line 304</v>
      </c>
      <c r="L55" s="4">
        <f>A55</f>
        <v>303</v>
      </c>
      <c r="O55" s="15">
        <v>327068831.46122277</v>
      </c>
      <c r="P55" s="221">
        <v>301401488.35970938</v>
      </c>
      <c r="Q55" s="15">
        <v>160937320.92443022</v>
      </c>
      <c r="R55" s="15">
        <v>140464167.43527916</v>
      </c>
      <c r="T55" s="15">
        <f t="shared" ref="T55" si="53">E55-O55</f>
        <v>-4174570.0395517945</v>
      </c>
      <c r="U55" s="221">
        <f t="shared" ref="U55" si="54">H55-P55</f>
        <v>-3483617.9444391727</v>
      </c>
      <c r="V55" s="15">
        <f t="shared" ref="V55" si="55">I55-Q55</f>
        <v>-2769665.7315916121</v>
      </c>
      <c r="W55" s="15">
        <f t="shared" ref="W55" si="56">J55-R55</f>
        <v>-713952.21284756064</v>
      </c>
    </row>
    <row r="57" spans="1:23">
      <c r="A57" s="4">
        <f>A55+1</f>
        <v>304</v>
      </c>
      <c r="C57" t="s">
        <v>378</v>
      </c>
      <c r="L57" s="4">
        <f>A57</f>
        <v>304</v>
      </c>
    </row>
    <row r="59" spans="1:23">
      <c r="C59" t="s">
        <v>268</v>
      </c>
    </row>
    <row r="60" spans="1:23">
      <c r="A60" s="4">
        <f>A57+1</f>
        <v>305</v>
      </c>
      <c r="C60" s="26" t="s">
        <v>269</v>
      </c>
      <c r="D60" s="26"/>
      <c r="E60" s="13">
        <f>+E29</f>
        <v>18454594571.261353</v>
      </c>
      <c r="F60" t="str">
        <f>"Line "&amp;A29&amp;" col 1"</f>
        <v>Line 113 col 1</v>
      </c>
      <c r="G60" s="12"/>
      <c r="H60" s="24">
        <f>I60+J60</f>
        <v>17096440945.948093</v>
      </c>
      <c r="I60" s="465">
        <f>+I29</f>
        <v>9032558668.0499744</v>
      </c>
      <c r="J60" s="465">
        <f>+J29</f>
        <v>8063882277.898118</v>
      </c>
      <c r="K60" s="13" t="str">
        <f>"Line "&amp;A29</f>
        <v>Line 113</v>
      </c>
      <c r="L60" s="4">
        <f>A60</f>
        <v>305</v>
      </c>
      <c r="O60" s="13">
        <v>18679202695.340034</v>
      </c>
      <c r="P60" s="24">
        <v>17285737042.520615</v>
      </c>
      <c r="Q60" s="465">
        <v>9182931901.5932426</v>
      </c>
      <c r="R60" s="465">
        <v>8102805140.927371</v>
      </c>
      <c r="T60" s="13">
        <f t="shared" ref="T60:T64" si="57">E60-O60</f>
        <v>-224608124.07868195</v>
      </c>
      <c r="U60" s="24">
        <f t="shared" ref="U60:U64" si="58">H60-P60</f>
        <v>-189296096.57252121</v>
      </c>
      <c r="V60" s="465">
        <f t="shared" ref="V60:V64" si="59">I60-Q60</f>
        <v>-150373233.5432682</v>
      </c>
      <c r="W60" s="465">
        <f t="shared" ref="W60:W64" si="60">J60-R60</f>
        <v>-38922863.029253006</v>
      </c>
    </row>
    <row r="61" spans="1:23">
      <c r="A61" s="4">
        <f>A60+1</f>
        <v>306</v>
      </c>
      <c r="C61" s="9" t="s">
        <v>270</v>
      </c>
      <c r="D61" s="9"/>
      <c r="E61" s="22">
        <f>E44</f>
        <v>5.1269807947588814E-2</v>
      </c>
      <c r="F61" t="str">
        <f>"Line "&amp;A44</f>
        <v>Line 205</v>
      </c>
      <c r="H61" s="22">
        <f>E61</f>
        <v>5.1269807947588814E-2</v>
      </c>
      <c r="I61" s="22">
        <f>I44</f>
        <v>5.1269807947588814E-2</v>
      </c>
      <c r="J61" s="22">
        <f>J44</f>
        <v>5.1269807947588814E-2</v>
      </c>
      <c r="K61" s="22" t="str">
        <f>"Line "&amp;A44</f>
        <v>Line 205</v>
      </c>
      <c r="L61" s="4">
        <f>A61</f>
        <v>306</v>
      </c>
      <c r="O61" s="22">
        <v>5.1269807947588814E-2</v>
      </c>
      <c r="P61" s="22">
        <v>5.1269807947588814E-2</v>
      </c>
      <c r="Q61" s="22">
        <v>5.1269807947588814E-2</v>
      </c>
      <c r="R61" s="22">
        <v>5.1269807947588814E-2</v>
      </c>
      <c r="T61" s="22">
        <f t="shared" si="57"/>
        <v>0</v>
      </c>
      <c r="U61" s="22">
        <f t="shared" si="58"/>
        <v>0</v>
      </c>
      <c r="V61" s="22">
        <f t="shared" si="59"/>
        <v>0</v>
      </c>
      <c r="W61" s="22">
        <f t="shared" si="60"/>
        <v>0</v>
      </c>
    </row>
    <row r="62" spans="1:23">
      <c r="A62" s="4">
        <f t="shared" ref="A62:A63" si="61">A61+1</f>
        <v>307</v>
      </c>
      <c r="C62" s="26" t="s">
        <v>271</v>
      </c>
      <c r="D62" s="26"/>
      <c r="E62" s="19">
        <f>E53</f>
        <v>0.27983599999999997</v>
      </c>
      <c r="F62" t="str">
        <f>"Line "&amp;A53</f>
        <v>Line 302</v>
      </c>
      <c r="H62" s="22">
        <f>E62</f>
        <v>0.27983599999999997</v>
      </c>
      <c r="I62" s="442">
        <f t="shared" ref="I62:J62" si="62">I53</f>
        <v>0.27983599999999997</v>
      </c>
      <c r="J62" s="442">
        <f t="shared" si="62"/>
        <v>0.27983599999999997</v>
      </c>
      <c r="K62" s="19" t="str">
        <f>"Line "&amp;A53</f>
        <v>Line 302</v>
      </c>
      <c r="L62" s="4">
        <f>A62</f>
        <v>307</v>
      </c>
      <c r="O62" s="19">
        <v>0.27983599999999997</v>
      </c>
      <c r="P62" s="22">
        <v>0.27983599999999997</v>
      </c>
      <c r="Q62" s="442">
        <v>0.27983599999999997</v>
      </c>
      <c r="R62" s="442">
        <v>0.27983599999999997</v>
      </c>
      <c r="T62" s="19">
        <f t="shared" si="57"/>
        <v>0</v>
      </c>
      <c r="U62" s="22">
        <f t="shared" si="58"/>
        <v>0</v>
      </c>
      <c r="V62" s="442">
        <f t="shared" si="59"/>
        <v>0</v>
      </c>
      <c r="W62" s="442">
        <f t="shared" si="60"/>
        <v>0</v>
      </c>
    </row>
    <row r="63" spans="1:23">
      <c r="A63" s="4">
        <f t="shared" si="61"/>
        <v>308</v>
      </c>
      <c r="C63" s="26" t="s">
        <v>272</v>
      </c>
      <c r="D63" s="26"/>
      <c r="E63" s="13">
        <f>'1-DRR Corrected'!E87</f>
        <v>-36465335.966528296</v>
      </c>
      <c r="F63" t="str">
        <f>CONCATENATE("1-DRR, L. ",'1-DRR Corrected'!A87,", col 1")</f>
        <v>1-DRR, L. 407, col 1</v>
      </c>
      <c r="H63" s="24">
        <f>I63+J63</f>
        <v>-34770095.501909114</v>
      </c>
      <c r="I63" s="465">
        <f>'1-DRR Corrected'!I87</f>
        <v>-17743751.020114284</v>
      </c>
      <c r="J63" s="465">
        <f>'1-DRR Corrected'!J87</f>
        <v>-17026344.48179483</v>
      </c>
      <c r="K63" t="str">
        <f>CONCATENATE("1-DRR, L. ",'1-DRR Corrected'!A87,", col 3 and col 4")</f>
        <v>1-DRR, L. 407, col 3 and col 4</v>
      </c>
      <c r="L63" s="4">
        <f>A63</f>
        <v>308</v>
      </c>
      <c r="O63" s="13">
        <v>-36694203.888277099</v>
      </c>
      <c r="P63" s="24">
        <v>-34989475.831753403</v>
      </c>
      <c r="Q63" s="465">
        <v>-17920312.581720188</v>
      </c>
      <c r="R63" s="465">
        <v>-17069163.250033211</v>
      </c>
      <c r="T63" s="13">
        <f t="shared" si="57"/>
        <v>228867.92174880207</v>
      </c>
      <c r="U63" s="24">
        <f t="shared" si="58"/>
        <v>219380.32984428853</v>
      </c>
      <c r="V63" s="465">
        <f t="shared" si="59"/>
        <v>176561.56160590425</v>
      </c>
      <c r="W63" s="465">
        <f t="shared" si="60"/>
        <v>42818.768238380551</v>
      </c>
    </row>
    <row r="64" spans="1:23">
      <c r="A64" s="4">
        <f>A63+1</f>
        <v>309</v>
      </c>
      <c r="C64" s="26" t="s">
        <v>273</v>
      </c>
      <c r="D64" s="26"/>
      <c r="E64" s="13">
        <f>'1-DRR Corrected'!E82</f>
        <v>15121514.847330647</v>
      </c>
      <c r="F64" t="str">
        <f>CONCATENATE("1-DRR, L. ",'1-DRR Corrected'!A82,", col 1")</f>
        <v>1-DRR, L. 404, col 1</v>
      </c>
      <c r="H64" s="24">
        <f>I64+J64</f>
        <v>14418529.308432423</v>
      </c>
      <c r="I64" s="465">
        <f>'1-DRR Corrected'!I82</f>
        <v>7358012.4078462254</v>
      </c>
      <c r="J64" s="465">
        <f>'1-DRR Corrected'!J82</f>
        <v>7060516.9005861972</v>
      </c>
      <c r="K64" t="str">
        <f>CONCATENATE("1-DRR, L. ",'1-DRR Corrected'!A82,", col 3 and col 4")</f>
        <v>1-DRR, L. 404, col 3 and col 4</v>
      </c>
      <c r="L64" s="4">
        <f>A64</f>
        <v>309</v>
      </c>
      <c r="O64" s="13">
        <v>15167110.241921386</v>
      </c>
      <c r="P64" s="24">
        <v>14462481.291678604</v>
      </c>
      <c r="Q64" s="465">
        <v>7407146.843250474</v>
      </c>
      <c r="R64" s="465">
        <v>7055334.4484281307</v>
      </c>
      <c r="T64" s="13">
        <f t="shared" si="57"/>
        <v>-45595.394590739161</v>
      </c>
      <c r="U64" s="24">
        <f t="shared" si="58"/>
        <v>-43951.98324618116</v>
      </c>
      <c r="V64" s="465">
        <f t="shared" si="59"/>
        <v>-49134.435404248536</v>
      </c>
      <c r="W64" s="465">
        <f t="shared" si="60"/>
        <v>5182.4521580664441</v>
      </c>
    </row>
    <row r="65" spans="1:25">
      <c r="C65" s="26"/>
      <c r="D65" s="26"/>
      <c r="E65" s="23"/>
      <c r="I65" s="23"/>
      <c r="J65" s="23"/>
      <c r="K65" s="23"/>
      <c r="L65" s="4"/>
      <c r="O65" s="23"/>
      <c r="Q65" s="23"/>
      <c r="R65" s="23"/>
      <c r="T65" s="23"/>
      <c r="V65" s="23"/>
      <c r="W65" s="23"/>
    </row>
    <row r="67" spans="1:25">
      <c r="C67" s="41" t="s">
        <v>379</v>
      </c>
      <c r="D67" s="43"/>
      <c r="E67" s="43"/>
      <c r="F67" s="43"/>
      <c r="G67" s="43"/>
      <c r="H67" s="43"/>
      <c r="I67" s="43"/>
      <c r="J67" s="43"/>
      <c r="K67" s="43"/>
      <c r="O67" s="43"/>
      <c r="P67" s="43"/>
      <c r="Q67" s="43"/>
      <c r="R67" s="43"/>
      <c r="T67" s="43"/>
      <c r="U67" s="43"/>
      <c r="V67" s="43"/>
      <c r="W67" s="43"/>
    </row>
    <row r="68" spans="1:25">
      <c r="C68" s="2" t="s">
        <v>361</v>
      </c>
    </row>
    <row r="69" spans="1:25" ht="15" customHeight="1">
      <c r="C69" s="34" t="str">
        <f>"1) Input the Annual True-up Adjustment that was included in the Prior Year's rates on Line "&amp;" and input the Rate Year the ATA trued-up. (For example,  if the Prior Year is 2021, then the ATA that was included in the 2021 rates was the ATA for 2019.)"</f>
        <v>1) Input the Annual True-up Adjustment that was included in the Prior Year's rates on Line  and input the Rate Year the ATA trued-up. (For example,  if the Prior Year is 2021, then the ATA that was included in the 2021 rates was the ATA for 2019.)</v>
      </c>
      <c r="D69" s="34"/>
      <c r="E69" s="34"/>
      <c r="F69" s="34"/>
      <c r="G69" s="34"/>
      <c r="H69" s="34"/>
      <c r="I69" s="34"/>
      <c r="J69" s="34"/>
      <c r="K69" s="34"/>
      <c r="O69" s="34"/>
      <c r="P69" s="34"/>
      <c r="Q69" s="34"/>
      <c r="R69" s="34"/>
      <c r="T69" s="34"/>
      <c r="U69" s="34"/>
      <c r="V69" s="34"/>
      <c r="W69" s="34"/>
    </row>
    <row r="70" spans="1:25">
      <c r="C70" s="34"/>
      <c r="D70" s="34"/>
      <c r="E70" s="34"/>
      <c r="F70" s="34"/>
      <c r="G70" s="34"/>
      <c r="H70" s="34"/>
      <c r="I70" s="34"/>
      <c r="J70" s="34"/>
      <c r="K70" s="34"/>
      <c r="O70" s="34"/>
      <c r="P70" s="34"/>
      <c r="Q70" s="34"/>
      <c r="R70" s="34"/>
      <c r="T70" s="34"/>
      <c r="U70" s="34"/>
      <c r="V70" s="34"/>
      <c r="W70" s="34"/>
    </row>
    <row r="71" spans="1:25">
      <c r="C71" s="33"/>
    </row>
    <row r="72" spans="1:25" ht="29">
      <c r="A72" s="3" t="s">
        <v>90</v>
      </c>
      <c r="B72" s="3"/>
      <c r="C72" s="110" t="s">
        <v>7</v>
      </c>
      <c r="D72" s="34"/>
      <c r="E72" s="110" t="s">
        <v>342</v>
      </c>
      <c r="F72" s="110" t="s">
        <v>126</v>
      </c>
      <c r="G72" s="110" t="s">
        <v>131</v>
      </c>
      <c r="H72" s="110" t="s">
        <v>132</v>
      </c>
      <c r="I72" s="110" t="s">
        <v>133</v>
      </c>
      <c r="J72" s="110" t="s">
        <v>134</v>
      </c>
      <c r="K72" s="110" t="s">
        <v>126</v>
      </c>
      <c r="L72" s="3" t="str">
        <f>A72</f>
        <v>Line</v>
      </c>
      <c r="O72" s="110" t="s">
        <v>342</v>
      </c>
      <c r="P72" s="110" t="s">
        <v>132</v>
      </c>
      <c r="Q72" s="110" t="s">
        <v>133</v>
      </c>
      <c r="R72" s="110" t="s">
        <v>134</v>
      </c>
      <c r="T72" s="110" t="s">
        <v>342</v>
      </c>
      <c r="U72" s="110" t="s">
        <v>132</v>
      </c>
      <c r="V72" s="110" t="s">
        <v>133</v>
      </c>
      <c r="W72" s="110" t="s">
        <v>134</v>
      </c>
      <c r="Y72" s="701" t="s">
        <v>1914</v>
      </c>
    </row>
    <row r="73" spans="1:25">
      <c r="C73" s="1" t="s">
        <v>275</v>
      </c>
      <c r="D73" s="1"/>
    </row>
    <row r="74" spans="1:25">
      <c r="A74" s="4">
        <v>400</v>
      </c>
      <c r="C74" t="s">
        <v>276</v>
      </c>
      <c r="E74" s="13">
        <f>'1-DRR Corrected'!E104</f>
        <v>3087054872.4997315</v>
      </c>
      <c r="F74" t="str">
        <f>CONCATENATE("1-DRR, L. ",'1-DRR Corrected'!A104,", col 1")</f>
        <v>1-DRR, L. 500, col 1</v>
      </c>
      <c r="H74" s="23">
        <f t="shared" ref="H74:H83" si="63">I74+J74</f>
        <v>3031005632.9977508</v>
      </c>
      <c r="I74" s="23">
        <f>'18-OandM'!M11</f>
        <v>2234800109.6646914</v>
      </c>
      <c r="J74" s="23">
        <f>'18-OandM'!N11</f>
        <v>796205523.33305943</v>
      </c>
      <c r="K74" t="s">
        <v>278</v>
      </c>
      <c r="L74" s="4">
        <f t="shared" ref="L74:L83" si="64">A74</f>
        <v>400</v>
      </c>
      <c r="O74" s="13">
        <v>3087054872.4997315</v>
      </c>
      <c r="P74" s="23">
        <v>3031021929.0419021</v>
      </c>
      <c r="Q74" s="23">
        <v>2235722150.0976667</v>
      </c>
      <c r="R74" s="23">
        <v>795299778.94423544</v>
      </c>
      <c r="T74" s="13">
        <f t="shared" ref="T74:T83" si="65">E74-O74</f>
        <v>0</v>
      </c>
      <c r="U74" s="23">
        <f t="shared" ref="U74:U83" si="66">H74-P74</f>
        <v>-16296.044151306152</v>
      </c>
      <c r="V74" s="23">
        <f t="shared" ref="V74:V83" si="67">I74-Q74</f>
        <v>-922040.43297529221</v>
      </c>
      <c r="W74" s="23">
        <f t="shared" ref="W74:W83" si="68">J74-R74</f>
        <v>905744.38882398605</v>
      </c>
      <c r="Y74" t="s">
        <v>1916</v>
      </c>
    </row>
    <row r="75" spans="1:25" ht="29">
      <c r="A75" s="4">
        <f>A74+1</f>
        <v>401</v>
      </c>
      <c r="C75" t="s">
        <v>279</v>
      </c>
      <c r="E75" s="13">
        <f>'1-DRR Corrected'!E105</f>
        <v>786665918.98235869</v>
      </c>
      <c r="F75" t="str">
        <f>CONCATENATE("1-DRR, L. ",'1-DRR Corrected'!A105,", col 1")</f>
        <v>1-DRR, L. 501, col 1</v>
      </c>
      <c r="H75" s="13">
        <f t="shared" si="63"/>
        <v>750094532.41348577</v>
      </c>
      <c r="I75" s="23">
        <f>E75*$I$4</f>
        <v>382785564.22035581</v>
      </c>
      <c r="J75" s="23">
        <f>E75*$J$4</f>
        <v>367308968.19313002</v>
      </c>
      <c r="K75" t="s">
        <v>281</v>
      </c>
      <c r="L75" s="4">
        <f t="shared" si="64"/>
        <v>401</v>
      </c>
      <c r="O75" s="13">
        <v>787626334.20073271</v>
      </c>
      <c r="P75" s="13">
        <v>751035031.8234694</v>
      </c>
      <c r="Q75" s="23">
        <v>384652305.01923448</v>
      </c>
      <c r="R75" s="23">
        <v>366382726.80423498</v>
      </c>
      <c r="T75" s="13">
        <f t="shared" si="65"/>
        <v>-960415.2183740139</v>
      </c>
      <c r="U75" s="13">
        <f t="shared" si="66"/>
        <v>-940499.40998363495</v>
      </c>
      <c r="V75" s="23">
        <f t="shared" si="67"/>
        <v>-1866740.7988786697</v>
      </c>
      <c r="W75" s="23">
        <f t="shared" si="68"/>
        <v>926241.38889503479</v>
      </c>
      <c r="X75" s="22"/>
      <c r="Y75" s="34" t="s">
        <v>1951</v>
      </c>
    </row>
    <row r="76" spans="1:25" ht="29">
      <c r="A76" s="4">
        <f t="shared" ref="A76:A83" si="69">A75+1</f>
        <v>402</v>
      </c>
      <c r="C76" t="s">
        <v>282</v>
      </c>
      <c r="E76" s="13">
        <f>'1-DRR Corrected'!E106</f>
        <v>1400364261.8912339</v>
      </c>
      <c r="F76" t="str">
        <f>CONCATENATE("1-DRR, L. ",'1-DRR Corrected'!A106,", col 1")</f>
        <v>1-DRR, L. 502, col 1</v>
      </c>
      <c r="H76" s="13">
        <f t="shared" si="63"/>
        <v>1299399083.280014</v>
      </c>
      <c r="I76" s="13">
        <f>'1-DRR Corrected'!I106</f>
        <v>702584885.90012896</v>
      </c>
      <c r="J76" s="13">
        <f>'1-DRR Corrected'!J106</f>
        <v>596814197.37988496</v>
      </c>
      <c r="K76" s="13" t="str">
        <f>CONCATENATE("1-DRR, L. ",'1-DRR Corrected'!A106,", col 3 and col 4")</f>
        <v>1-DRR, L. 502, col 3 and col 4</v>
      </c>
      <c r="L76" s="4">
        <f t="shared" si="64"/>
        <v>402</v>
      </c>
      <c r="O76" s="13">
        <v>1407258088.55</v>
      </c>
      <c r="P76" s="13">
        <v>1305760496.5500002</v>
      </c>
      <c r="Q76" s="13">
        <v>707882511.60975552</v>
      </c>
      <c r="R76" s="13">
        <v>597877984.94024456</v>
      </c>
      <c r="T76" s="13">
        <f t="shared" si="65"/>
        <v>-6893826.6587660313</v>
      </c>
      <c r="U76" s="13">
        <f t="shared" si="66"/>
        <v>-6361413.2699861526</v>
      </c>
      <c r="V76" s="13">
        <f t="shared" si="67"/>
        <v>-5297625.7096265554</v>
      </c>
      <c r="W76" s="13">
        <f t="shared" si="68"/>
        <v>-1063787.5603595972</v>
      </c>
      <c r="Y76" s="34" t="s">
        <v>1915</v>
      </c>
    </row>
    <row r="77" spans="1:25">
      <c r="A77" s="4">
        <f t="shared" si="69"/>
        <v>403</v>
      </c>
      <c r="C77" t="s">
        <v>285</v>
      </c>
      <c r="E77" s="13">
        <f>'1-DRR Corrected'!E107</f>
        <v>187565445.87686914</v>
      </c>
      <c r="F77" t="str">
        <f>CONCATENATE("1-DRR, L. ",'1-DRR Corrected'!A107,", col 1")</f>
        <v>1-DRR, L. 503, col 1</v>
      </c>
      <c r="H77" s="13">
        <f t="shared" si="63"/>
        <v>132048916.37292728</v>
      </c>
      <c r="I77" s="13">
        <f>'1-DRR Corrected'!I107</f>
        <v>67386731.637491912</v>
      </c>
      <c r="J77" s="13">
        <f>'1-DRR Corrected'!J107</f>
        <v>64662184.735435359</v>
      </c>
      <c r="K77" s="13" t="str">
        <f>CONCATENATE("1-DRR, L. ",'1-DRR Corrected'!A107,", col 3 and col 4")</f>
        <v>1-DRR, L. 503, col 3 and col 4</v>
      </c>
      <c r="L77" s="4">
        <f t="shared" si="64"/>
        <v>403</v>
      </c>
      <c r="O77" s="13">
        <v>187565445.87686914</v>
      </c>
      <c r="P77" s="13">
        <v>132053265.14053684</v>
      </c>
      <c r="Q77" s="13">
        <v>67632787.64546749</v>
      </c>
      <c r="R77" s="13">
        <v>64420477.495069362</v>
      </c>
      <c r="T77" s="13">
        <f t="shared" si="65"/>
        <v>0</v>
      </c>
      <c r="U77" s="13">
        <f t="shared" si="66"/>
        <v>-4348.7676095664501</v>
      </c>
      <c r="V77" s="13">
        <f t="shared" si="67"/>
        <v>-246056.00797557831</v>
      </c>
      <c r="W77" s="13">
        <f t="shared" si="68"/>
        <v>241707.24036599696</v>
      </c>
      <c r="Y77" t="s">
        <v>1916</v>
      </c>
    </row>
    <row r="78" spans="1:25" ht="58">
      <c r="A78" s="4">
        <f t="shared" si="69"/>
        <v>404</v>
      </c>
      <c r="C78" t="s">
        <v>288</v>
      </c>
      <c r="E78" s="13">
        <f>E46</f>
        <v>1270258495.6310334</v>
      </c>
      <c r="F78" t="str">
        <f>"Line "&amp;A46&amp;", col 1"</f>
        <v>Line 206, col 1</v>
      </c>
      <c r="H78" s="13">
        <f t="shared" si="63"/>
        <v>1176774665.668556</v>
      </c>
      <c r="I78" s="13">
        <f>I46</f>
        <v>621725085.37487733</v>
      </c>
      <c r="J78" s="13">
        <f>J46</f>
        <v>555049580.29367864</v>
      </c>
      <c r="K78" s="13" t="str">
        <f>"Line "&amp;A46&amp;", col 3 and col 4"</f>
        <v>Line 206, col 3 and col 4</v>
      </c>
      <c r="L78" s="4">
        <f t="shared" si="64"/>
        <v>404</v>
      </c>
      <c r="O78" s="13">
        <v>1285718622.7390544</v>
      </c>
      <c r="P78" s="13">
        <v>1189804210.90904</v>
      </c>
      <c r="Q78" s="13">
        <v>632075509.31327713</v>
      </c>
      <c r="R78" s="13">
        <v>557728701.59576273</v>
      </c>
      <c r="T78" s="13">
        <f t="shared" si="65"/>
        <v>-15460127.108021021</v>
      </c>
      <c r="U78" s="13">
        <f t="shared" si="66"/>
        <v>-13029545.240483999</v>
      </c>
      <c r="V78" s="13">
        <f t="shared" si="67"/>
        <v>-10350423.938399792</v>
      </c>
      <c r="W78" s="13">
        <f t="shared" si="68"/>
        <v>-2679121.3020840883</v>
      </c>
      <c r="Y78" s="34" t="s">
        <v>1952</v>
      </c>
    </row>
    <row r="79" spans="1:25">
      <c r="A79" s="4">
        <f t="shared" si="69"/>
        <v>405</v>
      </c>
      <c r="C79" t="s">
        <v>289</v>
      </c>
      <c r="E79" s="13">
        <f>'1-DRR Corrected'!E109</f>
        <v>283060197.76579255</v>
      </c>
      <c r="F79" t="str">
        <f>CONCATENATE("1-DRR, L. ",'1-DRR Corrected'!A109,", col 1")</f>
        <v>1-DRR, L. 505, col 1</v>
      </c>
      <c r="H79" s="13">
        <f t="shared" si="63"/>
        <v>269900985.36703277</v>
      </c>
      <c r="I79" s="13">
        <f>'1-DRR Corrected'!I109</f>
        <v>137734907.40550846</v>
      </c>
      <c r="J79" s="13">
        <f>'1-DRR Corrected'!J109</f>
        <v>132166077.96152432</v>
      </c>
      <c r="K79" s="13" t="str">
        <f>CONCATENATE("1-DRR, L. ",'1-DRR Corrected'!A109,", col 3 and col 4")</f>
        <v>1-DRR, L. 505, col 3 and col 4</v>
      </c>
      <c r="L79" s="4">
        <f t="shared" si="64"/>
        <v>405</v>
      </c>
      <c r="O79" s="13">
        <v>284620544.68418437</v>
      </c>
      <c r="P79" s="13">
        <v>271397730.81789976</v>
      </c>
      <c r="Q79" s="13">
        <v>138999857.94621706</v>
      </c>
      <c r="R79" s="13">
        <v>132397872.87168269</v>
      </c>
      <c r="T79" s="13">
        <f t="shared" si="65"/>
        <v>-1560346.9183918238</v>
      </c>
      <c r="U79" s="13">
        <f t="shared" si="66"/>
        <v>-1496745.4508669972</v>
      </c>
      <c r="V79" s="13">
        <f t="shared" si="67"/>
        <v>-1264950.5407086015</v>
      </c>
      <c r="W79" s="13">
        <f t="shared" si="68"/>
        <v>-231794.91015836596</v>
      </c>
      <c r="Y79" t="s">
        <v>1913</v>
      </c>
    </row>
    <row r="80" spans="1:25">
      <c r="A80" s="4">
        <f t="shared" si="69"/>
        <v>406</v>
      </c>
      <c r="C80" t="s">
        <v>290</v>
      </c>
      <c r="E80" s="13">
        <f>E55</f>
        <v>322894261.42167097</v>
      </c>
      <c r="F80" t="str">
        <f>"Line "&amp;A55&amp;", col 1"</f>
        <v>Line 303, col 1</v>
      </c>
      <c r="H80" s="13">
        <f t="shared" si="63"/>
        <v>297917870.41527021</v>
      </c>
      <c r="I80" s="13">
        <f t="shared" ref="I80:J80" si="70">I55</f>
        <v>158167655.19283861</v>
      </c>
      <c r="J80" s="13">
        <f t="shared" si="70"/>
        <v>139750215.2224316</v>
      </c>
      <c r="K80" s="13" t="str">
        <f>"Line "&amp;A55&amp;", col 3 and col 4"</f>
        <v>Line 303, col 3 and col 4</v>
      </c>
      <c r="L80" s="4">
        <f t="shared" si="64"/>
        <v>406</v>
      </c>
      <c r="O80" s="13">
        <v>327068831.46122277</v>
      </c>
      <c r="P80" s="13">
        <v>301401488.35970938</v>
      </c>
      <c r="Q80" s="13">
        <v>160937320.92443022</v>
      </c>
      <c r="R80" s="13">
        <v>140464167.43527916</v>
      </c>
      <c r="T80" s="13">
        <f t="shared" si="65"/>
        <v>-4174570.0395517945</v>
      </c>
      <c r="U80" s="13">
        <f t="shared" si="66"/>
        <v>-3483617.9444391727</v>
      </c>
      <c r="V80" s="13">
        <f t="shared" si="67"/>
        <v>-2769665.7315916121</v>
      </c>
      <c r="W80" s="13">
        <f t="shared" si="68"/>
        <v>-713952.21284756064</v>
      </c>
      <c r="Y80" t="s">
        <v>1918</v>
      </c>
    </row>
    <row r="81" spans="1:25">
      <c r="A81" s="4">
        <f t="shared" si="69"/>
        <v>407</v>
      </c>
      <c r="C81" t="s">
        <v>55</v>
      </c>
      <c r="E81" s="13">
        <f>'1-DRR Corrected'!E111</f>
        <v>-245369132.92999998</v>
      </c>
      <c r="F81" t="str">
        <f>CONCATENATE("1-DRR, L. ",'1-DRR Corrected'!A111,", col 1")</f>
        <v>1-DRR, L. 507, col 1</v>
      </c>
      <c r="G81" t="s">
        <v>292</v>
      </c>
      <c r="H81" s="13">
        <f t="shared" si="63"/>
        <v>-233962144.0215947</v>
      </c>
      <c r="I81" s="13">
        <f>'1-DRR Corrected'!I111</f>
        <v>-119394726.17851619</v>
      </c>
      <c r="J81" s="13">
        <f>'1-DRR Corrected'!J111</f>
        <v>-114567417.84307852</v>
      </c>
      <c r="K81" s="13" t="str">
        <f>CONCATENATE("1-DRR, L. ",'1-DRR Corrected'!A111,", col 3 and col 4")</f>
        <v>1-DRR, L. 507, col 3 and col 4</v>
      </c>
      <c r="L81" s="4">
        <f t="shared" si="64"/>
        <v>407</v>
      </c>
      <c r="O81" s="13">
        <v>-245369132.92999998</v>
      </c>
      <c r="P81" s="13">
        <v>-233969849.09802955</v>
      </c>
      <c r="Q81" s="13">
        <v>-119830684.25190759</v>
      </c>
      <c r="R81" s="13">
        <v>-114139164.84612198</v>
      </c>
      <c r="T81" s="13">
        <f t="shared" si="65"/>
        <v>0</v>
      </c>
      <c r="U81" s="13">
        <f t="shared" si="66"/>
        <v>7705.0764348506927</v>
      </c>
      <c r="V81" s="13">
        <f t="shared" si="67"/>
        <v>435958.07339139283</v>
      </c>
      <c r="W81" s="13">
        <f t="shared" si="68"/>
        <v>-428252.99695654213</v>
      </c>
      <c r="Y81" t="s">
        <v>1916</v>
      </c>
    </row>
    <row r="82" spans="1:25">
      <c r="A82" s="4">
        <f t="shared" si="69"/>
        <v>408</v>
      </c>
      <c r="C82" t="s">
        <v>294</v>
      </c>
      <c r="E82" s="14">
        <f>'1-DRR Corrected'!E112</f>
        <v>0</v>
      </c>
      <c r="F82" t="str">
        <f>CONCATENATE("1-DRR, L. ",'1-DRR Corrected'!A112,", col 1")</f>
        <v>1-DRR, L. 508, col 1</v>
      </c>
      <c r="H82" s="14">
        <f t="shared" si="63"/>
        <v>0</v>
      </c>
      <c r="I82" s="14">
        <f>'1-DRR Corrected'!I112</f>
        <v>0</v>
      </c>
      <c r="J82" s="14">
        <f>'1-DRR Corrected'!J112</f>
        <v>0</v>
      </c>
      <c r="K82" s="13" t="str">
        <f>CONCATENATE("1-DRR, L. ",'1-DRR Corrected'!A112,", col 3 and col 4")</f>
        <v>1-DRR, L. 508, col 3 and col 4</v>
      </c>
      <c r="L82" s="4">
        <f t="shared" si="64"/>
        <v>408</v>
      </c>
      <c r="O82" s="14">
        <v>0</v>
      </c>
      <c r="P82" s="14">
        <v>0</v>
      </c>
      <c r="Q82" s="14">
        <v>0</v>
      </c>
      <c r="R82" s="14">
        <v>0</v>
      </c>
      <c r="T82" s="14">
        <f t="shared" si="65"/>
        <v>0</v>
      </c>
      <c r="U82" s="14">
        <f t="shared" si="66"/>
        <v>0</v>
      </c>
      <c r="V82" s="14">
        <f t="shared" si="67"/>
        <v>0</v>
      </c>
      <c r="W82" s="14">
        <f t="shared" si="68"/>
        <v>0</v>
      </c>
    </row>
    <row r="83" spans="1:25">
      <c r="A83" s="4">
        <f t="shared" si="69"/>
        <v>409</v>
      </c>
      <c r="C83" s="2" t="s">
        <v>380</v>
      </c>
      <c r="D83" s="2"/>
      <c r="E83" s="15">
        <f>SUM(E74:E82)</f>
        <v>7092494321.138689</v>
      </c>
      <c r="F83" t="str">
        <f>"Sum Lines "&amp;A74&amp;" to "&amp;A82&amp;""</f>
        <v>Sum Lines 400 to 408</v>
      </c>
      <c r="H83" s="15">
        <f t="shared" si="63"/>
        <v>6723179542.4934416</v>
      </c>
      <c r="I83" s="15">
        <f t="shared" ref="I83:J83" si="71">SUM(I74:I82)</f>
        <v>4185790213.2173758</v>
      </c>
      <c r="J83" s="15">
        <f t="shared" si="71"/>
        <v>2537389329.2760658</v>
      </c>
      <c r="K83" t="str">
        <f>"Sum Lines "&amp;A74&amp;" to "&amp;A82&amp;""</f>
        <v>Sum Lines 400 to 408</v>
      </c>
      <c r="L83" s="4">
        <f t="shared" si="64"/>
        <v>409</v>
      </c>
      <c r="O83" s="15">
        <v>7121543607.0817947</v>
      </c>
      <c r="P83" s="15">
        <v>6748504303.544528</v>
      </c>
      <c r="Q83" s="15">
        <v>4208071758.304141</v>
      </c>
      <c r="R83" s="15">
        <v>2540432545.240387</v>
      </c>
      <c r="T83" s="15">
        <f t="shared" si="65"/>
        <v>-29049285.943105698</v>
      </c>
      <c r="U83" s="15">
        <f t="shared" si="66"/>
        <v>-25324761.051086426</v>
      </c>
      <c r="V83" s="15">
        <f t="shared" si="67"/>
        <v>-22281545.086765289</v>
      </c>
      <c r="W83" s="15">
        <f t="shared" si="68"/>
        <v>-3043215.9643211365</v>
      </c>
    </row>
    <row r="84" spans="1:25">
      <c r="L84" s="4"/>
    </row>
    <row r="85" spans="1:25">
      <c r="C85" s="1" t="s">
        <v>298</v>
      </c>
      <c r="D85" s="1"/>
    </row>
    <row r="86" spans="1:25">
      <c r="A86" s="4">
        <f>A83+1</f>
        <v>410</v>
      </c>
      <c r="C86" t="s">
        <v>299</v>
      </c>
      <c r="E86" s="10">
        <f>'1-DRR Corrected'!E116</f>
        <v>7.4569999999999992E-3</v>
      </c>
      <c r="F86" t="str">
        <f>CONCATENATE("1-DRR, L. ",'1-DRR Corrected'!A116)</f>
        <v>1-DRR, L. 510</v>
      </c>
      <c r="H86" s="10">
        <f>E86</f>
        <v>7.4569999999999992E-3</v>
      </c>
      <c r="I86" s="10">
        <f>E86</f>
        <v>7.4569999999999992E-3</v>
      </c>
      <c r="J86" s="10">
        <f>E86</f>
        <v>7.4569999999999992E-3</v>
      </c>
      <c r="K86" s="20" t="s">
        <v>381</v>
      </c>
      <c r="L86" s="4">
        <f>A86</f>
        <v>410</v>
      </c>
      <c r="O86" s="10">
        <v>7.4569999999999992E-3</v>
      </c>
      <c r="P86" s="10">
        <v>7.4569999999999992E-3</v>
      </c>
      <c r="Q86" s="10">
        <v>7.4569999999999992E-3</v>
      </c>
      <c r="R86" s="10">
        <v>7.4569999999999992E-3</v>
      </c>
      <c r="T86" s="10">
        <f t="shared" ref="T86:T88" si="72">E86-O86</f>
        <v>0</v>
      </c>
      <c r="U86" s="10">
        <f t="shared" ref="U86:U88" si="73">H86-P86</f>
        <v>0</v>
      </c>
      <c r="V86" s="10">
        <f t="shared" ref="V86:V88" si="74">I86-Q86</f>
        <v>0</v>
      </c>
      <c r="W86" s="10">
        <f t="shared" ref="W86:W88" si="75">J86-R86</f>
        <v>0</v>
      </c>
    </row>
    <row r="87" spans="1:25">
      <c r="A87" s="4">
        <f>A86+1</f>
        <v>411</v>
      </c>
      <c r="C87" t="s">
        <v>302</v>
      </c>
      <c r="D87" s="2"/>
      <c r="E87" s="31">
        <f>'1-DRR Corrected'!E117</f>
        <v>2.7300000000000002E-4</v>
      </c>
      <c r="F87" t="str">
        <f>CONCATENATE("1-DRR, L. ",'1-DRR Corrected'!A117)</f>
        <v>1-DRR, L. 511</v>
      </c>
      <c r="H87" s="31">
        <f>E87</f>
        <v>2.7300000000000002E-4</v>
      </c>
      <c r="I87" s="31">
        <f>E87</f>
        <v>2.7300000000000002E-4</v>
      </c>
      <c r="J87" s="31">
        <f>E87</f>
        <v>2.7300000000000002E-4</v>
      </c>
      <c r="K87" s="20" t="s">
        <v>382</v>
      </c>
      <c r="L87" s="4">
        <f>A87</f>
        <v>411</v>
      </c>
      <c r="O87" s="31">
        <v>2.7300000000000002E-4</v>
      </c>
      <c r="P87" s="31">
        <v>2.7300000000000002E-4</v>
      </c>
      <c r="Q87" s="31">
        <v>2.7300000000000002E-4</v>
      </c>
      <c r="R87" s="31">
        <v>2.7300000000000002E-4</v>
      </c>
      <c r="T87" s="31">
        <f t="shared" si="72"/>
        <v>0</v>
      </c>
      <c r="U87" s="31">
        <f t="shared" si="73"/>
        <v>0</v>
      </c>
      <c r="V87" s="31">
        <f t="shared" si="74"/>
        <v>0</v>
      </c>
      <c r="W87" s="31">
        <f t="shared" si="75"/>
        <v>0</v>
      </c>
    </row>
    <row r="88" spans="1:25" ht="29">
      <c r="A88" s="4">
        <f>A87+1</f>
        <v>412</v>
      </c>
      <c r="C88" s="2" t="s">
        <v>305</v>
      </c>
      <c r="D88" s="2"/>
      <c r="E88" s="15">
        <f>(E86+E87)*E83</f>
        <v>54824981.102402061</v>
      </c>
      <c r="F88" s="8" t="str">
        <f>"Line "&amp;A83&amp;" * ( Line "&amp;A86&amp;" + Line "&amp;A87&amp;")"</f>
        <v>Line 409 * ( Line 410 + Line 411)</v>
      </c>
      <c r="H88" s="15">
        <f>I88+J88</f>
        <v>51970177.863474295</v>
      </c>
      <c r="I88" s="15">
        <f t="shared" ref="I88:J88" si="76">(I86+I87)*I83</f>
        <v>32356158.34817031</v>
      </c>
      <c r="J88" s="15">
        <f t="shared" si="76"/>
        <v>19614019.515303988</v>
      </c>
      <c r="K88" s="465" t="str">
        <f>"Line "&amp;A83&amp;" * ( Line "&amp;A86&amp;" + Line "&amp;A87&amp;")"</f>
        <v>Line 409 * ( Line 410 + Line 411)</v>
      </c>
      <c r="L88" s="4">
        <f>A88</f>
        <v>412</v>
      </c>
      <c r="O88" s="15">
        <v>55049532.082742266</v>
      </c>
      <c r="P88" s="15">
        <v>52165938.266399197</v>
      </c>
      <c r="Q88" s="15">
        <v>32528394.691691007</v>
      </c>
      <c r="R88" s="15">
        <v>19637543.57470819</v>
      </c>
      <c r="T88" s="15">
        <f t="shared" si="72"/>
        <v>-224550.98034020513</v>
      </c>
      <c r="U88" s="15">
        <f t="shared" si="73"/>
        <v>-195760.40292490274</v>
      </c>
      <c r="V88" s="15">
        <f t="shared" si="74"/>
        <v>-172236.34352069721</v>
      </c>
      <c r="W88" s="15">
        <f t="shared" si="75"/>
        <v>-23524.059404201806</v>
      </c>
      <c r="Y88" s="34" t="s">
        <v>1919</v>
      </c>
    </row>
    <row r="89" spans="1:25">
      <c r="C89" s="2"/>
      <c r="D89" s="2"/>
      <c r="E89" s="13"/>
      <c r="H89" s="13"/>
      <c r="I89" s="13"/>
      <c r="J89" s="13"/>
      <c r="K89" s="13"/>
      <c r="L89" s="4"/>
      <c r="O89" s="13"/>
      <c r="P89" s="13"/>
      <c r="Q89" s="13"/>
      <c r="R89" s="13"/>
      <c r="T89" s="13"/>
      <c r="U89" s="13"/>
      <c r="V89" s="13"/>
      <c r="W89" s="13"/>
    </row>
    <row r="90" spans="1:25">
      <c r="A90" s="4">
        <f>A88+1</f>
        <v>413</v>
      </c>
      <c r="C90" s="2" t="s">
        <v>383</v>
      </c>
      <c r="D90" s="2"/>
      <c r="E90" s="15">
        <f>E88+E83</f>
        <v>7147319302.2410908</v>
      </c>
      <c r="F90" t="str">
        <f>"Line "&amp;A83&amp;" + Line "&amp;A88&amp;""</f>
        <v>Line 409 + Line 412</v>
      </c>
      <c r="H90" s="15">
        <f>I90+J90</f>
        <v>6775149720.3569164</v>
      </c>
      <c r="I90" s="15">
        <f t="shared" ref="I90:J90" si="77">I88+I83</f>
        <v>4218146371.565546</v>
      </c>
      <c r="J90" s="15">
        <f t="shared" si="77"/>
        <v>2557003348.7913699</v>
      </c>
      <c r="K90" s="465" t="str">
        <f>"Line "&amp;A83&amp;" + Line "&amp;A88&amp;""</f>
        <v>Line 409 + Line 412</v>
      </c>
      <c r="L90" s="4">
        <f t="shared" ref="L90" si="78">A90</f>
        <v>413</v>
      </c>
      <c r="O90" s="15">
        <v>7176593139.1645374</v>
      </c>
      <c r="P90" s="15">
        <v>6800670241.8109264</v>
      </c>
      <c r="Q90" s="15">
        <v>4240600152.995832</v>
      </c>
      <c r="R90" s="15">
        <v>2560070088.8150949</v>
      </c>
      <c r="T90" s="15">
        <f t="shared" ref="T90" si="79">E90-O90</f>
        <v>-29273836.923446655</v>
      </c>
      <c r="U90" s="15">
        <f t="shared" ref="U90" si="80">H90-P90</f>
        <v>-25520521.45401001</v>
      </c>
      <c r="V90" s="15">
        <f t="shared" ref="V90" si="81">I90-Q90</f>
        <v>-22453781.430285931</v>
      </c>
      <c r="W90" s="15">
        <f t="shared" ref="W90" si="82">J90-R90</f>
        <v>-3066740.0237250328</v>
      </c>
    </row>
    <row r="91" spans="1:25">
      <c r="C91" s="7"/>
    </row>
    <row r="92" spans="1:25">
      <c r="E92" s="32"/>
      <c r="F92" s="32"/>
      <c r="G92" s="32"/>
      <c r="H92" s="32"/>
      <c r="O92" s="32"/>
      <c r="P92" s="32"/>
      <c r="T92" s="32"/>
      <c r="U92" s="32"/>
    </row>
    <row r="94" spans="1:25">
      <c r="E94" s="27"/>
      <c r="F94" s="27"/>
      <c r="G94" s="27"/>
      <c r="H94" s="27"/>
      <c r="O94" s="27"/>
      <c r="P94" s="27"/>
      <c r="T94" s="27"/>
      <c r="U94" s="27"/>
    </row>
  </sheetData>
  <phoneticPr fontId="104" type="noConversion"/>
  <printOptions horizontalCentered="1"/>
  <pageMargins left="1" right="1" top="1" bottom="1" header="0.5" footer="0.5"/>
  <pageSetup scale="20" orientation="landscape" r:id="rId1"/>
  <headerFooter>
    <oddHeader>&amp;RDocket No. ER20-2878-000, et al.- Annual Update RY2024
&amp;F</oddHeader>
  </headerFooter>
  <rowBreaks count="1" manualBreakCount="1">
    <brk id="47" max="24" man="1"/>
  </rowBreaks>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3C776-F6BE-48C5-B46E-5C0F31B55CCD}">
  <sheetPr>
    <tabColor rgb="FFFF0000"/>
    <pageSetUpPr fitToPage="1"/>
  </sheetPr>
  <dimension ref="A1:O94"/>
  <sheetViews>
    <sheetView view="pageBreakPreview" topLeftCell="A14" zoomScale="25" zoomScaleNormal="85" zoomScaleSheetLayoutView="25" zoomScalePageLayoutView="70" workbookViewId="0">
      <selection activeCell="W98" sqref="W98"/>
    </sheetView>
  </sheetViews>
  <sheetFormatPr defaultColWidth="9.1796875" defaultRowHeight="14.5"/>
  <cols>
    <col min="1" max="1" width="6" style="4" bestFit="1" customWidth="1"/>
    <col min="2" max="2" width="2.1796875" style="4" bestFit="1" customWidth="1"/>
    <col min="3" max="3" width="73.453125" bestFit="1" customWidth="1"/>
    <col min="4" max="4" width="4.54296875" customWidth="1"/>
    <col min="5" max="5" width="22.54296875" bestFit="1" customWidth="1"/>
    <col min="6" max="6" width="45.26953125" bestFit="1" customWidth="1"/>
    <col min="7" max="7" width="22.26953125" bestFit="1" customWidth="1"/>
    <col min="8" max="8" width="22.26953125" customWidth="1"/>
    <col min="9" max="10" width="22.1796875" bestFit="1" customWidth="1"/>
    <col min="11" max="11" width="38.26953125" bestFit="1" customWidth="1"/>
    <col min="12" max="12" width="4.54296875" bestFit="1" customWidth="1"/>
    <col min="13" max="13" width="2.1796875" customWidth="1"/>
    <col min="15" max="15" width="15.26953125" bestFit="1" customWidth="1"/>
  </cols>
  <sheetData>
    <row r="1" spans="1:12">
      <c r="C1" s="5" t="s">
        <v>11</v>
      </c>
      <c r="I1" s="6"/>
      <c r="K1" s="6" t="s">
        <v>384</v>
      </c>
    </row>
    <row r="2" spans="1:12">
      <c r="C2" s="35" t="s">
        <v>120</v>
      </c>
      <c r="I2" s="6"/>
    </row>
    <row r="3" spans="1:12">
      <c r="A3" s="3" t="s">
        <v>90</v>
      </c>
      <c r="B3" s="3"/>
      <c r="E3" s="3" t="s">
        <v>122</v>
      </c>
      <c r="H3" s="3" t="s">
        <v>123</v>
      </c>
      <c r="I3" s="3" t="s">
        <v>124</v>
      </c>
      <c r="J3" s="3" t="s">
        <v>125</v>
      </c>
      <c r="K3" s="3" t="s">
        <v>126</v>
      </c>
      <c r="L3" s="3"/>
    </row>
    <row r="4" spans="1:12">
      <c r="A4" s="4">
        <v>1</v>
      </c>
      <c r="B4" s="3"/>
      <c r="E4" s="3"/>
      <c r="H4" s="4" t="s">
        <v>127</v>
      </c>
      <c r="I4" s="440">
        <v>0.4883690251540051</v>
      </c>
      <c r="J4" s="440">
        <v>0.46517328191677687</v>
      </c>
      <c r="K4" s="34" t="s">
        <v>128</v>
      </c>
      <c r="L4" s="3">
        <v>1</v>
      </c>
    </row>
    <row r="5" spans="1:12">
      <c r="C5" s="41" t="s">
        <v>129</v>
      </c>
      <c r="D5" s="42"/>
      <c r="E5" s="43"/>
      <c r="F5" s="43"/>
      <c r="G5" s="43"/>
      <c r="H5" s="43"/>
      <c r="I5" s="43"/>
      <c r="J5" s="43"/>
      <c r="K5" s="43"/>
    </row>
    <row r="6" spans="1:12" ht="29">
      <c r="A6" s="3" t="s">
        <v>90</v>
      </c>
      <c r="B6" s="3"/>
      <c r="C6" s="110" t="s">
        <v>7</v>
      </c>
      <c r="D6" s="34"/>
      <c r="E6" s="110" t="s">
        <v>342</v>
      </c>
      <c r="F6" s="110" t="s">
        <v>126</v>
      </c>
      <c r="G6" s="110" t="s">
        <v>131</v>
      </c>
      <c r="H6" s="110" t="s">
        <v>132</v>
      </c>
      <c r="I6" s="110" t="s">
        <v>133</v>
      </c>
      <c r="J6" s="110" t="s">
        <v>134</v>
      </c>
      <c r="K6" s="110" t="s">
        <v>126</v>
      </c>
      <c r="L6" s="3" t="s">
        <v>90</v>
      </c>
    </row>
    <row r="7" spans="1:12">
      <c r="A7"/>
      <c r="B7"/>
      <c r="C7" s="1" t="s">
        <v>135</v>
      </c>
      <c r="D7" s="1"/>
    </row>
    <row r="8" spans="1:12">
      <c r="A8" s="4">
        <v>100</v>
      </c>
      <c r="C8" t="s">
        <v>136</v>
      </c>
      <c r="E8" s="23">
        <v>36082140825.14077</v>
      </c>
      <c r="F8" t="s">
        <v>343</v>
      </c>
      <c r="G8" t="s">
        <v>344</v>
      </c>
      <c r="H8" s="13">
        <v>34422039214.931541</v>
      </c>
      <c r="I8" s="23">
        <v>17736613836.474236</v>
      </c>
      <c r="J8" s="23">
        <v>16685425378.457308</v>
      </c>
      <c r="K8" t="s">
        <v>345</v>
      </c>
      <c r="L8" s="4">
        <v>100</v>
      </c>
    </row>
    <row r="9" spans="1:12">
      <c r="A9" s="4">
        <v>101</v>
      </c>
      <c r="C9" t="s">
        <v>140</v>
      </c>
      <c r="E9" s="40">
        <v>2889991282.3299999</v>
      </c>
      <c r="F9" s="33" t="s">
        <v>141</v>
      </c>
      <c r="G9" t="s">
        <v>346</v>
      </c>
      <c r="H9" s="13">
        <v>2054428702.2544446</v>
      </c>
      <c r="I9" s="23">
        <v>1052202230.7017931</v>
      </c>
      <c r="J9" s="23">
        <v>1002226471.5526516</v>
      </c>
      <c r="K9" t="s">
        <v>347</v>
      </c>
      <c r="L9" s="4">
        <v>101</v>
      </c>
    </row>
    <row r="10" spans="1:12">
      <c r="A10" s="4">
        <v>102</v>
      </c>
      <c r="C10" s="2" t="s">
        <v>143</v>
      </c>
      <c r="D10" s="2"/>
      <c r="E10" s="654">
        <v>38972132107.470772</v>
      </c>
      <c r="F10" s="33" t="s">
        <v>306</v>
      </c>
      <c r="H10" s="444">
        <v>36476467917.185989</v>
      </c>
      <c r="I10" s="654">
        <v>18788816067.176029</v>
      </c>
      <c r="J10" s="654">
        <v>17687651850.00996</v>
      </c>
      <c r="K10" s="443"/>
      <c r="L10" s="4">
        <v>102</v>
      </c>
    </row>
    <row r="11" spans="1:12">
      <c r="H11" s="24"/>
    </row>
    <row r="12" spans="1:12">
      <c r="C12" s="1" t="s">
        <v>144</v>
      </c>
      <c r="D12" s="1"/>
      <c r="H12" s="24"/>
    </row>
    <row r="13" spans="1:12">
      <c r="A13" s="4">
        <v>103</v>
      </c>
      <c r="C13" t="s">
        <v>145</v>
      </c>
      <c r="E13" s="23">
        <v>237891080.13564813</v>
      </c>
      <c r="F13" t="s">
        <v>348</v>
      </c>
      <c r="G13" t="s">
        <v>344</v>
      </c>
      <c r="H13" s="13">
        <v>226839209.38410619</v>
      </c>
      <c r="I13" s="23">
        <v>116178634.89867978</v>
      </c>
      <c r="J13" s="23">
        <v>110660574.48542641</v>
      </c>
      <c r="K13" t="s">
        <v>147</v>
      </c>
      <c r="L13" s="4">
        <v>103</v>
      </c>
    </row>
    <row r="14" spans="1:12">
      <c r="A14" s="4">
        <v>104</v>
      </c>
      <c r="C14" t="s">
        <v>148</v>
      </c>
      <c r="E14" s="23">
        <v>210294289</v>
      </c>
      <c r="F14" t="s">
        <v>349</v>
      </c>
      <c r="G14" t="s">
        <v>344</v>
      </c>
      <c r="H14" s="13">
        <v>200524501.49686977</v>
      </c>
      <c r="I14" s="23">
        <v>102701216.91438462</v>
      </c>
      <c r="J14" s="23">
        <v>97823284.582485154</v>
      </c>
      <c r="K14" t="s">
        <v>150</v>
      </c>
      <c r="L14" s="4">
        <v>104</v>
      </c>
    </row>
    <row r="15" spans="1:12">
      <c r="A15" s="4">
        <v>105</v>
      </c>
      <c r="C15" t="s">
        <v>151</v>
      </c>
      <c r="E15" s="17">
        <v>484335150.83755803</v>
      </c>
      <c r="F15" t="s">
        <v>385</v>
      </c>
      <c r="H15" s="14">
        <v>461834057.12512028</v>
      </c>
      <c r="I15" s="17">
        <v>236534285.46235624</v>
      </c>
      <c r="J15" s="17">
        <v>225299771.66276404</v>
      </c>
      <c r="K15" t="s">
        <v>152</v>
      </c>
      <c r="L15" s="4">
        <v>105</v>
      </c>
    </row>
    <row r="16" spans="1:12">
      <c r="A16" s="4">
        <v>106</v>
      </c>
      <c r="C16" s="2" t="s">
        <v>153</v>
      </c>
      <c r="D16" s="2"/>
      <c r="E16" s="51">
        <v>932520519.97320616</v>
      </c>
      <c r="F16" s="33" t="s">
        <v>308</v>
      </c>
      <c r="H16" s="15">
        <v>889197768.00609624</v>
      </c>
      <c r="I16" s="51">
        <v>455414137.27542067</v>
      </c>
      <c r="J16" s="51">
        <v>433783630.73067558</v>
      </c>
      <c r="K16" s="33" t="s">
        <v>308</v>
      </c>
      <c r="L16" s="4">
        <v>106</v>
      </c>
    </row>
    <row r="17" spans="1:13">
      <c r="H17" s="24"/>
    </row>
    <row r="18" spans="1:13">
      <c r="C18" s="1" t="s">
        <v>154</v>
      </c>
      <c r="D18" s="1"/>
      <c r="H18" s="24"/>
    </row>
    <row r="19" spans="1:13">
      <c r="A19" s="4">
        <v>107</v>
      </c>
      <c r="C19" t="s">
        <v>155</v>
      </c>
      <c r="E19" s="23">
        <v>-15635284930.61692</v>
      </c>
      <c r="F19" t="s">
        <v>350</v>
      </c>
      <c r="G19" t="s">
        <v>351</v>
      </c>
      <c r="H19" s="13">
        <v>-15044938512.662308</v>
      </c>
      <c r="I19" s="23">
        <v>-7482562988.0022888</v>
      </c>
      <c r="J19" s="23">
        <v>-7562375524.6600189</v>
      </c>
      <c r="K19" t="s">
        <v>352</v>
      </c>
      <c r="L19" s="4">
        <v>107</v>
      </c>
    </row>
    <row r="20" spans="1:13">
      <c r="A20" s="4">
        <v>108</v>
      </c>
      <c r="C20" t="s">
        <v>159</v>
      </c>
      <c r="E20" s="40">
        <v>-1102476559</v>
      </c>
      <c r="F20" s="33" t="s">
        <v>160</v>
      </c>
      <c r="G20" t="s">
        <v>353</v>
      </c>
      <c r="H20" s="13">
        <v>-755789339.14520204</v>
      </c>
      <c r="I20" s="274">
        <v>-387087285.00363564</v>
      </c>
      <c r="J20" s="274">
        <v>-368702054.1415664</v>
      </c>
      <c r="K20" t="s">
        <v>354</v>
      </c>
      <c r="L20" s="4">
        <v>108</v>
      </c>
    </row>
    <row r="21" spans="1:13">
      <c r="A21" s="4">
        <v>109</v>
      </c>
      <c r="C21" s="2" t="s">
        <v>162</v>
      </c>
      <c r="D21" s="2"/>
      <c r="E21" s="654">
        <v>-16737761489.61692</v>
      </c>
      <c r="F21" s="33" t="s">
        <v>309</v>
      </c>
      <c r="H21" s="444">
        <v>-15800727851.80751</v>
      </c>
      <c r="I21" s="654">
        <v>-7869650273.0059242</v>
      </c>
      <c r="J21" s="654">
        <v>-7931077578.8015852</v>
      </c>
      <c r="K21" t="s">
        <v>309</v>
      </c>
      <c r="L21" s="4">
        <v>109</v>
      </c>
    </row>
    <row r="22" spans="1:13">
      <c r="H22" s="24"/>
    </row>
    <row r="23" spans="1:13">
      <c r="A23" s="4">
        <v>110</v>
      </c>
      <c r="B23" s="4" t="s">
        <v>163</v>
      </c>
      <c r="C23" s="5" t="s">
        <v>164</v>
      </c>
      <c r="D23" s="5"/>
      <c r="E23" s="23">
        <v>-2902758429.1305637</v>
      </c>
      <c r="F23" t="s">
        <v>355</v>
      </c>
      <c r="G23" t="s">
        <v>356</v>
      </c>
      <c r="H23" s="13">
        <v>-2767902969.3823166</v>
      </c>
      <c r="I23" s="23">
        <v>-1417617304.2920647</v>
      </c>
      <c r="J23" s="23">
        <v>-1350285665.0902522</v>
      </c>
      <c r="K23" t="s">
        <v>166</v>
      </c>
      <c r="L23" s="4">
        <v>110</v>
      </c>
      <c r="M23" t="s">
        <v>163</v>
      </c>
    </row>
    <row r="24" spans="1:13">
      <c r="A24" s="4">
        <v>110</v>
      </c>
      <c r="B24" s="4" t="s">
        <v>167</v>
      </c>
      <c r="C24" s="5" t="s">
        <v>168</v>
      </c>
      <c r="D24" s="5"/>
      <c r="E24" s="17">
        <v>-1460895743.2049639</v>
      </c>
      <c r="F24" t="s">
        <v>357</v>
      </c>
      <c r="G24" t="s">
        <v>356</v>
      </c>
      <c r="H24" s="14">
        <v>-1393025897.365546</v>
      </c>
      <c r="I24" s="17">
        <v>-713456229.96064401</v>
      </c>
      <c r="J24" s="17">
        <v>-679569667.40490198</v>
      </c>
      <c r="K24" t="s">
        <v>170</v>
      </c>
      <c r="L24" s="4">
        <v>110</v>
      </c>
      <c r="M24" t="s">
        <v>167</v>
      </c>
    </row>
    <row r="25" spans="1:13">
      <c r="A25" s="4">
        <v>110</v>
      </c>
      <c r="B25" s="4" t="s">
        <v>171</v>
      </c>
      <c r="C25" s="5" t="s">
        <v>358</v>
      </c>
      <c r="D25" s="5"/>
      <c r="E25" s="51">
        <v>-4363654172.3355274</v>
      </c>
      <c r="F25" t="s">
        <v>310</v>
      </c>
      <c r="G25" t="s">
        <v>356</v>
      </c>
      <c r="H25" s="15">
        <v>-4160928866.7478628</v>
      </c>
      <c r="I25" s="51">
        <v>-2131073534.2527087</v>
      </c>
      <c r="J25" s="51">
        <v>-2029855332.4951541</v>
      </c>
      <c r="K25" t="s">
        <v>310</v>
      </c>
      <c r="L25" s="4">
        <v>110</v>
      </c>
      <c r="M25" t="s">
        <v>171</v>
      </c>
    </row>
    <row r="26" spans="1:13">
      <c r="A26" s="4">
        <v>111</v>
      </c>
      <c r="C26" s="105" t="s">
        <v>173</v>
      </c>
      <c r="D26" s="2"/>
      <c r="E26" s="23">
        <v>-124034270.15149625</v>
      </c>
      <c r="F26" s="8" t="s">
        <v>359</v>
      </c>
      <c r="G26" t="s">
        <v>344</v>
      </c>
      <c r="H26" s="13">
        <v>-118271924.11609837</v>
      </c>
      <c r="I26" s="23">
        <v>-60574495.599574737</v>
      </c>
      <c r="J26" s="23">
        <v>-57697428.516523629</v>
      </c>
      <c r="K26" t="s">
        <v>175</v>
      </c>
      <c r="L26" s="4">
        <v>111</v>
      </c>
    </row>
    <row r="27" spans="1:13">
      <c r="A27" s="4">
        <v>112</v>
      </c>
      <c r="C27" s="2" t="s">
        <v>176</v>
      </c>
      <c r="D27" s="2"/>
      <c r="E27" s="17">
        <v>0</v>
      </c>
      <c r="F27" t="s">
        <v>360</v>
      </c>
      <c r="G27" t="s">
        <v>346</v>
      </c>
      <c r="H27" s="14">
        <v>0</v>
      </c>
      <c r="I27" s="17">
        <v>0</v>
      </c>
      <c r="J27" s="17">
        <v>0</v>
      </c>
      <c r="K27" t="s">
        <v>178</v>
      </c>
      <c r="L27" s="4">
        <v>112</v>
      </c>
    </row>
    <row r="28" spans="1:13">
      <c r="E28" s="51"/>
      <c r="H28" s="13"/>
      <c r="I28" s="51"/>
      <c r="J28" s="51"/>
      <c r="L28" s="4"/>
    </row>
    <row r="29" spans="1:13" ht="29">
      <c r="A29" s="4">
        <v>113</v>
      </c>
      <c r="C29" s="2" t="s">
        <v>179</v>
      </c>
      <c r="D29" s="2"/>
      <c r="E29" s="51">
        <v>18679202695.340034</v>
      </c>
      <c r="F29" t="s">
        <v>311</v>
      </c>
      <c r="H29" s="15">
        <v>17285737042.520615</v>
      </c>
      <c r="I29" s="51">
        <v>9182931901.5932426</v>
      </c>
      <c r="J29" s="51">
        <v>8102805140.927371</v>
      </c>
      <c r="K29" s="34" t="s">
        <v>311</v>
      </c>
      <c r="L29" s="4">
        <v>113</v>
      </c>
    </row>
    <row r="30" spans="1:13">
      <c r="E30" s="8"/>
      <c r="I30" s="8"/>
      <c r="J30" s="8"/>
      <c r="K30" s="8"/>
      <c r="L30" s="4"/>
    </row>
    <row r="31" spans="1:13">
      <c r="C31" s="41" t="s">
        <v>180</v>
      </c>
      <c r="D31" s="43"/>
      <c r="E31" s="43"/>
      <c r="F31" s="43"/>
      <c r="G31" s="43"/>
      <c r="H31" s="43"/>
      <c r="I31" s="43"/>
      <c r="J31" s="43"/>
      <c r="K31" s="43"/>
    </row>
    <row r="32" spans="1:13">
      <c r="C32" s="2" t="s">
        <v>361</v>
      </c>
    </row>
    <row r="33" spans="1:15">
      <c r="C33" t="s">
        <v>362</v>
      </c>
      <c r="E33" s="3"/>
      <c r="H33" s="3"/>
      <c r="I33" s="3"/>
      <c r="J33" s="3"/>
    </row>
    <row r="34" spans="1:15">
      <c r="C34" s="5"/>
      <c r="H34" s="4"/>
      <c r="I34" s="440"/>
      <c r="J34" s="440"/>
    </row>
    <row r="35" spans="1:15" ht="29">
      <c r="A35" s="3" t="s">
        <v>90</v>
      </c>
      <c r="B35" s="3"/>
      <c r="C35" s="110" t="s">
        <v>7</v>
      </c>
      <c r="D35" s="34"/>
      <c r="E35" s="110" t="s">
        <v>342</v>
      </c>
      <c r="F35" s="110" t="s">
        <v>126</v>
      </c>
      <c r="G35" s="110" t="s">
        <v>131</v>
      </c>
      <c r="H35" s="110" t="s">
        <v>132</v>
      </c>
      <c r="I35" s="110" t="s">
        <v>133</v>
      </c>
      <c r="J35" s="110" t="s">
        <v>134</v>
      </c>
      <c r="K35" s="110" t="s">
        <v>126</v>
      </c>
      <c r="L35" s="3" t="s">
        <v>90</v>
      </c>
    </row>
    <row r="36" spans="1:15" ht="77.25" customHeight="1">
      <c r="A36" s="4">
        <v>200</v>
      </c>
      <c r="C36" t="s">
        <v>363</v>
      </c>
      <c r="E36" s="39">
        <v>0.10249999999999999</v>
      </c>
      <c r="F36" s="38" t="s">
        <v>386</v>
      </c>
      <c r="G36" s="34" t="s">
        <v>364</v>
      </c>
      <c r="H36" s="464">
        <v>0.10249999999999999</v>
      </c>
      <c r="I36" s="20">
        <v>0.10249999999999999</v>
      </c>
      <c r="J36" s="20">
        <v>0.10249999999999999</v>
      </c>
      <c r="K36" s="20" t="s">
        <v>365</v>
      </c>
      <c r="L36" s="4">
        <v>200</v>
      </c>
    </row>
    <row r="37" spans="1:15">
      <c r="C37" s="5"/>
    </row>
    <row r="38" spans="1:15">
      <c r="C38" s="1" t="s">
        <v>199</v>
      </c>
      <c r="D38" s="1"/>
    </row>
    <row r="39" spans="1:15">
      <c r="A39" s="4">
        <v>201</v>
      </c>
      <c r="C39" t="s">
        <v>200</v>
      </c>
      <c r="E39" s="20">
        <v>1.7561749999999998E-2</v>
      </c>
      <c r="F39" t="s">
        <v>387</v>
      </c>
      <c r="H39" s="20">
        <v>1.7561749999999998E-2</v>
      </c>
      <c r="I39" s="20">
        <v>1.7561749999999998E-2</v>
      </c>
      <c r="J39" s="20">
        <v>1.7561749999999998E-2</v>
      </c>
      <c r="K39" s="20" t="s">
        <v>366</v>
      </c>
      <c r="L39" s="4">
        <v>201</v>
      </c>
    </row>
    <row r="40" spans="1:15">
      <c r="A40" s="4">
        <v>202</v>
      </c>
      <c r="C40" t="s">
        <v>202</v>
      </c>
      <c r="E40" s="20">
        <v>2.7605794758881429E-4</v>
      </c>
      <c r="F40" t="s">
        <v>388</v>
      </c>
      <c r="H40" s="20">
        <v>2.7605794758881429E-4</v>
      </c>
      <c r="I40" s="20">
        <v>2.7605794758881429E-4</v>
      </c>
      <c r="J40" s="20">
        <v>2.7605794758881429E-4</v>
      </c>
      <c r="K40" s="20" t="s">
        <v>367</v>
      </c>
      <c r="L40" s="4">
        <v>202</v>
      </c>
    </row>
    <row r="41" spans="1:15">
      <c r="A41" s="4">
        <v>203</v>
      </c>
      <c r="C41" t="s">
        <v>204</v>
      </c>
      <c r="E41" s="233">
        <v>5.0993749999999997E-2</v>
      </c>
      <c r="F41" t="s">
        <v>389</v>
      </c>
      <c r="H41" s="233">
        <v>5.0993749999999997E-2</v>
      </c>
      <c r="I41" s="233">
        <v>5.0993749999999997E-2</v>
      </c>
      <c r="J41" s="233">
        <v>5.0993749999999997E-2</v>
      </c>
      <c r="K41" s="20" t="s">
        <v>368</v>
      </c>
      <c r="L41" s="4">
        <v>203</v>
      </c>
      <c r="O41" s="28"/>
    </row>
    <row r="42" spans="1:15">
      <c r="A42" s="4">
        <v>204</v>
      </c>
      <c r="C42" s="2" t="s">
        <v>206</v>
      </c>
      <c r="D42" s="2"/>
      <c r="E42" s="226">
        <v>6.8831557947588801E-2</v>
      </c>
      <c r="F42" s="33" t="s">
        <v>390</v>
      </c>
      <c r="H42" s="226">
        <v>6.8831557947588801E-2</v>
      </c>
      <c r="I42" s="226">
        <v>6.8831557947588801E-2</v>
      </c>
      <c r="J42" s="226">
        <v>6.8831557947588801E-2</v>
      </c>
      <c r="K42" s="20" t="s">
        <v>369</v>
      </c>
      <c r="L42" s="4">
        <v>204</v>
      </c>
      <c r="O42" s="28"/>
    </row>
    <row r="43" spans="1:15">
      <c r="O43" s="28"/>
    </row>
    <row r="44" spans="1:15">
      <c r="A44" s="4">
        <v>205</v>
      </c>
      <c r="C44" s="2" t="s">
        <v>208</v>
      </c>
      <c r="D44" s="2"/>
      <c r="E44" s="226">
        <v>5.1269807947588814E-2</v>
      </c>
      <c r="F44" t="s">
        <v>391</v>
      </c>
      <c r="G44" s="8"/>
      <c r="H44" s="226">
        <v>5.1269807947588814E-2</v>
      </c>
      <c r="I44" s="226">
        <v>5.1269807947588814E-2</v>
      </c>
      <c r="J44" s="226">
        <v>5.1269807947588814E-2</v>
      </c>
      <c r="K44" s="20" t="s">
        <v>370</v>
      </c>
      <c r="L44" s="4">
        <v>205</v>
      </c>
      <c r="O44" s="28"/>
    </row>
    <row r="45" spans="1:15">
      <c r="L45" s="4"/>
    </row>
    <row r="46" spans="1:15">
      <c r="A46" s="4">
        <v>206</v>
      </c>
      <c r="C46" s="2" t="s">
        <v>210</v>
      </c>
      <c r="D46" s="2"/>
      <c r="E46" s="51">
        <v>1285718622.7390544</v>
      </c>
      <c r="F46" t="s">
        <v>392</v>
      </c>
      <c r="H46" s="15">
        <v>1189804210.90904</v>
      </c>
      <c r="I46" s="51">
        <v>632075509.31327713</v>
      </c>
      <c r="J46" s="51">
        <v>557728701.59576273</v>
      </c>
      <c r="K46" s="51" t="s">
        <v>392</v>
      </c>
      <c r="L46" s="4">
        <v>206</v>
      </c>
    </row>
    <row r="48" spans="1:15">
      <c r="C48" s="41" t="s">
        <v>371</v>
      </c>
      <c r="D48" s="43"/>
      <c r="E48" s="43"/>
      <c r="F48" s="43"/>
      <c r="G48" s="43"/>
      <c r="H48" s="43"/>
      <c r="I48" s="43"/>
      <c r="J48" s="43"/>
      <c r="K48" s="43"/>
    </row>
    <row r="49" spans="1:12">
      <c r="C49" s="5"/>
    </row>
    <row r="50" spans="1:12" ht="29">
      <c r="A50" s="3" t="s">
        <v>90</v>
      </c>
      <c r="B50" s="3"/>
      <c r="C50" s="110" t="s">
        <v>7</v>
      </c>
      <c r="D50" s="34"/>
      <c r="E50" s="110" t="s">
        <v>342</v>
      </c>
      <c r="F50" s="110" t="s">
        <v>126</v>
      </c>
      <c r="G50" s="110" t="s">
        <v>131</v>
      </c>
      <c r="H50" s="110" t="s">
        <v>132</v>
      </c>
      <c r="I50" s="110" t="s">
        <v>133</v>
      </c>
      <c r="J50" s="110" t="s">
        <v>134</v>
      </c>
      <c r="K50" s="110" t="s">
        <v>126</v>
      </c>
      <c r="L50" s="3" t="s">
        <v>90</v>
      </c>
    </row>
    <row r="51" spans="1:12">
      <c r="A51" s="4">
        <v>300</v>
      </c>
      <c r="C51" t="s">
        <v>244</v>
      </c>
      <c r="E51" s="22">
        <v>0.21</v>
      </c>
      <c r="F51" t="s">
        <v>372</v>
      </c>
      <c r="H51" s="22">
        <v>0.21</v>
      </c>
      <c r="I51" s="22">
        <v>0.21</v>
      </c>
      <c r="J51" s="22">
        <v>0.21</v>
      </c>
      <c r="K51" s="20" t="s">
        <v>373</v>
      </c>
      <c r="L51" s="4">
        <v>300</v>
      </c>
    </row>
    <row r="52" spans="1:12">
      <c r="A52" s="4">
        <v>301</v>
      </c>
      <c r="C52" t="s">
        <v>247</v>
      </c>
      <c r="E52" s="233">
        <v>8.8400000000000006E-2</v>
      </c>
      <c r="F52" t="s">
        <v>374</v>
      </c>
      <c r="H52" s="30">
        <v>8.8400000000000006E-2</v>
      </c>
      <c r="I52" s="30">
        <v>8.8400000000000006E-2</v>
      </c>
      <c r="J52" s="30">
        <v>8.8400000000000006E-2</v>
      </c>
      <c r="K52" s="20" t="s">
        <v>375</v>
      </c>
      <c r="L52" s="4">
        <v>301</v>
      </c>
    </row>
    <row r="53" spans="1:12">
      <c r="A53" s="4">
        <v>302</v>
      </c>
      <c r="C53" s="2" t="s">
        <v>250</v>
      </c>
      <c r="D53" s="2"/>
      <c r="E53" s="226">
        <v>0.27983599999999997</v>
      </c>
      <c r="F53" t="s">
        <v>376</v>
      </c>
      <c r="H53" s="226">
        <v>0.27983599999999997</v>
      </c>
      <c r="I53" s="226">
        <v>0.27983599999999997</v>
      </c>
      <c r="J53" s="226">
        <v>0.27983599999999997</v>
      </c>
      <c r="K53" s="20" t="s">
        <v>377</v>
      </c>
      <c r="L53" s="4">
        <v>302</v>
      </c>
    </row>
    <row r="55" spans="1:12">
      <c r="A55" s="4">
        <v>303</v>
      </c>
      <c r="C55" s="2" t="s">
        <v>266</v>
      </c>
      <c r="E55" s="15">
        <v>327068831.46122277</v>
      </c>
      <c r="F55" t="s">
        <v>393</v>
      </c>
      <c r="H55" s="221">
        <v>301401488.35970938</v>
      </c>
      <c r="I55" s="15">
        <v>160937320.92443022</v>
      </c>
      <c r="J55" s="15">
        <v>140464167.43527916</v>
      </c>
      <c r="K55" t="s">
        <v>393</v>
      </c>
      <c r="L55" s="4">
        <v>303</v>
      </c>
    </row>
    <row r="57" spans="1:12">
      <c r="A57" s="4">
        <v>304</v>
      </c>
      <c r="C57" t="s">
        <v>378</v>
      </c>
      <c r="L57" s="4">
        <v>304</v>
      </c>
    </row>
    <row r="59" spans="1:12">
      <c r="C59" t="s">
        <v>268</v>
      </c>
    </row>
    <row r="60" spans="1:12">
      <c r="A60" s="4">
        <v>305</v>
      </c>
      <c r="C60" s="26" t="s">
        <v>269</v>
      </c>
      <c r="D60" s="26"/>
      <c r="E60" s="13">
        <v>18679202695.340034</v>
      </c>
      <c r="F60" t="s">
        <v>394</v>
      </c>
      <c r="G60" s="12"/>
      <c r="H60" s="24">
        <v>17285737042.520615</v>
      </c>
      <c r="I60" s="465">
        <v>9182931901.5932426</v>
      </c>
      <c r="J60" s="465">
        <v>8102805140.927371</v>
      </c>
      <c r="K60" s="13" t="s">
        <v>395</v>
      </c>
      <c r="L60" s="4">
        <v>305</v>
      </c>
    </row>
    <row r="61" spans="1:12">
      <c r="A61" s="4">
        <v>306</v>
      </c>
      <c r="C61" s="9" t="s">
        <v>270</v>
      </c>
      <c r="D61" s="9"/>
      <c r="E61" s="22">
        <v>5.1269807947588814E-2</v>
      </c>
      <c r="F61" t="s">
        <v>396</v>
      </c>
      <c r="H61" s="22">
        <v>5.1269807947588814E-2</v>
      </c>
      <c r="I61" s="22">
        <v>5.1269807947588814E-2</v>
      </c>
      <c r="J61" s="22">
        <v>5.1269807947588814E-2</v>
      </c>
      <c r="K61" s="22" t="s">
        <v>396</v>
      </c>
      <c r="L61" s="4">
        <v>306</v>
      </c>
    </row>
    <row r="62" spans="1:12">
      <c r="A62" s="4">
        <v>307</v>
      </c>
      <c r="C62" s="26" t="s">
        <v>271</v>
      </c>
      <c r="D62" s="26"/>
      <c r="E62" s="19">
        <v>0.27983599999999997</v>
      </c>
      <c r="F62" t="s">
        <v>397</v>
      </c>
      <c r="H62" s="22">
        <v>0.27983599999999997</v>
      </c>
      <c r="I62" s="442">
        <v>0.27983599999999997</v>
      </c>
      <c r="J62" s="442">
        <v>0.27983599999999997</v>
      </c>
      <c r="K62" s="19" t="s">
        <v>397</v>
      </c>
      <c r="L62" s="4">
        <v>307</v>
      </c>
    </row>
    <row r="63" spans="1:12">
      <c r="A63" s="4">
        <v>308</v>
      </c>
      <c r="C63" s="26" t="s">
        <v>272</v>
      </c>
      <c r="D63" s="26"/>
      <c r="E63" s="13">
        <v>-36694203.888277099</v>
      </c>
      <c r="F63" t="s">
        <v>398</v>
      </c>
      <c r="H63" s="24">
        <v>-34989475.831753403</v>
      </c>
      <c r="I63" s="465">
        <v>-17920312.581720188</v>
      </c>
      <c r="J63" s="465">
        <v>-17069163.250033211</v>
      </c>
      <c r="K63" t="s">
        <v>399</v>
      </c>
      <c r="L63" s="4">
        <v>308</v>
      </c>
    </row>
    <row r="64" spans="1:12">
      <c r="A64" s="4">
        <v>309</v>
      </c>
      <c r="C64" s="26" t="s">
        <v>273</v>
      </c>
      <c r="D64" s="26"/>
      <c r="E64" s="13">
        <v>15167110.241921386</v>
      </c>
      <c r="F64" t="s">
        <v>400</v>
      </c>
      <c r="H64" s="24">
        <v>14462481.291678604</v>
      </c>
      <c r="I64" s="465">
        <v>7407146.843250474</v>
      </c>
      <c r="J64" s="465">
        <v>7055334.4484281307</v>
      </c>
      <c r="K64" t="s">
        <v>401</v>
      </c>
      <c r="L64" s="4">
        <v>309</v>
      </c>
    </row>
    <row r="65" spans="1:12">
      <c r="C65" s="26"/>
      <c r="D65" s="26"/>
      <c r="E65" s="23"/>
      <c r="I65" s="23"/>
      <c r="J65" s="23"/>
      <c r="K65" s="23"/>
      <c r="L65" s="4"/>
    </row>
    <row r="67" spans="1:12">
      <c r="C67" s="41" t="s">
        <v>379</v>
      </c>
      <c r="D67" s="43"/>
      <c r="E67" s="43"/>
      <c r="F67" s="43"/>
      <c r="G67" s="43"/>
      <c r="H67" s="43"/>
      <c r="I67" s="43"/>
      <c r="J67" s="43"/>
      <c r="K67" s="43"/>
    </row>
    <row r="68" spans="1:12">
      <c r="C68" s="2" t="s">
        <v>361</v>
      </c>
    </row>
    <row r="69" spans="1:12" ht="15" customHeight="1">
      <c r="C69" s="34" t="s">
        <v>402</v>
      </c>
      <c r="D69" s="34"/>
      <c r="E69" s="34"/>
      <c r="F69" s="34"/>
      <c r="G69" s="34"/>
      <c r="H69" s="34"/>
      <c r="I69" s="34"/>
      <c r="J69" s="34"/>
      <c r="K69" s="34"/>
    </row>
    <row r="70" spans="1:12">
      <c r="C70" s="34"/>
      <c r="D70" s="34"/>
      <c r="E70" s="34"/>
      <c r="F70" s="34"/>
      <c r="G70" s="34"/>
      <c r="H70" s="34"/>
      <c r="I70" s="34"/>
      <c r="J70" s="34"/>
      <c r="K70" s="34"/>
    </row>
    <row r="71" spans="1:12">
      <c r="C71" s="33"/>
    </row>
    <row r="72" spans="1:12" ht="29">
      <c r="A72" s="3" t="s">
        <v>90</v>
      </c>
      <c r="B72" s="3"/>
      <c r="C72" s="110" t="s">
        <v>7</v>
      </c>
      <c r="D72" s="34"/>
      <c r="E72" s="110" t="s">
        <v>342</v>
      </c>
      <c r="F72" s="110" t="s">
        <v>126</v>
      </c>
      <c r="G72" s="110" t="s">
        <v>131</v>
      </c>
      <c r="H72" s="110" t="s">
        <v>132</v>
      </c>
      <c r="I72" s="110" t="s">
        <v>133</v>
      </c>
      <c r="J72" s="110" t="s">
        <v>134</v>
      </c>
      <c r="K72" s="110" t="s">
        <v>126</v>
      </c>
      <c r="L72" s="3" t="s">
        <v>90</v>
      </c>
    </row>
    <row r="73" spans="1:12">
      <c r="C73" s="1" t="s">
        <v>275</v>
      </c>
      <c r="D73" s="1"/>
    </row>
    <row r="74" spans="1:12">
      <c r="A74" s="4">
        <v>400</v>
      </c>
      <c r="C74" t="s">
        <v>276</v>
      </c>
      <c r="E74" s="13">
        <v>3087054872.4997315</v>
      </c>
      <c r="F74" t="s">
        <v>403</v>
      </c>
      <c r="H74" s="23">
        <v>3031021929.0419021</v>
      </c>
      <c r="I74" s="23">
        <v>2235722150.0976667</v>
      </c>
      <c r="J74" s="23">
        <v>795299778.94423544</v>
      </c>
      <c r="K74" t="s">
        <v>278</v>
      </c>
      <c r="L74" s="4">
        <v>400</v>
      </c>
    </row>
    <row r="75" spans="1:12">
      <c r="A75" s="4">
        <v>401</v>
      </c>
      <c r="C75" t="s">
        <v>279</v>
      </c>
      <c r="E75" s="13">
        <v>787626334.20073271</v>
      </c>
      <c r="F75" t="s">
        <v>404</v>
      </c>
      <c r="H75" s="13">
        <v>751035031.8234694</v>
      </c>
      <c r="I75" s="23">
        <v>384652305.01923448</v>
      </c>
      <c r="J75" s="23">
        <v>366382726.80423498</v>
      </c>
      <c r="K75" t="s">
        <v>281</v>
      </c>
      <c r="L75" s="4">
        <v>401</v>
      </c>
    </row>
    <row r="76" spans="1:12">
      <c r="A76" s="4">
        <v>402</v>
      </c>
      <c r="C76" t="s">
        <v>282</v>
      </c>
      <c r="E76" s="13">
        <v>1407258088.55</v>
      </c>
      <c r="F76" t="s">
        <v>405</v>
      </c>
      <c r="H76" s="13">
        <v>1305760496.5500002</v>
      </c>
      <c r="I76" s="13">
        <v>707882511.60975552</v>
      </c>
      <c r="J76" s="13">
        <v>597877984.94024456</v>
      </c>
      <c r="K76" s="13" t="s">
        <v>406</v>
      </c>
      <c r="L76" s="4">
        <v>402</v>
      </c>
    </row>
    <row r="77" spans="1:12">
      <c r="A77" s="4">
        <v>403</v>
      </c>
      <c r="C77" t="s">
        <v>285</v>
      </c>
      <c r="E77" s="13">
        <v>187565445.87686914</v>
      </c>
      <c r="F77" t="s">
        <v>407</v>
      </c>
      <c r="H77" s="13">
        <v>132053265.14053684</v>
      </c>
      <c r="I77" s="13">
        <v>67632787.64546749</v>
      </c>
      <c r="J77" s="13">
        <v>64420477.495069362</v>
      </c>
      <c r="K77" s="13" t="s">
        <v>408</v>
      </c>
      <c r="L77" s="4">
        <v>403</v>
      </c>
    </row>
    <row r="78" spans="1:12">
      <c r="A78" s="4">
        <v>404</v>
      </c>
      <c r="C78" t="s">
        <v>288</v>
      </c>
      <c r="E78" s="13">
        <v>1285718622.7390544</v>
      </c>
      <c r="F78" t="s">
        <v>201</v>
      </c>
      <c r="H78" s="13">
        <v>1189804210.90904</v>
      </c>
      <c r="I78" s="13">
        <v>632075509.31327713</v>
      </c>
      <c r="J78" s="13">
        <v>557728701.59576273</v>
      </c>
      <c r="K78" s="13" t="s">
        <v>409</v>
      </c>
      <c r="L78" s="4">
        <v>404</v>
      </c>
    </row>
    <row r="79" spans="1:12">
      <c r="A79" s="4">
        <v>405</v>
      </c>
      <c r="C79" t="s">
        <v>289</v>
      </c>
      <c r="E79" s="13">
        <v>284620544.68418437</v>
      </c>
      <c r="F79" t="s">
        <v>410</v>
      </c>
      <c r="H79" s="13">
        <v>271397730.81789976</v>
      </c>
      <c r="I79" s="13">
        <v>138999857.94621706</v>
      </c>
      <c r="J79" s="13">
        <v>132397872.87168269</v>
      </c>
      <c r="K79" s="13" t="s">
        <v>411</v>
      </c>
      <c r="L79" s="4">
        <v>405</v>
      </c>
    </row>
    <row r="80" spans="1:12">
      <c r="A80" s="4">
        <v>406</v>
      </c>
      <c r="C80" t="s">
        <v>290</v>
      </c>
      <c r="E80" s="13">
        <v>327068831.46122277</v>
      </c>
      <c r="F80" t="s">
        <v>412</v>
      </c>
      <c r="H80" s="13">
        <v>301401488.35970938</v>
      </c>
      <c r="I80" s="13">
        <v>160937320.92443022</v>
      </c>
      <c r="J80" s="13">
        <v>140464167.43527916</v>
      </c>
      <c r="K80" s="13" t="s">
        <v>413</v>
      </c>
      <c r="L80" s="4">
        <v>406</v>
      </c>
    </row>
    <row r="81" spans="1:12">
      <c r="A81" s="4">
        <v>407</v>
      </c>
      <c r="C81" t="s">
        <v>55</v>
      </c>
      <c r="E81" s="13">
        <v>-245369132.92999998</v>
      </c>
      <c r="F81" t="s">
        <v>414</v>
      </c>
      <c r="G81" t="s">
        <v>292</v>
      </c>
      <c r="H81" s="13">
        <v>-233969849.09802955</v>
      </c>
      <c r="I81" s="13">
        <v>-119830684.25190759</v>
      </c>
      <c r="J81" s="13">
        <v>-114139164.84612198</v>
      </c>
      <c r="K81" s="13" t="s">
        <v>415</v>
      </c>
      <c r="L81" s="4">
        <v>407</v>
      </c>
    </row>
    <row r="82" spans="1:12">
      <c r="A82" s="4">
        <v>408</v>
      </c>
      <c r="C82" t="s">
        <v>294</v>
      </c>
      <c r="E82" s="14">
        <v>0</v>
      </c>
      <c r="F82" t="s">
        <v>416</v>
      </c>
      <c r="H82" s="14">
        <v>0</v>
      </c>
      <c r="I82" s="14">
        <v>0</v>
      </c>
      <c r="J82" s="14">
        <v>0</v>
      </c>
      <c r="K82" s="13" t="s">
        <v>417</v>
      </c>
      <c r="L82" s="4">
        <v>408</v>
      </c>
    </row>
    <row r="83" spans="1:12">
      <c r="A83" s="4">
        <v>409</v>
      </c>
      <c r="C83" s="2" t="s">
        <v>380</v>
      </c>
      <c r="D83" s="2"/>
      <c r="E83" s="15">
        <v>7121543607.0817947</v>
      </c>
      <c r="F83" t="s">
        <v>418</v>
      </c>
      <c r="H83" s="15">
        <v>6748504303.544528</v>
      </c>
      <c r="I83" s="15">
        <v>4208071758.304141</v>
      </c>
      <c r="J83" s="15">
        <v>2540432545.240387</v>
      </c>
      <c r="K83" t="s">
        <v>418</v>
      </c>
      <c r="L83" s="4">
        <v>409</v>
      </c>
    </row>
    <row r="84" spans="1:12">
      <c r="L84" s="4"/>
    </row>
    <row r="85" spans="1:12">
      <c r="C85" s="1" t="s">
        <v>298</v>
      </c>
      <c r="D85" s="1"/>
    </row>
    <row r="86" spans="1:12">
      <c r="A86" s="4">
        <v>410</v>
      </c>
      <c r="C86" t="s">
        <v>299</v>
      </c>
      <c r="E86" s="10">
        <v>7.4569999999999992E-3</v>
      </c>
      <c r="F86" t="s">
        <v>419</v>
      </c>
      <c r="H86" s="10">
        <v>7.4569999999999992E-3</v>
      </c>
      <c r="I86" s="10">
        <v>7.4569999999999992E-3</v>
      </c>
      <c r="J86" s="10">
        <v>7.4569999999999992E-3</v>
      </c>
      <c r="K86" s="20" t="s">
        <v>381</v>
      </c>
      <c r="L86" s="4">
        <v>410</v>
      </c>
    </row>
    <row r="87" spans="1:12">
      <c r="A87" s="4">
        <v>411</v>
      </c>
      <c r="C87" t="s">
        <v>302</v>
      </c>
      <c r="D87" s="2"/>
      <c r="E87" s="31">
        <v>2.7300000000000002E-4</v>
      </c>
      <c r="F87" t="s">
        <v>420</v>
      </c>
      <c r="H87" s="31">
        <v>2.7300000000000002E-4</v>
      </c>
      <c r="I87" s="31">
        <v>2.7300000000000002E-4</v>
      </c>
      <c r="J87" s="31">
        <v>2.7300000000000002E-4</v>
      </c>
      <c r="K87" s="20" t="s">
        <v>382</v>
      </c>
      <c r="L87" s="4">
        <v>411</v>
      </c>
    </row>
    <row r="88" spans="1:12">
      <c r="A88" s="4">
        <v>412</v>
      </c>
      <c r="C88" s="2" t="s">
        <v>305</v>
      </c>
      <c r="D88" s="2"/>
      <c r="E88" s="15">
        <v>55049532.082742266</v>
      </c>
      <c r="F88" s="8" t="s">
        <v>421</v>
      </c>
      <c r="H88" s="15">
        <v>52165938.266399197</v>
      </c>
      <c r="I88" s="15">
        <v>32528394.691691007</v>
      </c>
      <c r="J88" s="15">
        <v>19637543.57470819</v>
      </c>
      <c r="K88" s="465" t="s">
        <v>421</v>
      </c>
      <c r="L88" s="4">
        <v>412</v>
      </c>
    </row>
    <row r="89" spans="1:12">
      <c r="C89" s="2"/>
      <c r="D89" s="2"/>
      <c r="E89" s="13"/>
      <c r="H89" s="13"/>
      <c r="I89" s="13"/>
      <c r="J89" s="13"/>
      <c r="K89" s="13"/>
      <c r="L89" s="4"/>
    </row>
    <row r="90" spans="1:12">
      <c r="A90" s="4">
        <v>413</v>
      </c>
      <c r="C90" s="2" t="s">
        <v>383</v>
      </c>
      <c r="D90" s="2"/>
      <c r="E90" s="15">
        <v>7176593139.1645374</v>
      </c>
      <c r="F90" t="s">
        <v>422</v>
      </c>
      <c r="H90" s="15">
        <v>6800670241.8109264</v>
      </c>
      <c r="I90" s="15">
        <v>4240600152.995832</v>
      </c>
      <c r="J90" s="15">
        <v>2560070088.8150949</v>
      </c>
      <c r="K90" s="465" t="s">
        <v>422</v>
      </c>
      <c r="L90" s="4">
        <v>413</v>
      </c>
    </row>
    <row r="91" spans="1:12">
      <c r="C91" s="7"/>
    </row>
    <row r="92" spans="1:12">
      <c r="E92" s="32"/>
      <c r="F92" s="32"/>
      <c r="G92" s="32"/>
      <c r="H92" s="32"/>
    </row>
    <row r="94" spans="1:12">
      <c r="E94" s="27"/>
      <c r="F94" s="27"/>
      <c r="G94" s="27"/>
      <c r="H94" s="27"/>
    </row>
  </sheetData>
  <printOptions horizontalCentered="1"/>
  <pageMargins left="1" right="1" top="1" bottom="1" header="0.5" footer="0.5"/>
  <pageSetup scale="32" orientation="landscape" r:id="rId1"/>
  <headerFooter>
    <oddHeader>&amp;RDocket No. ER20-2878-000, et al.- Annual Update RY2024
&amp;F</oddHeader>
  </headerFooter>
  <rowBreaks count="1" manualBreakCount="1">
    <brk id="47"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9E3FC-EF12-4E05-9D1F-60A9E2D29340}">
  <sheetPr codeName="Sheet6">
    <tabColor rgb="FF92D050"/>
    <pageSetUpPr fitToPage="1"/>
  </sheetPr>
  <dimension ref="A1:Q361"/>
  <sheetViews>
    <sheetView topLeftCell="D75" zoomScale="55" zoomScaleNormal="55" zoomScaleSheetLayoutView="85" zoomScalePageLayoutView="70" workbookViewId="0">
      <selection activeCell="W98" sqref="W98"/>
    </sheetView>
  </sheetViews>
  <sheetFormatPr defaultRowHeight="14.5"/>
  <cols>
    <col min="2" max="2" width="40.81640625" customWidth="1"/>
    <col min="3" max="3" width="20.26953125" customWidth="1"/>
    <col min="4" max="4" width="23.1796875" customWidth="1"/>
    <col min="5" max="5" width="17.1796875" customWidth="1"/>
    <col min="6" max="6" width="18" customWidth="1"/>
    <col min="7" max="7" width="18.453125" customWidth="1"/>
    <col min="8" max="8" width="14.54296875" customWidth="1"/>
    <col min="9" max="9" width="11.81640625" customWidth="1"/>
    <col min="10" max="10" width="23.81640625" customWidth="1"/>
    <col min="11" max="11" width="20.1796875" customWidth="1"/>
    <col min="14" max="14" width="18.7265625" customWidth="1"/>
    <col min="15" max="19" width="14.1796875" bestFit="1" customWidth="1"/>
    <col min="20" max="20" width="15.1796875" bestFit="1" customWidth="1"/>
    <col min="21" max="21" width="2.7265625" bestFit="1" customWidth="1"/>
  </cols>
  <sheetData>
    <row r="1" spans="1:12">
      <c r="B1" s="2" t="s">
        <v>13</v>
      </c>
      <c r="K1" s="6" t="str">
        <f>CONCATENATE("Prior Year: ",'1-DRR Corrected'!$K$2)</f>
        <v>Prior Year: 2021</v>
      </c>
    </row>
    <row r="2" spans="1:12">
      <c r="B2" s="35" t="s">
        <v>120</v>
      </c>
    </row>
    <row r="3" spans="1:12">
      <c r="B3" s="2"/>
    </row>
    <row r="4" spans="1:12">
      <c r="B4" s="41" t="s">
        <v>423</v>
      </c>
      <c r="C4" s="41"/>
      <c r="D4" s="41"/>
      <c r="E4" s="41"/>
      <c r="F4" s="41"/>
      <c r="G4" s="41"/>
      <c r="H4" s="41"/>
      <c r="I4" s="41"/>
      <c r="J4" s="41"/>
      <c r="K4" s="41"/>
    </row>
    <row r="5" spans="1:12">
      <c r="B5" s="5" t="s">
        <v>424</v>
      </c>
      <c r="C5" s="5"/>
      <c r="D5" s="5"/>
      <c r="E5" s="5"/>
      <c r="F5" s="5"/>
      <c r="G5" s="5"/>
      <c r="H5" s="5"/>
      <c r="I5" s="5"/>
      <c r="J5" s="5"/>
      <c r="K5" s="5"/>
    </row>
    <row r="6" spans="1:12">
      <c r="A6" s="3" t="s">
        <v>90</v>
      </c>
      <c r="L6" s="3" t="str">
        <f t="shared" ref="L6:L49" si="0">A6</f>
        <v>Line</v>
      </c>
    </row>
    <row r="7" spans="1:12" ht="29">
      <c r="A7" s="4">
        <v>100</v>
      </c>
      <c r="B7" s="295"/>
      <c r="C7" s="398" t="s">
        <v>425</v>
      </c>
      <c r="D7" s="398" t="s">
        <v>426</v>
      </c>
      <c r="E7" s="398" t="s">
        <v>427</v>
      </c>
      <c r="F7" s="398" t="s">
        <v>428</v>
      </c>
      <c r="G7" s="398" t="s">
        <v>429</v>
      </c>
      <c r="H7" s="398" t="s">
        <v>430</v>
      </c>
      <c r="I7" s="399" t="s">
        <v>117</v>
      </c>
      <c r="J7" s="3" t="s">
        <v>126</v>
      </c>
      <c r="L7" s="4">
        <f t="shared" si="0"/>
        <v>100</v>
      </c>
    </row>
    <row r="8" spans="1:12">
      <c r="A8" s="4">
        <v>101</v>
      </c>
      <c r="B8" s="6" t="s">
        <v>431</v>
      </c>
      <c r="C8" s="376">
        <f>'8-DemandForAllocation Corrected'!F35/'8-DemandForAllocation Corrected'!$C$35</f>
        <v>5.055886941693343E-3</v>
      </c>
      <c r="D8" s="376">
        <f>'8-DemandForAllocation Corrected'!H35/'8-DemandForAllocation Corrected'!$C$35</f>
        <v>6.2141267703830742E-5</v>
      </c>
      <c r="E8" s="376">
        <f>'8-DemandForAllocation Corrected'!I35/'8-DemandForAllocation Corrected'!$C$35</f>
        <v>1.9127775603992007E-4</v>
      </c>
      <c r="F8" s="376">
        <f>'8-DemandForAllocation Corrected'!J35/'8-DemandForAllocation Corrected'!$C$35</f>
        <v>4.3411899041765806E-5</v>
      </c>
      <c r="G8" s="376">
        <f>'8-DemandForAllocation Corrected'!K35/'8-DemandForAllocation Corrected'!$C$35</f>
        <v>6.9288073766992902E-3</v>
      </c>
      <c r="H8" s="376">
        <f>'8-DemandForAllocation Corrected'!L35/'8-DemandForAllocation Corrected'!$C$35</f>
        <v>4.2179683566781186E-6</v>
      </c>
      <c r="I8" s="376">
        <f>'8-DemandForAllocation Corrected'!M35/'8-DemandForAllocation Corrected'!$C$35</f>
        <v>0</v>
      </c>
      <c r="J8" t="s">
        <v>432</v>
      </c>
      <c r="L8" s="4">
        <f t="shared" si="0"/>
        <v>101</v>
      </c>
    </row>
    <row r="9" spans="1:12">
      <c r="A9" s="4"/>
      <c r="B9" s="2"/>
      <c r="L9" s="4"/>
    </row>
    <row r="10" spans="1:12" ht="29">
      <c r="A10" s="4">
        <f>A8+1</f>
        <v>102</v>
      </c>
      <c r="B10" s="362"/>
      <c r="C10" s="398" t="s">
        <v>425</v>
      </c>
      <c r="D10" s="398" t="s">
        <v>426</v>
      </c>
      <c r="E10" s="398" t="s">
        <v>429</v>
      </c>
      <c r="F10" s="129" t="s">
        <v>126</v>
      </c>
      <c r="L10" s="4"/>
    </row>
    <row r="11" spans="1:12">
      <c r="A11" s="4">
        <f>A10+1</f>
        <v>103</v>
      </c>
      <c r="B11" s="6" t="s">
        <v>433</v>
      </c>
      <c r="C11" s="376">
        <f>'8-DemandForAllocation Corrected'!F38/'8-DemandForAllocation Corrected'!$C$38</f>
        <v>1.6350207726561062E-3</v>
      </c>
      <c r="D11" s="376">
        <f>'8-DemandForAllocation Corrected'!H38/'8-DemandForAllocation Corrected'!$C$38</f>
        <v>2.6912269760126589E-5</v>
      </c>
      <c r="E11" s="376">
        <f>'8-DemandForAllocation Corrected'!K38/'8-DemandForAllocation Corrected'!$C$38</f>
        <v>1.4887894904435084E-3</v>
      </c>
      <c r="F11" t="s">
        <v>434</v>
      </c>
      <c r="L11" s="4">
        <f t="shared" si="0"/>
        <v>103</v>
      </c>
    </row>
    <row r="12" spans="1:12">
      <c r="A12" s="4"/>
      <c r="L12" s="4"/>
    </row>
    <row r="13" spans="1:12">
      <c r="A13" s="4"/>
      <c r="B13" s="41" t="s">
        <v>435</v>
      </c>
      <c r="C13" s="41"/>
      <c r="D13" s="41"/>
      <c r="E13" s="41"/>
      <c r="F13" s="41"/>
      <c r="G13" s="41"/>
      <c r="H13" s="41"/>
      <c r="I13" s="41"/>
      <c r="J13" s="41"/>
      <c r="K13" s="41"/>
      <c r="L13" s="4"/>
    </row>
    <row r="14" spans="1:12">
      <c r="A14" s="4"/>
      <c r="B14" s="5" t="s">
        <v>436</v>
      </c>
      <c r="C14" s="5"/>
      <c r="D14" s="5"/>
      <c r="E14" s="5"/>
      <c r="F14" s="5"/>
      <c r="G14" s="5"/>
      <c r="H14" s="5"/>
      <c r="I14" s="5"/>
      <c r="J14" s="5"/>
      <c r="K14" s="5"/>
      <c r="L14" s="4"/>
    </row>
    <row r="15" spans="1:12">
      <c r="A15" s="4"/>
      <c r="B15" s="5"/>
      <c r="C15" s="5"/>
      <c r="D15" s="5"/>
      <c r="E15" s="5"/>
      <c r="F15" s="5"/>
      <c r="G15" s="5"/>
      <c r="H15" s="5"/>
      <c r="I15" s="5"/>
      <c r="J15" s="5"/>
      <c r="K15" s="5"/>
      <c r="L15" s="4"/>
    </row>
    <row r="16" spans="1:12" ht="29">
      <c r="A16" s="3" t="s">
        <v>90</v>
      </c>
      <c r="C16" s="110" t="s">
        <v>437</v>
      </c>
      <c r="D16" s="3" t="s">
        <v>126</v>
      </c>
      <c r="L16" s="3" t="str">
        <f t="shared" si="0"/>
        <v>Line</v>
      </c>
    </row>
    <row r="17" spans="1:12">
      <c r="A17" s="4">
        <v>200</v>
      </c>
      <c r="C17" s="477">
        <f>'2-True-upDRR Corrected'!I90</f>
        <v>4218146371.565546</v>
      </c>
      <c r="D17" s="21" t="s">
        <v>438</v>
      </c>
      <c r="L17" s="4">
        <f t="shared" si="0"/>
        <v>200</v>
      </c>
    </row>
    <row r="18" spans="1:12">
      <c r="A18" s="4"/>
      <c r="C18" s="477"/>
      <c r="D18" s="21"/>
      <c r="L18" s="4"/>
    </row>
    <row r="19" spans="1:12" s="86" customFormat="1" ht="29">
      <c r="A19" s="91"/>
      <c r="B19" s="8"/>
      <c r="C19" s="138" t="s">
        <v>439</v>
      </c>
      <c r="D19" s="80" t="s">
        <v>126</v>
      </c>
      <c r="L19" s="527"/>
    </row>
    <row r="20" spans="1:12" s="86" customFormat="1">
      <c r="A20" s="91" t="s">
        <v>440</v>
      </c>
      <c r="B20" s="8"/>
      <c r="C20" s="561">
        <v>-3500000</v>
      </c>
      <c r="D20" s="18" t="s">
        <v>441</v>
      </c>
      <c r="L20" s="91" t="str">
        <f>A20</f>
        <v>200a</v>
      </c>
    </row>
    <row r="21" spans="1:12">
      <c r="A21" s="4"/>
      <c r="C21" s="24"/>
      <c r="L21" s="4"/>
    </row>
    <row r="22" spans="1:12" ht="29">
      <c r="A22" s="4">
        <f>A17+1</f>
        <v>201</v>
      </c>
      <c r="B22" s="295"/>
      <c r="C22" s="290" t="str">
        <f>$C$7</f>
        <v>CCSF
(SA No. 275)</v>
      </c>
      <c r="D22" s="290" t="str">
        <f>$D$7</f>
        <v>PWRPA 1 
(SA No. 30)</v>
      </c>
      <c r="E22" s="290" t="str">
        <f>$E$7</f>
        <v>PWRPA 2
(SA No. 56)</v>
      </c>
      <c r="F22" s="290" t="str">
        <f>$F$7</f>
        <v>Shelter Cove
(SA No. 40)</v>
      </c>
      <c r="G22" s="290" t="str">
        <f>$G$7</f>
        <v>WAPA
(SA No. 17)</v>
      </c>
      <c r="H22" s="290" t="str">
        <f>$H$7</f>
        <v>Westside
(SA No. 15)</v>
      </c>
      <c r="I22" s="398" t="str">
        <f>I7</f>
        <v>…</v>
      </c>
      <c r="J22" s="3" t="s">
        <v>126</v>
      </c>
      <c r="L22" s="4">
        <f t="shared" si="0"/>
        <v>201</v>
      </c>
    </row>
    <row r="23" spans="1:12">
      <c r="A23" s="4">
        <f>A22+1</f>
        <v>202</v>
      </c>
      <c r="B23" s="6" t="s">
        <v>442</v>
      </c>
      <c r="C23" s="29">
        <f t="shared" ref="C23:I23" si="1">C8*$C$17</f>
        <v>21326471.158149399</v>
      </c>
      <c r="D23" s="29">
        <f t="shared" si="1"/>
        <v>262120.96288939691</v>
      </c>
      <c r="E23" s="29">
        <f t="shared" si="1"/>
        <v>806837.57260098855</v>
      </c>
      <c r="F23" s="29">
        <f t="shared" si="1"/>
        <v>183117.74442579426</v>
      </c>
      <c r="G23" s="29">
        <f t="shared" si="1"/>
        <v>29226723.695300702</v>
      </c>
      <c r="H23" s="29">
        <f t="shared" si="1"/>
        <v>17792.007919100095</v>
      </c>
      <c r="I23" s="29">
        <f t="shared" si="1"/>
        <v>0</v>
      </c>
      <c r="J23" t="s">
        <v>443</v>
      </c>
      <c r="L23" s="4">
        <f t="shared" si="0"/>
        <v>202</v>
      </c>
    </row>
    <row r="24" spans="1:12" s="86" customFormat="1">
      <c r="A24" s="91" t="s">
        <v>444</v>
      </c>
      <c r="B24" s="90" t="s">
        <v>445</v>
      </c>
      <c r="C24" s="562">
        <f>C23/SUM($C$23:$H$23)*$C$20</f>
        <v>-1440336.4936191519</v>
      </c>
      <c r="D24" s="562">
        <f t="shared" ref="D24:H24" si="2">D23/SUM($C$23:$H$23)*$C$20</f>
        <v>-17702.993889259593</v>
      </c>
      <c r="E24" s="562">
        <f t="shared" si="2"/>
        <v>-54491.790583751608</v>
      </c>
      <c r="F24" s="562">
        <f t="shared" si="2"/>
        <v>-12367.314215737484</v>
      </c>
      <c r="G24" s="562">
        <f t="shared" si="2"/>
        <v>-1973899.7800008324</v>
      </c>
      <c r="H24" s="562">
        <f t="shared" si="2"/>
        <v>-1201.6276912670696</v>
      </c>
      <c r="I24" s="562">
        <v>0</v>
      </c>
      <c r="J24" s="8" t="s">
        <v>446</v>
      </c>
      <c r="L24" s="4" t="str">
        <f t="shared" si="0"/>
        <v>202a</v>
      </c>
    </row>
    <row r="25" spans="1:12" ht="29">
      <c r="A25" s="4">
        <f>A23+1</f>
        <v>203</v>
      </c>
      <c r="B25" s="408" t="s">
        <v>447</v>
      </c>
      <c r="C25" s="360">
        <v>0</v>
      </c>
      <c r="D25" s="360">
        <v>0</v>
      </c>
      <c r="E25" s="360">
        <v>0</v>
      </c>
      <c r="F25" s="360">
        <v>0</v>
      </c>
      <c r="G25" s="360">
        <v>0</v>
      </c>
      <c r="H25" s="360">
        <v>0</v>
      </c>
      <c r="I25" s="360"/>
      <c r="J25" s="358"/>
      <c r="L25" s="4">
        <f t="shared" si="0"/>
        <v>203</v>
      </c>
    </row>
    <row r="26" spans="1:12">
      <c r="A26" s="4">
        <f t="shared" ref="A26" si="3">A25+1</f>
        <v>204</v>
      </c>
      <c r="B26" s="6" t="s">
        <v>448</v>
      </c>
      <c r="C26" s="29">
        <f>SUM(C23:C25)</f>
        <v>19886134.664530247</v>
      </c>
      <c r="D26" s="29">
        <f t="shared" ref="D26:I26" si="4">SUM(D23:D25)</f>
        <v>244417.96900013732</v>
      </c>
      <c r="E26" s="29">
        <f t="shared" si="4"/>
        <v>752345.78201723692</v>
      </c>
      <c r="F26" s="29">
        <f t="shared" si="4"/>
        <v>170750.43021005677</v>
      </c>
      <c r="G26" s="29">
        <f t="shared" si="4"/>
        <v>27252823.91529987</v>
      </c>
      <c r="H26" s="29">
        <f t="shared" si="4"/>
        <v>16590.380227833026</v>
      </c>
      <c r="I26" s="29">
        <f t="shared" si="4"/>
        <v>0</v>
      </c>
      <c r="J26" s="8" t="s">
        <v>449</v>
      </c>
      <c r="L26" s="4">
        <f t="shared" si="0"/>
        <v>204</v>
      </c>
    </row>
    <row r="27" spans="1:12">
      <c r="A27" s="4"/>
      <c r="B27" s="359"/>
      <c r="C27" s="29"/>
      <c r="D27" s="29"/>
      <c r="E27" s="29"/>
      <c r="F27" s="29"/>
      <c r="G27" s="29"/>
      <c r="H27" s="29"/>
      <c r="I27" s="29"/>
      <c r="L27" s="4"/>
    </row>
    <row r="28" spans="1:12" ht="29">
      <c r="A28" s="4"/>
      <c r="B28" s="357"/>
      <c r="C28" s="110" t="s">
        <v>450</v>
      </c>
      <c r="D28" s="3" t="s">
        <v>126</v>
      </c>
      <c r="E28" s="29"/>
      <c r="F28" s="29"/>
      <c r="G28" s="29"/>
      <c r="L28" s="4"/>
    </row>
    <row r="29" spans="1:12">
      <c r="A29" s="4">
        <f>A26+1</f>
        <v>205</v>
      </c>
      <c r="C29" s="24">
        <f>'2-True-upDRR Corrected'!J90</f>
        <v>2557003348.7913699</v>
      </c>
      <c r="D29" t="s">
        <v>451</v>
      </c>
      <c r="L29" s="4">
        <f t="shared" si="0"/>
        <v>205</v>
      </c>
    </row>
    <row r="30" spans="1:12">
      <c r="A30" s="4"/>
      <c r="C30" s="24"/>
      <c r="L30" s="4"/>
    </row>
    <row r="31" spans="1:12" ht="29">
      <c r="A31" s="4">
        <f>A29+1</f>
        <v>206</v>
      </c>
      <c r="B31" s="361"/>
      <c r="C31" s="397" t="str">
        <f>C22</f>
        <v>CCSF
(SA No. 275)</v>
      </c>
      <c r="D31" s="397" t="str">
        <f>D22</f>
        <v>PWRPA 1 
(SA No. 30)</v>
      </c>
      <c r="E31" s="397" t="str">
        <f>G22</f>
        <v>WAPA
(SA No. 17)</v>
      </c>
      <c r="F31" s="109" t="s">
        <v>126</v>
      </c>
      <c r="L31" s="4">
        <f t="shared" si="0"/>
        <v>206</v>
      </c>
    </row>
    <row r="32" spans="1:12">
      <c r="A32" s="4">
        <f>A31+1</f>
        <v>207</v>
      </c>
      <c r="B32" s="6" t="s">
        <v>452</v>
      </c>
      <c r="C32" s="29">
        <f>C11*$C$29</f>
        <v>4180753.5910251169</v>
      </c>
      <c r="D32" s="29">
        <f>D11*$C$29</f>
        <v>68814.763900220409</v>
      </c>
      <c r="E32" s="29">
        <f>E11*$C$29</f>
        <v>3806839.7127094483</v>
      </c>
      <c r="F32" t="s">
        <v>453</v>
      </c>
      <c r="L32" s="4">
        <f t="shared" si="0"/>
        <v>207</v>
      </c>
    </row>
    <row r="33" spans="1:12" ht="29">
      <c r="A33" s="4">
        <f t="shared" ref="A33:A34" si="5">A32+1</f>
        <v>208</v>
      </c>
      <c r="B33" s="408" t="s">
        <v>454</v>
      </c>
      <c r="C33" s="331">
        <v>0</v>
      </c>
      <c r="D33" s="331">
        <v>0</v>
      </c>
      <c r="E33" s="331">
        <v>0</v>
      </c>
      <c r="F33" s="358"/>
      <c r="L33" s="4">
        <f t="shared" si="0"/>
        <v>208</v>
      </c>
    </row>
    <row r="34" spans="1:12">
      <c r="A34" s="4">
        <f t="shared" si="5"/>
        <v>209</v>
      </c>
      <c r="B34" s="6" t="s">
        <v>455</v>
      </c>
      <c r="C34" s="29">
        <f>C32+C33</f>
        <v>4180753.5910251169</v>
      </c>
      <c r="D34" s="29">
        <f t="shared" ref="D34:E34" si="6">D32+D33</f>
        <v>68814.763900220409</v>
      </c>
      <c r="E34" s="29">
        <f t="shared" si="6"/>
        <v>3806839.7127094483</v>
      </c>
      <c r="F34" t="s">
        <v>316</v>
      </c>
      <c r="L34" s="4">
        <f t="shared" si="0"/>
        <v>209</v>
      </c>
    </row>
    <row r="35" spans="1:12">
      <c r="A35" s="4"/>
      <c r="B35" s="357"/>
      <c r="L35" s="4"/>
    </row>
    <row r="36" spans="1:12">
      <c r="A36" s="4"/>
      <c r="B36" s="41" t="s">
        <v>456</v>
      </c>
      <c r="C36" s="41"/>
      <c r="D36" s="41"/>
      <c r="E36" s="41"/>
      <c r="F36" s="41"/>
      <c r="G36" s="41"/>
      <c r="H36" s="41"/>
      <c r="I36" s="41"/>
      <c r="J36" s="41"/>
      <c r="K36" s="41"/>
      <c r="L36" s="4"/>
    </row>
    <row r="37" spans="1:12">
      <c r="A37" s="4"/>
      <c r="B37" s="5" t="s">
        <v>457</v>
      </c>
      <c r="C37" s="5"/>
      <c r="D37" s="5"/>
      <c r="E37" s="5"/>
      <c r="F37" s="5"/>
      <c r="G37" s="5"/>
      <c r="H37" s="5"/>
      <c r="I37" s="5"/>
      <c r="J37" s="5"/>
      <c r="K37" s="5"/>
      <c r="L37" s="4"/>
    </row>
    <row r="38" spans="1:12">
      <c r="A38" s="3" t="s">
        <v>90</v>
      </c>
      <c r="L38" s="3" t="str">
        <f t="shared" si="0"/>
        <v>Line</v>
      </c>
    </row>
    <row r="39" spans="1:12" ht="29">
      <c r="A39" s="4">
        <v>300</v>
      </c>
      <c r="B39" s="129" t="s">
        <v>458</v>
      </c>
      <c r="C39" s="290" t="str">
        <f t="shared" ref="C39:I39" si="7">C22</f>
        <v>CCSF
(SA No. 275)</v>
      </c>
      <c r="D39" s="290" t="str">
        <f t="shared" si="7"/>
        <v>PWRPA 1 
(SA No. 30)</v>
      </c>
      <c r="E39" s="290" t="str">
        <f t="shared" si="7"/>
        <v>PWRPA 2
(SA No. 56)</v>
      </c>
      <c r="F39" s="290" t="str">
        <f t="shared" si="7"/>
        <v>Shelter Cove
(SA No. 40)</v>
      </c>
      <c r="G39" s="290" t="str">
        <f t="shared" si="7"/>
        <v>WAPA
(SA No. 17)</v>
      </c>
      <c r="H39" s="290" t="str">
        <f t="shared" si="7"/>
        <v>Westside
(SA No. 15)</v>
      </c>
      <c r="I39" s="290" t="str">
        <f t="shared" si="7"/>
        <v>…</v>
      </c>
      <c r="J39" s="110" t="s">
        <v>126</v>
      </c>
      <c r="L39" s="91">
        <f t="shared" si="0"/>
        <v>300</v>
      </c>
    </row>
    <row r="40" spans="1:12">
      <c r="A40" s="4">
        <f>A39+1</f>
        <v>301</v>
      </c>
      <c r="B40" s="81" t="s">
        <v>448</v>
      </c>
      <c r="C40" s="29">
        <f t="shared" ref="C40:I40" si="8">C26</f>
        <v>19886134.664530247</v>
      </c>
      <c r="D40" s="29">
        <f t="shared" si="8"/>
        <v>244417.96900013732</v>
      </c>
      <c r="E40" s="29">
        <f t="shared" si="8"/>
        <v>752345.78201723692</v>
      </c>
      <c r="F40" s="29">
        <f t="shared" si="8"/>
        <v>170750.43021005677</v>
      </c>
      <c r="G40" s="29">
        <f t="shared" si="8"/>
        <v>27252823.91529987</v>
      </c>
      <c r="H40" s="29">
        <f t="shared" si="8"/>
        <v>16590.380227833026</v>
      </c>
      <c r="I40" s="29">
        <f t="shared" si="8"/>
        <v>0</v>
      </c>
      <c r="J40" t="s">
        <v>459</v>
      </c>
      <c r="L40" s="91">
        <f t="shared" si="0"/>
        <v>301</v>
      </c>
    </row>
    <row r="41" spans="1:12" s="86" customFormat="1">
      <c r="A41" s="91">
        <f>A40+1</f>
        <v>302</v>
      </c>
      <c r="B41" s="563" t="s">
        <v>460</v>
      </c>
      <c r="C41" s="535">
        <f>'9-WholesaleRevenues Corrected'!D26+('9-WholesaleRevenues Corrected'!C78*'15-LossFactors'!$C$23/'15-LossFactors'!$C$21)</f>
        <v>1538475.6456424596</v>
      </c>
      <c r="D41" s="535">
        <f>'9-WholesaleRevenues Corrected'!E26+('9-WholesaleRevenues Corrected'!D78*'15-LossFactors'!$C$23/'15-LossFactors'!$C$21)</f>
        <v>9968.0300519485354</v>
      </c>
      <c r="E41" s="535">
        <f>'9-WholesaleRevenues Corrected'!F26</f>
        <v>39641</v>
      </c>
      <c r="F41" s="535">
        <f>'9-WholesaleRevenues Corrected'!G26</f>
        <v>9287</v>
      </c>
      <c r="G41" s="535">
        <f>'9-WholesaleRevenues Corrected'!H26+('9-WholesaleRevenues Corrected'!E78*'15-LossFactors'!$C$23/'15-LossFactors'!$C$21)</f>
        <v>2073623.1507189483</v>
      </c>
      <c r="H41" s="535">
        <f>'9-WholesaleRevenues Corrected'!I26</f>
        <v>786</v>
      </c>
      <c r="I41" s="535">
        <f>'8-DemandForAllocation Corrected'!M24</f>
        <v>0</v>
      </c>
      <c r="J41" s="8" t="s">
        <v>461</v>
      </c>
      <c r="L41" s="91">
        <f t="shared" si="0"/>
        <v>302</v>
      </c>
    </row>
    <row r="42" spans="1:12">
      <c r="A42" s="4">
        <f>A41+1</f>
        <v>303</v>
      </c>
      <c r="B42" s="6" t="s">
        <v>462</v>
      </c>
      <c r="C42" s="543">
        <f>C40/C41</f>
        <v>12.925869006022451</v>
      </c>
      <c r="D42" s="543">
        <f t="shared" ref="D42:H42" si="9">D40/D41</f>
        <v>24.520187813073342</v>
      </c>
      <c r="E42" s="543">
        <f t="shared" si="9"/>
        <v>18.978980904044725</v>
      </c>
      <c r="F42" s="543">
        <f t="shared" si="9"/>
        <v>18.385962120174089</v>
      </c>
      <c r="G42" s="543">
        <f t="shared" si="9"/>
        <v>13.142611716044456</v>
      </c>
      <c r="H42" s="543">
        <f t="shared" si="9"/>
        <v>21.107353979431331</v>
      </c>
      <c r="I42" s="543">
        <f>IF(I41=0,0,I40/I41)</f>
        <v>0</v>
      </c>
      <c r="J42" t="s">
        <v>463</v>
      </c>
      <c r="L42" s="91">
        <f t="shared" si="0"/>
        <v>303</v>
      </c>
    </row>
    <row r="43" spans="1:12">
      <c r="A43" s="4"/>
      <c r="L43" s="91"/>
    </row>
    <row r="44" spans="1:12" ht="29">
      <c r="A44" s="4">
        <f>A42+1</f>
        <v>304</v>
      </c>
      <c r="B44" s="129" t="s">
        <v>464</v>
      </c>
      <c r="C44" s="290" t="str">
        <f>$C$7</f>
        <v>CCSF
(SA No. 275)</v>
      </c>
      <c r="D44" s="290" t="str">
        <f>$D$7</f>
        <v>PWRPA 1 
(SA No. 30)</v>
      </c>
      <c r="E44" s="290" t="str">
        <f>$G$7</f>
        <v>WAPA
(SA No. 17)</v>
      </c>
      <c r="F44" s="110" t="s">
        <v>126</v>
      </c>
      <c r="L44" s="91">
        <f t="shared" si="0"/>
        <v>304</v>
      </c>
    </row>
    <row r="45" spans="1:12">
      <c r="A45" s="4">
        <f>A44+1</f>
        <v>305</v>
      </c>
      <c r="B45" s="81" t="s">
        <v>455</v>
      </c>
      <c r="C45" s="29">
        <f>C34</f>
        <v>4180753.5910251169</v>
      </c>
      <c r="D45" s="29">
        <f>D34</f>
        <v>68814.763900220409</v>
      </c>
      <c r="E45" s="29">
        <f>E34</f>
        <v>3806839.7127094483</v>
      </c>
      <c r="F45" t="s">
        <v>465</v>
      </c>
      <c r="L45" s="91">
        <f t="shared" si="0"/>
        <v>305</v>
      </c>
    </row>
    <row r="46" spans="1:12">
      <c r="A46" s="4">
        <f t="shared" ref="A46:A49" si="10">A45+1</f>
        <v>306</v>
      </c>
      <c r="B46" s="81" t="s">
        <v>466</v>
      </c>
      <c r="C46" s="29">
        <f>C40-(C42*'9-WholesaleRevenues Corrected'!D26)</f>
        <v>9493940.5743428264</v>
      </c>
      <c r="D46" s="29">
        <f>D40-(D42*'9-WholesaleRevenues Corrected'!E26)</f>
        <v>157077.0600099701</v>
      </c>
      <c r="E46" s="29">
        <f>G40-(G42*'9-WholesaleRevenues Corrected'!H26)</f>
        <v>8216310.0890232176</v>
      </c>
      <c r="F46" t="s">
        <v>467</v>
      </c>
      <c r="L46" s="91">
        <f t="shared" si="0"/>
        <v>306</v>
      </c>
    </row>
    <row r="47" spans="1:12">
      <c r="A47" s="4">
        <f t="shared" si="10"/>
        <v>307</v>
      </c>
      <c r="B47" s="81" t="s">
        <v>468</v>
      </c>
      <c r="C47" s="29">
        <f>C46+C45</f>
        <v>13674694.165367942</v>
      </c>
      <c r="D47" s="29">
        <f t="shared" ref="D47:E47" si="11">D46+D45</f>
        <v>225891.82391019049</v>
      </c>
      <c r="E47" s="29">
        <f t="shared" si="11"/>
        <v>12023149.801732667</v>
      </c>
      <c r="F47" s="29" t="s">
        <v>469</v>
      </c>
      <c r="L47" s="91">
        <f t="shared" si="0"/>
        <v>307</v>
      </c>
    </row>
    <row r="48" spans="1:12" s="86" customFormat="1">
      <c r="A48" s="91">
        <f t="shared" si="10"/>
        <v>308</v>
      </c>
      <c r="B48" s="563" t="s">
        <v>470</v>
      </c>
      <c r="C48" s="535">
        <f>'9-WholesaleRevenues Corrected'!C78</f>
        <v>692982.46038429474</v>
      </c>
      <c r="D48" s="535">
        <f>'9-WholesaleRevenues Corrected'!D78</f>
        <v>6044</v>
      </c>
      <c r="E48" s="535">
        <f>'9-WholesaleRevenues Corrected'!E78</f>
        <v>589835.12044000009</v>
      </c>
      <c r="F48" s="536" t="s">
        <v>471</v>
      </c>
      <c r="G48" s="8"/>
      <c r="L48" s="91">
        <f t="shared" si="0"/>
        <v>308</v>
      </c>
    </row>
    <row r="49" spans="1:12">
      <c r="A49" s="4">
        <f t="shared" si="10"/>
        <v>309</v>
      </c>
      <c r="B49" s="6" t="s">
        <v>472</v>
      </c>
      <c r="C49" s="29">
        <f>C47/C48</f>
        <v>19.733102851960517</v>
      </c>
      <c r="D49" s="29">
        <f t="shared" ref="D49:E49" si="12">D47/D48</f>
        <v>37.374557231997102</v>
      </c>
      <c r="E49" s="29">
        <f t="shared" si="12"/>
        <v>20.383916428651691</v>
      </c>
      <c r="F49" t="s">
        <v>473</v>
      </c>
      <c r="L49" s="4">
        <f t="shared" si="0"/>
        <v>309</v>
      </c>
    </row>
    <row r="50" spans="1:12">
      <c r="A50" s="4"/>
      <c r="B50" s="6"/>
      <c r="C50" s="29"/>
      <c r="D50" s="29"/>
      <c r="E50" s="29"/>
      <c r="L50" s="4"/>
    </row>
    <row r="51" spans="1:12">
      <c r="A51" s="4"/>
      <c r="B51" s="6"/>
      <c r="C51" s="29"/>
      <c r="D51" s="29"/>
      <c r="E51" s="29"/>
      <c r="L51" s="4"/>
    </row>
    <row r="52" spans="1:12">
      <c r="A52" s="4"/>
      <c r="B52" s="6"/>
      <c r="C52" s="29"/>
      <c r="D52" s="29"/>
      <c r="E52" s="29"/>
      <c r="L52" s="4"/>
    </row>
    <row r="53" spans="1:12">
      <c r="L53" s="4"/>
    </row>
    <row r="54" spans="1:12">
      <c r="A54" s="2"/>
      <c r="B54" s="41" t="s">
        <v>474</v>
      </c>
      <c r="C54" s="41"/>
      <c r="D54" s="41"/>
      <c r="E54" s="41"/>
      <c r="F54" s="41"/>
      <c r="G54" s="41"/>
      <c r="H54" s="41"/>
      <c r="I54" s="41"/>
      <c r="J54" s="41"/>
      <c r="K54" s="41"/>
      <c r="L54" s="4"/>
    </row>
    <row r="55" spans="1:12">
      <c r="A55" s="2"/>
      <c r="B55" s="737" t="s">
        <v>475</v>
      </c>
      <c r="C55" s="737"/>
      <c r="D55" s="737"/>
      <c r="E55" s="737"/>
      <c r="F55" s="737"/>
      <c r="G55" s="737"/>
      <c r="H55" s="737"/>
      <c r="I55" s="737"/>
      <c r="J55" s="737"/>
      <c r="K55" s="737"/>
      <c r="L55" s="4"/>
    </row>
    <row r="56" spans="1:12">
      <c r="A56" s="2"/>
      <c r="B56" s="737"/>
      <c r="C56" s="737"/>
      <c r="D56" s="737"/>
      <c r="E56" s="737"/>
      <c r="F56" s="737"/>
      <c r="G56" s="737"/>
      <c r="H56" s="737"/>
      <c r="I56" s="737"/>
      <c r="J56" s="737"/>
      <c r="K56" s="737"/>
      <c r="L56" s="4"/>
    </row>
    <row r="57" spans="1:12">
      <c r="A57" s="3" t="s">
        <v>90</v>
      </c>
      <c r="B57" s="738" t="s">
        <v>476</v>
      </c>
      <c r="C57" s="738"/>
      <c r="D57" s="738"/>
      <c r="E57" s="738"/>
      <c r="F57" s="738"/>
      <c r="G57" s="738"/>
      <c r="H57" s="738"/>
      <c r="I57" s="738"/>
      <c r="L57" s="3" t="str">
        <f>A57</f>
        <v>Line</v>
      </c>
    </row>
    <row r="58" spans="1:12" ht="29">
      <c r="A58" s="4">
        <v>400</v>
      </c>
      <c r="B58" s="409"/>
      <c r="C58" s="415" t="str">
        <f>$C$7</f>
        <v>CCSF
(SA No. 275)</v>
      </c>
      <c r="D58" s="415" t="str">
        <f>$D$7</f>
        <v>PWRPA 1 
(SA No. 30)</v>
      </c>
      <c r="E58" s="415" t="str">
        <f>$E$7</f>
        <v>PWRPA 2
(SA No. 56)</v>
      </c>
      <c r="F58" s="415" t="str">
        <f>$F$7</f>
        <v>Shelter Cove
(SA No. 40)</v>
      </c>
      <c r="G58" s="415" t="str">
        <f>$G$7</f>
        <v>WAPA
(SA No. 17)</v>
      </c>
      <c r="H58" s="415" t="str">
        <f>$H$7</f>
        <v>Westside
(SA No. 15)</v>
      </c>
      <c r="I58" s="471" t="s">
        <v>117</v>
      </c>
      <c r="L58" s="4">
        <f>A58</f>
        <v>400</v>
      </c>
    </row>
    <row r="59" spans="1:12">
      <c r="A59" s="4">
        <f>A58+1</f>
        <v>401</v>
      </c>
      <c r="B59" s="410" t="s">
        <v>477</v>
      </c>
      <c r="C59" s="24">
        <f>K96</f>
        <v>629534.19999999995</v>
      </c>
      <c r="D59" s="24">
        <f>K158</f>
        <v>17465.47</v>
      </c>
      <c r="E59" s="24">
        <f>K220</f>
        <v>226392.26</v>
      </c>
      <c r="F59" s="24">
        <f>K252</f>
        <v>38088.03</v>
      </c>
      <c r="G59" s="24">
        <f>K284</f>
        <v>5348552.41</v>
      </c>
      <c r="H59" s="24">
        <f>K346</f>
        <v>3065.89</v>
      </c>
      <c r="I59" s="411"/>
      <c r="L59" s="4">
        <f t="shared" ref="L59:L64" si="13">A59</f>
        <v>401</v>
      </c>
    </row>
    <row r="60" spans="1:12">
      <c r="A60" s="4">
        <f>A59+1</f>
        <v>402</v>
      </c>
      <c r="B60" s="412" t="s">
        <v>478</v>
      </c>
      <c r="C60" s="413" t="s">
        <v>479</v>
      </c>
      <c r="D60" s="413" t="s">
        <v>480</v>
      </c>
      <c r="E60" s="413" t="s">
        <v>481</v>
      </c>
      <c r="F60" s="413" t="s">
        <v>482</v>
      </c>
      <c r="G60" s="413" t="s">
        <v>483</v>
      </c>
      <c r="H60" s="413" t="s">
        <v>484</v>
      </c>
      <c r="I60" s="414"/>
      <c r="L60" s="4">
        <f t="shared" si="13"/>
        <v>402</v>
      </c>
    </row>
    <row r="61" spans="1:12">
      <c r="A61" s="4"/>
      <c r="B61" s="6"/>
      <c r="L61" s="4"/>
    </row>
    <row r="62" spans="1:12" ht="29">
      <c r="A62" s="4">
        <f>A60+1</f>
        <v>403</v>
      </c>
      <c r="B62" s="409"/>
      <c r="C62" s="415" t="str">
        <f>$C$7</f>
        <v>CCSF
(SA No. 275)</v>
      </c>
      <c r="D62" s="415" t="str">
        <f>$D$7</f>
        <v>PWRPA 1 
(SA No. 30)</v>
      </c>
      <c r="E62" s="416" t="str">
        <f>$G$7</f>
        <v>WAPA
(SA No. 17)</v>
      </c>
      <c r="L62" s="4">
        <f t="shared" si="13"/>
        <v>403</v>
      </c>
    </row>
    <row r="63" spans="1:12">
      <c r="A63" s="4">
        <f>A62+1</f>
        <v>404</v>
      </c>
      <c r="B63" s="410" t="s">
        <v>485</v>
      </c>
      <c r="C63" s="24">
        <f>K126</f>
        <v>2467990.7599999998</v>
      </c>
      <c r="D63" s="24">
        <f>K188</f>
        <v>37824.449999999997</v>
      </c>
      <c r="E63" s="475">
        <f>K314</f>
        <v>3424138.77</v>
      </c>
      <c r="L63" s="4">
        <f t="shared" si="13"/>
        <v>404</v>
      </c>
    </row>
    <row r="64" spans="1:12">
      <c r="A64" s="4">
        <f>A63+1</f>
        <v>405</v>
      </c>
      <c r="B64" s="412" t="s">
        <v>478</v>
      </c>
      <c r="C64" s="413" t="s">
        <v>486</v>
      </c>
      <c r="D64" s="413" t="s">
        <v>487</v>
      </c>
      <c r="E64" s="476" t="s">
        <v>488</v>
      </c>
      <c r="L64" s="4">
        <f t="shared" si="13"/>
        <v>405</v>
      </c>
    </row>
    <row r="65" spans="1:12">
      <c r="A65" s="3"/>
      <c r="B65" s="2"/>
    </row>
    <row r="66" spans="1:12">
      <c r="A66" s="3" t="s">
        <v>90</v>
      </c>
      <c r="B66" s="417" t="s">
        <v>489</v>
      </c>
      <c r="C66" s="418" t="s">
        <v>122</v>
      </c>
      <c r="D66" s="418" t="s">
        <v>123</v>
      </c>
      <c r="E66" s="418" t="s">
        <v>124</v>
      </c>
      <c r="F66" s="418" t="s">
        <v>125</v>
      </c>
      <c r="G66" s="418" t="s">
        <v>490</v>
      </c>
      <c r="H66" s="418" t="s">
        <v>491</v>
      </c>
      <c r="I66" s="418" t="s">
        <v>492</v>
      </c>
      <c r="J66" s="418" t="s">
        <v>493</v>
      </c>
      <c r="K66" s="419" t="s">
        <v>494</v>
      </c>
      <c r="L66" s="3" t="str">
        <f>A66</f>
        <v>Line</v>
      </c>
    </row>
    <row r="67" spans="1:12">
      <c r="A67" s="4">
        <v>500</v>
      </c>
      <c r="B67" s="420" t="s">
        <v>495</v>
      </c>
      <c r="C67" s="4"/>
      <c r="D67" s="18" t="s">
        <v>101</v>
      </c>
      <c r="E67" s="18" t="s">
        <v>496</v>
      </c>
      <c r="F67" s="21" t="str">
        <f>""&amp;D66&amp;" - "&amp;E66&amp;""</f>
        <v>Col 2 - Col 3</v>
      </c>
      <c r="G67" s="21" t="s">
        <v>497</v>
      </c>
      <c r="H67" s="21" t="s">
        <v>498</v>
      </c>
      <c r="I67" s="21" t="s">
        <v>499</v>
      </c>
      <c r="J67" s="21" t="s">
        <v>500</v>
      </c>
      <c r="K67" s="421" t="str">
        <f>""&amp;G66&amp;" + "&amp;J66&amp;""</f>
        <v>Col 5 + Col 8</v>
      </c>
      <c r="L67" s="4">
        <f>A67</f>
        <v>500</v>
      </c>
    </row>
    <row r="68" spans="1:12">
      <c r="A68" s="4"/>
      <c r="B68" s="422"/>
      <c r="C68" s="4"/>
      <c r="D68" s="4"/>
      <c r="E68" s="4"/>
      <c r="F68" s="4"/>
      <c r="G68" s="4" t="s">
        <v>501</v>
      </c>
      <c r="H68" s="4"/>
      <c r="I68" s="4"/>
      <c r="J68" s="4"/>
      <c r="K68" s="423" t="s">
        <v>501</v>
      </c>
    </row>
    <row r="69" spans="1:12">
      <c r="B69" s="422"/>
      <c r="C69" s="4"/>
      <c r="D69" s="4" t="s">
        <v>502</v>
      </c>
      <c r="E69" s="4" t="s">
        <v>503</v>
      </c>
      <c r="F69" s="4"/>
      <c r="G69" s="4" t="s">
        <v>504</v>
      </c>
      <c r="H69" s="4"/>
      <c r="I69" s="4"/>
      <c r="J69" s="4"/>
      <c r="K69" s="423" t="s">
        <v>504</v>
      </c>
    </row>
    <row r="70" spans="1:12">
      <c r="A70" s="4"/>
      <c r="B70" s="420"/>
      <c r="C70" s="4"/>
      <c r="D70" s="4" t="s">
        <v>505</v>
      </c>
      <c r="E70" s="4" t="s">
        <v>505</v>
      </c>
      <c r="F70" s="4" t="s">
        <v>506</v>
      </c>
      <c r="G70" s="4" t="s">
        <v>507</v>
      </c>
      <c r="H70" s="4" t="s">
        <v>508</v>
      </c>
      <c r="I70" s="4" t="s">
        <v>502</v>
      </c>
      <c r="J70" s="4" t="s">
        <v>509</v>
      </c>
      <c r="K70" s="423" t="s">
        <v>510</v>
      </c>
    </row>
    <row r="71" spans="1:12">
      <c r="A71" s="4"/>
      <c r="B71" s="424" t="s">
        <v>511</v>
      </c>
      <c r="C71" s="425" t="s">
        <v>512</v>
      </c>
      <c r="D71" s="425" t="s">
        <v>513</v>
      </c>
      <c r="E71" s="425" t="s">
        <v>514</v>
      </c>
      <c r="F71" s="425" t="s">
        <v>515</v>
      </c>
      <c r="G71" s="425" t="s">
        <v>516</v>
      </c>
      <c r="H71" s="425" t="s">
        <v>517</v>
      </c>
      <c r="I71" s="425" t="s">
        <v>518</v>
      </c>
      <c r="J71" s="425" t="s">
        <v>518</v>
      </c>
      <c r="K71" s="426" t="s">
        <v>519</v>
      </c>
    </row>
    <row r="72" spans="1:12">
      <c r="A72" s="4">
        <f>A67+1</f>
        <v>501</v>
      </c>
      <c r="B72" t="s">
        <v>520</v>
      </c>
      <c r="C72" s="21">
        <f>C73-1</f>
        <v>2020</v>
      </c>
      <c r="D72" s="81" t="s">
        <v>521</v>
      </c>
      <c r="E72" s="81" t="s">
        <v>521</v>
      </c>
      <c r="F72" s="21" t="s">
        <v>521</v>
      </c>
      <c r="G72" s="40">
        <v>0</v>
      </c>
      <c r="H72" s="21" t="s">
        <v>521</v>
      </c>
      <c r="I72" s="21" t="s">
        <v>521</v>
      </c>
      <c r="J72" s="40">
        <v>0</v>
      </c>
      <c r="K72" s="13">
        <f>ROUND((G72+J72),2)</f>
        <v>0</v>
      </c>
      <c r="L72" s="4">
        <f t="shared" ref="L72:L96" si="14">A72</f>
        <v>501</v>
      </c>
    </row>
    <row r="73" spans="1:12">
      <c r="A73" s="4">
        <f>A72+1</f>
        <v>502</v>
      </c>
      <c r="B73" t="s">
        <v>522</v>
      </c>
      <c r="C73" s="21">
        <f>'1-DRR Corrected'!$K$2</f>
        <v>2021</v>
      </c>
      <c r="D73" s="396" t="str">
        <f>IF(E73="N/A","N/A",($C$42*'9-WholesaleRevenues Corrected'!D14))</f>
        <v>N/A</v>
      </c>
      <c r="E73" s="396" t="str">
        <f>IF('9-WholesaleRevenues Corrected'!D48="N/A","N/A",'9-WholesaleRevenues Corrected'!D48)</f>
        <v>N/A</v>
      </c>
      <c r="F73" s="406">
        <f t="shared" ref="F73:F84" si="15">IF(E73="N/A",0,D73-E73)</f>
        <v>0</v>
      </c>
      <c r="G73" s="406">
        <f>F73+G72</f>
        <v>0</v>
      </c>
      <c r="H73" s="47">
        <v>3.2500000000000001E-2</v>
      </c>
      <c r="I73" s="13">
        <f>IF(E73="N/A",0,ROUND((F73/2+G72+J72)*H73/12,2))</f>
        <v>0</v>
      </c>
      <c r="J73" s="13">
        <f>I73+J72</f>
        <v>0</v>
      </c>
      <c r="K73" s="13">
        <f t="shared" ref="K73:K96" si="16">ROUND((G73+J73),2)</f>
        <v>0</v>
      </c>
      <c r="L73" s="4">
        <f t="shared" si="14"/>
        <v>502</v>
      </c>
    </row>
    <row r="74" spans="1:12">
      <c r="A74" s="4">
        <f t="shared" ref="A74:A96" si="17">A73+1</f>
        <v>503</v>
      </c>
      <c r="B74" t="s">
        <v>523</v>
      </c>
      <c r="C74" s="21">
        <f>'1-DRR Corrected'!$K$2</f>
        <v>2021</v>
      </c>
      <c r="D74" s="396" t="str">
        <f>IF(E74="N/A","N/A",($C$42*'9-WholesaleRevenues Corrected'!D15))</f>
        <v>N/A</v>
      </c>
      <c r="E74" s="396" t="str">
        <f>IF('9-WholesaleRevenues Corrected'!D49="N/A","N/A",'9-WholesaleRevenues Corrected'!D49)</f>
        <v>N/A</v>
      </c>
      <c r="F74" s="406">
        <f t="shared" si="15"/>
        <v>0</v>
      </c>
      <c r="G74" s="406">
        <f t="shared" ref="G74:G96" si="18">F74+G73</f>
        <v>0</v>
      </c>
      <c r="H74" s="47">
        <v>3.2500000000000001E-2</v>
      </c>
      <c r="I74" s="13">
        <f>IF(E74="N/A",0,ROUND((F74/2+G73+J72)*H74/12,2))</f>
        <v>0</v>
      </c>
      <c r="J74" s="13">
        <f>I74+J73</f>
        <v>0</v>
      </c>
      <c r="K74" s="13">
        <f t="shared" si="16"/>
        <v>0</v>
      </c>
      <c r="L74" s="4">
        <f t="shared" si="14"/>
        <v>503</v>
      </c>
    </row>
    <row r="75" spans="1:12">
      <c r="A75" s="4">
        <f t="shared" si="17"/>
        <v>504</v>
      </c>
      <c r="B75" t="s">
        <v>524</v>
      </c>
      <c r="C75" s="21">
        <f>'1-DRR Corrected'!$K$2</f>
        <v>2021</v>
      </c>
      <c r="D75" s="396" t="str">
        <f>IF(E75="N/A","N/A",($C$42*'9-WholesaleRevenues Corrected'!D16))</f>
        <v>N/A</v>
      </c>
      <c r="E75" s="396" t="str">
        <f>IF('9-WholesaleRevenues Corrected'!D50="N/A","N/A",'9-WholesaleRevenues Corrected'!D50)</f>
        <v>N/A</v>
      </c>
      <c r="F75" s="406">
        <f t="shared" si="15"/>
        <v>0</v>
      </c>
      <c r="G75" s="406">
        <f t="shared" si="18"/>
        <v>0</v>
      </c>
      <c r="H75" s="47">
        <v>3.2500000000000001E-2</v>
      </c>
      <c r="I75" s="13">
        <f>IF(E75="N/A",0,ROUND((F75/2+G74+J72)*H75/12,2))</f>
        <v>0</v>
      </c>
      <c r="J75" s="13">
        <f>I75+J74</f>
        <v>0</v>
      </c>
      <c r="K75" s="13">
        <f t="shared" si="16"/>
        <v>0</v>
      </c>
      <c r="L75" s="4">
        <f t="shared" si="14"/>
        <v>504</v>
      </c>
    </row>
    <row r="76" spans="1:12">
      <c r="A76" s="4">
        <f t="shared" si="17"/>
        <v>505</v>
      </c>
      <c r="B76" t="s">
        <v>525</v>
      </c>
      <c r="C76" s="21">
        <f>'1-DRR Corrected'!$K$2</f>
        <v>2021</v>
      </c>
      <c r="D76" s="396" t="str">
        <f>IF(E76="N/A","N/A",($C$42*'9-WholesaleRevenues Corrected'!D17))</f>
        <v>N/A</v>
      </c>
      <c r="E76" s="396" t="str">
        <f>IF('9-WholesaleRevenues Corrected'!D51="N/A","N/A",'9-WholesaleRevenues Corrected'!D51)</f>
        <v>N/A</v>
      </c>
      <c r="F76" s="406">
        <f t="shared" si="15"/>
        <v>0</v>
      </c>
      <c r="G76" s="406">
        <f t="shared" si="18"/>
        <v>0</v>
      </c>
      <c r="H76" s="47">
        <v>3.2500000000000001E-2</v>
      </c>
      <c r="I76" s="13">
        <f>IF(E76="N/A",0,ROUND((F76/2+G75+J75)*H76/12,2))</f>
        <v>0</v>
      </c>
      <c r="J76" s="13">
        <f t="shared" ref="J76:J96" si="19">I76+J75</f>
        <v>0</v>
      </c>
      <c r="K76" s="13">
        <f t="shared" si="16"/>
        <v>0</v>
      </c>
      <c r="L76" s="4">
        <f t="shared" si="14"/>
        <v>505</v>
      </c>
    </row>
    <row r="77" spans="1:12">
      <c r="A77" s="4">
        <f t="shared" si="17"/>
        <v>506</v>
      </c>
      <c r="B77" t="s">
        <v>526</v>
      </c>
      <c r="C77" s="21">
        <f>'1-DRR Corrected'!$K$2</f>
        <v>2021</v>
      </c>
      <c r="D77" s="396" t="str">
        <f>IF(E77="N/A","N/A",($C$42*'9-WholesaleRevenues Corrected'!D18))</f>
        <v>N/A</v>
      </c>
      <c r="E77" s="396" t="str">
        <f>IF('9-WholesaleRevenues Corrected'!D52="N/A","N/A",'9-WholesaleRevenues Corrected'!D52)</f>
        <v>N/A</v>
      </c>
      <c r="F77" s="406">
        <f t="shared" si="15"/>
        <v>0</v>
      </c>
      <c r="G77" s="406">
        <f t="shared" si="18"/>
        <v>0</v>
      </c>
      <c r="H77" s="47">
        <v>3.2500000000000001E-2</v>
      </c>
      <c r="I77" s="13">
        <f>IF(E77="N/A",0,ROUND((F77/2+G76+J75)*H77/12,2))</f>
        <v>0</v>
      </c>
      <c r="J77" s="13">
        <f t="shared" si="19"/>
        <v>0</v>
      </c>
      <c r="K77" s="13">
        <f t="shared" si="16"/>
        <v>0</v>
      </c>
      <c r="L77" s="4">
        <f t="shared" si="14"/>
        <v>506</v>
      </c>
    </row>
    <row r="78" spans="1:12">
      <c r="A78" s="4">
        <f t="shared" si="17"/>
        <v>507</v>
      </c>
      <c r="B78" t="s">
        <v>527</v>
      </c>
      <c r="C78" s="21">
        <f>'1-DRR Corrected'!$K$2</f>
        <v>2021</v>
      </c>
      <c r="D78" s="396">
        <f>IF(E78="N/A","N/A",($C$42*'9-WholesaleRevenues Corrected'!D19))</f>
        <v>835834.77416211402</v>
      </c>
      <c r="E78" s="396">
        <f>IF('9-WholesaleRevenues Corrected'!D53="N/A","N/A",'9-WholesaleRevenues Corrected'!D53)</f>
        <v>869493.94000000006</v>
      </c>
      <c r="F78" s="406">
        <f t="shared" si="15"/>
        <v>-33659.165837886045</v>
      </c>
      <c r="G78" s="406">
        <f t="shared" si="18"/>
        <v>-33659.165837886045</v>
      </c>
      <c r="H78" s="47">
        <v>3.2500000000000001E-2</v>
      </c>
      <c r="I78" s="13">
        <f>IF(E78="N/A",0,ROUND((F78/2+G77+J75)*H78/12,2))</f>
        <v>-45.58</v>
      </c>
      <c r="J78" s="13">
        <f t="shared" si="19"/>
        <v>-45.58</v>
      </c>
      <c r="K78" s="13">
        <f t="shared" si="16"/>
        <v>-33704.75</v>
      </c>
      <c r="L78" s="4">
        <f t="shared" si="14"/>
        <v>507</v>
      </c>
    </row>
    <row r="79" spans="1:12">
      <c r="A79" s="4">
        <f t="shared" si="17"/>
        <v>508</v>
      </c>
      <c r="B79" t="s">
        <v>528</v>
      </c>
      <c r="C79" s="21">
        <f>'1-DRR Corrected'!$K$2</f>
        <v>2021</v>
      </c>
      <c r="D79" s="396">
        <f>IF(E79="N/A","N/A",($C$42*'9-WholesaleRevenues Corrected'!D20))</f>
        <v>789000.42128911684</v>
      </c>
      <c r="E79" s="396">
        <f>IF('9-WholesaleRevenues Corrected'!D54="N/A","N/A",'9-WholesaleRevenues Corrected'!D54)</f>
        <v>869493.94000000006</v>
      </c>
      <c r="F79" s="406">
        <f t="shared" si="15"/>
        <v>-80493.518710883218</v>
      </c>
      <c r="G79" s="406">
        <f t="shared" si="18"/>
        <v>-114152.68454876926</v>
      </c>
      <c r="H79" s="47">
        <v>3.2500000000000001E-2</v>
      </c>
      <c r="I79" s="13">
        <f>IF(E79="N/A",0,ROUND((F79/2+G78+J78)*H79/12,2))</f>
        <v>-200.29</v>
      </c>
      <c r="J79" s="13">
        <f t="shared" si="19"/>
        <v>-245.87</v>
      </c>
      <c r="K79" s="13">
        <f t="shared" si="16"/>
        <v>-114398.55</v>
      </c>
      <c r="L79" s="4">
        <f t="shared" si="14"/>
        <v>508</v>
      </c>
    </row>
    <row r="80" spans="1:12">
      <c r="A80" s="4">
        <f t="shared" si="17"/>
        <v>509</v>
      </c>
      <c r="B80" t="s">
        <v>529</v>
      </c>
      <c r="C80" s="21">
        <f>'1-DRR Corrected'!$K$2</f>
        <v>2021</v>
      </c>
      <c r="D80" s="396">
        <f>IF(E80="N/A","N/A",($C$42*'9-WholesaleRevenues Corrected'!D21))</f>
        <v>830382.22898756561</v>
      </c>
      <c r="E80" s="396">
        <f>IF('9-WholesaleRevenues Corrected'!D55="N/A","N/A",'9-WholesaleRevenues Corrected'!D55)</f>
        <v>869493.94000000006</v>
      </c>
      <c r="F80" s="406">
        <f t="shared" si="15"/>
        <v>-39111.711012434447</v>
      </c>
      <c r="G80" s="406">
        <f t="shared" si="18"/>
        <v>-153264.39556120371</v>
      </c>
      <c r="H80" s="47">
        <v>3.2500000000000001E-2</v>
      </c>
      <c r="I80" s="13">
        <f>IF(E80="N/A",0,ROUND((F80/2+G79+J78)*H80/12,2))</f>
        <v>-362.25</v>
      </c>
      <c r="J80" s="13">
        <f t="shared" si="19"/>
        <v>-608.12</v>
      </c>
      <c r="K80" s="13">
        <f t="shared" si="16"/>
        <v>-153872.51999999999</v>
      </c>
      <c r="L80" s="4">
        <f t="shared" si="14"/>
        <v>509</v>
      </c>
    </row>
    <row r="81" spans="1:17">
      <c r="A81" s="4">
        <f t="shared" si="17"/>
        <v>510</v>
      </c>
      <c r="B81" t="s">
        <v>530</v>
      </c>
      <c r="C81" s="21">
        <f>'1-DRR Corrected'!$K$2</f>
        <v>2021</v>
      </c>
      <c r="D81" s="396">
        <f>IF(E81="N/A","N/A",($C$42*'9-WholesaleRevenues Corrected'!D22))</f>
        <v>851955.86628294922</v>
      </c>
      <c r="E81" s="396">
        <f>IF('9-WholesaleRevenues Corrected'!D56="N/A","N/A",'9-WholesaleRevenues Corrected'!D56)</f>
        <v>869493.94000000006</v>
      </c>
      <c r="F81" s="406">
        <f t="shared" si="15"/>
        <v>-17538.073717050836</v>
      </c>
      <c r="G81" s="406">
        <f t="shared" si="18"/>
        <v>-170802.46927825455</v>
      </c>
      <c r="H81" s="47">
        <v>3.2500000000000001E-2</v>
      </c>
      <c r="I81" s="13">
        <f>IF(E81="N/A",0,ROUND((F81/2+G80+J78)*H81/12,2))</f>
        <v>-438.96</v>
      </c>
      <c r="J81" s="13">
        <f t="shared" si="19"/>
        <v>-1047.08</v>
      </c>
      <c r="K81" s="13">
        <f t="shared" si="16"/>
        <v>-171849.55</v>
      </c>
      <c r="L81" s="4">
        <f t="shared" si="14"/>
        <v>510</v>
      </c>
    </row>
    <row r="82" spans="1:17">
      <c r="A82" s="4">
        <f t="shared" si="17"/>
        <v>511</v>
      </c>
      <c r="B82" t="s">
        <v>531</v>
      </c>
      <c r="C82" s="21">
        <f>'1-DRR Corrected'!$K$2</f>
        <v>2021</v>
      </c>
      <c r="D82" s="396">
        <f>IF(E82="N/A","N/A",($C$42*'9-WholesaleRevenues Corrected'!D23))</f>
        <v>1025661.8631350907</v>
      </c>
      <c r="E82" s="396">
        <f>IF('9-WholesaleRevenues Corrected'!D57="N/A","N/A",'9-WholesaleRevenues Corrected'!D57)</f>
        <v>627983.43999999959</v>
      </c>
      <c r="F82" s="406">
        <f t="shared" si="15"/>
        <v>397678.42313509108</v>
      </c>
      <c r="G82" s="406">
        <f t="shared" si="18"/>
        <v>226875.95385683654</v>
      </c>
      <c r="H82" s="47">
        <v>3.2500000000000001E-2</v>
      </c>
      <c r="I82" s="13">
        <f>IF(E82="N/A",0,ROUND((F82/2+G81+J81)*H82/12,2))</f>
        <v>73.099999999999994</v>
      </c>
      <c r="J82" s="13">
        <f t="shared" si="19"/>
        <v>-973.9799999999999</v>
      </c>
      <c r="K82" s="13">
        <f t="shared" si="16"/>
        <v>225901.97</v>
      </c>
      <c r="L82" s="4">
        <f t="shared" si="14"/>
        <v>511</v>
      </c>
    </row>
    <row r="83" spans="1:17">
      <c r="A83" s="4">
        <f t="shared" si="17"/>
        <v>512</v>
      </c>
      <c r="B83" t="s">
        <v>532</v>
      </c>
      <c r="C83" s="21">
        <f>'1-DRR Corrected'!$K$2</f>
        <v>2021</v>
      </c>
      <c r="D83" s="396">
        <f>IF(E83="N/A","N/A",($C$42*'9-WholesaleRevenues Corrected'!D24))</f>
        <v>995901.54914952884</v>
      </c>
      <c r="E83" s="396">
        <f>IF('9-WholesaleRevenues Corrected'!D58="N/A","N/A",'9-WholesaleRevenues Corrected'!D58)</f>
        <v>821191.84</v>
      </c>
      <c r="F83" s="406">
        <f t="shared" si="15"/>
        <v>174709.70914952888</v>
      </c>
      <c r="G83" s="406">
        <f t="shared" si="18"/>
        <v>401585.66300636542</v>
      </c>
      <c r="H83" s="47">
        <v>3.2500000000000001E-2</v>
      </c>
      <c r="I83" s="13">
        <f>IF(E83="N/A",0,ROUND((F83/2+G82+J81)*H83/12,2))</f>
        <v>848.21</v>
      </c>
      <c r="J83" s="13">
        <f t="shared" si="19"/>
        <v>-125.76999999999987</v>
      </c>
      <c r="K83" s="13">
        <f t="shared" si="16"/>
        <v>401459.89</v>
      </c>
      <c r="L83" s="4">
        <f t="shared" si="14"/>
        <v>512</v>
      </c>
      <c r="O83" t="s">
        <v>533</v>
      </c>
      <c r="P83" t="s">
        <v>518</v>
      </c>
      <c r="Q83" t="s">
        <v>534</v>
      </c>
    </row>
    <row r="84" spans="1:17">
      <c r="A84" s="4">
        <f t="shared" si="17"/>
        <v>513</v>
      </c>
      <c r="B84" t="s">
        <v>520</v>
      </c>
      <c r="C84" s="21">
        <f>'1-DRR Corrected'!$K$2</f>
        <v>2021</v>
      </c>
      <c r="D84" s="396">
        <f>IF(E84="N/A","N/A",($C$42*'9-WholesaleRevenues Corrected'!D25))</f>
        <v>1024829.592281531</v>
      </c>
      <c r="E84" s="396">
        <f>IF('9-WholesaleRevenues Corrected'!D59="N/A","N/A",'9-WholesaleRevenues Corrected'!D59)</f>
        <v>821191.84</v>
      </c>
      <c r="F84" s="406">
        <f t="shared" si="15"/>
        <v>203637.75228153099</v>
      </c>
      <c r="G84" s="406">
        <f t="shared" si="18"/>
        <v>605223.41528789641</v>
      </c>
      <c r="H84" s="47">
        <v>3.2500000000000001E-2</v>
      </c>
      <c r="I84" s="13">
        <f>IF(E84="N/A",0,ROUND((F84/2+G83+J81)*H84/12,2))</f>
        <v>1360.55</v>
      </c>
      <c r="J84" s="13">
        <f t="shared" si="19"/>
        <v>1234.7800000000002</v>
      </c>
      <c r="K84" s="13">
        <f t="shared" si="16"/>
        <v>606458.19999999995</v>
      </c>
      <c r="L84" s="4">
        <f t="shared" si="14"/>
        <v>513</v>
      </c>
      <c r="N84" t="s">
        <v>535</v>
      </c>
      <c r="O84" s="651">
        <f>G84-'3-ATA Original'!G84</f>
        <v>91951.688164854771</v>
      </c>
      <c r="P84" s="651">
        <f>J84-'3-ATA Original'!J84</f>
        <v>827.7600000000001</v>
      </c>
      <c r="Q84" s="651">
        <f>P84+O84</f>
        <v>92779.448164854766</v>
      </c>
    </row>
    <row r="85" spans="1:17">
      <c r="A85" s="4">
        <f t="shared" si="17"/>
        <v>514</v>
      </c>
      <c r="B85" t="s">
        <v>522</v>
      </c>
      <c r="C85" s="21">
        <f>C84+1</f>
        <v>2022</v>
      </c>
      <c r="D85" s="81" t="s">
        <v>521</v>
      </c>
      <c r="E85" s="81" t="s">
        <v>521</v>
      </c>
      <c r="F85" s="406">
        <v>0</v>
      </c>
      <c r="G85" s="406">
        <f>F85+G84</f>
        <v>605223.41528789641</v>
      </c>
      <c r="H85" s="47">
        <v>3.2500000000000001E-2</v>
      </c>
      <c r="I85" s="13">
        <f t="shared" ref="I85" si="20">ROUND((F85/2+G84+J84)*H85/12,2)</f>
        <v>1642.49</v>
      </c>
      <c r="J85" s="13">
        <f t="shared" si="19"/>
        <v>2877.2700000000004</v>
      </c>
      <c r="K85" s="13">
        <f t="shared" si="16"/>
        <v>608100.68999999994</v>
      </c>
      <c r="L85" s="4">
        <f t="shared" si="14"/>
        <v>514</v>
      </c>
    </row>
    <row r="86" spans="1:17">
      <c r="A86" s="4">
        <f t="shared" si="17"/>
        <v>515</v>
      </c>
      <c r="B86" t="s">
        <v>523</v>
      </c>
      <c r="C86" s="21">
        <f>C85</f>
        <v>2022</v>
      </c>
      <c r="D86" s="81" t="s">
        <v>521</v>
      </c>
      <c r="E86" s="81" t="s">
        <v>521</v>
      </c>
      <c r="F86" s="406">
        <v>0</v>
      </c>
      <c r="G86" s="406">
        <f t="shared" si="18"/>
        <v>605223.41528789641</v>
      </c>
      <c r="H86" s="47">
        <v>3.2500000000000001E-2</v>
      </c>
      <c r="I86" s="13">
        <f t="shared" ref="I86" si="21">ROUND((F86/2+G85+J84)*H86/12,2)</f>
        <v>1642.49</v>
      </c>
      <c r="J86" s="13">
        <f t="shared" si="19"/>
        <v>4519.76</v>
      </c>
      <c r="K86" s="13">
        <f t="shared" si="16"/>
        <v>609743.18000000005</v>
      </c>
      <c r="L86" s="4">
        <f t="shared" si="14"/>
        <v>515</v>
      </c>
    </row>
    <row r="87" spans="1:17">
      <c r="A87" s="4">
        <f t="shared" si="17"/>
        <v>516</v>
      </c>
      <c r="B87" t="s">
        <v>524</v>
      </c>
      <c r="C87" s="21">
        <f t="shared" ref="C87:C96" si="22">C86</f>
        <v>2022</v>
      </c>
      <c r="D87" s="81" t="s">
        <v>521</v>
      </c>
      <c r="E87" s="81" t="s">
        <v>521</v>
      </c>
      <c r="F87" s="406">
        <v>0</v>
      </c>
      <c r="G87" s="406">
        <f t="shared" si="18"/>
        <v>605223.41528789641</v>
      </c>
      <c r="H87" s="47">
        <v>3.2500000000000001E-2</v>
      </c>
      <c r="I87" s="13">
        <f t="shared" ref="I87" si="23">ROUND((F87/2+G86+J84)*H87/12,2)</f>
        <v>1642.49</v>
      </c>
      <c r="J87" s="13">
        <f t="shared" si="19"/>
        <v>6162.25</v>
      </c>
      <c r="K87" s="13">
        <f t="shared" si="16"/>
        <v>611385.67000000004</v>
      </c>
      <c r="L87" s="4">
        <f t="shared" si="14"/>
        <v>516</v>
      </c>
    </row>
    <row r="88" spans="1:17">
      <c r="A88" s="4">
        <f t="shared" si="17"/>
        <v>517</v>
      </c>
      <c r="B88" t="s">
        <v>525</v>
      </c>
      <c r="C88" s="21">
        <f t="shared" si="22"/>
        <v>2022</v>
      </c>
      <c r="D88" s="81" t="s">
        <v>521</v>
      </c>
      <c r="E88" s="81" t="s">
        <v>521</v>
      </c>
      <c r="F88" s="406">
        <v>0</v>
      </c>
      <c r="G88" s="406">
        <f t="shared" si="18"/>
        <v>605223.41528789641</v>
      </c>
      <c r="H88" s="47">
        <v>3.2500000000000001E-2</v>
      </c>
      <c r="I88" s="13">
        <f t="shared" ref="I88" si="24">ROUND((F88/2+G87+J87)*H88/12,2)</f>
        <v>1655.84</v>
      </c>
      <c r="J88" s="13">
        <f t="shared" si="19"/>
        <v>7818.09</v>
      </c>
      <c r="K88" s="13">
        <f t="shared" si="16"/>
        <v>613041.51</v>
      </c>
      <c r="L88" s="4">
        <f t="shared" si="14"/>
        <v>517</v>
      </c>
    </row>
    <row r="89" spans="1:17">
      <c r="A89" s="4">
        <f t="shared" si="17"/>
        <v>518</v>
      </c>
      <c r="B89" t="s">
        <v>526</v>
      </c>
      <c r="C89" s="21">
        <f t="shared" si="22"/>
        <v>2022</v>
      </c>
      <c r="D89" s="81" t="s">
        <v>521</v>
      </c>
      <c r="E89" s="81" t="s">
        <v>521</v>
      </c>
      <c r="F89" s="406">
        <v>0</v>
      </c>
      <c r="G89" s="406">
        <f t="shared" si="18"/>
        <v>605223.41528789641</v>
      </c>
      <c r="H89" s="47">
        <v>3.2500000000000001E-2</v>
      </c>
      <c r="I89" s="13">
        <f t="shared" ref="I89" si="25">ROUND((F89/2+G88+J87)*H89/12,2)</f>
        <v>1655.84</v>
      </c>
      <c r="J89" s="13">
        <f t="shared" si="19"/>
        <v>9473.93</v>
      </c>
      <c r="K89" s="13">
        <f t="shared" si="16"/>
        <v>614697.35</v>
      </c>
      <c r="L89" s="4">
        <f t="shared" si="14"/>
        <v>518</v>
      </c>
    </row>
    <row r="90" spans="1:17">
      <c r="A90" s="4">
        <f t="shared" si="17"/>
        <v>519</v>
      </c>
      <c r="B90" t="s">
        <v>527</v>
      </c>
      <c r="C90" s="21">
        <f t="shared" si="22"/>
        <v>2022</v>
      </c>
      <c r="D90" s="81" t="s">
        <v>521</v>
      </c>
      <c r="E90" s="81" t="s">
        <v>521</v>
      </c>
      <c r="F90" s="406">
        <v>0</v>
      </c>
      <c r="G90" s="406">
        <f t="shared" si="18"/>
        <v>605223.41528789641</v>
      </c>
      <c r="H90" s="47">
        <v>3.2500000000000001E-2</v>
      </c>
      <c r="I90" s="13">
        <f t="shared" ref="I90" si="26">ROUND((F90/2+G89+J87)*H90/12,2)</f>
        <v>1655.84</v>
      </c>
      <c r="J90" s="13">
        <f t="shared" si="19"/>
        <v>11129.77</v>
      </c>
      <c r="K90" s="13">
        <f t="shared" si="16"/>
        <v>616353.18999999994</v>
      </c>
      <c r="L90" s="4">
        <f t="shared" si="14"/>
        <v>519</v>
      </c>
    </row>
    <row r="91" spans="1:17">
      <c r="A91" s="4">
        <f t="shared" si="17"/>
        <v>520</v>
      </c>
      <c r="B91" t="s">
        <v>528</v>
      </c>
      <c r="C91" s="21">
        <f t="shared" si="22"/>
        <v>2022</v>
      </c>
      <c r="D91" s="81" t="s">
        <v>521</v>
      </c>
      <c r="E91" s="81" t="s">
        <v>521</v>
      </c>
      <c r="F91" s="406">
        <v>0</v>
      </c>
      <c r="G91" s="406">
        <f t="shared" si="18"/>
        <v>605223.41528789641</v>
      </c>
      <c r="H91" s="47">
        <v>3.5999999999999997E-2</v>
      </c>
      <c r="I91" s="13">
        <f t="shared" ref="I91" si="27">ROUND((F91/2+G90+J90)*H91/12,2)</f>
        <v>1849.06</v>
      </c>
      <c r="J91" s="13">
        <f t="shared" si="19"/>
        <v>12978.83</v>
      </c>
      <c r="K91" s="13">
        <f t="shared" si="16"/>
        <v>618202.25</v>
      </c>
      <c r="L91" s="4">
        <f t="shared" si="14"/>
        <v>520</v>
      </c>
    </row>
    <row r="92" spans="1:17">
      <c r="A92" s="4">
        <f t="shared" si="17"/>
        <v>521</v>
      </c>
      <c r="B92" t="s">
        <v>529</v>
      </c>
      <c r="C92" s="21">
        <f t="shared" si="22"/>
        <v>2022</v>
      </c>
      <c r="D92" s="81" t="s">
        <v>521</v>
      </c>
      <c r="E92" s="81" t="s">
        <v>521</v>
      </c>
      <c r="F92" s="406">
        <v>0</v>
      </c>
      <c r="G92" s="406">
        <f t="shared" si="18"/>
        <v>605223.41528789641</v>
      </c>
      <c r="H92" s="47">
        <v>3.5999999999999997E-2</v>
      </c>
      <c r="I92" s="13">
        <f t="shared" ref="I92" si="28">ROUND((F92/2+G91+J90)*H92/12,2)</f>
        <v>1849.06</v>
      </c>
      <c r="J92" s="13">
        <f t="shared" si="19"/>
        <v>14827.89</v>
      </c>
      <c r="K92" s="13">
        <f t="shared" si="16"/>
        <v>620051.31000000006</v>
      </c>
      <c r="L92" s="4">
        <f t="shared" si="14"/>
        <v>521</v>
      </c>
    </row>
    <row r="93" spans="1:17">
      <c r="A93" s="4">
        <f t="shared" si="17"/>
        <v>522</v>
      </c>
      <c r="B93" t="s">
        <v>530</v>
      </c>
      <c r="C93" s="21">
        <f t="shared" si="22"/>
        <v>2022</v>
      </c>
      <c r="D93" s="81" t="s">
        <v>521</v>
      </c>
      <c r="E93" s="81" t="s">
        <v>521</v>
      </c>
      <c r="F93" s="406">
        <v>0</v>
      </c>
      <c r="G93" s="406">
        <f t="shared" si="18"/>
        <v>605223.41528789641</v>
      </c>
      <c r="H93" s="47">
        <v>3.5999999999999997E-2</v>
      </c>
      <c r="I93" s="13">
        <f t="shared" ref="I93" si="29">ROUND((F93/2+G92+J90)*H93/12,2)</f>
        <v>1849.06</v>
      </c>
      <c r="J93" s="13">
        <f t="shared" si="19"/>
        <v>16676.95</v>
      </c>
      <c r="K93" s="13">
        <f t="shared" si="16"/>
        <v>621900.37</v>
      </c>
      <c r="L93" s="4">
        <f t="shared" si="14"/>
        <v>522</v>
      </c>
    </row>
    <row r="94" spans="1:17">
      <c r="A94" s="4">
        <f t="shared" si="17"/>
        <v>523</v>
      </c>
      <c r="B94" t="s">
        <v>531</v>
      </c>
      <c r="C94" s="21">
        <f t="shared" si="22"/>
        <v>2022</v>
      </c>
      <c r="D94" s="81" t="s">
        <v>521</v>
      </c>
      <c r="E94" s="81" t="s">
        <v>521</v>
      </c>
      <c r="F94" s="406">
        <v>0</v>
      </c>
      <c r="G94" s="406">
        <f t="shared" si="18"/>
        <v>605223.41528789641</v>
      </c>
      <c r="H94" s="47">
        <v>4.9099999999999998E-2</v>
      </c>
      <c r="I94" s="13">
        <f t="shared" ref="I94" si="30">ROUND((F94/2+G93+J93)*H94/12,2)</f>
        <v>2544.61</v>
      </c>
      <c r="J94" s="13">
        <f t="shared" si="19"/>
        <v>19221.560000000001</v>
      </c>
      <c r="K94" s="13">
        <f t="shared" si="16"/>
        <v>624444.98</v>
      </c>
      <c r="L94" s="4">
        <f t="shared" si="14"/>
        <v>523</v>
      </c>
    </row>
    <row r="95" spans="1:17">
      <c r="A95" s="4">
        <f t="shared" si="17"/>
        <v>524</v>
      </c>
      <c r="B95" t="s">
        <v>532</v>
      </c>
      <c r="C95" s="21">
        <f t="shared" si="22"/>
        <v>2022</v>
      </c>
      <c r="D95" s="81" t="s">
        <v>521</v>
      </c>
      <c r="E95" s="81" t="s">
        <v>521</v>
      </c>
      <c r="F95" s="406">
        <v>0</v>
      </c>
      <c r="G95" s="406">
        <f t="shared" si="18"/>
        <v>605223.41528789641</v>
      </c>
      <c r="H95" s="47">
        <v>4.9099999999999998E-2</v>
      </c>
      <c r="I95" s="13">
        <f t="shared" ref="I95" si="31">ROUND((F95/2+G94+J93)*H95/12,2)</f>
        <v>2544.61</v>
      </c>
      <c r="J95" s="13">
        <f t="shared" si="19"/>
        <v>21766.170000000002</v>
      </c>
      <c r="K95" s="13">
        <f t="shared" si="16"/>
        <v>626989.59</v>
      </c>
      <c r="L95" s="4">
        <f t="shared" si="14"/>
        <v>524</v>
      </c>
    </row>
    <row r="96" spans="1:17">
      <c r="A96" s="4">
        <f t="shared" si="17"/>
        <v>525</v>
      </c>
      <c r="B96" t="s">
        <v>520</v>
      </c>
      <c r="C96" s="21">
        <f t="shared" si="22"/>
        <v>2022</v>
      </c>
      <c r="D96" s="81" t="s">
        <v>521</v>
      </c>
      <c r="E96" s="81" t="s">
        <v>521</v>
      </c>
      <c r="F96" s="652">
        <v>0</v>
      </c>
      <c r="G96" s="652">
        <f t="shared" si="18"/>
        <v>605223.41528789641</v>
      </c>
      <c r="H96" s="407">
        <v>4.9099999999999998E-2</v>
      </c>
      <c r="I96" s="23">
        <f t="shared" ref="I96" si="32">ROUND((F96/2+G95+J93)*H96/12,2)</f>
        <v>2544.61</v>
      </c>
      <c r="J96" s="23">
        <f t="shared" si="19"/>
        <v>24310.780000000002</v>
      </c>
      <c r="K96" s="23">
        <f t="shared" si="16"/>
        <v>629534.19999999995</v>
      </c>
      <c r="L96" s="4">
        <f t="shared" si="14"/>
        <v>525</v>
      </c>
      <c r="O96" s="24"/>
      <c r="P96" s="24"/>
      <c r="Q96" s="24"/>
    </row>
    <row r="97" spans="1:12">
      <c r="A97" s="3"/>
      <c r="B97" s="2"/>
    </row>
    <row r="98" spans="1:12">
      <c r="A98" s="4"/>
      <c r="B98" s="417" t="s">
        <v>489</v>
      </c>
      <c r="C98" s="427"/>
      <c r="D98" s="427"/>
      <c r="E98" s="427"/>
      <c r="F98" s="427"/>
      <c r="G98" s="427" t="s">
        <v>501</v>
      </c>
      <c r="H98" s="427"/>
      <c r="I98" s="427"/>
      <c r="J98" s="427"/>
      <c r="K98" s="428" t="s">
        <v>501</v>
      </c>
    </row>
    <row r="99" spans="1:12">
      <c r="B99" s="420" t="str">
        <f>B67</f>
        <v>CCSF (SA No. 275)</v>
      </c>
      <c r="C99" s="4"/>
      <c r="D99" s="4" t="s">
        <v>536</v>
      </c>
      <c r="E99" s="4" t="s">
        <v>536</v>
      </c>
      <c r="F99" s="4"/>
      <c r="G99" s="4" t="s">
        <v>504</v>
      </c>
      <c r="H99" s="4"/>
      <c r="I99" s="4"/>
      <c r="J99" s="4"/>
      <c r="K99" s="423" t="s">
        <v>504</v>
      </c>
    </row>
    <row r="100" spans="1:12">
      <c r="A100" s="4"/>
      <c r="B100" s="420"/>
      <c r="C100" s="4"/>
      <c r="D100" s="4" t="s">
        <v>502</v>
      </c>
      <c r="E100" s="4" t="s">
        <v>503</v>
      </c>
      <c r="F100" s="4" t="s">
        <v>506</v>
      </c>
      <c r="G100" s="4" t="s">
        <v>507</v>
      </c>
      <c r="H100" s="4" t="s">
        <v>508</v>
      </c>
      <c r="I100" s="4" t="s">
        <v>502</v>
      </c>
      <c r="J100" s="4" t="s">
        <v>509</v>
      </c>
      <c r="K100" s="423" t="s">
        <v>510</v>
      </c>
    </row>
    <row r="101" spans="1:12">
      <c r="A101" s="4"/>
      <c r="B101" s="424" t="s">
        <v>511</v>
      </c>
      <c r="C101" s="425" t="s">
        <v>512</v>
      </c>
      <c r="D101" s="425" t="s">
        <v>513</v>
      </c>
      <c r="E101" s="425" t="s">
        <v>514</v>
      </c>
      <c r="F101" s="425" t="s">
        <v>515</v>
      </c>
      <c r="G101" s="425" t="s">
        <v>516</v>
      </c>
      <c r="H101" s="425" t="s">
        <v>517</v>
      </c>
      <c r="I101" s="425" t="s">
        <v>518</v>
      </c>
      <c r="J101" s="425" t="s">
        <v>518</v>
      </c>
      <c r="K101" s="426" t="s">
        <v>519</v>
      </c>
    </row>
    <row r="102" spans="1:12">
      <c r="A102" s="4">
        <f>A96+1</f>
        <v>526</v>
      </c>
      <c r="B102" t="s">
        <v>520</v>
      </c>
      <c r="C102" s="21">
        <f>C103-1</f>
        <v>2020</v>
      </c>
      <c r="D102" s="81" t="s">
        <v>521</v>
      </c>
      <c r="E102" s="81" t="s">
        <v>521</v>
      </c>
      <c r="F102" s="21" t="s">
        <v>521</v>
      </c>
      <c r="G102" s="40">
        <v>0</v>
      </c>
      <c r="H102" s="21" t="s">
        <v>521</v>
      </c>
      <c r="I102" s="21" t="s">
        <v>521</v>
      </c>
      <c r="J102" s="40">
        <v>0</v>
      </c>
      <c r="K102" s="13">
        <f>ROUND((G102+J102),2)</f>
        <v>0</v>
      </c>
      <c r="L102" s="4">
        <f t="shared" ref="L102:L126" si="33">A102</f>
        <v>526</v>
      </c>
    </row>
    <row r="103" spans="1:12">
      <c r="A103" s="4">
        <f>A102+1</f>
        <v>527</v>
      </c>
      <c r="B103" t="s">
        <v>522</v>
      </c>
      <c r="C103" s="21">
        <f>'1-DRR Corrected'!$K$2</f>
        <v>2021</v>
      </c>
      <c r="D103" s="396" t="str">
        <f>IF(E103="N/A","N/A",'3-ATA Corrected'!$C$49*'9-WholesaleRevenues Corrected'!C66)</f>
        <v>N/A</v>
      </c>
      <c r="E103" s="396" t="str">
        <f>IF('9-WholesaleRevenues Corrected'!C99="N/A","N/A",'9-WholesaleRevenues Corrected'!C99)</f>
        <v>N/A</v>
      </c>
      <c r="F103" s="406">
        <f t="shared" ref="F103:F114" si="34">IF(E103="N/A",0,D103-E103)</f>
        <v>0</v>
      </c>
      <c r="G103" s="406">
        <f>F103+G102</f>
        <v>0</v>
      </c>
      <c r="H103" s="432">
        <f>$H$73</f>
        <v>3.2500000000000001E-2</v>
      </c>
      <c r="I103" s="13">
        <f>IF(E103="N/A",0,ROUND((F103/2+G102+J102)*H103/12,2))</f>
        <v>0</v>
      </c>
      <c r="J103" s="13">
        <f>I103+J102</f>
        <v>0</v>
      </c>
      <c r="K103" s="13">
        <f t="shared" ref="K103:K126" si="35">ROUND((G103+J103),2)</f>
        <v>0</v>
      </c>
      <c r="L103" s="4">
        <f t="shared" si="33"/>
        <v>527</v>
      </c>
    </row>
    <row r="104" spans="1:12">
      <c r="A104" s="4">
        <f t="shared" ref="A104:A126" si="36">A103+1</f>
        <v>528</v>
      </c>
      <c r="B104" t="s">
        <v>523</v>
      </c>
      <c r="C104" s="21">
        <f>'1-DRR Corrected'!$K$2</f>
        <v>2021</v>
      </c>
      <c r="D104" s="396" t="str">
        <f>IF(E104="N/A","N/A",'3-ATA Corrected'!$C$49*'9-WholesaleRevenues Corrected'!C67)</f>
        <v>N/A</v>
      </c>
      <c r="E104" s="396" t="str">
        <f>IF('9-WholesaleRevenues Corrected'!C100="N/A","N/A",'9-WholesaleRevenues Corrected'!C100)</f>
        <v>N/A</v>
      </c>
      <c r="F104" s="406">
        <f t="shared" si="34"/>
        <v>0</v>
      </c>
      <c r="G104" s="406">
        <f t="shared" ref="G104:G114" si="37">F104+G103</f>
        <v>0</v>
      </c>
      <c r="H104" s="432">
        <f>$H$74</f>
        <v>3.2500000000000001E-2</v>
      </c>
      <c r="I104" s="13">
        <f>IF(E104="N/A",0,ROUND((F104/2+G103+J102)*H104/12,2))</f>
        <v>0</v>
      </c>
      <c r="J104" s="13">
        <f>I104+J103</f>
        <v>0</v>
      </c>
      <c r="K104" s="13">
        <f t="shared" si="35"/>
        <v>0</v>
      </c>
      <c r="L104" s="4">
        <f t="shared" si="33"/>
        <v>528</v>
      </c>
    </row>
    <row r="105" spans="1:12">
      <c r="A105" s="4">
        <f t="shared" si="36"/>
        <v>529</v>
      </c>
      <c r="B105" t="s">
        <v>524</v>
      </c>
      <c r="C105" s="21">
        <f>'1-DRR Corrected'!$K$2</f>
        <v>2021</v>
      </c>
      <c r="D105" s="396" t="str">
        <f>IF(E105="N/A","N/A",'3-ATA Corrected'!$C$49*'9-WholesaleRevenues Corrected'!C68)</f>
        <v>N/A</v>
      </c>
      <c r="E105" s="396" t="str">
        <f>IF('9-WholesaleRevenues Corrected'!C101="N/A","N/A",'9-WholesaleRevenues Corrected'!C101)</f>
        <v>N/A</v>
      </c>
      <c r="F105" s="406">
        <f t="shared" si="34"/>
        <v>0</v>
      </c>
      <c r="G105" s="406">
        <f t="shared" si="37"/>
        <v>0</v>
      </c>
      <c r="H105" s="432">
        <f>$H$75</f>
        <v>3.2500000000000001E-2</v>
      </c>
      <c r="I105" s="13">
        <f>IF(E105="N/A",0,ROUND((F105/2+G104+J102)*H105/12,2))</f>
        <v>0</v>
      </c>
      <c r="J105" s="13">
        <f>I105+J104</f>
        <v>0</v>
      </c>
      <c r="K105" s="13">
        <f t="shared" si="35"/>
        <v>0</v>
      </c>
      <c r="L105" s="4">
        <f t="shared" si="33"/>
        <v>529</v>
      </c>
    </row>
    <row r="106" spans="1:12">
      <c r="A106" s="4">
        <f t="shared" si="36"/>
        <v>530</v>
      </c>
      <c r="B106" t="s">
        <v>525</v>
      </c>
      <c r="C106" s="21">
        <f>'1-DRR Corrected'!$K$2</f>
        <v>2021</v>
      </c>
      <c r="D106" s="396" t="str">
        <f>IF(E106="N/A","N/A",'3-ATA Corrected'!$C$49*'9-WholesaleRevenues Corrected'!C69)</f>
        <v>N/A</v>
      </c>
      <c r="E106" s="396" t="str">
        <f>IF('9-WholesaleRevenues Corrected'!C102="N/A","N/A",'9-WholesaleRevenues Corrected'!C102)</f>
        <v>N/A</v>
      </c>
      <c r="F106" s="406">
        <f t="shared" si="34"/>
        <v>0</v>
      </c>
      <c r="G106" s="406">
        <f t="shared" si="37"/>
        <v>0</v>
      </c>
      <c r="H106" s="432">
        <f>$H$76</f>
        <v>3.2500000000000001E-2</v>
      </c>
      <c r="I106" s="13">
        <f>IF(E106="N/A",0,ROUND((F106/2+G105+J105)*H106/12,2))</f>
        <v>0</v>
      </c>
      <c r="J106" s="13">
        <f t="shared" ref="J106:J126" si="38">I106+J105</f>
        <v>0</v>
      </c>
      <c r="K106" s="13">
        <f t="shared" si="35"/>
        <v>0</v>
      </c>
      <c r="L106" s="4">
        <f t="shared" si="33"/>
        <v>530</v>
      </c>
    </row>
    <row r="107" spans="1:12">
      <c r="A107" s="4">
        <f t="shared" si="36"/>
        <v>531</v>
      </c>
      <c r="B107" t="s">
        <v>526</v>
      </c>
      <c r="C107" s="21">
        <f>'1-DRR Corrected'!$K$2</f>
        <v>2021</v>
      </c>
      <c r="D107" s="396" t="str">
        <f>IF(E107="N/A","N/A",'3-ATA Corrected'!$C$49*'9-WholesaleRevenues Corrected'!C70)</f>
        <v>N/A</v>
      </c>
      <c r="E107" s="396" t="str">
        <f>IF('9-WholesaleRevenues Corrected'!C103="N/A","N/A",'9-WholesaleRevenues Corrected'!C103)</f>
        <v>N/A</v>
      </c>
      <c r="F107" s="406">
        <f t="shared" si="34"/>
        <v>0</v>
      </c>
      <c r="G107" s="406">
        <f t="shared" si="37"/>
        <v>0</v>
      </c>
      <c r="H107" s="432">
        <f>$H$77</f>
        <v>3.2500000000000001E-2</v>
      </c>
      <c r="I107" s="13">
        <f>IF(E107="N/A",0,ROUND((F107/2+G106+J105)*H107/12,2))</f>
        <v>0</v>
      </c>
      <c r="J107" s="13">
        <f t="shared" si="38"/>
        <v>0</v>
      </c>
      <c r="K107" s="13">
        <f t="shared" si="35"/>
        <v>0</v>
      </c>
      <c r="L107" s="4">
        <f t="shared" si="33"/>
        <v>531</v>
      </c>
    </row>
    <row r="108" spans="1:12">
      <c r="A108" s="4">
        <f t="shared" si="36"/>
        <v>532</v>
      </c>
      <c r="B108" t="s">
        <v>527</v>
      </c>
      <c r="C108" s="21">
        <f>'1-DRR Corrected'!$K$2</f>
        <v>2021</v>
      </c>
      <c r="D108" s="396">
        <f>IF(E108="N/A","N/A",'3-ATA Corrected'!$C$49*'9-WholesaleRevenues Corrected'!C71)</f>
        <v>1068625.0542493365</v>
      </c>
      <c r="E108" s="396">
        <f>IF('9-WholesaleRevenues Corrected'!C104="N/A","N/A",'9-WholesaleRevenues Corrected'!C104)</f>
        <v>821484.41000000015</v>
      </c>
      <c r="F108" s="406">
        <f t="shared" si="34"/>
        <v>247140.64424933633</v>
      </c>
      <c r="G108" s="406">
        <f t="shared" si="37"/>
        <v>247140.64424933633</v>
      </c>
      <c r="H108" s="432">
        <f>$H$78</f>
        <v>3.2500000000000001E-2</v>
      </c>
      <c r="I108" s="13">
        <f>IF(E108="N/A",0,ROUND((F108/2+G107+J105)*H108/12,2))</f>
        <v>334.67</v>
      </c>
      <c r="J108" s="13">
        <f t="shared" si="38"/>
        <v>334.67</v>
      </c>
      <c r="K108" s="13">
        <f t="shared" si="35"/>
        <v>247475.31</v>
      </c>
      <c r="L108" s="4">
        <f t="shared" si="33"/>
        <v>532</v>
      </c>
    </row>
    <row r="109" spans="1:12">
      <c r="A109" s="4">
        <f t="shared" si="36"/>
        <v>533</v>
      </c>
      <c r="B109" t="s">
        <v>528</v>
      </c>
      <c r="C109" s="21">
        <f>'1-DRR Corrected'!$K$2</f>
        <v>2021</v>
      </c>
      <c r="D109" s="396">
        <f>IF(E109="N/A","N/A",'3-ATA Corrected'!$C$49*'9-WholesaleRevenues Corrected'!C72)</f>
        <v>1041805.6082405131</v>
      </c>
      <c r="E109" s="396">
        <f>IF('9-WholesaleRevenues Corrected'!C105="N/A","N/A",'9-WholesaleRevenues Corrected'!C105)</f>
        <v>821491.66000000015</v>
      </c>
      <c r="F109" s="406">
        <f t="shared" si="34"/>
        <v>220313.94824051298</v>
      </c>
      <c r="G109" s="406">
        <f t="shared" si="37"/>
        <v>467454.59248984931</v>
      </c>
      <c r="H109" s="432">
        <f>$H$79</f>
        <v>3.2500000000000001E-2</v>
      </c>
      <c r="I109" s="13">
        <f>IF(E109="N/A",0,ROUND((F109/2+G108+J108)*H109/12,2))</f>
        <v>968.59</v>
      </c>
      <c r="J109" s="13">
        <f t="shared" si="38"/>
        <v>1303.26</v>
      </c>
      <c r="K109" s="13">
        <f t="shared" si="35"/>
        <v>468757.85</v>
      </c>
      <c r="L109" s="4">
        <f t="shared" si="33"/>
        <v>533</v>
      </c>
    </row>
    <row r="110" spans="1:12">
      <c r="A110" s="4">
        <f t="shared" si="36"/>
        <v>534</v>
      </c>
      <c r="B110" t="s">
        <v>529</v>
      </c>
      <c r="C110" s="21">
        <f>'1-DRR Corrected'!$K$2</f>
        <v>2021</v>
      </c>
      <c r="D110" s="396">
        <f>IF(E110="N/A","N/A",'3-ATA Corrected'!$C$49*'9-WholesaleRevenues Corrected'!C73)</f>
        <v>1137925.2498842303</v>
      </c>
      <c r="E110" s="396">
        <f>IF('9-WholesaleRevenues Corrected'!C106="N/A","N/A",'9-WholesaleRevenues Corrected'!C106)</f>
        <v>820717.92</v>
      </c>
      <c r="F110" s="406">
        <f t="shared" si="34"/>
        <v>317207.32988423028</v>
      </c>
      <c r="G110" s="406">
        <f t="shared" si="37"/>
        <v>784661.92237407959</v>
      </c>
      <c r="H110" s="432">
        <f>$H$80</f>
        <v>3.2500000000000001E-2</v>
      </c>
      <c r="I110" s="13">
        <f>IF(E110="N/A",0,ROUND((F110/2+G109+J108)*H110/12,2))</f>
        <v>1696.48</v>
      </c>
      <c r="J110" s="13">
        <f t="shared" si="38"/>
        <v>2999.74</v>
      </c>
      <c r="K110" s="13">
        <f t="shared" si="35"/>
        <v>787661.66</v>
      </c>
      <c r="L110" s="4">
        <f t="shared" si="33"/>
        <v>534</v>
      </c>
    </row>
    <row r="111" spans="1:12">
      <c r="A111" s="4">
        <f t="shared" si="36"/>
        <v>535</v>
      </c>
      <c r="B111" t="s">
        <v>530</v>
      </c>
      <c r="C111" s="21">
        <f>'1-DRR Corrected'!$K$2</f>
        <v>2021</v>
      </c>
      <c r="D111" s="396">
        <f>IF(E111="N/A","N/A",'3-ATA Corrected'!$C$49*'9-WholesaleRevenues Corrected'!C74)</f>
        <v>1175766.2199780804</v>
      </c>
      <c r="E111" s="396">
        <f>IF('9-WholesaleRevenues Corrected'!C107="N/A","N/A",'9-WholesaleRevenues Corrected'!C107)</f>
        <v>905647.46000000008</v>
      </c>
      <c r="F111" s="406">
        <f t="shared" si="34"/>
        <v>270118.75997808028</v>
      </c>
      <c r="G111" s="406">
        <f t="shared" si="37"/>
        <v>1054780.6823521599</v>
      </c>
      <c r="H111" s="432">
        <f>$H$81</f>
        <v>3.2500000000000001E-2</v>
      </c>
      <c r="I111" s="13">
        <f>IF(E111="N/A",0,ROUND((F111/2+G110+J108)*H111/12,2))</f>
        <v>2491.8200000000002</v>
      </c>
      <c r="J111" s="13">
        <f t="shared" si="38"/>
        <v>5491.5599999999995</v>
      </c>
      <c r="K111" s="13">
        <f t="shared" si="35"/>
        <v>1060272.24</v>
      </c>
      <c r="L111" s="4">
        <f t="shared" si="33"/>
        <v>535</v>
      </c>
    </row>
    <row r="112" spans="1:12">
      <c r="A112" s="4">
        <f t="shared" si="36"/>
        <v>536</v>
      </c>
      <c r="B112" t="s">
        <v>531</v>
      </c>
      <c r="C112" s="21">
        <f>'1-DRR Corrected'!$K$2</f>
        <v>2021</v>
      </c>
      <c r="D112" s="396">
        <f>IF(E112="N/A","N/A",'3-ATA Corrected'!$C$49*'9-WholesaleRevenues Corrected'!C75)</f>
        <v>1229601.5291025545</v>
      </c>
      <c r="E112" s="396">
        <f>IF('9-WholesaleRevenues Corrected'!C108="N/A","N/A",'9-WholesaleRevenues Corrected'!C108)</f>
        <v>757649.72</v>
      </c>
      <c r="F112" s="406">
        <f t="shared" si="34"/>
        <v>471951.80910255457</v>
      </c>
      <c r="G112" s="406">
        <f t="shared" si="37"/>
        <v>1526732.4914547144</v>
      </c>
      <c r="H112" s="432">
        <f>$H$82</f>
        <v>3.2500000000000001E-2</v>
      </c>
      <c r="I112" s="13">
        <f>IF(E112="N/A",0,ROUND((F112/2+G111+J111)*H112/12,2))</f>
        <v>3510.67</v>
      </c>
      <c r="J112" s="13">
        <f t="shared" si="38"/>
        <v>9002.23</v>
      </c>
      <c r="K112" s="13">
        <f t="shared" si="35"/>
        <v>1535734.72</v>
      </c>
      <c r="L112" s="4">
        <f t="shared" si="33"/>
        <v>536</v>
      </c>
    </row>
    <row r="113" spans="1:17">
      <c r="A113" s="4">
        <f t="shared" si="36"/>
        <v>537</v>
      </c>
      <c r="B113" t="s">
        <v>532</v>
      </c>
      <c r="C113" s="21">
        <f>'1-DRR Corrected'!$K$2</f>
        <v>2021</v>
      </c>
      <c r="D113" s="396">
        <f>IF(E113="N/A","N/A",'3-ATA Corrected'!$C$49*'9-WholesaleRevenues Corrected'!C76)</f>
        <v>1210303.9968169339</v>
      </c>
      <c r="E113" s="396">
        <f>IF('9-WholesaleRevenues Corrected'!C109="N/A","N/A",'9-WholesaleRevenues Corrected'!C109)</f>
        <v>825251.91999999993</v>
      </c>
      <c r="F113" s="406">
        <f t="shared" si="34"/>
        <v>385052.07681693393</v>
      </c>
      <c r="G113" s="406">
        <f t="shared" si="37"/>
        <v>1911784.5682716484</v>
      </c>
      <c r="H113" s="432">
        <f>$H$83</f>
        <v>3.2500000000000001E-2</v>
      </c>
      <c r="I113" s="13">
        <f>IF(E113="N/A",0,ROUND((F113/2+G112+J111)*H113/12,2))</f>
        <v>4671.2</v>
      </c>
      <c r="J113" s="13">
        <f t="shared" si="38"/>
        <v>13673.43</v>
      </c>
      <c r="K113" s="13">
        <f t="shared" si="35"/>
        <v>1925458</v>
      </c>
      <c r="L113" s="4">
        <f t="shared" si="33"/>
        <v>537</v>
      </c>
    </row>
    <row r="114" spans="1:17">
      <c r="A114" s="4">
        <f t="shared" si="36"/>
        <v>538</v>
      </c>
      <c r="B114" t="s">
        <v>520</v>
      </c>
      <c r="C114" s="21">
        <f>'1-DRR Corrected'!$K$2</f>
        <v>2021</v>
      </c>
      <c r="D114" s="396">
        <f>IF(E114="N/A","N/A",'3-ATA Corrected'!$C$49*'9-WholesaleRevenues Corrected'!C77)</f>
        <v>1269592.3208149783</v>
      </c>
      <c r="E114" s="396">
        <f>IF('9-WholesaleRevenues Corrected'!C110="N/A","N/A",'9-WholesaleRevenues Corrected'!C110)</f>
        <v>823322.31999999983</v>
      </c>
      <c r="F114" s="406">
        <f t="shared" si="34"/>
        <v>446270.0008149785</v>
      </c>
      <c r="G114" s="406">
        <f t="shared" si="37"/>
        <v>2358054.5690866271</v>
      </c>
      <c r="H114" s="432">
        <f>$H$84</f>
        <v>3.2500000000000001E-2</v>
      </c>
      <c r="I114" s="13">
        <f>IF(E114="N/A",0,ROUND((F114/2+G113+J111)*H114/12,2))</f>
        <v>5796.95</v>
      </c>
      <c r="J114" s="13">
        <f t="shared" si="38"/>
        <v>19470.38</v>
      </c>
      <c r="K114" s="13">
        <f t="shared" si="35"/>
        <v>2377524.9500000002</v>
      </c>
      <c r="L114" s="4">
        <f t="shared" si="33"/>
        <v>538</v>
      </c>
      <c r="O114" s="651">
        <f>G114-'3-ATA Original'!G114</f>
        <v>-541523.1019386556</v>
      </c>
      <c r="P114" s="651">
        <f>J114-'3-ATA Original'!J114</f>
        <v>-4960.619999999999</v>
      </c>
      <c r="Q114" s="651">
        <f>P114+O114</f>
        <v>-546483.7219386556</v>
      </c>
    </row>
    <row r="115" spans="1:17">
      <c r="A115" s="4">
        <f t="shared" si="36"/>
        <v>539</v>
      </c>
      <c r="B115" t="s">
        <v>522</v>
      </c>
      <c r="C115" s="21">
        <f>C114+1</f>
        <v>2022</v>
      </c>
      <c r="D115" s="81" t="s">
        <v>521</v>
      </c>
      <c r="E115" s="81" t="s">
        <v>521</v>
      </c>
      <c r="F115" s="406">
        <v>0</v>
      </c>
      <c r="G115" s="406">
        <f>F115+G114</f>
        <v>2358054.5690866271</v>
      </c>
      <c r="H115" s="432">
        <f>$H$85</f>
        <v>3.2500000000000001E-2</v>
      </c>
      <c r="I115" s="13">
        <f t="shared" ref="I115" si="39">ROUND((F115/2+G114+J114)*H115/12,2)</f>
        <v>6439.13</v>
      </c>
      <c r="J115" s="13">
        <f t="shared" si="38"/>
        <v>25909.510000000002</v>
      </c>
      <c r="K115" s="13">
        <f t="shared" si="35"/>
        <v>2383964.08</v>
      </c>
      <c r="L115" s="4">
        <f t="shared" si="33"/>
        <v>539</v>
      </c>
    </row>
    <row r="116" spans="1:17">
      <c r="A116" s="4">
        <f t="shared" si="36"/>
        <v>540</v>
      </c>
      <c r="B116" t="s">
        <v>523</v>
      </c>
      <c r="C116" s="21">
        <f>C115</f>
        <v>2022</v>
      </c>
      <c r="D116" s="81" t="s">
        <v>521</v>
      </c>
      <c r="E116" s="81" t="s">
        <v>521</v>
      </c>
      <c r="F116" s="406">
        <v>0</v>
      </c>
      <c r="G116" s="406">
        <f t="shared" ref="G116:G126" si="40">F116+G115</f>
        <v>2358054.5690866271</v>
      </c>
      <c r="H116" s="432">
        <f>$H$86</f>
        <v>3.2500000000000001E-2</v>
      </c>
      <c r="I116" s="13">
        <f t="shared" ref="I116" si="41">ROUND((F116/2+G115+J114)*H116/12,2)</f>
        <v>6439.13</v>
      </c>
      <c r="J116" s="13">
        <f t="shared" si="38"/>
        <v>32348.640000000003</v>
      </c>
      <c r="K116" s="13">
        <f t="shared" si="35"/>
        <v>2390403.21</v>
      </c>
      <c r="L116" s="4">
        <f t="shared" si="33"/>
        <v>540</v>
      </c>
    </row>
    <row r="117" spans="1:17">
      <c r="A117" s="4">
        <f t="shared" si="36"/>
        <v>541</v>
      </c>
      <c r="B117" t="s">
        <v>524</v>
      </c>
      <c r="C117" s="21">
        <f t="shared" ref="C117:C126" si="42">C116</f>
        <v>2022</v>
      </c>
      <c r="D117" s="81" t="s">
        <v>521</v>
      </c>
      <c r="E117" s="81" t="s">
        <v>521</v>
      </c>
      <c r="F117" s="406">
        <v>0</v>
      </c>
      <c r="G117" s="406">
        <f t="shared" si="40"/>
        <v>2358054.5690866271</v>
      </c>
      <c r="H117" s="432">
        <f>$H$87</f>
        <v>3.2500000000000001E-2</v>
      </c>
      <c r="I117" s="13">
        <f t="shared" ref="I117" si="43">ROUND((F117/2+G116+J114)*H117/12,2)</f>
        <v>6439.13</v>
      </c>
      <c r="J117" s="13">
        <f t="shared" si="38"/>
        <v>38787.770000000004</v>
      </c>
      <c r="K117" s="13">
        <f t="shared" si="35"/>
        <v>2396842.34</v>
      </c>
      <c r="L117" s="4">
        <f t="shared" si="33"/>
        <v>541</v>
      </c>
    </row>
    <row r="118" spans="1:17">
      <c r="A118" s="4">
        <f t="shared" si="36"/>
        <v>542</v>
      </c>
      <c r="B118" t="s">
        <v>525</v>
      </c>
      <c r="C118" s="21">
        <f t="shared" si="42"/>
        <v>2022</v>
      </c>
      <c r="D118" s="81" t="s">
        <v>521</v>
      </c>
      <c r="E118" s="81" t="s">
        <v>521</v>
      </c>
      <c r="F118" s="406">
        <v>0</v>
      </c>
      <c r="G118" s="406">
        <f t="shared" si="40"/>
        <v>2358054.5690866271</v>
      </c>
      <c r="H118" s="432">
        <f>$H$88</f>
        <v>3.2500000000000001E-2</v>
      </c>
      <c r="I118" s="13">
        <f t="shared" ref="I118" si="44">ROUND((F118/2+G117+J117)*H118/12,2)</f>
        <v>6491.45</v>
      </c>
      <c r="J118" s="13">
        <f t="shared" si="38"/>
        <v>45279.22</v>
      </c>
      <c r="K118" s="13">
        <f t="shared" si="35"/>
        <v>2403333.79</v>
      </c>
      <c r="L118" s="4">
        <f t="shared" si="33"/>
        <v>542</v>
      </c>
    </row>
    <row r="119" spans="1:17">
      <c r="A119" s="4">
        <f t="shared" si="36"/>
        <v>543</v>
      </c>
      <c r="B119" t="s">
        <v>526</v>
      </c>
      <c r="C119" s="21">
        <f t="shared" si="42"/>
        <v>2022</v>
      </c>
      <c r="D119" s="81" t="s">
        <v>521</v>
      </c>
      <c r="E119" s="81" t="s">
        <v>521</v>
      </c>
      <c r="F119" s="406">
        <v>0</v>
      </c>
      <c r="G119" s="406">
        <f t="shared" si="40"/>
        <v>2358054.5690866271</v>
      </c>
      <c r="H119" s="432">
        <f>$H$89</f>
        <v>3.2500000000000001E-2</v>
      </c>
      <c r="I119" s="13">
        <f t="shared" ref="I119" si="45">ROUND((F119/2+G118+J117)*H119/12,2)</f>
        <v>6491.45</v>
      </c>
      <c r="J119" s="13">
        <f t="shared" si="38"/>
        <v>51770.67</v>
      </c>
      <c r="K119" s="13">
        <f t="shared" si="35"/>
        <v>2409825.2400000002</v>
      </c>
      <c r="L119" s="4">
        <f t="shared" si="33"/>
        <v>543</v>
      </c>
    </row>
    <row r="120" spans="1:17">
      <c r="A120" s="4">
        <f t="shared" si="36"/>
        <v>544</v>
      </c>
      <c r="B120" t="s">
        <v>527</v>
      </c>
      <c r="C120" s="21">
        <f t="shared" si="42"/>
        <v>2022</v>
      </c>
      <c r="D120" s="81" t="s">
        <v>521</v>
      </c>
      <c r="E120" s="81" t="s">
        <v>521</v>
      </c>
      <c r="F120" s="406">
        <v>0</v>
      </c>
      <c r="G120" s="406">
        <f t="shared" si="40"/>
        <v>2358054.5690866271</v>
      </c>
      <c r="H120" s="432">
        <f>$H$90</f>
        <v>3.2500000000000001E-2</v>
      </c>
      <c r="I120" s="13">
        <f t="shared" ref="I120" si="46">ROUND((F120/2+G119+J117)*H120/12,2)</f>
        <v>6491.45</v>
      </c>
      <c r="J120" s="13">
        <f t="shared" si="38"/>
        <v>58262.119999999995</v>
      </c>
      <c r="K120" s="13">
        <f t="shared" si="35"/>
        <v>2416316.69</v>
      </c>
      <c r="L120" s="4">
        <f t="shared" si="33"/>
        <v>544</v>
      </c>
    </row>
    <row r="121" spans="1:17">
      <c r="A121" s="4">
        <f t="shared" si="36"/>
        <v>545</v>
      </c>
      <c r="B121" t="s">
        <v>528</v>
      </c>
      <c r="C121" s="21">
        <f t="shared" si="42"/>
        <v>2022</v>
      </c>
      <c r="D121" s="81" t="s">
        <v>521</v>
      </c>
      <c r="E121" s="81" t="s">
        <v>521</v>
      </c>
      <c r="F121" s="406">
        <v>0</v>
      </c>
      <c r="G121" s="406">
        <f t="shared" si="40"/>
        <v>2358054.5690866271</v>
      </c>
      <c r="H121" s="432">
        <f>$H$91</f>
        <v>3.5999999999999997E-2</v>
      </c>
      <c r="I121" s="13">
        <f t="shared" ref="I121" si="47">ROUND((F121/2+G120+J120)*H121/12,2)</f>
        <v>7248.95</v>
      </c>
      <c r="J121" s="13">
        <f t="shared" si="38"/>
        <v>65511.069999999992</v>
      </c>
      <c r="K121" s="13">
        <f t="shared" si="35"/>
        <v>2423565.64</v>
      </c>
      <c r="L121" s="4">
        <f t="shared" si="33"/>
        <v>545</v>
      </c>
    </row>
    <row r="122" spans="1:17">
      <c r="A122" s="4">
        <f t="shared" si="36"/>
        <v>546</v>
      </c>
      <c r="B122" t="s">
        <v>529</v>
      </c>
      <c r="C122" s="21">
        <f t="shared" si="42"/>
        <v>2022</v>
      </c>
      <c r="D122" s="81" t="s">
        <v>521</v>
      </c>
      <c r="E122" s="81" t="s">
        <v>521</v>
      </c>
      <c r="F122" s="406">
        <v>0</v>
      </c>
      <c r="G122" s="406">
        <f t="shared" si="40"/>
        <v>2358054.5690866271</v>
      </c>
      <c r="H122" s="432">
        <f>$H$92</f>
        <v>3.5999999999999997E-2</v>
      </c>
      <c r="I122" s="13">
        <f t="shared" ref="I122" si="48">ROUND((F122/2+G121+J120)*H122/12,2)</f>
        <v>7248.95</v>
      </c>
      <c r="J122" s="13">
        <f t="shared" si="38"/>
        <v>72760.01999999999</v>
      </c>
      <c r="K122" s="13">
        <f t="shared" si="35"/>
        <v>2430814.59</v>
      </c>
      <c r="L122" s="4">
        <f t="shared" si="33"/>
        <v>546</v>
      </c>
    </row>
    <row r="123" spans="1:17">
      <c r="A123" s="4">
        <f t="shared" si="36"/>
        <v>547</v>
      </c>
      <c r="B123" t="s">
        <v>530</v>
      </c>
      <c r="C123" s="21">
        <f t="shared" si="42"/>
        <v>2022</v>
      </c>
      <c r="D123" s="81" t="s">
        <v>521</v>
      </c>
      <c r="E123" s="81" t="s">
        <v>521</v>
      </c>
      <c r="F123" s="406">
        <v>0</v>
      </c>
      <c r="G123" s="406">
        <f t="shared" si="40"/>
        <v>2358054.5690866271</v>
      </c>
      <c r="H123" s="432">
        <f>$H$93</f>
        <v>3.5999999999999997E-2</v>
      </c>
      <c r="I123" s="13">
        <f t="shared" ref="I123" si="49">ROUND((F123/2+G122+J120)*H123/12,2)</f>
        <v>7248.95</v>
      </c>
      <c r="J123" s="13">
        <f t="shared" si="38"/>
        <v>80008.969999999987</v>
      </c>
      <c r="K123" s="13">
        <f t="shared" si="35"/>
        <v>2438063.54</v>
      </c>
      <c r="L123" s="4">
        <f t="shared" si="33"/>
        <v>547</v>
      </c>
    </row>
    <row r="124" spans="1:17">
      <c r="A124" s="4">
        <f t="shared" si="36"/>
        <v>548</v>
      </c>
      <c r="B124" t="s">
        <v>531</v>
      </c>
      <c r="C124" s="21">
        <f t="shared" si="42"/>
        <v>2022</v>
      </c>
      <c r="D124" s="81" t="s">
        <v>521</v>
      </c>
      <c r="E124" s="81" t="s">
        <v>521</v>
      </c>
      <c r="F124" s="406">
        <v>0</v>
      </c>
      <c r="G124" s="406">
        <f t="shared" si="40"/>
        <v>2358054.5690866271</v>
      </c>
      <c r="H124" s="432">
        <f>$H$94</f>
        <v>4.9099999999999998E-2</v>
      </c>
      <c r="I124" s="13">
        <f t="shared" ref="I124" si="50">ROUND((F124/2+G123+J123)*H124/12,2)</f>
        <v>9975.74</v>
      </c>
      <c r="J124" s="13">
        <f t="shared" si="38"/>
        <v>89984.709999999992</v>
      </c>
      <c r="K124" s="13">
        <f t="shared" si="35"/>
        <v>2448039.2799999998</v>
      </c>
      <c r="L124" s="4">
        <f t="shared" si="33"/>
        <v>548</v>
      </c>
    </row>
    <row r="125" spans="1:17">
      <c r="A125" s="4">
        <f t="shared" si="36"/>
        <v>549</v>
      </c>
      <c r="B125" t="s">
        <v>532</v>
      </c>
      <c r="C125" s="21">
        <f t="shared" si="42"/>
        <v>2022</v>
      </c>
      <c r="D125" s="81" t="s">
        <v>521</v>
      </c>
      <c r="E125" s="81" t="s">
        <v>521</v>
      </c>
      <c r="F125" s="406">
        <v>0</v>
      </c>
      <c r="G125" s="406">
        <f t="shared" si="40"/>
        <v>2358054.5690866271</v>
      </c>
      <c r="H125" s="432">
        <f>$H$95</f>
        <v>4.9099999999999998E-2</v>
      </c>
      <c r="I125" s="13">
        <f t="shared" ref="I125" si="51">ROUND((F125/2+G124+J123)*H125/12,2)</f>
        <v>9975.74</v>
      </c>
      <c r="J125" s="13">
        <f t="shared" si="38"/>
        <v>99960.45</v>
      </c>
      <c r="K125" s="13">
        <f t="shared" si="35"/>
        <v>2458015.02</v>
      </c>
      <c r="L125" s="4">
        <f t="shared" si="33"/>
        <v>549</v>
      </c>
    </row>
    <row r="126" spans="1:17">
      <c r="A126" s="4">
        <f t="shared" si="36"/>
        <v>550</v>
      </c>
      <c r="B126" t="s">
        <v>520</v>
      </c>
      <c r="C126" s="21">
        <f t="shared" si="42"/>
        <v>2022</v>
      </c>
      <c r="D126" s="81" t="s">
        <v>521</v>
      </c>
      <c r="E126" s="81" t="s">
        <v>521</v>
      </c>
      <c r="F126" s="652">
        <v>0</v>
      </c>
      <c r="G126" s="652">
        <f t="shared" si="40"/>
        <v>2358054.5690866271</v>
      </c>
      <c r="H126" s="432">
        <f>$H$96</f>
        <v>4.9099999999999998E-2</v>
      </c>
      <c r="I126" s="23">
        <f t="shared" ref="I126" si="52">ROUND((F126/2+G125+J123)*H126/12,2)</f>
        <v>9975.74</v>
      </c>
      <c r="J126" s="23">
        <f t="shared" si="38"/>
        <v>109936.19</v>
      </c>
      <c r="K126" s="23">
        <f t="shared" si="35"/>
        <v>2467990.7599999998</v>
      </c>
      <c r="L126" s="4">
        <f t="shared" si="33"/>
        <v>550</v>
      </c>
      <c r="O126" s="24"/>
      <c r="P126" s="24"/>
      <c r="Q126" s="24"/>
    </row>
    <row r="127" spans="1:17">
      <c r="A127" s="4"/>
      <c r="C127" s="21"/>
      <c r="D127" s="81"/>
      <c r="E127" s="81"/>
      <c r="F127" s="406"/>
      <c r="G127" s="406"/>
      <c r="H127" s="407"/>
      <c r="I127" s="13"/>
      <c r="J127" s="13"/>
      <c r="K127" s="13"/>
      <c r="L127" s="4"/>
    </row>
    <row r="128" spans="1:17">
      <c r="A128" s="3" t="s">
        <v>90</v>
      </c>
      <c r="B128" s="417" t="s">
        <v>489</v>
      </c>
      <c r="C128" s="418" t="s">
        <v>122</v>
      </c>
      <c r="D128" s="418" t="s">
        <v>123</v>
      </c>
      <c r="E128" s="418" t="s">
        <v>124</v>
      </c>
      <c r="F128" s="418" t="s">
        <v>125</v>
      </c>
      <c r="G128" s="418" t="s">
        <v>490</v>
      </c>
      <c r="H128" s="418" t="s">
        <v>491</v>
      </c>
      <c r="I128" s="418" t="s">
        <v>492</v>
      </c>
      <c r="J128" s="418" t="s">
        <v>493</v>
      </c>
      <c r="K128" s="419" t="s">
        <v>494</v>
      </c>
      <c r="L128" s="3" t="str">
        <f t="shared" ref="L128:L129" si="53">A128</f>
        <v>Line</v>
      </c>
    </row>
    <row r="129" spans="1:12">
      <c r="A129" s="4">
        <f>A67+100</f>
        <v>600</v>
      </c>
      <c r="B129" s="420" t="s">
        <v>537</v>
      </c>
      <c r="C129" s="4"/>
      <c r="D129" s="18" t="s">
        <v>101</v>
      </c>
      <c r="E129" s="18" t="s">
        <v>496</v>
      </c>
      <c r="F129" s="21" t="str">
        <f>""&amp;D128&amp;" - "&amp;E128&amp;""</f>
        <v>Col 2 - Col 3</v>
      </c>
      <c r="G129" s="21" t="s">
        <v>497</v>
      </c>
      <c r="H129" s="21" t="s">
        <v>498</v>
      </c>
      <c r="I129" s="21" t="s">
        <v>499</v>
      </c>
      <c r="J129" s="21" t="s">
        <v>500</v>
      </c>
      <c r="K129" s="421" t="str">
        <f>""&amp;G128&amp;" + "&amp;J128&amp;""</f>
        <v>Col 5 + Col 8</v>
      </c>
      <c r="L129" s="4">
        <f t="shared" si="53"/>
        <v>600</v>
      </c>
    </row>
    <row r="130" spans="1:12">
      <c r="A130" s="4"/>
      <c r="B130" s="422"/>
      <c r="C130" s="4"/>
      <c r="D130" s="4"/>
      <c r="E130" s="4"/>
      <c r="F130" s="4"/>
      <c r="G130" s="4" t="s">
        <v>501</v>
      </c>
      <c r="H130" s="4"/>
      <c r="I130" s="4"/>
      <c r="J130" s="4"/>
      <c r="K130" s="423" t="s">
        <v>501</v>
      </c>
    </row>
    <row r="131" spans="1:12">
      <c r="B131" s="422"/>
      <c r="C131" s="4"/>
      <c r="D131" s="4" t="s">
        <v>505</v>
      </c>
      <c r="E131" s="4" t="s">
        <v>505</v>
      </c>
      <c r="F131" s="4"/>
      <c r="G131" s="4" t="s">
        <v>504</v>
      </c>
      <c r="H131" s="4"/>
      <c r="I131" s="4"/>
      <c r="J131" s="4"/>
      <c r="K131" s="423" t="s">
        <v>504</v>
      </c>
    </row>
    <row r="132" spans="1:12">
      <c r="A132" s="4"/>
      <c r="B132" s="420"/>
      <c r="C132" s="4"/>
      <c r="D132" s="4" t="s">
        <v>502</v>
      </c>
      <c r="E132" s="4" t="s">
        <v>503</v>
      </c>
      <c r="F132" s="4" t="s">
        <v>506</v>
      </c>
      <c r="G132" s="4" t="s">
        <v>507</v>
      </c>
      <c r="H132" s="4" t="s">
        <v>508</v>
      </c>
      <c r="I132" s="4" t="s">
        <v>502</v>
      </c>
      <c r="J132" s="4" t="s">
        <v>509</v>
      </c>
      <c r="K132" s="423" t="s">
        <v>510</v>
      </c>
    </row>
    <row r="133" spans="1:12">
      <c r="A133" s="4"/>
      <c r="B133" s="424" t="s">
        <v>511</v>
      </c>
      <c r="C133" s="425" t="s">
        <v>512</v>
      </c>
      <c r="D133" s="425" t="s">
        <v>513</v>
      </c>
      <c r="E133" s="425" t="s">
        <v>514</v>
      </c>
      <c r="F133" s="425" t="s">
        <v>515</v>
      </c>
      <c r="G133" s="425" t="s">
        <v>516</v>
      </c>
      <c r="H133" s="425" t="s">
        <v>517</v>
      </c>
      <c r="I133" s="425" t="s">
        <v>518</v>
      </c>
      <c r="J133" s="425" t="s">
        <v>518</v>
      </c>
      <c r="K133" s="426" t="s">
        <v>519</v>
      </c>
    </row>
    <row r="134" spans="1:12">
      <c r="A134" s="4">
        <f>A129+1</f>
        <v>601</v>
      </c>
      <c r="B134" t="s">
        <v>520</v>
      </c>
      <c r="C134" s="21">
        <f>C135-1</f>
        <v>2020</v>
      </c>
      <c r="D134" s="81" t="s">
        <v>521</v>
      </c>
      <c r="E134" s="81" t="s">
        <v>521</v>
      </c>
      <c r="F134" s="21" t="s">
        <v>521</v>
      </c>
      <c r="G134" s="40">
        <v>0</v>
      </c>
      <c r="H134" s="21" t="s">
        <v>521</v>
      </c>
      <c r="I134" s="21" t="s">
        <v>521</v>
      </c>
      <c r="J134" s="40">
        <v>0</v>
      </c>
      <c r="K134" s="13">
        <f>ROUND((G134+J134),2)</f>
        <v>0</v>
      </c>
      <c r="L134" s="4">
        <f t="shared" ref="L134:L158" si="54">A134</f>
        <v>601</v>
      </c>
    </row>
    <row r="135" spans="1:12">
      <c r="A135" s="4">
        <f>A134+1</f>
        <v>602</v>
      </c>
      <c r="B135" t="s">
        <v>522</v>
      </c>
      <c r="C135" s="21">
        <f>'1-DRR Corrected'!$K$2</f>
        <v>2021</v>
      </c>
      <c r="D135" s="396" t="str">
        <f>IF(E135="N/A","N/A",($D$42*'9-WholesaleRevenues Corrected'!E14))</f>
        <v>N/A</v>
      </c>
      <c r="E135" s="396" t="str">
        <f>IF('9-WholesaleRevenues Corrected'!E48="N/A","N/A",'9-WholesaleRevenues Corrected'!E48)</f>
        <v>N/A</v>
      </c>
      <c r="F135" s="406">
        <f t="shared" ref="F135:F146" si="55">IF(E135="N/A",0,D135-E135)</f>
        <v>0</v>
      </c>
      <c r="G135" s="406">
        <f>F135+G134</f>
        <v>0</v>
      </c>
      <c r="H135" s="432">
        <f>$H$73</f>
        <v>3.2500000000000001E-2</v>
      </c>
      <c r="I135" s="13">
        <f>IF(E135="N/A",0,ROUND((F135/2+G134+J134)*H135/12,2))</f>
        <v>0</v>
      </c>
      <c r="J135" s="13">
        <f>I135+J134</f>
        <v>0</v>
      </c>
      <c r="K135" s="13">
        <f t="shared" ref="K135:K158" si="56">ROUND((G135+J135),2)</f>
        <v>0</v>
      </c>
      <c r="L135" s="4">
        <f t="shared" si="54"/>
        <v>602</v>
      </c>
    </row>
    <row r="136" spans="1:12">
      <c r="A136" s="4">
        <f t="shared" ref="A136:A158" si="57">A135+1</f>
        <v>603</v>
      </c>
      <c r="B136" t="s">
        <v>523</v>
      </c>
      <c r="C136" s="21">
        <f>'1-DRR Corrected'!$K$2</f>
        <v>2021</v>
      </c>
      <c r="D136" s="396" t="str">
        <f>IF(E136="N/A","N/A",($D$42*'9-WholesaleRevenues Corrected'!E15))</f>
        <v>N/A</v>
      </c>
      <c r="E136" s="396" t="str">
        <f>IF('9-WholesaleRevenues Corrected'!E49="N/A","N/A",'9-WholesaleRevenues Corrected'!E49)</f>
        <v>N/A</v>
      </c>
      <c r="F136" s="406">
        <f t="shared" si="55"/>
        <v>0</v>
      </c>
      <c r="G136" s="406">
        <f t="shared" ref="G136:G146" si="58">F136+G135</f>
        <v>0</v>
      </c>
      <c r="H136" s="432">
        <f>$H$74</f>
        <v>3.2500000000000001E-2</v>
      </c>
      <c r="I136" s="13">
        <f>IF(E136="N/A",0,ROUND((F136/2+G135+J134)*H136/12,2))</f>
        <v>0</v>
      </c>
      <c r="J136" s="13">
        <f>I136+J135</f>
        <v>0</v>
      </c>
      <c r="K136" s="13">
        <f t="shared" si="56"/>
        <v>0</v>
      </c>
      <c r="L136" s="4">
        <f t="shared" si="54"/>
        <v>603</v>
      </c>
    </row>
    <row r="137" spans="1:12">
      <c r="A137" s="4">
        <f t="shared" si="57"/>
        <v>604</v>
      </c>
      <c r="B137" t="s">
        <v>524</v>
      </c>
      <c r="C137" s="21">
        <f>'1-DRR Corrected'!$K$2</f>
        <v>2021</v>
      </c>
      <c r="D137" s="396" t="str">
        <f>IF(E137="N/A","N/A",($D$42*'9-WholesaleRevenues Corrected'!E16))</f>
        <v>N/A</v>
      </c>
      <c r="E137" s="396" t="str">
        <f>IF('9-WholesaleRevenues Corrected'!E50="N/A","N/A",'9-WholesaleRevenues Corrected'!E50)</f>
        <v>N/A</v>
      </c>
      <c r="F137" s="406">
        <f t="shared" si="55"/>
        <v>0</v>
      </c>
      <c r="G137" s="406">
        <f t="shared" si="58"/>
        <v>0</v>
      </c>
      <c r="H137" s="432">
        <f>$H$75</f>
        <v>3.2500000000000001E-2</v>
      </c>
      <c r="I137" s="13">
        <f>IF(E137="N/A",0,ROUND((F137/2+G136+J134)*H137/12,2))</f>
        <v>0</v>
      </c>
      <c r="J137" s="13">
        <f>I137+J136</f>
        <v>0</v>
      </c>
      <c r="K137" s="13">
        <f t="shared" si="56"/>
        <v>0</v>
      </c>
      <c r="L137" s="4">
        <f t="shared" si="54"/>
        <v>604</v>
      </c>
    </row>
    <row r="138" spans="1:12">
      <c r="A138" s="4">
        <f t="shared" si="57"/>
        <v>605</v>
      </c>
      <c r="B138" t="s">
        <v>525</v>
      </c>
      <c r="C138" s="21">
        <f>'1-DRR Corrected'!$K$2</f>
        <v>2021</v>
      </c>
      <c r="D138" s="396" t="str">
        <f>IF(E138="N/A","N/A",($D$42*'9-WholesaleRevenues Corrected'!E17))</f>
        <v>N/A</v>
      </c>
      <c r="E138" s="396" t="str">
        <f>IF('9-WholesaleRevenues Corrected'!E51="N/A","N/A",'9-WholesaleRevenues Corrected'!E51)</f>
        <v>N/A</v>
      </c>
      <c r="F138" s="406">
        <f t="shared" si="55"/>
        <v>0</v>
      </c>
      <c r="G138" s="406">
        <f t="shared" si="58"/>
        <v>0</v>
      </c>
      <c r="H138" s="432">
        <f>$H$76</f>
        <v>3.2500000000000001E-2</v>
      </c>
      <c r="I138" s="13">
        <f>IF(E138="N/A",0,ROUND((F138/2+G137+J137)*H138/12,2))</f>
        <v>0</v>
      </c>
      <c r="J138" s="13">
        <f t="shared" ref="J138:J158" si="59">I138+J137</f>
        <v>0</v>
      </c>
      <c r="K138" s="13">
        <f t="shared" si="56"/>
        <v>0</v>
      </c>
      <c r="L138" s="4">
        <f t="shared" si="54"/>
        <v>605</v>
      </c>
    </row>
    <row r="139" spans="1:12">
      <c r="A139" s="4">
        <f t="shared" si="57"/>
        <v>606</v>
      </c>
      <c r="B139" t="s">
        <v>526</v>
      </c>
      <c r="C139" s="21">
        <f>'1-DRR Corrected'!$K$2</f>
        <v>2021</v>
      </c>
      <c r="D139" s="396" t="str">
        <f>IF(E139="N/A","N/A",($D$42*'9-WholesaleRevenues Corrected'!E18))</f>
        <v>N/A</v>
      </c>
      <c r="E139" s="396" t="str">
        <f>IF('9-WholesaleRevenues Corrected'!E52="N/A","N/A",'9-WholesaleRevenues Corrected'!E52)</f>
        <v>N/A</v>
      </c>
      <c r="F139" s="406">
        <f t="shared" si="55"/>
        <v>0</v>
      </c>
      <c r="G139" s="406">
        <f t="shared" si="58"/>
        <v>0</v>
      </c>
      <c r="H139" s="432">
        <f>$H$77</f>
        <v>3.2500000000000001E-2</v>
      </c>
      <c r="I139" s="13">
        <f>IF(E139="N/A",0,ROUND((F139/2+G138+J137)*H139/12,2))</f>
        <v>0</v>
      </c>
      <c r="J139" s="13">
        <f t="shared" si="59"/>
        <v>0</v>
      </c>
      <c r="K139" s="13">
        <f t="shared" si="56"/>
        <v>0</v>
      </c>
      <c r="L139" s="4">
        <f t="shared" si="54"/>
        <v>606</v>
      </c>
    </row>
    <row r="140" spans="1:12">
      <c r="A140" s="4">
        <f t="shared" si="57"/>
        <v>607</v>
      </c>
      <c r="B140" t="s">
        <v>527</v>
      </c>
      <c r="C140" s="21">
        <f>'1-DRR Corrected'!$K$2</f>
        <v>2021</v>
      </c>
      <c r="D140" s="396">
        <f>IF(E140="N/A","N/A",($D$42*'9-WholesaleRevenues Corrected'!E19))</f>
        <v>12309.134282162817</v>
      </c>
      <c r="E140" s="396">
        <f>IF('9-WholesaleRevenues Corrected'!E53="N/A","N/A",'9-WholesaleRevenues Corrected'!E53)</f>
        <v>5612.7199999999993</v>
      </c>
      <c r="F140" s="406">
        <f t="shared" si="55"/>
        <v>6696.4142821628175</v>
      </c>
      <c r="G140" s="406">
        <f t="shared" si="58"/>
        <v>6696.4142821628175</v>
      </c>
      <c r="H140" s="432">
        <f>$H$78</f>
        <v>3.2500000000000001E-2</v>
      </c>
      <c r="I140" s="13">
        <f>IF(E140="N/A",0,ROUND((F140/2+G139+J137)*H140/12,2))</f>
        <v>9.07</v>
      </c>
      <c r="J140" s="13">
        <f t="shared" si="59"/>
        <v>9.07</v>
      </c>
      <c r="K140" s="13">
        <f t="shared" si="56"/>
        <v>6705.48</v>
      </c>
      <c r="L140" s="4">
        <f t="shared" si="54"/>
        <v>607</v>
      </c>
    </row>
    <row r="141" spans="1:12">
      <c r="A141" s="4">
        <f t="shared" si="57"/>
        <v>608</v>
      </c>
      <c r="B141" t="s">
        <v>528</v>
      </c>
      <c r="C141" s="21">
        <f>'1-DRR Corrected'!$K$2</f>
        <v>2021</v>
      </c>
      <c r="D141" s="396">
        <f>IF(E141="N/A","N/A",($D$42*'9-WholesaleRevenues Corrected'!E20))</f>
        <v>10837.923013378417</v>
      </c>
      <c r="E141" s="396">
        <f>IF('9-WholesaleRevenues Corrected'!E54="N/A","N/A",'9-WholesaleRevenues Corrected'!E54)</f>
        <v>5612.7199999999993</v>
      </c>
      <c r="F141" s="406">
        <f t="shared" si="55"/>
        <v>5225.2030133784174</v>
      </c>
      <c r="G141" s="406">
        <f t="shared" si="58"/>
        <v>11921.617295541235</v>
      </c>
      <c r="H141" s="432">
        <f>$H$79</f>
        <v>3.2500000000000001E-2</v>
      </c>
      <c r="I141" s="13">
        <f>IF(E141="N/A",0,ROUND((F141/2+G140+J140)*H141/12,2))</f>
        <v>25.24</v>
      </c>
      <c r="J141" s="13">
        <f t="shared" si="59"/>
        <v>34.31</v>
      </c>
      <c r="K141" s="13">
        <f t="shared" si="56"/>
        <v>11955.93</v>
      </c>
      <c r="L141" s="4">
        <f t="shared" si="54"/>
        <v>608</v>
      </c>
    </row>
    <row r="142" spans="1:12">
      <c r="A142" s="4">
        <f t="shared" si="57"/>
        <v>609</v>
      </c>
      <c r="B142" t="s">
        <v>529</v>
      </c>
      <c r="C142" s="21">
        <f>'1-DRR Corrected'!$K$2</f>
        <v>2021</v>
      </c>
      <c r="D142" s="396">
        <f>IF(E142="N/A","N/A",($D$42*'9-WholesaleRevenues Corrected'!E21))</f>
        <v>9857.1155008554833</v>
      </c>
      <c r="E142" s="396">
        <f>IF('9-WholesaleRevenues Corrected'!E55="N/A","N/A",'9-WholesaleRevenues Corrected'!E55)</f>
        <v>5612.7199999999993</v>
      </c>
      <c r="F142" s="406">
        <f t="shared" si="55"/>
        <v>4244.395500855484</v>
      </c>
      <c r="G142" s="406">
        <f t="shared" si="58"/>
        <v>16166.012796396719</v>
      </c>
      <c r="H142" s="432">
        <f>$H$80</f>
        <v>3.2500000000000001E-2</v>
      </c>
      <c r="I142" s="13">
        <f>IF(E142="N/A",0,ROUND((F142/2+G141+J140)*H142/12,2))</f>
        <v>38.06</v>
      </c>
      <c r="J142" s="13">
        <f t="shared" si="59"/>
        <v>72.37</v>
      </c>
      <c r="K142" s="13">
        <f t="shared" si="56"/>
        <v>16238.38</v>
      </c>
      <c r="L142" s="4">
        <f t="shared" si="54"/>
        <v>609</v>
      </c>
    </row>
    <row r="143" spans="1:12">
      <c r="A143" s="4">
        <f t="shared" si="57"/>
        <v>610</v>
      </c>
      <c r="B143" t="s">
        <v>530</v>
      </c>
      <c r="C143" s="21">
        <f>'1-DRR Corrected'!$K$2</f>
        <v>2021</v>
      </c>
      <c r="D143" s="396">
        <f>IF(E143="N/A","N/A",($D$42*'9-WholesaleRevenues Corrected'!E22))</f>
        <v>7184.4150292304894</v>
      </c>
      <c r="E143" s="396">
        <f>IF('9-WholesaleRevenues Corrected'!E56="N/A","N/A",'9-WholesaleRevenues Corrected'!E56)</f>
        <v>5612.7199999999993</v>
      </c>
      <c r="F143" s="406">
        <f t="shared" si="55"/>
        <v>1571.69502923049</v>
      </c>
      <c r="G143" s="406">
        <f t="shared" si="58"/>
        <v>17737.707825627207</v>
      </c>
      <c r="H143" s="432">
        <f>$H$81</f>
        <v>3.2500000000000001E-2</v>
      </c>
      <c r="I143" s="13">
        <f>IF(E143="N/A",0,ROUND((F143/2+G142+J140)*H143/12,2))</f>
        <v>45.94</v>
      </c>
      <c r="J143" s="13">
        <f t="shared" si="59"/>
        <v>118.31</v>
      </c>
      <c r="K143" s="13">
        <f t="shared" si="56"/>
        <v>17856.02</v>
      </c>
      <c r="L143" s="4">
        <f t="shared" si="54"/>
        <v>610</v>
      </c>
    </row>
    <row r="144" spans="1:12">
      <c r="A144" s="4">
        <f t="shared" si="57"/>
        <v>611</v>
      </c>
      <c r="B144" t="s">
        <v>531</v>
      </c>
      <c r="C144" s="21">
        <f>'1-DRR Corrected'!$K$2</f>
        <v>2021</v>
      </c>
      <c r="D144" s="396">
        <f>IF(E144="N/A","N/A",($D$42*'9-WholesaleRevenues Corrected'!E23))</f>
        <v>6007.4460142029684</v>
      </c>
      <c r="E144" s="396">
        <f>IF('9-WholesaleRevenues Corrected'!E57="N/A","N/A",'9-WholesaleRevenues Corrected'!E57)</f>
        <v>5612.7199999999993</v>
      </c>
      <c r="F144" s="406">
        <f t="shared" si="55"/>
        <v>394.72601420296905</v>
      </c>
      <c r="G144" s="406">
        <f t="shared" si="58"/>
        <v>18132.433839830177</v>
      </c>
      <c r="H144" s="432">
        <f>$H$82</f>
        <v>3.2500000000000001E-2</v>
      </c>
      <c r="I144" s="13">
        <f>IF(E144="N/A",0,ROUND((F144/2+G143+J143)*H144/12,2))</f>
        <v>48.89</v>
      </c>
      <c r="J144" s="13">
        <f t="shared" si="59"/>
        <v>167.2</v>
      </c>
      <c r="K144" s="13">
        <f t="shared" si="56"/>
        <v>18299.63</v>
      </c>
      <c r="L144" s="4">
        <f t="shared" si="54"/>
        <v>611</v>
      </c>
    </row>
    <row r="145" spans="1:17">
      <c r="A145" s="4">
        <f t="shared" si="57"/>
        <v>612</v>
      </c>
      <c r="B145" t="s">
        <v>532</v>
      </c>
      <c r="C145" s="21">
        <f>'1-DRR Corrected'!$K$2</f>
        <v>2021</v>
      </c>
      <c r="D145" s="396">
        <f>IF(E145="N/A","N/A",($D$42*'9-WholesaleRevenues Corrected'!E24))</f>
        <v>4045.8309891571016</v>
      </c>
      <c r="E145" s="396">
        <f>IF('9-WholesaleRevenues Corrected'!E58="N/A","N/A",'9-WholesaleRevenues Corrected'!E58)</f>
        <v>5612.7199999999993</v>
      </c>
      <c r="F145" s="406">
        <f t="shared" si="55"/>
        <v>-1566.8890108428977</v>
      </c>
      <c r="G145" s="406">
        <f t="shared" si="58"/>
        <v>16565.54482898728</v>
      </c>
      <c r="H145" s="432">
        <f>$H$83</f>
        <v>3.2500000000000001E-2</v>
      </c>
      <c r="I145" s="13">
        <f>IF(E145="N/A",0,ROUND((F145/2+G144+J143)*H145/12,2))</f>
        <v>47.31</v>
      </c>
      <c r="J145" s="13">
        <f t="shared" si="59"/>
        <v>214.51</v>
      </c>
      <c r="K145" s="13">
        <f t="shared" si="56"/>
        <v>16780.05</v>
      </c>
      <c r="L145" s="4">
        <f t="shared" si="54"/>
        <v>612</v>
      </c>
    </row>
    <row r="146" spans="1:17">
      <c r="A146" s="4">
        <f t="shared" si="57"/>
        <v>613</v>
      </c>
      <c r="B146" t="s">
        <v>520</v>
      </c>
      <c r="C146" s="21">
        <f>'1-DRR Corrected'!$K$2</f>
        <v>2021</v>
      </c>
      <c r="D146" s="396">
        <f>IF(E146="N/A","N/A",($D$42*'9-WholesaleRevenues Corrected'!E25))</f>
        <v>0</v>
      </c>
      <c r="E146" s="396">
        <f>IF('9-WholesaleRevenues Corrected'!E59="N/A","N/A",'9-WholesaleRevenues Corrected'!E59)</f>
        <v>0</v>
      </c>
      <c r="F146" s="406">
        <f t="shared" si="55"/>
        <v>0</v>
      </c>
      <c r="G146" s="406">
        <f t="shared" si="58"/>
        <v>16565.54482898728</v>
      </c>
      <c r="H146" s="432">
        <f>$H$84</f>
        <v>3.2500000000000001E-2</v>
      </c>
      <c r="I146" s="13">
        <f>IF(E146="N/A",0,ROUND((F146/2+G145+J143)*H146/12,2))</f>
        <v>45.19</v>
      </c>
      <c r="J146" s="13">
        <f t="shared" si="59"/>
        <v>259.7</v>
      </c>
      <c r="K146" s="13">
        <f t="shared" si="56"/>
        <v>16825.240000000002</v>
      </c>
      <c r="L146" s="4">
        <f t="shared" si="54"/>
        <v>613</v>
      </c>
      <c r="O146" s="651">
        <f>G146-'3-ATA Original'!G146</f>
        <v>-291.26392809291065</v>
      </c>
      <c r="P146" s="651">
        <f>J146-'3-ATA Original'!J146</f>
        <v>-3.6200000000000045</v>
      </c>
      <c r="Q146" s="651">
        <f>P146+O146</f>
        <v>-294.88392809291065</v>
      </c>
    </row>
    <row r="147" spans="1:17">
      <c r="A147" s="4">
        <f t="shared" si="57"/>
        <v>614</v>
      </c>
      <c r="B147" t="s">
        <v>522</v>
      </c>
      <c r="C147" s="21">
        <f>C146+1</f>
        <v>2022</v>
      </c>
      <c r="D147" s="81" t="s">
        <v>521</v>
      </c>
      <c r="E147" s="81" t="s">
        <v>521</v>
      </c>
      <c r="F147" s="406">
        <v>0</v>
      </c>
      <c r="G147" s="406">
        <f>F147+G146</f>
        <v>16565.54482898728</v>
      </c>
      <c r="H147" s="432">
        <f>$H$85</f>
        <v>3.2500000000000001E-2</v>
      </c>
      <c r="I147" s="13">
        <f t="shared" ref="I147" si="60">ROUND((F147/2+G146+J146)*H147/12,2)</f>
        <v>45.57</v>
      </c>
      <c r="J147" s="13">
        <f t="shared" si="59"/>
        <v>305.27</v>
      </c>
      <c r="K147" s="13">
        <f t="shared" si="56"/>
        <v>16870.810000000001</v>
      </c>
      <c r="L147" s="4">
        <f t="shared" si="54"/>
        <v>614</v>
      </c>
    </row>
    <row r="148" spans="1:17">
      <c r="A148" s="4">
        <f t="shared" si="57"/>
        <v>615</v>
      </c>
      <c r="B148" t="s">
        <v>523</v>
      </c>
      <c r="C148" s="21">
        <f>C147</f>
        <v>2022</v>
      </c>
      <c r="D148" s="81" t="s">
        <v>521</v>
      </c>
      <c r="E148" s="81" t="s">
        <v>521</v>
      </c>
      <c r="F148" s="406">
        <v>0</v>
      </c>
      <c r="G148" s="406">
        <f t="shared" ref="G148:G158" si="61">F148+G147</f>
        <v>16565.54482898728</v>
      </c>
      <c r="H148" s="432">
        <f>$H$86</f>
        <v>3.2500000000000001E-2</v>
      </c>
      <c r="I148" s="13">
        <f t="shared" ref="I148" si="62">ROUND((F148/2+G147+J146)*H148/12,2)</f>
        <v>45.57</v>
      </c>
      <c r="J148" s="13">
        <f t="shared" si="59"/>
        <v>350.84</v>
      </c>
      <c r="K148" s="13">
        <f t="shared" si="56"/>
        <v>16916.38</v>
      </c>
      <c r="L148" s="4">
        <f t="shared" si="54"/>
        <v>615</v>
      </c>
    </row>
    <row r="149" spans="1:17">
      <c r="A149" s="4">
        <f t="shared" si="57"/>
        <v>616</v>
      </c>
      <c r="B149" t="s">
        <v>524</v>
      </c>
      <c r="C149" s="21">
        <f t="shared" ref="C149:C158" si="63">C148</f>
        <v>2022</v>
      </c>
      <c r="D149" s="81" t="s">
        <v>521</v>
      </c>
      <c r="E149" s="81" t="s">
        <v>521</v>
      </c>
      <c r="F149" s="406">
        <v>0</v>
      </c>
      <c r="G149" s="406">
        <f t="shared" si="61"/>
        <v>16565.54482898728</v>
      </c>
      <c r="H149" s="432">
        <f>$H$87</f>
        <v>3.2500000000000001E-2</v>
      </c>
      <c r="I149" s="13">
        <f t="shared" ref="I149" si="64">ROUND((F149/2+G148+J146)*H149/12,2)</f>
        <v>45.57</v>
      </c>
      <c r="J149" s="13">
        <f t="shared" si="59"/>
        <v>396.40999999999997</v>
      </c>
      <c r="K149" s="13">
        <f t="shared" si="56"/>
        <v>16961.95</v>
      </c>
      <c r="L149" s="4">
        <f t="shared" si="54"/>
        <v>616</v>
      </c>
    </row>
    <row r="150" spans="1:17">
      <c r="A150" s="4">
        <f t="shared" si="57"/>
        <v>617</v>
      </c>
      <c r="B150" t="s">
        <v>525</v>
      </c>
      <c r="C150" s="21">
        <f t="shared" si="63"/>
        <v>2022</v>
      </c>
      <c r="D150" s="81" t="s">
        <v>521</v>
      </c>
      <c r="E150" s="81" t="s">
        <v>521</v>
      </c>
      <c r="F150" s="406">
        <v>0</v>
      </c>
      <c r="G150" s="406">
        <f t="shared" si="61"/>
        <v>16565.54482898728</v>
      </c>
      <c r="H150" s="432">
        <f>$H$88</f>
        <v>3.2500000000000001E-2</v>
      </c>
      <c r="I150" s="13">
        <f t="shared" ref="I150" si="65">ROUND((F150/2+G149+J149)*H150/12,2)</f>
        <v>45.94</v>
      </c>
      <c r="J150" s="13">
        <f t="shared" si="59"/>
        <v>442.34999999999997</v>
      </c>
      <c r="K150" s="13">
        <f t="shared" si="56"/>
        <v>17007.89</v>
      </c>
      <c r="L150" s="4">
        <f t="shared" si="54"/>
        <v>617</v>
      </c>
    </row>
    <row r="151" spans="1:17">
      <c r="A151" s="4">
        <f t="shared" si="57"/>
        <v>618</v>
      </c>
      <c r="B151" t="s">
        <v>526</v>
      </c>
      <c r="C151" s="21">
        <f t="shared" si="63"/>
        <v>2022</v>
      </c>
      <c r="D151" s="81" t="s">
        <v>521</v>
      </c>
      <c r="E151" s="81" t="s">
        <v>521</v>
      </c>
      <c r="F151" s="406">
        <v>0</v>
      </c>
      <c r="G151" s="406">
        <f t="shared" si="61"/>
        <v>16565.54482898728</v>
      </c>
      <c r="H151" s="432">
        <f>$H$89</f>
        <v>3.2500000000000001E-2</v>
      </c>
      <c r="I151" s="13">
        <f t="shared" ref="I151" si="66">ROUND((F151/2+G150+J149)*H151/12,2)</f>
        <v>45.94</v>
      </c>
      <c r="J151" s="13">
        <f t="shared" si="59"/>
        <v>488.28999999999996</v>
      </c>
      <c r="K151" s="13">
        <f t="shared" si="56"/>
        <v>17053.830000000002</v>
      </c>
      <c r="L151" s="4">
        <f t="shared" si="54"/>
        <v>618</v>
      </c>
    </row>
    <row r="152" spans="1:17">
      <c r="A152" s="4">
        <f t="shared" si="57"/>
        <v>619</v>
      </c>
      <c r="B152" t="s">
        <v>527</v>
      </c>
      <c r="C152" s="21">
        <f t="shared" si="63"/>
        <v>2022</v>
      </c>
      <c r="D152" s="81" t="s">
        <v>521</v>
      </c>
      <c r="E152" s="81" t="s">
        <v>521</v>
      </c>
      <c r="F152" s="406">
        <v>0</v>
      </c>
      <c r="G152" s="406">
        <f t="shared" si="61"/>
        <v>16565.54482898728</v>
      </c>
      <c r="H152" s="432">
        <f>$H$90</f>
        <v>3.2500000000000001E-2</v>
      </c>
      <c r="I152" s="13">
        <f t="shared" ref="I152" si="67">ROUND((F152/2+G151+J149)*H152/12,2)</f>
        <v>45.94</v>
      </c>
      <c r="J152" s="13">
        <f t="shared" si="59"/>
        <v>534.23</v>
      </c>
      <c r="K152" s="13">
        <f t="shared" si="56"/>
        <v>17099.77</v>
      </c>
      <c r="L152" s="4">
        <f t="shared" si="54"/>
        <v>619</v>
      </c>
    </row>
    <row r="153" spans="1:17">
      <c r="A153" s="4">
        <f t="shared" si="57"/>
        <v>620</v>
      </c>
      <c r="B153" t="s">
        <v>528</v>
      </c>
      <c r="C153" s="21">
        <f t="shared" si="63"/>
        <v>2022</v>
      </c>
      <c r="D153" s="81" t="s">
        <v>521</v>
      </c>
      <c r="E153" s="81" t="s">
        <v>521</v>
      </c>
      <c r="F153" s="406">
        <v>0</v>
      </c>
      <c r="G153" s="406">
        <f t="shared" si="61"/>
        <v>16565.54482898728</v>
      </c>
      <c r="H153" s="432">
        <f>$H$91</f>
        <v>3.5999999999999997E-2</v>
      </c>
      <c r="I153" s="13">
        <f t="shared" ref="I153" si="68">ROUND((F153/2+G152+J152)*H153/12,2)</f>
        <v>51.3</v>
      </c>
      <c r="J153" s="13">
        <f t="shared" si="59"/>
        <v>585.53</v>
      </c>
      <c r="K153" s="13">
        <f t="shared" si="56"/>
        <v>17151.07</v>
      </c>
      <c r="L153" s="4">
        <f t="shared" si="54"/>
        <v>620</v>
      </c>
    </row>
    <row r="154" spans="1:17">
      <c r="A154" s="4">
        <f t="shared" si="57"/>
        <v>621</v>
      </c>
      <c r="B154" t="s">
        <v>529</v>
      </c>
      <c r="C154" s="21">
        <f t="shared" si="63"/>
        <v>2022</v>
      </c>
      <c r="D154" s="81" t="s">
        <v>521</v>
      </c>
      <c r="E154" s="81" t="s">
        <v>521</v>
      </c>
      <c r="F154" s="406">
        <v>0</v>
      </c>
      <c r="G154" s="406">
        <f t="shared" si="61"/>
        <v>16565.54482898728</v>
      </c>
      <c r="H154" s="432">
        <f>$H$92</f>
        <v>3.5999999999999997E-2</v>
      </c>
      <c r="I154" s="13">
        <f t="shared" ref="I154" si="69">ROUND((F154/2+G153+J152)*H154/12,2)</f>
        <v>51.3</v>
      </c>
      <c r="J154" s="13">
        <f t="shared" si="59"/>
        <v>636.82999999999993</v>
      </c>
      <c r="K154" s="13">
        <f t="shared" si="56"/>
        <v>17202.37</v>
      </c>
      <c r="L154" s="4">
        <f t="shared" si="54"/>
        <v>621</v>
      </c>
    </row>
    <row r="155" spans="1:17">
      <c r="A155" s="4">
        <f t="shared" si="57"/>
        <v>622</v>
      </c>
      <c r="B155" t="s">
        <v>530</v>
      </c>
      <c r="C155" s="21">
        <f t="shared" si="63"/>
        <v>2022</v>
      </c>
      <c r="D155" s="81" t="s">
        <v>521</v>
      </c>
      <c r="E155" s="81" t="s">
        <v>521</v>
      </c>
      <c r="F155" s="406">
        <v>0</v>
      </c>
      <c r="G155" s="406">
        <f t="shared" si="61"/>
        <v>16565.54482898728</v>
      </c>
      <c r="H155" s="432">
        <f>$H$93</f>
        <v>3.5999999999999997E-2</v>
      </c>
      <c r="I155" s="13">
        <f t="shared" ref="I155" si="70">ROUND((F155/2+G154+J152)*H155/12,2)</f>
        <v>51.3</v>
      </c>
      <c r="J155" s="13">
        <f t="shared" si="59"/>
        <v>688.12999999999988</v>
      </c>
      <c r="K155" s="13">
        <f t="shared" si="56"/>
        <v>17253.669999999998</v>
      </c>
      <c r="L155" s="4">
        <f t="shared" si="54"/>
        <v>622</v>
      </c>
    </row>
    <row r="156" spans="1:17">
      <c r="A156" s="4">
        <f t="shared" si="57"/>
        <v>623</v>
      </c>
      <c r="B156" t="s">
        <v>531</v>
      </c>
      <c r="C156" s="21">
        <f t="shared" si="63"/>
        <v>2022</v>
      </c>
      <c r="D156" s="81" t="s">
        <v>521</v>
      </c>
      <c r="E156" s="81" t="s">
        <v>521</v>
      </c>
      <c r="F156" s="406">
        <v>0</v>
      </c>
      <c r="G156" s="406">
        <f t="shared" si="61"/>
        <v>16565.54482898728</v>
      </c>
      <c r="H156" s="432">
        <f>$H$94</f>
        <v>4.9099999999999998E-2</v>
      </c>
      <c r="I156" s="13">
        <f t="shared" ref="I156" si="71">ROUND((F156/2+G155+J155)*H156/12,2)</f>
        <v>70.599999999999994</v>
      </c>
      <c r="J156" s="13">
        <f t="shared" si="59"/>
        <v>758.7299999999999</v>
      </c>
      <c r="K156" s="13">
        <f t="shared" si="56"/>
        <v>17324.27</v>
      </c>
      <c r="L156" s="4">
        <f t="shared" si="54"/>
        <v>623</v>
      </c>
    </row>
    <row r="157" spans="1:17">
      <c r="A157" s="4">
        <f t="shared" si="57"/>
        <v>624</v>
      </c>
      <c r="B157" t="s">
        <v>532</v>
      </c>
      <c r="C157" s="21">
        <f t="shared" si="63"/>
        <v>2022</v>
      </c>
      <c r="D157" s="81" t="s">
        <v>521</v>
      </c>
      <c r="E157" s="81" t="s">
        <v>521</v>
      </c>
      <c r="F157" s="406">
        <v>0</v>
      </c>
      <c r="G157" s="406">
        <f t="shared" si="61"/>
        <v>16565.54482898728</v>
      </c>
      <c r="H157" s="432">
        <f>$H$95</f>
        <v>4.9099999999999998E-2</v>
      </c>
      <c r="I157" s="13">
        <f t="shared" ref="I157" si="72">ROUND((F157/2+G156+J155)*H157/12,2)</f>
        <v>70.599999999999994</v>
      </c>
      <c r="J157" s="13">
        <f t="shared" si="59"/>
        <v>829.32999999999993</v>
      </c>
      <c r="K157" s="13">
        <f t="shared" si="56"/>
        <v>17394.87</v>
      </c>
      <c r="L157" s="4">
        <f t="shared" si="54"/>
        <v>624</v>
      </c>
    </row>
    <row r="158" spans="1:17">
      <c r="A158" s="4">
        <f t="shared" si="57"/>
        <v>625</v>
      </c>
      <c r="B158" t="s">
        <v>520</v>
      </c>
      <c r="C158" s="21">
        <f t="shared" si="63"/>
        <v>2022</v>
      </c>
      <c r="D158" s="81" t="s">
        <v>521</v>
      </c>
      <c r="E158" s="81" t="s">
        <v>521</v>
      </c>
      <c r="F158" s="652">
        <v>0</v>
      </c>
      <c r="G158" s="652">
        <f t="shared" si="61"/>
        <v>16565.54482898728</v>
      </c>
      <c r="H158" s="432">
        <f>$H$96</f>
        <v>4.9099999999999998E-2</v>
      </c>
      <c r="I158" s="23">
        <f t="shared" ref="I158" si="73">ROUND((F158/2+G157+J155)*H158/12,2)</f>
        <v>70.599999999999994</v>
      </c>
      <c r="J158" s="23">
        <f t="shared" si="59"/>
        <v>899.93</v>
      </c>
      <c r="K158" s="23">
        <f t="shared" si="56"/>
        <v>17465.47</v>
      </c>
      <c r="L158" s="4">
        <f t="shared" si="54"/>
        <v>625</v>
      </c>
      <c r="O158" s="24"/>
      <c r="P158" s="24"/>
      <c r="Q158" s="24"/>
    </row>
    <row r="159" spans="1:17">
      <c r="A159" s="4"/>
      <c r="C159" s="21"/>
      <c r="D159" s="81"/>
      <c r="E159" s="81"/>
      <c r="F159" s="406"/>
      <c r="G159" s="406"/>
      <c r="H159" s="407"/>
      <c r="I159" s="13"/>
      <c r="J159" s="13"/>
      <c r="K159" s="13"/>
      <c r="L159" s="4"/>
    </row>
    <row r="160" spans="1:17">
      <c r="A160" s="4"/>
      <c r="B160" s="417" t="s">
        <v>489</v>
      </c>
      <c r="C160" s="427"/>
      <c r="D160" s="427"/>
      <c r="E160" s="427"/>
      <c r="F160" s="427"/>
      <c r="G160" s="427" t="s">
        <v>501</v>
      </c>
      <c r="H160" s="427"/>
      <c r="I160" s="427"/>
      <c r="J160" s="427"/>
      <c r="K160" s="428" t="s">
        <v>501</v>
      </c>
    </row>
    <row r="161" spans="1:17">
      <c r="B161" s="420" t="str">
        <f>B129</f>
        <v>PWRPA 1  (SA No. 30)</v>
      </c>
      <c r="C161" s="4"/>
      <c r="D161" s="4" t="s">
        <v>536</v>
      </c>
      <c r="E161" s="4" t="s">
        <v>536</v>
      </c>
      <c r="F161" s="4"/>
      <c r="G161" s="4" t="s">
        <v>504</v>
      </c>
      <c r="H161" s="4"/>
      <c r="I161" s="4"/>
      <c r="J161" s="4"/>
      <c r="K161" s="423" t="s">
        <v>504</v>
      </c>
    </row>
    <row r="162" spans="1:17">
      <c r="A162" s="4"/>
      <c r="B162" s="420"/>
      <c r="C162" s="4"/>
      <c r="D162" s="4" t="s">
        <v>502</v>
      </c>
      <c r="E162" s="4" t="s">
        <v>503</v>
      </c>
      <c r="F162" s="4" t="s">
        <v>506</v>
      </c>
      <c r="G162" s="4" t="s">
        <v>507</v>
      </c>
      <c r="H162" s="4" t="s">
        <v>508</v>
      </c>
      <c r="I162" s="4" t="s">
        <v>502</v>
      </c>
      <c r="J162" s="4" t="s">
        <v>509</v>
      </c>
      <c r="K162" s="423" t="s">
        <v>510</v>
      </c>
    </row>
    <row r="163" spans="1:17">
      <c r="A163" s="4"/>
      <c r="B163" s="424" t="s">
        <v>511</v>
      </c>
      <c r="C163" s="425" t="s">
        <v>512</v>
      </c>
      <c r="D163" s="425" t="s">
        <v>513</v>
      </c>
      <c r="E163" s="425" t="s">
        <v>514</v>
      </c>
      <c r="F163" s="425" t="s">
        <v>515</v>
      </c>
      <c r="G163" s="425" t="s">
        <v>516</v>
      </c>
      <c r="H163" s="425" t="s">
        <v>517</v>
      </c>
      <c r="I163" s="425" t="s">
        <v>518</v>
      </c>
      <c r="J163" s="425" t="s">
        <v>518</v>
      </c>
      <c r="K163" s="426" t="s">
        <v>519</v>
      </c>
    </row>
    <row r="164" spans="1:17">
      <c r="A164" s="4">
        <f>A158+1</f>
        <v>626</v>
      </c>
      <c r="B164" t="s">
        <v>520</v>
      </c>
      <c r="C164" s="21">
        <f>C165-1</f>
        <v>2020</v>
      </c>
      <c r="D164" s="81" t="s">
        <v>521</v>
      </c>
      <c r="E164" s="81" t="s">
        <v>521</v>
      </c>
      <c r="F164" s="21" t="s">
        <v>521</v>
      </c>
      <c r="G164" s="40">
        <v>0</v>
      </c>
      <c r="H164" s="21" t="s">
        <v>521</v>
      </c>
      <c r="I164" s="21" t="s">
        <v>521</v>
      </c>
      <c r="J164" s="40">
        <v>0</v>
      </c>
      <c r="K164" s="13">
        <f>ROUND((G164+J164),2)</f>
        <v>0</v>
      </c>
      <c r="L164" s="4">
        <f t="shared" ref="L164:L188" si="74">A164</f>
        <v>626</v>
      </c>
    </row>
    <row r="165" spans="1:17">
      <c r="A165" s="4">
        <f>A164+1</f>
        <v>627</v>
      </c>
      <c r="B165" t="s">
        <v>522</v>
      </c>
      <c r="C165" s="21">
        <f>'1-DRR Corrected'!$K$2</f>
        <v>2021</v>
      </c>
      <c r="D165" s="396" t="str">
        <f>IF(E165="N/A","N/A",'3-ATA Corrected'!$D$49*'9-WholesaleRevenues Corrected'!D66)</f>
        <v>N/A</v>
      </c>
      <c r="E165" s="396" t="str">
        <f>IF('9-WholesaleRevenues Corrected'!D99="N/A","N/A",'9-WholesaleRevenues Corrected'!D99)</f>
        <v>N/A</v>
      </c>
      <c r="F165" s="406">
        <f t="shared" ref="F165:F176" si="75">IF(E165="N/A",0,D165-E165)</f>
        <v>0</v>
      </c>
      <c r="G165" s="406">
        <f>F165+G164</f>
        <v>0</v>
      </c>
      <c r="H165" s="432">
        <f>$H$73</f>
        <v>3.2500000000000001E-2</v>
      </c>
      <c r="I165" s="13">
        <f>IF(E165="N/A",0,ROUND((F165/2+G164+J164)*H165/12,2))</f>
        <v>0</v>
      </c>
      <c r="J165" s="13">
        <f>I165+J164</f>
        <v>0</v>
      </c>
      <c r="K165" s="13">
        <f t="shared" ref="K165:K188" si="76">ROUND((G165+J165),2)</f>
        <v>0</v>
      </c>
      <c r="L165" s="4">
        <f t="shared" si="74"/>
        <v>627</v>
      </c>
    </row>
    <row r="166" spans="1:17">
      <c r="A166" s="4">
        <f t="shared" ref="A166:A188" si="77">A165+1</f>
        <v>628</v>
      </c>
      <c r="B166" t="s">
        <v>523</v>
      </c>
      <c r="C166" s="21">
        <f>'1-DRR Corrected'!$K$2</f>
        <v>2021</v>
      </c>
      <c r="D166" s="396" t="str">
        <f>IF(E166="N/A","N/A",'3-ATA Corrected'!$D$49*'9-WholesaleRevenues Corrected'!D67)</f>
        <v>N/A</v>
      </c>
      <c r="E166" s="396" t="str">
        <f>IF('9-WholesaleRevenues Corrected'!D100="N/A","N/A",'9-WholesaleRevenues Corrected'!D100)</f>
        <v>N/A</v>
      </c>
      <c r="F166" s="406">
        <f t="shared" si="75"/>
        <v>0</v>
      </c>
      <c r="G166" s="406">
        <f t="shared" ref="G166:G176" si="78">F166+G165</f>
        <v>0</v>
      </c>
      <c r="H166" s="432">
        <f>$H$74</f>
        <v>3.2500000000000001E-2</v>
      </c>
      <c r="I166" s="13">
        <f>IF(E166="N/A",0,ROUND((F166/2+G165+J164)*H166/12,2))</f>
        <v>0</v>
      </c>
      <c r="J166" s="13">
        <f>I166+J165</f>
        <v>0</v>
      </c>
      <c r="K166" s="13">
        <f t="shared" si="76"/>
        <v>0</v>
      </c>
      <c r="L166" s="4">
        <f t="shared" si="74"/>
        <v>628</v>
      </c>
    </row>
    <row r="167" spans="1:17">
      <c r="A167" s="4">
        <f t="shared" si="77"/>
        <v>629</v>
      </c>
      <c r="B167" t="s">
        <v>524</v>
      </c>
      <c r="C167" s="21">
        <f>'1-DRR Corrected'!$K$2</f>
        <v>2021</v>
      </c>
      <c r="D167" s="396" t="str">
        <f>IF(E167="N/A","N/A",'3-ATA Corrected'!$D$49*'9-WholesaleRevenues Corrected'!D68)</f>
        <v>N/A</v>
      </c>
      <c r="E167" s="396" t="str">
        <f>IF('9-WholesaleRevenues Corrected'!D101="N/A","N/A",'9-WholesaleRevenues Corrected'!D101)</f>
        <v>N/A</v>
      </c>
      <c r="F167" s="406">
        <f t="shared" si="75"/>
        <v>0</v>
      </c>
      <c r="G167" s="406">
        <f t="shared" si="78"/>
        <v>0</v>
      </c>
      <c r="H167" s="432">
        <f>$H$75</f>
        <v>3.2500000000000001E-2</v>
      </c>
      <c r="I167" s="13">
        <f>IF(E167="N/A",0,ROUND((F167/2+G166+J164)*H167/12,2))</f>
        <v>0</v>
      </c>
      <c r="J167" s="13">
        <f>I167+J166</f>
        <v>0</v>
      </c>
      <c r="K167" s="13">
        <f t="shared" si="76"/>
        <v>0</v>
      </c>
      <c r="L167" s="4">
        <f t="shared" si="74"/>
        <v>629</v>
      </c>
    </row>
    <row r="168" spans="1:17">
      <c r="A168" s="4">
        <f t="shared" si="77"/>
        <v>630</v>
      </c>
      <c r="B168" t="s">
        <v>525</v>
      </c>
      <c r="C168" s="21">
        <f>'1-DRR Corrected'!$K$2</f>
        <v>2021</v>
      </c>
      <c r="D168" s="396" t="str">
        <f>IF(E168="N/A","N/A",'3-ATA Corrected'!$D$49*'9-WholesaleRevenues Corrected'!D69)</f>
        <v>N/A</v>
      </c>
      <c r="E168" s="396" t="str">
        <f>IF('9-WholesaleRevenues Corrected'!D102="N/A","N/A",'9-WholesaleRevenues Corrected'!D102)</f>
        <v>N/A</v>
      </c>
      <c r="F168" s="406">
        <f t="shared" si="75"/>
        <v>0</v>
      </c>
      <c r="G168" s="406">
        <f t="shared" si="78"/>
        <v>0</v>
      </c>
      <c r="H168" s="432">
        <f>$H$76</f>
        <v>3.2500000000000001E-2</v>
      </c>
      <c r="I168" s="13">
        <f>IF(E168="N/A",0,ROUND((F168/2+G167+J167)*H168/12,2))</f>
        <v>0</v>
      </c>
      <c r="J168" s="13">
        <f t="shared" ref="J168:J188" si="79">I168+J167</f>
        <v>0</v>
      </c>
      <c r="K168" s="13">
        <f t="shared" si="76"/>
        <v>0</v>
      </c>
      <c r="L168" s="4">
        <f t="shared" si="74"/>
        <v>630</v>
      </c>
    </row>
    <row r="169" spans="1:17">
      <c r="A169" s="4">
        <f t="shared" si="77"/>
        <v>631</v>
      </c>
      <c r="B169" t="s">
        <v>526</v>
      </c>
      <c r="C169" s="21">
        <f>'1-DRR Corrected'!$K$2</f>
        <v>2021</v>
      </c>
      <c r="D169" s="396" t="str">
        <f>IF(E169="N/A","N/A",'3-ATA Corrected'!$D$49*'9-WholesaleRevenues Corrected'!D70)</f>
        <v>N/A</v>
      </c>
      <c r="E169" s="396" t="str">
        <f>IF('9-WholesaleRevenues Corrected'!D103="N/A","N/A",'9-WholesaleRevenues Corrected'!D103)</f>
        <v>N/A</v>
      </c>
      <c r="F169" s="406">
        <f t="shared" si="75"/>
        <v>0</v>
      </c>
      <c r="G169" s="406">
        <f t="shared" si="78"/>
        <v>0</v>
      </c>
      <c r="H169" s="432">
        <f>$H$77</f>
        <v>3.2500000000000001E-2</v>
      </c>
      <c r="I169" s="13">
        <f>IF(E169="N/A",0,ROUND((F169/2+G168+J167)*H169/12,2))</f>
        <v>0</v>
      </c>
      <c r="J169" s="13">
        <f t="shared" si="79"/>
        <v>0</v>
      </c>
      <c r="K169" s="13">
        <f t="shared" si="76"/>
        <v>0</v>
      </c>
      <c r="L169" s="4">
        <f t="shared" si="74"/>
        <v>631</v>
      </c>
    </row>
    <row r="170" spans="1:17">
      <c r="A170" s="4">
        <f t="shared" si="77"/>
        <v>632</v>
      </c>
      <c r="B170" t="s">
        <v>527</v>
      </c>
      <c r="C170" s="21">
        <f>'1-DRR Corrected'!$K$2</f>
        <v>2021</v>
      </c>
      <c r="D170" s="396">
        <f>IF(E170="N/A","N/A",'3-ATA Corrected'!$D$49*'9-WholesaleRevenues Corrected'!D71)</f>
        <v>26050.066390701981</v>
      </c>
      <c r="E170" s="396">
        <f>IF('9-WholesaleRevenues Corrected'!D104="N/A","N/A",'9-WholesaleRevenues Corrected'!D104)</f>
        <v>8751.8340000000007</v>
      </c>
      <c r="F170" s="406">
        <f t="shared" si="75"/>
        <v>17298.232390701982</v>
      </c>
      <c r="G170" s="406">
        <f t="shared" si="78"/>
        <v>17298.232390701982</v>
      </c>
      <c r="H170" s="432">
        <f>$H$78</f>
        <v>3.2500000000000001E-2</v>
      </c>
      <c r="I170" s="13">
        <f>IF(E170="N/A",0,ROUND((F170/2+G169+J167)*H170/12,2))</f>
        <v>23.42</v>
      </c>
      <c r="J170" s="13">
        <f t="shared" si="79"/>
        <v>23.42</v>
      </c>
      <c r="K170" s="13">
        <f t="shared" si="76"/>
        <v>17321.650000000001</v>
      </c>
      <c r="L170" s="4">
        <f t="shared" si="74"/>
        <v>632</v>
      </c>
    </row>
    <row r="171" spans="1:17">
      <c r="A171" s="4">
        <f t="shared" si="77"/>
        <v>633</v>
      </c>
      <c r="B171" t="s">
        <v>528</v>
      </c>
      <c r="C171" s="21">
        <f>'1-DRR Corrected'!$K$2</f>
        <v>2021</v>
      </c>
      <c r="D171" s="396">
        <f>IF(E171="N/A","N/A",'3-ATA Corrected'!$D$49*'9-WholesaleRevenues Corrected'!D72)</f>
        <v>21378.246736702342</v>
      </c>
      <c r="E171" s="396">
        <f>IF('9-WholesaleRevenues Corrected'!D105="N/A","N/A",'9-WholesaleRevenues Corrected'!D105)</f>
        <v>8751.8340000000007</v>
      </c>
      <c r="F171" s="406">
        <f t="shared" si="75"/>
        <v>12626.412736702341</v>
      </c>
      <c r="G171" s="406">
        <f t="shared" si="78"/>
        <v>29924.645127404321</v>
      </c>
      <c r="H171" s="432">
        <f>$H$79</f>
        <v>3.2500000000000001E-2</v>
      </c>
      <c r="I171" s="13">
        <f>IF(E171="N/A",0,ROUND((F171/2+G170+J170)*H171/12,2))</f>
        <v>64.010000000000005</v>
      </c>
      <c r="J171" s="13">
        <f t="shared" si="79"/>
        <v>87.43</v>
      </c>
      <c r="K171" s="13">
        <f t="shared" si="76"/>
        <v>30012.080000000002</v>
      </c>
      <c r="L171" s="4">
        <f t="shared" si="74"/>
        <v>633</v>
      </c>
    </row>
    <row r="172" spans="1:17">
      <c r="A172" s="4">
        <f t="shared" si="77"/>
        <v>634</v>
      </c>
      <c r="B172" t="s">
        <v>529</v>
      </c>
      <c r="C172" s="21">
        <f>'1-DRR Corrected'!$K$2</f>
        <v>2021</v>
      </c>
      <c r="D172" s="396">
        <f>IF(E172="N/A","N/A",'3-ATA Corrected'!$D$49*'9-WholesaleRevenues Corrected'!D73)</f>
        <v>17117.547212254674</v>
      </c>
      <c r="E172" s="396">
        <f>IF('9-WholesaleRevenues Corrected'!D106="N/A","N/A",'9-WholesaleRevenues Corrected'!D106)</f>
        <v>8751.8340000000007</v>
      </c>
      <c r="F172" s="406">
        <f t="shared" si="75"/>
        <v>8365.7132122546736</v>
      </c>
      <c r="G172" s="406">
        <f t="shared" si="78"/>
        <v>38290.358339658997</v>
      </c>
      <c r="H172" s="432">
        <f>$H$80</f>
        <v>3.2500000000000001E-2</v>
      </c>
      <c r="I172" s="13">
        <f>IF(E172="N/A",0,ROUND((F172/2+G171+J170)*H172/12,2))</f>
        <v>92.44</v>
      </c>
      <c r="J172" s="13">
        <f t="shared" si="79"/>
        <v>179.87</v>
      </c>
      <c r="K172" s="13">
        <f t="shared" si="76"/>
        <v>38470.230000000003</v>
      </c>
      <c r="L172" s="4">
        <f t="shared" si="74"/>
        <v>634</v>
      </c>
    </row>
    <row r="173" spans="1:17">
      <c r="A173" s="4">
        <f t="shared" si="77"/>
        <v>635</v>
      </c>
      <c r="B173" t="s">
        <v>530</v>
      </c>
      <c r="C173" s="21">
        <f>'1-DRR Corrected'!$K$2</f>
        <v>2021</v>
      </c>
      <c r="D173" s="396">
        <f>IF(E173="N/A","N/A",'3-ATA Corrected'!$D$49*'9-WholesaleRevenues Corrected'!D74)</f>
        <v>5195.0634552475967</v>
      </c>
      <c r="E173" s="396">
        <f>IF('9-WholesaleRevenues Corrected'!D107="N/A","N/A",'9-WholesaleRevenues Corrected'!D107)</f>
        <v>8751.8340000000007</v>
      </c>
      <c r="F173" s="406">
        <f t="shared" si="75"/>
        <v>-3556.770544752404</v>
      </c>
      <c r="G173" s="406">
        <f t="shared" si="78"/>
        <v>34733.587794906591</v>
      </c>
      <c r="H173" s="432">
        <f>$H$81</f>
        <v>3.2500000000000001E-2</v>
      </c>
      <c r="I173" s="13">
        <f>IF(E173="N/A",0,ROUND((F173/2+G172+J170)*H173/12,2))</f>
        <v>98.95</v>
      </c>
      <c r="J173" s="13">
        <f t="shared" si="79"/>
        <v>278.82</v>
      </c>
      <c r="K173" s="13">
        <f t="shared" si="76"/>
        <v>35012.410000000003</v>
      </c>
      <c r="L173" s="4">
        <f t="shared" si="74"/>
        <v>635</v>
      </c>
    </row>
    <row r="174" spans="1:17">
      <c r="A174" s="4">
        <f t="shared" si="77"/>
        <v>636</v>
      </c>
      <c r="B174" t="s">
        <v>531</v>
      </c>
      <c r="C174" s="21">
        <f>'1-DRR Corrected'!$K$2</f>
        <v>2021</v>
      </c>
      <c r="D174" s="396">
        <f>IF(E174="N/A","N/A",'3-ATA Corrected'!$D$49*'9-WholesaleRevenues Corrected'!D75)</f>
        <v>5120.3143407836033</v>
      </c>
      <c r="E174" s="396">
        <f>IF('9-WholesaleRevenues Corrected'!D108="N/A","N/A",'9-WholesaleRevenues Corrected'!D108)</f>
        <v>8751.8340000000007</v>
      </c>
      <c r="F174" s="406">
        <f t="shared" si="75"/>
        <v>-3631.5196592163975</v>
      </c>
      <c r="G174" s="406">
        <f t="shared" si="78"/>
        <v>31102.068135690191</v>
      </c>
      <c r="H174" s="432">
        <f>$H$82</f>
        <v>3.2500000000000001E-2</v>
      </c>
      <c r="I174" s="13">
        <f>IF(E174="N/A",0,ROUND((F174/2+G173+J173)*H174/12,2))</f>
        <v>89.91</v>
      </c>
      <c r="J174" s="13">
        <f t="shared" si="79"/>
        <v>368.73</v>
      </c>
      <c r="K174" s="13">
        <f t="shared" si="76"/>
        <v>31470.799999999999</v>
      </c>
      <c r="L174" s="4">
        <f t="shared" si="74"/>
        <v>636</v>
      </c>
    </row>
    <row r="175" spans="1:17">
      <c r="A175" s="4">
        <f t="shared" si="77"/>
        <v>637</v>
      </c>
      <c r="B175" t="s">
        <v>532</v>
      </c>
      <c r="C175" s="21">
        <f>'1-DRR Corrected'!$K$2</f>
        <v>2021</v>
      </c>
      <c r="D175" s="396">
        <f>IF(E175="N/A","N/A",'3-ATA Corrected'!$D$49*'9-WholesaleRevenues Corrected'!D76)</f>
        <v>13529.589717982952</v>
      </c>
      <c r="E175" s="396">
        <f>IF('9-WholesaleRevenues Corrected'!D109="N/A","N/A",'9-WholesaleRevenues Corrected'!D109)</f>
        <v>8751.8340000000007</v>
      </c>
      <c r="F175" s="406">
        <f t="shared" si="75"/>
        <v>4777.755717982951</v>
      </c>
      <c r="G175" s="406">
        <f t="shared" si="78"/>
        <v>35879.823853673144</v>
      </c>
      <c r="H175" s="432">
        <f>$H$83</f>
        <v>3.2500000000000001E-2</v>
      </c>
      <c r="I175" s="13">
        <f>IF(E175="N/A",0,ROUND((F175/2+G174+J173)*H175/12,2))</f>
        <v>91.46</v>
      </c>
      <c r="J175" s="13">
        <f t="shared" si="79"/>
        <v>460.19</v>
      </c>
      <c r="K175" s="13">
        <f t="shared" si="76"/>
        <v>36340.01</v>
      </c>
      <c r="L175" s="4">
        <f t="shared" si="74"/>
        <v>637</v>
      </c>
    </row>
    <row r="176" spans="1:17">
      <c r="A176" s="4">
        <f t="shared" si="77"/>
        <v>638</v>
      </c>
      <c r="B176" t="s">
        <v>520</v>
      </c>
      <c r="C176" s="21">
        <f>'1-DRR Corrected'!$K$2</f>
        <v>2021</v>
      </c>
      <c r="D176" s="396">
        <f>IF(E176="N/A","N/A",'3-ATA Corrected'!$D$49*'9-WholesaleRevenues Corrected'!D77)</f>
        <v>0</v>
      </c>
      <c r="E176" s="396">
        <f>IF('9-WholesaleRevenues Corrected'!D110="N/A","N/A",'9-WholesaleRevenues Corrected'!D110)</f>
        <v>0</v>
      </c>
      <c r="F176" s="406">
        <f t="shared" si="75"/>
        <v>0</v>
      </c>
      <c r="G176" s="406">
        <f t="shared" si="78"/>
        <v>35879.823853673144</v>
      </c>
      <c r="H176" s="432">
        <f>$H$84</f>
        <v>3.2500000000000001E-2</v>
      </c>
      <c r="I176" s="13">
        <f>IF(E176="N/A",0,ROUND((F176/2+G175+J173)*H176/12,2))</f>
        <v>97.93</v>
      </c>
      <c r="J176" s="13">
        <f t="shared" si="79"/>
        <v>558.12</v>
      </c>
      <c r="K176" s="13">
        <f t="shared" si="76"/>
        <v>36437.94</v>
      </c>
      <c r="L176" s="4">
        <f t="shared" si="74"/>
        <v>638</v>
      </c>
      <c r="O176" s="651">
        <f>G176-'3-ATA Original'!G176</f>
        <v>-371.38597778588155</v>
      </c>
      <c r="P176" s="651">
        <f>J176-'3-ATA Original'!J176</f>
        <v>-4.7399999999998954</v>
      </c>
      <c r="Q176" s="651">
        <f>P176+O176</f>
        <v>-376.12597778588145</v>
      </c>
    </row>
    <row r="177" spans="1:17">
      <c r="A177" s="4">
        <f t="shared" si="77"/>
        <v>639</v>
      </c>
      <c r="B177" t="s">
        <v>522</v>
      </c>
      <c r="C177" s="21">
        <f>C176+1</f>
        <v>2022</v>
      </c>
      <c r="D177" s="81" t="s">
        <v>521</v>
      </c>
      <c r="E177" s="81" t="s">
        <v>521</v>
      </c>
      <c r="F177" s="406">
        <v>0</v>
      </c>
      <c r="G177" s="406">
        <f>F177+G176</f>
        <v>35879.823853673144</v>
      </c>
      <c r="H177" s="432">
        <f>$H$85</f>
        <v>3.2500000000000001E-2</v>
      </c>
      <c r="I177" s="13">
        <f t="shared" ref="I177" si="80">ROUND((F177/2+G176+J176)*H177/12,2)</f>
        <v>98.69</v>
      </c>
      <c r="J177" s="13">
        <f t="shared" si="79"/>
        <v>656.81</v>
      </c>
      <c r="K177" s="13">
        <f t="shared" si="76"/>
        <v>36536.629999999997</v>
      </c>
      <c r="L177" s="4">
        <f t="shared" si="74"/>
        <v>639</v>
      </c>
    </row>
    <row r="178" spans="1:17">
      <c r="A178" s="4">
        <f t="shared" si="77"/>
        <v>640</v>
      </c>
      <c r="B178" t="s">
        <v>523</v>
      </c>
      <c r="C178" s="21">
        <f>C177</f>
        <v>2022</v>
      </c>
      <c r="D178" s="81" t="s">
        <v>521</v>
      </c>
      <c r="E178" s="81" t="s">
        <v>521</v>
      </c>
      <c r="F178" s="406">
        <v>0</v>
      </c>
      <c r="G178" s="406">
        <f t="shared" ref="G178:G188" si="81">F178+G177</f>
        <v>35879.823853673144</v>
      </c>
      <c r="H178" s="432">
        <f>$H$86</f>
        <v>3.2500000000000001E-2</v>
      </c>
      <c r="I178" s="13">
        <f t="shared" ref="I178" si="82">ROUND((F178/2+G177+J176)*H178/12,2)</f>
        <v>98.69</v>
      </c>
      <c r="J178" s="13">
        <f t="shared" si="79"/>
        <v>755.5</v>
      </c>
      <c r="K178" s="13">
        <f t="shared" si="76"/>
        <v>36635.32</v>
      </c>
      <c r="L178" s="4">
        <f t="shared" si="74"/>
        <v>640</v>
      </c>
    </row>
    <row r="179" spans="1:17">
      <c r="A179" s="4">
        <f t="shared" si="77"/>
        <v>641</v>
      </c>
      <c r="B179" t="s">
        <v>524</v>
      </c>
      <c r="C179" s="21">
        <f t="shared" ref="C179:C188" si="83">C178</f>
        <v>2022</v>
      </c>
      <c r="D179" s="81" t="s">
        <v>521</v>
      </c>
      <c r="E179" s="81" t="s">
        <v>521</v>
      </c>
      <c r="F179" s="406">
        <v>0</v>
      </c>
      <c r="G179" s="406">
        <f t="shared" si="81"/>
        <v>35879.823853673144</v>
      </c>
      <c r="H179" s="432">
        <f>$H$87</f>
        <v>3.2500000000000001E-2</v>
      </c>
      <c r="I179" s="13">
        <f t="shared" ref="I179" si="84">ROUND((F179/2+G178+J176)*H179/12,2)</f>
        <v>98.69</v>
      </c>
      <c r="J179" s="13">
        <f t="shared" si="79"/>
        <v>854.19</v>
      </c>
      <c r="K179" s="13">
        <f t="shared" si="76"/>
        <v>36734.01</v>
      </c>
      <c r="L179" s="4">
        <f t="shared" si="74"/>
        <v>641</v>
      </c>
    </row>
    <row r="180" spans="1:17">
      <c r="A180" s="4">
        <f t="shared" si="77"/>
        <v>642</v>
      </c>
      <c r="B180" t="s">
        <v>525</v>
      </c>
      <c r="C180" s="21">
        <f t="shared" si="83"/>
        <v>2022</v>
      </c>
      <c r="D180" s="81" t="s">
        <v>521</v>
      </c>
      <c r="E180" s="81" t="s">
        <v>521</v>
      </c>
      <c r="F180" s="406">
        <v>0</v>
      </c>
      <c r="G180" s="406">
        <f t="shared" si="81"/>
        <v>35879.823853673144</v>
      </c>
      <c r="H180" s="432">
        <f>$H$88</f>
        <v>3.2500000000000001E-2</v>
      </c>
      <c r="I180" s="13">
        <f t="shared" ref="I180" si="85">ROUND((F180/2+G179+J179)*H180/12,2)</f>
        <v>99.49</v>
      </c>
      <c r="J180" s="13">
        <f t="shared" si="79"/>
        <v>953.68000000000006</v>
      </c>
      <c r="K180" s="13">
        <f t="shared" si="76"/>
        <v>36833.5</v>
      </c>
      <c r="L180" s="4">
        <f t="shared" si="74"/>
        <v>642</v>
      </c>
    </row>
    <row r="181" spans="1:17">
      <c r="A181" s="4">
        <f t="shared" si="77"/>
        <v>643</v>
      </c>
      <c r="B181" t="s">
        <v>526</v>
      </c>
      <c r="C181" s="21">
        <f t="shared" si="83"/>
        <v>2022</v>
      </c>
      <c r="D181" s="81" t="s">
        <v>521</v>
      </c>
      <c r="E181" s="81" t="s">
        <v>521</v>
      </c>
      <c r="F181" s="406">
        <v>0</v>
      </c>
      <c r="G181" s="406">
        <f t="shared" si="81"/>
        <v>35879.823853673144</v>
      </c>
      <c r="H181" s="432">
        <f>$H$89</f>
        <v>3.2500000000000001E-2</v>
      </c>
      <c r="I181" s="13">
        <f t="shared" ref="I181" si="86">ROUND((F181/2+G180+J179)*H181/12,2)</f>
        <v>99.49</v>
      </c>
      <c r="J181" s="13">
        <f t="shared" si="79"/>
        <v>1053.17</v>
      </c>
      <c r="K181" s="13">
        <f t="shared" si="76"/>
        <v>36932.99</v>
      </c>
      <c r="L181" s="4">
        <f t="shared" si="74"/>
        <v>643</v>
      </c>
    </row>
    <row r="182" spans="1:17">
      <c r="A182" s="4">
        <f t="shared" si="77"/>
        <v>644</v>
      </c>
      <c r="B182" t="s">
        <v>527</v>
      </c>
      <c r="C182" s="21">
        <f t="shared" si="83"/>
        <v>2022</v>
      </c>
      <c r="D182" s="81" t="s">
        <v>521</v>
      </c>
      <c r="E182" s="81" t="s">
        <v>521</v>
      </c>
      <c r="F182" s="406">
        <v>0</v>
      </c>
      <c r="G182" s="406">
        <f t="shared" si="81"/>
        <v>35879.823853673144</v>
      </c>
      <c r="H182" s="432">
        <f>$H$90</f>
        <v>3.2500000000000001E-2</v>
      </c>
      <c r="I182" s="13">
        <f t="shared" ref="I182" si="87">ROUND((F182/2+G181+J179)*H182/12,2)</f>
        <v>99.49</v>
      </c>
      <c r="J182" s="13">
        <f t="shared" si="79"/>
        <v>1152.6600000000001</v>
      </c>
      <c r="K182" s="13">
        <f t="shared" si="76"/>
        <v>37032.480000000003</v>
      </c>
      <c r="L182" s="4">
        <f t="shared" si="74"/>
        <v>644</v>
      </c>
    </row>
    <row r="183" spans="1:17">
      <c r="A183" s="4">
        <f t="shared" si="77"/>
        <v>645</v>
      </c>
      <c r="B183" t="s">
        <v>528</v>
      </c>
      <c r="C183" s="21">
        <f t="shared" si="83"/>
        <v>2022</v>
      </c>
      <c r="D183" s="81" t="s">
        <v>521</v>
      </c>
      <c r="E183" s="81" t="s">
        <v>521</v>
      </c>
      <c r="F183" s="406">
        <v>0</v>
      </c>
      <c r="G183" s="406">
        <f t="shared" si="81"/>
        <v>35879.823853673144</v>
      </c>
      <c r="H183" s="432">
        <f>$H$91</f>
        <v>3.5999999999999997E-2</v>
      </c>
      <c r="I183" s="13">
        <f t="shared" ref="I183" si="88">ROUND((F183/2+G182+J182)*H183/12,2)</f>
        <v>111.1</v>
      </c>
      <c r="J183" s="13">
        <f t="shared" si="79"/>
        <v>1263.76</v>
      </c>
      <c r="K183" s="13">
        <f t="shared" si="76"/>
        <v>37143.58</v>
      </c>
      <c r="L183" s="4">
        <f t="shared" si="74"/>
        <v>645</v>
      </c>
    </row>
    <row r="184" spans="1:17">
      <c r="A184" s="4">
        <f t="shared" si="77"/>
        <v>646</v>
      </c>
      <c r="B184" t="s">
        <v>529</v>
      </c>
      <c r="C184" s="21">
        <f t="shared" si="83"/>
        <v>2022</v>
      </c>
      <c r="D184" s="81" t="s">
        <v>521</v>
      </c>
      <c r="E184" s="81" t="s">
        <v>521</v>
      </c>
      <c r="F184" s="406">
        <v>0</v>
      </c>
      <c r="G184" s="406">
        <f t="shared" si="81"/>
        <v>35879.823853673144</v>
      </c>
      <c r="H184" s="432">
        <f>$H$92</f>
        <v>3.5999999999999997E-2</v>
      </c>
      <c r="I184" s="13">
        <f t="shared" ref="I184" si="89">ROUND((F184/2+G183+J182)*H184/12,2)</f>
        <v>111.1</v>
      </c>
      <c r="J184" s="13">
        <f t="shared" si="79"/>
        <v>1374.86</v>
      </c>
      <c r="K184" s="13">
        <f t="shared" si="76"/>
        <v>37254.68</v>
      </c>
      <c r="L184" s="4">
        <f t="shared" si="74"/>
        <v>646</v>
      </c>
    </row>
    <row r="185" spans="1:17">
      <c r="A185" s="4">
        <f t="shared" si="77"/>
        <v>647</v>
      </c>
      <c r="B185" t="s">
        <v>530</v>
      </c>
      <c r="C185" s="21">
        <f t="shared" si="83"/>
        <v>2022</v>
      </c>
      <c r="D185" s="81" t="s">
        <v>521</v>
      </c>
      <c r="E185" s="81" t="s">
        <v>521</v>
      </c>
      <c r="F185" s="406">
        <v>0</v>
      </c>
      <c r="G185" s="406">
        <f t="shared" si="81"/>
        <v>35879.823853673144</v>
      </c>
      <c r="H185" s="432">
        <f>$H$93</f>
        <v>3.5999999999999997E-2</v>
      </c>
      <c r="I185" s="13">
        <f t="shared" ref="I185" si="90">ROUND((F185/2+G184+J182)*H185/12,2)</f>
        <v>111.1</v>
      </c>
      <c r="J185" s="13">
        <f t="shared" si="79"/>
        <v>1485.9599999999998</v>
      </c>
      <c r="K185" s="13">
        <f t="shared" si="76"/>
        <v>37365.78</v>
      </c>
      <c r="L185" s="4">
        <f t="shared" si="74"/>
        <v>647</v>
      </c>
    </row>
    <row r="186" spans="1:17">
      <c r="A186" s="4">
        <f t="shared" si="77"/>
        <v>648</v>
      </c>
      <c r="B186" t="s">
        <v>531</v>
      </c>
      <c r="C186" s="21">
        <f t="shared" si="83"/>
        <v>2022</v>
      </c>
      <c r="D186" s="81" t="s">
        <v>521</v>
      </c>
      <c r="E186" s="81" t="s">
        <v>521</v>
      </c>
      <c r="F186" s="406">
        <v>0</v>
      </c>
      <c r="G186" s="406">
        <f t="shared" si="81"/>
        <v>35879.823853673144</v>
      </c>
      <c r="H186" s="432">
        <f>$H$94</f>
        <v>4.9099999999999998E-2</v>
      </c>
      <c r="I186" s="13">
        <f t="shared" ref="I186" si="91">ROUND((F186/2+G185+J185)*H186/12,2)</f>
        <v>152.88999999999999</v>
      </c>
      <c r="J186" s="13">
        <f t="shared" si="79"/>
        <v>1638.85</v>
      </c>
      <c r="K186" s="13">
        <f t="shared" si="76"/>
        <v>37518.67</v>
      </c>
      <c r="L186" s="4">
        <f t="shared" si="74"/>
        <v>648</v>
      </c>
    </row>
    <row r="187" spans="1:17">
      <c r="A187" s="4">
        <f t="shared" si="77"/>
        <v>649</v>
      </c>
      <c r="B187" t="s">
        <v>532</v>
      </c>
      <c r="C187" s="21">
        <f t="shared" si="83"/>
        <v>2022</v>
      </c>
      <c r="D187" s="81" t="s">
        <v>521</v>
      </c>
      <c r="E187" s="81" t="s">
        <v>521</v>
      </c>
      <c r="F187" s="406">
        <v>0</v>
      </c>
      <c r="G187" s="406">
        <f t="shared" si="81"/>
        <v>35879.823853673144</v>
      </c>
      <c r="H187" s="432">
        <f>$H$95</f>
        <v>4.9099999999999998E-2</v>
      </c>
      <c r="I187" s="13">
        <f t="shared" ref="I187" si="92">ROUND((F187/2+G186+J185)*H187/12,2)</f>
        <v>152.88999999999999</v>
      </c>
      <c r="J187" s="13">
        <f t="shared" si="79"/>
        <v>1791.7399999999998</v>
      </c>
      <c r="K187" s="13">
        <f t="shared" si="76"/>
        <v>37671.56</v>
      </c>
      <c r="L187" s="4">
        <f t="shared" si="74"/>
        <v>649</v>
      </c>
    </row>
    <row r="188" spans="1:17">
      <c r="A188" s="4">
        <f t="shared" si="77"/>
        <v>650</v>
      </c>
      <c r="B188" t="s">
        <v>520</v>
      </c>
      <c r="C188" s="21">
        <f t="shared" si="83"/>
        <v>2022</v>
      </c>
      <c r="D188" s="81" t="s">
        <v>521</v>
      </c>
      <c r="E188" s="81" t="s">
        <v>521</v>
      </c>
      <c r="F188" s="652">
        <v>0</v>
      </c>
      <c r="G188" s="652">
        <f t="shared" si="81"/>
        <v>35879.823853673144</v>
      </c>
      <c r="H188" s="432">
        <f>$H$96</f>
        <v>4.9099999999999998E-2</v>
      </c>
      <c r="I188" s="23">
        <f t="shared" ref="I188" si="93">ROUND((F188/2+G187+J185)*H188/12,2)</f>
        <v>152.88999999999999</v>
      </c>
      <c r="J188" s="23">
        <f t="shared" si="79"/>
        <v>1944.6299999999997</v>
      </c>
      <c r="K188" s="23">
        <f t="shared" si="76"/>
        <v>37824.449999999997</v>
      </c>
      <c r="L188" s="4">
        <f t="shared" si="74"/>
        <v>650</v>
      </c>
      <c r="O188" s="24"/>
      <c r="P188" s="24"/>
      <c r="Q188" s="24"/>
    </row>
    <row r="189" spans="1:17">
      <c r="A189" s="3"/>
      <c r="B189" s="2"/>
    </row>
    <row r="190" spans="1:17">
      <c r="A190" s="3" t="s">
        <v>90</v>
      </c>
      <c r="B190" s="417" t="s">
        <v>489</v>
      </c>
      <c r="C190" s="418" t="s">
        <v>122</v>
      </c>
      <c r="D190" s="418" t="s">
        <v>123</v>
      </c>
      <c r="E190" s="418" t="s">
        <v>124</v>
      </c>
      <c r="F190" s="418" t="s">
        <v>125</v>
      </c>
      <c r="G190" s="418" t="s">
        <v>490</v>
      </c>
      <c r="H190" s="418" t="s">
        <v>491</v>
      </c>
      <c r="I190" s="418" t="s">
        <v>492</v>
      </c>
      <c r="J190" s="418" t="s">
        <v>493</v>
      </c>
      <c r="K190" s="419" t="s">
        <v>494</v>
      </c>
      <c r="L190" s="3" t="str">
        <f t="shared" ref="L190:L191" si="94">A190</f>
        <v>Line</v>
      </c>
    </row>
    <row r="191" spans="1:17">
      <c r="A191" s="4">
        <f>A129+100</f>
        <v>700</v>
      </c>
      <c r="B191" s="420" t="s">
        <v>538</v>
      </c>
      <c r="C191" s="4"/>
      <c r="D191" s="18" t="s">
        <v>101</v>
      </c>
      <c r="E191" s="18" t="s">
        <v>496</v>
      </c>
      <c r="F191" s="21" t="str">
        <f>""&amp;D190&amp;" - "&amp;E190&amp;""</f>
        <v>Col 2 - Col 3</v>
      </c>
      <c r="G191" s="21" t="s">
        <v>497</v>
      </c>
      <c r="H191" s="21" t="s">
        <v>498</v>
      </c>
      <c r="I191" s="21" t="s">
        <v>499</v>
      </c>
      <c r="J191" s="21" t="s">
        <v>500</v>
      </c>
      <c r="K191" s="421" t="str">
        <f>""&amp;G190&amp;" + "&amp;J190&amp;""</f>
        <v>Col 5 + Col 8</v>
      </c>
      <c r="L191" s="4">
        <f t="shared" si="94"/>
        <v>700</v>
      </c>
    </row>
    <row r="192" spans="1:17">
      <c r="A192" s="4"/>
      <c r="B192" s="422"/>
      <c r="C192" s="4"/>
      <c r="D192" s="4"/>
      <c r="E192" s="4"/>
      <c r="F192" s="4"/>
      <c r="G192" s="4" t="s">
        <v>501</v>
      </c>
      <c r="H192" s="4"/>
      <c r="I192" s="4"/>
      <c r="J192" s="4"/>
      <c r="K192" s="423" t="s">
        <v>501</v>
      </c>
    </row>
    <row r="193" spans="1:17">
      <c r="B193" s="422"/>
      <c r="C193" s="4"/>
      <c r="D193" s="4" t="s">
        <v>505</v>
      </c>
      <c r="E193" s="4" t="s">
        <v>505</v>
      </c>
      <c r="F193" s="4"/>
      <c r="G193" s="4" t="s">
        <v>504</v>
      </c>
      <c r="H193" s="4"/>
      <c r="I193" s="4"/>
      <c r="J193" s="4"/>
      <c r="K193" s="423" t="s">
        <v>504</v>
      </c>
    </row>
    <row r="194" spans="1:17">
      <c r="A194" s="4"/>
      <c r="B194" s="420"/>
      <c r="C194" s="4"/>
      <c r="D194" s="4" t="s">
        <v>502</v>
      </c>
      <c r="E194" s="4" t="s">
        <v>503</v>
      </c>
      <c r="F194" s="4" t="s">
        <v>506</v>
      </c>
      <c r="G194" s="4" t="s">
        <v>507</v>
      </c>
      <c r="H194" s="4" t="s">
        <v>508</v>
      </c>
      <c r="I194" s="4" t="s">
        <v>502</v>
      </c>
      <c r="J194" s="4" t="s">
        <v>509</v>
      </c>
      <c r="K194" s="423" t="s">
        <v>510</v>
      </c>
    </row>
    <row r="195" spans="1:17">
      <c r="A195" s="4"/>
      <c r="B195" s="424" t="s">
        <v>511</v>
      </c>
      <c r="C195" s="425" t="s">
        <v>512</v>
      </c>
      <c r="D195" s="425" t="s">
        <v>513</v>
      </c>
      <c r="E195" s="425" t="s">
        <v>514</v>
      </c>
      <c r="F195" s="425" t="s">
        <v>515</v>
      </c>
      <c r="G195" s="425" t="s">
        <v>516</v>
      </c>
      <c r="H195" s="425" t="s">
        <v>517</v>
      </c>
      <c r="I195" s="425" t="s">
        <v>518</v>
      </c>
      <c r="J195" s="425" t="s">
        <v>518</v>
      </c>
      <c r="K195" s="426" t="s">
        <v>519</v>
      </c>
    </row>
    <row r="196" spans="1:17">
      <c r="A196" s="4">
        <f>A191+1</f>
        <v>701</v>
      </c>
      <c r="B196" t="s">
        <v>520</v>
      </c>
      <c r="C196" s="21">
        <f>C197-1</f>
        <v>2020</v>
      </c>
      <c r="D196" s="81" t="s">
        <v>521</v>
      </c>
      <c r="E196" s="81" t="s">
        <v>521</v>
      </c>
      <c r="F196" s="21" t="s">
        <v>521</v>
      </c>
      <c r="G196" s="40">
        <v>0</v>
      </c>
      <c r="H196" s="21" t="s">
        <v>521</v>
      </c>
      <c r="I196" s="21" t="s">
        <v>521</v>
      </c>
      <c r="J196" s="40">
        <v>0</v>
      </c>
      <c r="K196" s="13">
        <f>ROUND((G196+J196),2)</f>
        <v>0</v>
      </c>
      <c r="L196" s="4">
        <f t="shared" ref="L196:L220" si="95">A196</f>
        <v>701</v>
      </c>
    </row>
    <row r="197" spans="1:17">
      <c r="A197" s="4">
        <f>A196+1</f>
        <v>702</v>
      </c>
      <c r="B197" t="s">
        <v>522</v>
      </c>
      <c r="C197" s="21">
        <f>'1-DRR Corrected'!$K$2</f>
        <v>2021</v>
      </c>
      <c r="D197" s="396" t="str">
        <f>IF(E197="N/A","N/A",($E$42*'9-WholesaleRevenues Corrected'!F14))</f>
        <v>N/A</v>
      </c>
      <c r="E197" s="396" t="str">
        <f>IF('9-WholesaleRevenues Corrected'!F48="N/A","N/A",'9-WholesaleRevenues Corrected'!F48)</f>
        <v>N/A</v>
      </c>
      <c r="F197" s="406">
        <f t="shared" ref="F197:F208" si="96">IF(E197="N/A",0,D197-E197)</f>
        <v>0</v>
      </c>
      <c r="G197" s="406">
        <f>F197+G196</f>
        <v>0</v>
      </c>
      <c r="H197" s="432">
        <f>$H$73</f>
        <v>3.2500000000000001E-2</v>
      </c>
      <c r="I197" s="13">
        <f>IF(E197="N/A",0,ROUND((F197/2+G196+J196)*H197/12,2))</f>
        <v>0</v>
      </c>
      <c r="J197" s="13">
        <f>I197+J196</f>
        <v>0</v>
      </c>
      <c r="K197" s="13">
        <f t="shared" ref="K197:K220" si="97">ROUND((G197+J197),2)</f>
        <v>0</v>
      </c>
      <c r="L197" s="4">
        <f t="shared" si="95"/>
        <v>702</v>
      </c>
    </row>
    <row r="198" spans="1:17">
      <c r="A198" s="4">
        <f t="shared" ref="A198:A220" si="98">A197+1</f>
        <v>703</v>
      </c>
      <c r="B198" t="s">
        <v>523</v>
      </c>
      <c r="C198" s="21">
        <f>'1-DRR Corrected'!$K$2</f>
        <v>2021</v>
      </c>
      <c r="D198" s="396" t="str">
        <f>IF(E198="N/A","N/A",($E$42*'9-WholesaleRevenues Corrected'!F15))</f>
        <v>N/A</v>
      </c>
      <c r="E198" s="396" t="str">
        <f>IF('9-WholesaleRevenues Corrected'!F49="N/A","N/A",'9-WholesaleRevenues Corrected'!F49)</f>
        <v>N/A</v>
      </c>
      <c r="F198" s="406">
        <f t="shared" si="96"/>
        <v>0</v>
      </c>
      <c r="G198" s="406">
        <f t="shared" ref="G198:G208" si="99">F198+G197</f>
        <v>0</v>
      </c>
      <c r="H198" s="432">
        <f>$H$74</f>
        <v>3.2500000000000001E-2</v>
      </c>
      <c r="I198" s="13">
        <f>IF(E198="N/A",0,ROUND((F198/2+G197+J196)*H198/12,2))</f>
        <v>0</v>
      </c>
      <c r="J198" s="13">
        <f>I198+J197</f>
        <v>0</v>
      </c>
      <c r="K198" s="13">
        <f t="shared" si="97"/>
        <v>0</v>
      </c>
      <c r="L198" s="4">
        <f t="shared" si="95"/>
        <v>703</v>
      </c>
    </row>
    <row r="199" spans="1:17">
      <c r="A199" s="4">
        <f t="shared" si="98"/>
        <v>704</v>
      </c>
      <c r="B199" t="s">
        <v>524</v>
      </c>
      <c r="C199" s="21">
        <f>'1-DRR Corrected'!$K$2</f>
        <v>2021</v>
      </c>
      <c r="D199" s="396" t="str">
        <f>IF(E199="N/A","N/A",($E$42*'9-WholesaleRevenues Corrected'!F16))</f>
        <v>N/A</v>
      </c>
      <c r="E199" s="396" t="str">
        <f>IF('9-WholesaleRevenues Corrected'!F50="N/A","N/A",'9-WholesaleRevenues Corrected'!F50)</f>
        <v>N/A</v>
      </c>
      <c r="F199" s="406">
        <f t="shared" si="96"/>
        <v>0</v>
      </c>
      <c r="G199" s="406">
        <f t="shared" si="99"/>
        <v>0</v>
      </c>
      <c r="H199" s="432">
        <f>$H$75</f>
        <v>3.2500000000000001E-2</v>
      </c>
      <c r="I199" s="13">
        <f>IF(E199="N/A",0,ROUND((F199/2+G198+J196)*H199/12,2))</f>
        <v>0</v>
      </c>
      <c r="J199" s="13">
        <f>I199+J198</f>
        <v>0</v>
      </c>
      <c r="K199" s="13">
        <f t="shared" si="97"/>
        <v>0</v>
      </c>
      <c r="L199" s="4">
        <f t="shared" si="95"/>
        <v>704</v>
      </c>
    </row>
    <row r="200" spans="1:17">
      <c r="A200" s="4">
        <f t="shared" si="98"/>
        <v>705</v>
      </c>
      <c r="B200" t="s">
        <v>525</v>
      </c>
      <c r="C200" s="21">
        <f>'1-DRR Corrected'!$K$2</f>
        <v>2021</v>
      </c>
      <c r="D200" s="396" t="str">
        <f>IF(E200="N/A","N/A",($E$42*'9-WholesaleRevenues Corrected'!F17))</f>
        <v>N/A</v>
      </c>
      <c r="E200" s="396" t="str">
        <f>IF('9-WholesaleRevenues Corrected'!F51="N/A","N/A",'9-WholesaleRevenues Corrected'!F51)</f>
        <v>N/A</v>
      </c>
      <c r="F200" s="406">
        <f t="shared" si="96"/>
        <v>0</v>
      </c>
      <c r="G200" s="406">
        <f t="shared" si="99"/>
        <v>0</v>
      </c>
      <c r="H200" s="432">
        <f>$H$76</f>
        <v>3.2500000000000001E-2</v>
      </c>
      <c r="I200" s="13">
        <f>IF(E200="N/A",0,ROUND((F200/2+G199+J199)*H200/12,2))</f>
        <v>0</v>
      </c>
      <c r="J200" s="13">
        <f t="shared" ref="J200:J220" si="100">I200+J199</f>
        <v>0</v>
      </c>
      <c r="K200" s="13">
        <f t="shared" si="97"/>
        <v>0</v>
      </c>
      <c r="L200" s="4">
        <f t="shared" si="95"/>
        <v>705</v>
      </c>
    </row>
    <row r="201" spans="1:17">
      <c r="A201" s="4">
        <f t="shared" si="98"/>
        <v>706</v>
      </c>
      <c r="B201" t="s">
        <v>526</v>
      </c>
      <c r="C201" s="21">
        <f>'1-DRR Corrected'!$K$2</f>
        <v>2021</v>
      </c>
      <c r="D201" s="396" t="str">
        <f>IF(E201="N/A","N/A",($E$42*'9-WholesaleRevenues Corrected'!F18))</f>
        <v>N/A</v>
      </c>
      <c r="E201" s="396" t="str">
        <f>IF('9-WholesaleRevenues Corrected'!F52="N/A","N/A",'9-WholesaleRevenues Corrected'!F52)</f>
        <v>N/A</v>
      </c>
      <c r="F201" s="406">
        <f t="shared" si="96"/>
        <v>0</v>
      </c>
      <c r="G201" s="406">
        <f t="shared" si="99"/>
        <v>0</v>
      </c>
      <c r="H201" s="432">
        <f>$H$77</f>
        <v>3.2500000000000001E-2</v>
      </c>
      <c r="I201" s="13">
        <f>IF(E201="N/A",0,ROUND((F201/2+G200+J199)*H201/12,2))</f>
        <v>0</v>
      </c>
      <c r="J201" s="13">
        <f t="shared" si="100"/>
        <v>0</v>
      </c>
      <c r="K201" s="13">
        <f t="shared" si="97"/>
        <v>0</v>
      </c>
      <c r="L201" s="4">
        <f t="shared" si="95"/>
        <v>706</v>
      </c>
    </row>
    <row r="202" spans="1:17">
      <c r="A202" s="4">
        <f t="shared" si="98"/>
        <v>707</v>
      </c>
      <c r="B202" t="s">
        <v>527</v>
      </c>
      <c r="C202" s="21">
        <f>'1-DRR Corrected'!$K$2</f>
        <v>2021</v>
      </c>
      <c r="D202" s="396">
        <f>IF(E202="N/A","N/A",($E$42*'9-WholesaleRevenues Corrected'!F19))</f>
        <v>88081.450375671571</v>
      </c>
      <c r="E202" s="396">
        <f>IF('9-WholesaleRevenues Corrected'!F53="N/A","N/A",'9-WholesaleRevenues Corrected'!F53)</f>
        <v>37639.89</v>
      </c>
      <c r="F202" s="406">
        <f t="shared" si="96"/>
        <v>50441.560375671572</v>
      </c>
      <c r="G202" s="406">
        <f t="shared" si="99"/>
        <v>50441.560375671572</v>
      </c>
      <c r="H202" s="432">
        <f>$H$78</f>
        <v>3.2500000000000001E-2</v>
      </c>
      <c r="I202" s="13">
        <f>IF(E202="N/A",0,ROUND((F202/2+G201+J199)*H202/12,2))</f>
        <v>68.31</v>
      </c>
      <c r="J202" s="13">
        <f t="shared" si="100"/>
        <v>68.31</v>
      </c>
      <c r="K202" s="13">
        <f t="shared" si="97"/>
        <v>50509.87</v>
      </c>
      <c r="L202" s="4">
        <f t="shared" si="95"/>
        <v>707</v>
      </c>
    </row>
    <row r="203" spans="1:17">
      <c r="A203" s="4">
        <f t="shared" si="98"/>
        <v>708</v>
      </c>
      <c r="B203" t="s">
        <v>528</v>
      </c>
      <c r="C203" s="21">
        <f>'1-DRR Corrected'!$K$2</f>
        <v>2021</v>
      </c>
      <c r="D203" s="396">
        <f>IF(E203="N/A","N/A",($E$42*'9-WholesaleRevenues Corrected'!F20))</f>
        <v>82767.33572253905</v>
      </c>
      <c r="E203" s="396">
        <f>IF('9-WholesaleRevenues Corrected'!F54="N/A","N/A",'9-WholesaleRevenues Corrected'!F54)</f>
        <v>37639.89</v>
      </c>
      <c r="F203" s="406">
        <f t="shared" si="96"/>
        <v>45127.445722539051</v>
      </c>
      <c r="G203" s="406">
        <f t="shared" si="99"/>
        <v>95569.006098210622</v>
      </c>
      <c r="H203" s="432">
        <f>$H$79</f>
        <v>3.2500000000000001E-2</v>
      </c>
      <c r="I203" s="13">
        <f>IF(E203="N/A",0,ROUND((F203/2+G202+J202)*H203/12,2))</f>
        <v>197.91</v>
      </c>
      <c r="J203" s="13">
        <f t="shared" si="100"/>
        <v>266.22000000000003</v>
      </c>
      <c r="K203" s="13">
        <f t="shared" si="97"/>
        <v>95835.23</v>
      </c>
      <c r="L203" s="4">
        <f t="shared" si="95"/>
        <v>708</v>
      </c>
    </row>
    <row r="204" spans="1:17">
      <c r="A204" s="4">
        <f t="shared" si="98"/>
        <v>709</v>
      </c>
      <c r="B204" t="s">
        <v>529</v>
      </c>
      <c r="C204" s="21">
        <f>'1-DRR Corrected'!$K$2</f>
        <v>2021</v>
      </c>
      <c r="D204" s="396">
        <f>IF(E204="N/A","N/A",($E$42*'9-WholesaleRevenues Corrected'!F21))</f>
        <v>88195.32426109584</v>
      </c>
      <c r="E204" s="396">
        <f>IF('9-WholesaleRevenues Corrected'!F55="N/A","N/A",'9-WholesaleRevenues Corrected'!F55)</f>
        <v>37639.89</v>
      </c>
      <c r="F204" s="406">
        <f t="shared" si="96"/>
        <v>50555.434261095841</v>
      </c>
      <c r="G204" s="406">
        <f t="shared" si="99"/>
        <v>146124.44035930646</v>
      </c>
      <c r="H204" s="432">
        <f>$H$80</f>
        <v>3.2500000000000001E-2</v>
      </c>
      <c r="I204" s="13">
        <f>IF(E204="N/A",0,ROUND((F204/2+G203+J202)*H204/12,2))</f>
        <v>327.48</v>
      </c>
      <c r="J204" s="13">
        <f t="shared" si="100"/>
        <v>593.70000000000005</v>
      </c>
      <c r="K204" s="13">
        <f t="shared" si="97"/>
        <v>146718.14000000001</v>
      </c>
      <c r="L204" s="4">
        <f t="shared" si="95"/>
        <v>709</v>
      </c>
    </row>
    <row r="205" spans="1:17">
      <c r="A205" s="4">
        <f t="shared" si="98"/>
        <v>710</v>
      </c>
      <c r="B205" t="s">
        <v>530</v>
      </c>
      <c r="C205" s="21">
        <f>'1-DRR Corrected'!$K$2</f>
        <v>2021</v>
      </c>
      <c r="D205" s="396">
        <f>IF(E205="N/A","N/A",($E$42*'9-WholesaleRevenues Corrected'!F22))</f>
        <v>63029.195582332533</v>
      </c>
      <c r="E205" s="396">
        <f>IF('9-WholesaleRevenues Corrected'!F56="N/A","N/A",'9-WholesaleRevenues Corrected'!F56)</f>
        <v>37639.89</v>
      </c>
      <c r="F205" s="406">
        <f t="shared" si="96"/>
        <v>25389.305582332534</v>
      </c>
      <c r="G205" s="406">
        <f t="shared" si="99"/>
        <v>171513.745941639</v>
      </c>
      <c r="H205" s="432">
        <f>$H$81</f>
        <v>3.2500000000000001E-2</v>
      </c>
      <c r="I205" s="13">
        <f>IF(E205="N/A",0,ROUND((F205/2+G204+J202)*H205/12,2))</f>
        <v>430.32</v>
      </c>
      <c r="J205" s="13">
        <f t="shared" si="100"/>
        <v>1024.02</v>
      </c>
      <c r="K205" s="13">
        <f t="shared" si="97"/>
        <v>172537.77</v>
      </c>
      <c r="L205" s="4">
        <f t="shared" si="95"/>
        <v>710</v>
      </c>
    </row>
    <row r="206" spans="1:17">
      <c r="A206" s="4">
        <f t="shared" si="98"/>
        <v>711</v>
      </c>
      <c r="B206" t="s">
        <v>531</v>
      </c>
      <c r="C206" s="21">
        <f>'1-DRR Corrected'!$K$2</f>
        <v>2021</v>
      </c>
      <c r="D206" s="396">
        <f>IF(E206="N/A","N/A",($E$42*'9-WholesaleRevenues Corrected'!F23))</f>
        <v>63237.964372277027</v>
      </c>
      <c r="E206" s="396">
        <f>IF('9-WholesaleRevenues Corrected'!F57="N/A","N/A",'9-WholesaleRevenues Corrected'!F57)</f>
        <v>37639.89</v>
      </c>
      <c r="F206" s="406">
        <f t="shared" si="96"/>
        <v>25598.074372277028</v>
      </c>
      <c r="G206" s="406">
        <f t="shared" si="99"/>
        <v>197111.82031391602</v>
      </c>
      <c r="H206" s="432">
        <f>$H$82</f>
        <v>3.2500000000000001E-2</v>
      </c>
      <c r="I206" s="13">
        <f>IF(E206="N/A",0,ROUND((F206/2+G205+J205)*H206/12,2))</f>
        <v>501.95</v>
      </c>
      <c r="J206" s="13">
        <f t="shared" si="100"/>
        <v>1525.97</v>
      </c>
      <c r="K206" s="13">
        <f t="shared" si="97"/>
        <v>198637.79</v>
      </c>
      <c r="L206" s="4">
        <f t="shared" si="95"/>
        <v>711</v>
      </c>
    </row>
    <row r="207" spans="1:17">
      <c r="A207" s="4">
        <f t="shared" si="98"/>
        <v>712</v>
      </c>
      <c r="B207" t="s">
        <v>532</v>
      </c>
      <c r="C207" s="21">
        <f>'1-DRR Corrected'!$K$2</f>
        <v>2021</v>
      </c>
      <c r="D207" s="396">
        <f>IF(E207="N/A","N/A",($E$42*'9-WholesaleRevenues Corrected'!F24))</f>
        <v>49933.698758541672</v>
      </c>
      <c r="E207" s="396">
        <f>IF('9-WholesaleRevenues Corrected'!F58="N/A","N/A",'9-WholesaleRevenues Corrected'!F58)</f>
        <v>37639.89</v>
      </c>
      <c r="F207" s="406">
        <f t="shared" si="96"/>
        <v>12293.808758541672</v>
      </c>
      <c r="G207" s="406">
        <f t="shared" si="99"/>
        <v>209405.6290724577</v>
      </c>
      <c r="H207" s="432">
        <f>$H$83</f>
        <v>3.2500000000000001E-2</v>
      </c>
      <c r="I207" s="13">
        <f>IF(E207="N/A",0,ROUND((F207/2+G206+J205)*H207/12,2))</f>
        <v>553.27</v>
      </c>
      <c r="J207" s="13">
        <f t="shared" si="100"/>
        <v>2079.2399999999998</v>
      </c>
      <c r="K207" s="13">
        <f t="shared" si="97"/>
        <v>211484.87</v>
      </c>
      <c r="L207" s="4">
        <f t="shared" si="95"/>
        <v>712</v>
      </c>
    </row>
    <row r="208" spans="1:17">
      <c r="A208" s="4">
        <f t="shared" si="98"/>
        <v>713</v>
      </c>
      <c r="B208" t="s">
        <v>520</v>
      </c>
      <c r="C208" s="21">
        <f>'1-DRR Corrected'!$K$2</f>
        <v>2021</v>
      </c>
      <c r="D208" s="396">
        <f>IF(E208="N/A","N/A",($E$42*'9-WholesaleRevenues Corrected'!F25))</f>
        <v>43670.635060206914</v>
      </c>
      <c r="E208" s="396">
        <f>IF('9-WholesaleRevenues Corrected'!F59="N/A","N/A",'9-WholesaleRevenues Corrected'!F59)</f>
        <v>37639.89</v>
      </c>
      <c r="F208" s="406">
        <f t="shared" si="96"/>
        <v>6030.7450602069148</v>
      </c>
      <c r="G208" s="406">
        <f t="shared" si="99"/>
        <v>215436.37413266461</v>
      </c>
      <c r="H208" s="432">
        <f>$H$84</f>
        <v>3.2500000000000001E-2</v>
      </c>
      <c r="I208" s="13">
        <f>IF(E208="N/A",0,ROUND((F208/2+G207+J205)*H208/12,2))</f>
        <v>578.08000000000004</v>
      </c>
      <c r="J208" s="13">
        <f t="shared" si="100"/>
        <v>2657.3199999999997</v>
      </c>
      <c r="K208" s="13">
        <f t="shared" si="97"/>
        <v>218093.69</v>
      </c>
      <c r="L208" s="4">
        <f t="shared" si="95"/>
        <v>713</v>
      </c>
      <c r="O208" s="651">
        <f>G208-'3-ATA Original'!G208</f>
        <v>-2776.3865963070421</v>
      </c>
      <c r="P208" s="651">
        <f>J208-'3-ATA Original'!J208</f>
        <v>-29.920000000000073</v>
      </c>
      <c r="Q208" s="651">
        <f>P208+O208</f>
        <v>-2806.3065963070421</v>
      </c>
    </row>
    <row r="209" spans="1:17">
      <c r="A209" s="4">
        <f t="shared" si="98"/>
        <v>714</v>
      </c>
      <c r="B209" t="s">
        <v>522</v>
      </c>
      <c r="C209" s="21">
        <f>C208+1</f>
        <v>2022</v>
      </c>
      <c r="D209" s="81" t="s">
        <v>521</v>
      </c>
      <c r="E209" s="81" t="s">
        <v>521</v>
      </c>
      <c r="F209" s="406">
        <v>0</v>
      </c>
      <c r="G209" s="406">
        <f>F209+G208</f>
        <v>215436.37413266461</v>
      </c>
      <c r="H209" s="432">
        <f>$H$85</f>
        <v>3.2500000000000001E-2</v>
      </c>
      <c r="I209" s="13">
        <f t="shared" ref="I209" si="101">ROUND((F209/2+G208+J208)*H209/12,2)</f>
        <v>590.66999999999996</v>
      </c>
      <c r="J209" s="13">
        <f t="shared" si="100"/>
        <v>3247.99</v>
      </c>
      <c r="K209" s="13">
        <f t="shared" si="97"/>
        <v>218684.36</v>
      </c>
      <c r="L209" s="4">
        <f t="shared" si="95"/>
        <v>714</v>
      </c>
    </row>
    <row r="210" spans="1:17">
      <c r="A210" s="4">
        <f t="shared" si="98"/>
        <v>715</v>
      </c>
      <c r="B210" t="s">
        <v>523</v>
      </c>
      <c r="C210" s="21">
        <f>C209</f>
        <v>2022</v>
      </c>
      <c r="D210" s="81" t="s">
        <v>521</v>
      </c>
      <c r="E210" s="81" t="s">
        <v>521</v>
      </c>
      <c r="F210" s="406">
        <v>0</v>
      </c>
      <c r="G210" s="406">
        <f t="shared" ref="G210:G220" si="102">F210+G209</f>
        <v>215436.37413266461</v>
      </c>
      <c r="H210" s="432">
        <f>$H$86</f>
        <v>3.2500000000000001E-2</v>
      </c>
      <c r="I210" s="13">
        <f t="shared" ref="I210" si="103">ROUND((F210/2+G209+J208)*H210/12,2)</f>
        <v>590.66999999999996</v>
      </c>
      <c r="J210" s="13">
        <f t="shared" si="100"/>
        <v>3838.66</v>
      </c>
      <c r="K210" s="13">
        <f t="shared" si="97"/>
        <v>219275.03</v>
      </c>
      <c r="L210" s="4">
        <f t="shared" si="95"/>
        <v>715</v>
      </c>
    </row>
    <row r="211" spans="1:17">
      <c r="A211" s="4">
        <f t="shared" si="98"/>
        <v>716</v>
      </c>
      <c r="B211" t="s">
        <v>524</v>
      </c>
      <c r="C211" s="21">
        <f t="shared" ref="C211:C220" si="104">C210</f>
        <v>2022</v>
      </c>
      <c r="D211" s="81" t="s">
        <v>521</v>
      </c>
      <c r="E211" s="81" t="s">
        <v>521</v>
      </c>
      <c r="F211" s="406">
        <v>0</v>
      </c>
      <c r="G211" s="406">
        <f t="shared" si="102"/>
        <v>215436.37413266461</v>
      </c>
      <c r="H211" s="432">
        <f>$H$87</f>
        <v>3.2500000000000001E-2</v>
      </c>
      <c r="I211" s="13">
        <f t="shared" ref="I211" si="105">ROUND((F211/2+G210+J208)*H211/12,2)</f>
        <v>590.66999999999996</v>
      </c>
      <c r="J211" s="13">
        <f t="shared" si="100"/>
        <v>4429.33</v>
      </c>
      <c r="K211" s="13">
        <f t="shared" si="97"/>
        <v>219865.7</v>
      </c>
      <c r="L211" s="4">
        <f t="shared" si="95"/>
        <v>716</v>
      </c>
    </row>
    <row r="212" spans="1:17">
      <c r="A212" s="4">
        <f t="shared" si="98"/>
        <v>717</v>
      </c>
      <c r="B212" t="s">
        <v>525</v>
      </c>
      <c r="C212" s="21">
        <f t="shared" si="104"/>
        <v>2022</v>
      </c>
      <c r="D212" s="81" t="s">
        <v>521</v>
      </c>
      <c r="E212" s="81" t="s">
        <v>521</v>
      </c>
      <c r="F212" s="406">
        <v>0</v>
      </c>
      <c r="G212" s="406">
        <f t="shared" si="102"/>
        <v>215436.37413266461</v>
      </c>
      <c r="H212" s="432">
        <f>$H$88</f>
        <v>3.2500000000000001E-2</v>
      </c>
      <c r="I212" s="13">
        <f t="shared" ref="I212" si="106">ROUND((F212/2+G211+J211)*H212/12,2)</f>
        <v>595.47</v>
      </c>
      <c r="J212" s="13">
        <f t="shared" si="100"/>
        <v>5024.8</v>
      </c>
      <c r="K212" s="13">
        <f t="shared" si="97"/>
        <v>220461.17</v>
      </c>
      <c r="L212" s="4">
        <f t="shared" si="95"/>
        <v>717</v>
      </c>
    </row>
    <row r="213" spans="1:17">
      <c r="A213" s="4">
        <f t="shared" si="98"/>
        <v>718</v>
      </c>
      <c r="B213" t="s">
        <v>526</v>
      </c>
      <c r="C213" s="21">
        <f t="shared" si="104"/>
        <v>2022</v>
      </c>
      <c r="D213" s="81" t="s">
        <v>521</v>
      </c>
      <c r="E213" s="81" t="s">
        <v>521</v>
      </c>
      <c r="F213" s="406">
        <v>0</v>
      </c>
      <c r="G213" s="406">
        <f t="shared" si="102"/>
        <v>215436.37413266461</v>
      </c>
      <c r="H213" s="432">
        <f>$H$89</f>
        <v>3.2500000000000001E-2</v>
      </c>
      <c r="I213" s="13">
        <f t="shared" ref="I213" si="107">ROUND((F213/2+G212+J211)*H213/12,2)</f>
        <v>595.47</v>
      </c>
      <c r="J213" s="13">
        <f t="shared" si="100"/>
        <v>5620.27</v>
      </c>
      <c r="K213" s="13">
        <f t="shared" si="97"/>
        <v>221056.64000000001</v>
      </c>
      <c r="L213" s="4">
        <f t="shared" si="95"/>
        <v>718</v>
      </c>
    </row>
    <row r="214" spans="1:17">
      <c r="A214" s="4">
        <f t="shared" si="98"/>
        <v>719</v>
      </c>
      <c r="B214" t="s">
        <v>527</v>
      </c>
      <c r="C214" s="21">
        <f t="shared" si="104"/>
        <v>2022</v>
      </c>
      <c r="D214" s="81" t="s">
        <v>521</v>
      </c>
      <c r="E214" s="81" t="s">
        <v>521</v>
      </c>
      <c r="F214" s="406">
        <v>0</v>
      </c>
      <c r="G214" s="406">
        <f t="shared" si="102"/>
        <v>215436.37413266461</v>
      </c>
      <c r="H214" s="432">
        <f>$H$90</f>
        <v>3.2500000000000001E-2</v>
      </c>
      <c r="I214" s="13">
        <f t="shared" ref="I214" si="108">ROUND((F214/2+G213+J211)*H214/12,2)</f>
        <v>595.47</v>
      </c>
      <c r="J214" s="13">
        <f t="shared" si="100"/>
        <v>6215.7400000000007</v>
      </c>
      <c r="K214" s="13">
        <f t="shared" si="97"/>
        <v>221652.11</v>
      </c>
      <c r="L214" s="4">
        <f t="shared" si="95"/>
        <v>719</v>
      </c>
    </row>
    <row r="215" spans="1:17">
      <c r="A215" s="4">
        <f t="shared" si="98"/>
        <v>720</v>
      </c>
      <c r="B215" t="s">
        <v>528</v>
      </c>
      <c r="C215" s="21">
        <f t="shared" si="104"/>
        <v>2022</v>
      </c>
      <c r="D215" s="81" t="s">
        <v>521</v>
      </c>
      <c r="E215" s="81" t="s">
        <v>521</v>
      </c>
      <c r="F215" s="406">
        <v>0</v>
      </c>
      <c r="G215" s="406">
        <f t="shared" si="102"/>
        <v>215436.37413266461</v>
      </c>
      <c r="H215" s="432">
        <f>$H$91</f>
        <v>3.5999999999999997E-2</v>
      </c>
      <c r="I215" s="13">
        <f t="shared" ref="I215" si="109">ROUND((F215/2+G214+J214)*H215/12,2)</f>
        <v>664.96</v>
      </c>
      <c r="J215" s="13">
        <f t="shared" si="100"/>
        <v>6880.7000000000007</v>
      </c>
      <c r="K215" s="13">
        <f t="shared" si="97"/>
        <v>222317.07</v>
      </c>
      <c r="L215" s="4">
        <f t="shared" si="95"/>
        <v>720</v>
      </c>
    </row>
    <row r="216" spans="1:17">
      <c r="A216" s="4">
        <f t="shared" si="98"/>
        <v>721</v>
      </c>
      <c r="B216" t="s">
        <v>529</v>
      </c>
      <c r="C216" s="21">
        <f t="shared" si="104"/>
        <v>2022</v>
      </c>
      <c r="D216" s="81" t="s">
        <v>521</v>
      </c>
      <c r="E216" s="81" t="s">
        <v>521</v>
      </c>
      <c r="F216" s="406">
        <v>0</v>
      </c>
      <c r="G216" s="406">
        <f t="shared" si="102"/>
        <v>215436.37413266461</v>
      </c>
      <c r="H216" s="432">
        <f>$H$92</f>
        <v>3.5999999999999997E-2</v>
      </c>
      <c r="I216" s="13">
        <f t="shared" ref="I216" si="110">ROUND((F216/2+G215+J214)*H216/12,2)</f>
        <v>664.96</v>
      </c>
      <c r="J216" s="13">
        <f t="shared" si="100"/>
        <v>7545.6600000000008</v>
      </c>
      <c r="K216" s="13">
        <f t="shared" si="97"/>
        <v>222982.03</v>
      </c>
      <c r="L216" s="4">
        <f t="shared" si="95"/>
        <v>721</v>
      </c>
    </row>
    <row r="217" spans="1:17">
      <c r="A217" s="4">
        <f t="shared" si="98"/>
        <v>722</v>
      </c>
      <c r="B217" t="s">
        <v>530</v>
      </c>
      <c r="C217" s="21">
        <f t="shared" si="104"/>
        <v>2022</v>
      </c>
      <c r="D217" s="81" t="s">
        <v>521</v>
      </c>
      <c r="E217" s="81" t="s">
        <v>521</v>
      </c>
      <c r="F217" s="406">
        <v>0</v>
      </c>
      <c r="G217" s="406">
        <f t="shared" si="102"/>
        <v>215436.37413266461</v>
      </c>
      <c r="H217" s="432">
        <f>$H$93</f>
        <v>3.5999999999999997E-2</v>
      </c>
      <c r="I217" s="13">
        <f t="shared" ref="I217" si="111">ROUND((F217/2+G216+J214)*H217/12,2)</f>
        <v>664.96</v>
      </c>
      <c r="J217" s="13">
        <f t="shared" si="100"/>
        <v>8210.6200000000008</v>
      </c>
      <c r="K217" s="13">
        <f t="shared" si="97"/>
        <v>223646.99</v>
      </c>
      <c r="L217" s="4">
        <f t="shared" si="95"/>
        <v>722</v>
      </c>
    </row>
    <row r="218" spans="1:17">
      <c r="A218" s="4">
        <f t="shared" si="98"/>
        <v>723</v>
      </c>
      <c r="B218" t="s">
        <v>531</v>
      </c>
      <c r="C218" s="21">
        <f t="shared" si="104"/>
        <v>2022</v>
      </c>
      <c r="D218" s="81" t="s">
        <v>521</v>
      </c>
      <c r="E218" s="81" t="s">
        <v>521</v>
      </c>
      <c r="F218" s="406">
        <v>0</v>
      </c>
      <c r="G218" s="406">
        <f t="shared" si="102"/>
        <v>215436.37413266461</v>
      </c>
      <c r="H218" s="432">
        <f>$H$94</f>
        <v>4.9099999999999998E-2</v>
      </c>
      <c r="I218" s="13">
        <f t="shared" ref="I218" si="112">ROUND((F218/2+G217+J217)*H218/12,2)</f>
        <v>915.09</v>
      </c>
      <c r="J218" s="13">
        <f t="shared" si="100"/>
        <v>9125.7100000000009</v>
      </c>
      <c r="K218" s="13">
        <f t="shared" si="97"/>
        <v>224562.08</v>
      </c>
      <c r="L218" s="4">
        <f t="shared" si="95"/>
        <v>723</v>
      </c>
    </row>
    <row r="219" spans="1:17">
      <c r="A219" s="4">
        <f t="shared" si="98"/>
        <v>724</v>
      </c>
      <c r="B219" t="s">
        <v>532</v>
      </c>
      <c r="C219" s="21">
        <f t="shared" si="104"/>
        <v>2022</v>
      </c>
      <c r="D219" s="81" t="s">
        <v>521</v>
      </c>
      <c r="E219" s="81" t="s">
        <v>521</v>
      </c>
      <c r="F219" s="406">
        <v>0</v>
      </c>
      <c r="G219" s="406">
        <f t="shared" si="102"/>
        <v>215436.37413266461</v>
      </c>
      <c r="H219" s="432">
        <f>$H$95</f>
        <v>4.9099999999999998E-2</v>
      </c>
      <c r="I219" s="13">
        <f t="shared" ref="I219" si="113">ROUND((F219/2+G218+J217)*H219/12,2)</f>
        <v>915.09</v>
      </c>
      <c r="J219" s="13">
        <f t="shared" si="100"/>
        <v>10040.800000000001</v>
      </c>
      <c r="K219" s="13">
        <f t="shared" si="97"/>
        <v>225477.17</v>
      </c>
      <c r="L219" s="4">
        <f t="shared" si="95"/>
        <v>724</v>
      </c>
    </row>
    <row r="220" spans="1:17">
      <c r="A220" s="4">
        <f t="shared" si="98"/>
        <v>725</v>
      </c>
      <c r="B220" t="s">
        <v>520</v>
      </c>
      <c r="C220" s="21">
        <f t="shared" si="104"/>
        <v>2022</v>
      </c>
      <c r="D220" s="81" t="s">
        <v>521</v>
      </c>
      <c r="E220" s="81" t="s">
        <v>521</v>
      </c>
      <c r="F220" s="652">
        <v>0</v>
      </c>
      <c r="G220" s="652">
        <f t="shared" si="102"/>
        <v>215436.37413266461</v>
      </c>
      <c r="H220" s="432">
        <f>$H$96</f>
        <v>4.9099999999999998E-2</v>
      </c>
      <c r="I220" s="23">
        <f t="shared" ref="I220" si="114">ROUND((F220/2+G219+J217)*H220/12,2)</f>
        <v>915.09</v>
      </c>
      <c r="J220" s="23">
        <f t="shared" si="100"/>
        <v>10955.890000000001</v>
      </c>
      <c r="K220" s="23">
        <f t="shared" si="97"/>
        <v>226392.26</v>
      </c>
      <c r="L220" s="4">
        <f t="shared" si="95"/>
        <v>725</v>
      </c>
      <c r="O220" s="24"/>
      <c r="P220" s="24"/>
      <c r="Q220" s="24"/>
    </row>
    <row r="221" spans="1:17">
      <c r="A221" s="3"/>
      <c r="B221" s="2"/>
    </row>
    <row r="222" spans="1:17">
      <c r="A222" s="3" t="s">
        <v>90</v>
      </c>
      <c r="B222" s="417" t="s">
        <v>489</v>
      </c>
      <c r="C222" s="418" t="s">
        <v>122</v>
      </c>
      <c r="D222" s="418" t="s">
        <v>123</v>
      </c>
      <c r="E222" s="418" t="s">
        <v>124</v>
      </c>
      <c r="F222" s="418" t="s">
        <v>125</v>
      </c>
      <c r="G222" s="418" t="s">
        <v>490</v>
      </c>
      <c r="H222" s="418" t="s">
        <v>491</v>
      </c>
      <c r="I222" s="418" t="s">
        <v>492</v>
      </c>
      <c r="J222" s="418" t="s">
        <v>493</v>
      </c>
      <c r="K222" s="419" t="s">
        <v>494</v>
      </c>
      <c r="L222" s="3" t="str">
        <f t="shared" ref="L222:L223" si="115">A222</f>
        <v>Line</v>
      </c>
    </row>
    <row r="223" spans="1:17">
      <c r="A223" s="4">
        <f>A191+100</f>
        <v>800</v>
      </c>
      <c r="B223" s="420" t="s">
        <v>539</v>
      </c>
      <c r="C223" s="4"/>
      <c r="D223" s="18" t="s">
        <v>101</v>
      </c>
      <c r="E223" s="18" t="s">
        <v>496</v>
      </c>
      <c r="F223" s="21" t="str">
        <f>""&amp;D222&amp;" - "&amp;E222&amp;""</f>
        <v>Col 2 - Col 3</v>
      </c>
      <c r="G223" s="21" t="s">
        <v>497</v>
      </c>
      <c r="H223" s="21" t="s">
        <v>498</v>
      </c>
      <c r="I223" s="21" t="s">
        <v>499</v>
      </c>
      <c r="J223" s="21" t="s">
        <v>500</v>
      </c>
      <c r="K223" s="421" t="str">
        <f>""&amp;G222&amp;" + "&amp;J222&amp;""</f>
        <v>Col 5 + Col 8</v>
      </c>
      <c r="L223" s="4">
        <f t="shared" si="115"/>
        <v>800</v>
      </c>
    </row>
    <row r="224" spans="1:17">
      <c r="A224" s="4"/>
      <c r="B224" s="422"/>
      <c r="C224" s="4"/>
      <c r="D224" s="4"/>
      <c r="E224" s="4"/>
      <c r="F224" s="4"/>
      <c r="G224" s="4" t="s">
        <v>501</v>
      </c>
      <c r="H224" s="4"/>
      <c r="I224" s="4"/>
      <c r="J224" s="4"/>
      <c r="K224" s="423" t="s">
        <v>501</v>
      </c>
    </row>
    <row r="225" spans="1:17">
      <c r="B225" s="422"/>
      <c r="C225" s="4"/>
      <c r="D225" s="4" t="s">
        <v>505</v>
      </c>
      <c r="E225" s="4" t="s">
        <v>505</v>
      </c>
      <c r="F225" s="4"/>
      <c r="G225" s="4" t="s">
        <v>504</v>
      </c>
      <c r="H225" s="4"/>
      <c r="I225" s="4"/>
      <c r="J225" s="4"/>
      <c r="K225" s="423" t="s">
        <v>504</v>
      </c>
    </row>
    <row r="226" spans="1:17">
      <c r="A226" s="4"/>
      <c r="B226" s="420"/>
      <c r="C226" s="4"/>
      <c r="D226" s="4" t="s">
        <v>502</v>
      </c>
      <c r="E226" s="4" t="s">
        <v>503</v>
      </c>
      <c r="F226" s="4" t="s">
        <v>506</v>
      </c>
      <c r="G226" s="4" t="s">
        <v>507</v>
      </c>
      <c r="H226" s="4" t="s">
        <v>508</v>
      </c>
      <c r="I226" s="4" t="s">
        <v>502</v>
      </c>
      <c r="J226" s="4" t="s">
        <v>509</v>
      </c>
      <c r="K226" s="423" t="s">
        <v>510</v>
      </c>
    </row>
    <row r="227" spans="1:17">
      <c r="A227" s="4"/>
      <c r="B227" s="424" t="s">
        <v>511</v>
      </c>
      <c r="C227" s="425" t="s">
        <v>512</v>
      </c>
      <c r="D227" s="425" t="s">
        <v>513</v>
      </c>
      <c r="E227" s="425" t="s">
        <v>514</v>
      </c>
      <c r="F227" s="425" t="s">
        <v>515</v>
      </c>
      <c r="G227" s="425" t="s">
        <v>516</v>
      </c>
      <c r="H227" s="425" t="s">
        <v>517</v>
      </c>
      <c r="I227" s="425" t="s">
        <v>518</v>
      </c>
      <c r="J227" s="425" t="s">
        <v>518</v>
      </c>
      <c r="K227" s="426" t="s">
        <v>519</v>
      </c>
    </row>
    <row r="228" spans="1:17">
      <c r="A228" s="4">
        <f>A223+1</f>
        <v>801</v>
      </c>
      <c r="B228" t="s">
        <v>520</v>
      </c>
      <c r="C228" s="21">
        <f>C229-1</f>
        <v>2020</v>
      </c>
      <c r="D228" s="81" t="s">
        <v>521</v>
      </c>
      <c r="E228" s="81" t="s">
        <v>521</v>
      </c>
      <c r="F228" s="21" t="s">
        <v>521</v>
      </c>
      <c r="G228" s="40">
        <v>0</v>
      </c>
      <c r="H228" s="21" t="s">
        <v>521</v>
      </c>
      <c r="I228" s="21" t="s">
        <v>521</v>
      </c>
      <c r="J228" s="40">
        <v>0</v>
      </c>
      <c r="K228" s="13">
        <f>ROUND((G228+J228),2)</f>
        <v>0</v>
      </c>
      <c r="L228" s="4">
        <f t="shared" ref="L228:L252" si="116">A228</f>
        <v>801</v>
      </c>
    </row>
    <row r="229" spans="1:17">
      <c r="A229" s="4">
        <f>A228+1</f>
        <v>802</v>
      </c>
      <c r="B229" t="s">
        <v>522</v>
      </c>
      <c r="C229" s="21">
        <f>'1-DRR Corrected'!$K$2</f>
        <v>2021</v>
      </c>
      <c r="D229" s="396" t="str">
        <f>IF(E229="N/A","N/A",($F$42*'9-WholesaleRevenues Corrected'!G14))</f>
        <v>N/A</v>
      </c>
      <c r="E229" s="396" t="str">
        <f>IF('9-WholesaleRevenues Corrected'!G48="N/A","N/A",'9-WholesaleRevenues Corrected'!G48)</f>
        <v>N/A</v>
      </c>
      <c r="F229" s="406">
        <f t="shared" ref="F229:F240" si="117">IF(E229="N/A",0,D229-E229)</f>
        <v>0</v>
      </c>
      <c r="G229" s="406">
        <f>F229+G228</f>
        <v>0</v>
      </c>
      <c r="H229" s="432">
        <f>$H$73</f>
        <v>3.2500000000000001E-2</v>
      </c>
      <c r="I229" s="13">
        <f>IF(E229="N/A",0,ROUND((F229/2+G228+J228)*H229/12,2))</f>
        <v>0</v>
      </c>
      <c r="J229" s="13">
        <f>I229+J228</f>
        <v>0</v>
      </c>
      <c r="K229" s="13">
        <f t="shared" ref="K229:K252" si="118">ROUND((G229+J229),2)</f>
        <v>0</v>
      </c>
      <c r="L229" s="4">
        <f t="shared" si="116"/>
        <v>802</v>
      </c>
    </row>
    <row r="230" spans="1:17">
      <c r="A230" s="4">
        <f t="shared" ref="A230:A252" si="119">A229+1</f>
        <v>803</v>
      </c>
      <c r="B230" t="s">
        <v>523</v>
      </c>
      <c r="C230" s="21">
        <f>'1-DRR Corrected'!$K$2</f>
        <v>2021</v>
      </c>
      <c r="D230" s="396" t="str">
        <f>IF(E230="N/A","N/A",($F$42*'9-WholesaleRevenues Corrected'!G15))</f>
        <v>N/A</v>
      </c>
      <c r="E230" s="396" t="str">
        <f>IF('9-WholesaleRevenues Corrected'!G49="N/A","N/A",'9-WholesaleRevenues Corrected'!G49)</f>
        <v>N/A</v>
      </c>
      <c r="F230" s="406">
        <f t="shared" si="117"/>
        <v>0</v>
      </c>
      <c r="G230" s="406">
        <f t="shared" ref="G230:G240" si="120">F230+G229</f>
        <v>0</v>
      </c>
      <c r="H230" s="432">
        <f>$H$74</f>
        <v>3.2500000000000001E-2</v>
      </c>
      <c r="I230" s="13">
        <f>IF(E230="N/A",0,ROUND((F230/2+G229+J228)*H230/12,2))</f>
        <v>0</v>
      </c>
      <c r="J230" s="13">
        <f>I230+J229</f>
        <v>0</v>
      </c>
      <c r="K230" s="13">
        <f t="shared" si="118"/>
        <v>0</v>
      </c>
      <c r="L230" s="4">
        <f t="shared" si="116"/>
        <v>803</v>
      </c>
    </row>
    <row r="231" spans="1:17">
      <c r="A231" s="4">
        <f t="shared" si="119"/>
        <v>804</v>
      </c>
      <c r="B231" t="s">
        <v>524</v>
      </c>
      <c r="C231" s="21">
        <f>'1-DRR Corrected'!$K$2</f>
        <v>2021</v>
      </c>
      <c r="D231" s="396" t="str">
        <f>IF(E231="N/A","N/A",($F$42*'9-WholesaleRevenues Corrected'!G16))</f>
        <v>N/A</v>
      </c>
      <c r="E231" s="396" t="str">
        <f>IF('9-WholesaleRevenues Corrected'!G50="N/A","N/A",'9-WholesaleRevenues Corrected'!G50)</f>
        <v>N/A</v>
      </c>
      <c r="F231" s="406">
        <f t="shared" si="117"/>
        <v>0</v>
      </c>
      <c r="G231" s="406">
        <f t="shared" si="120"/>
        <v>0</v>
      </c>
      <c r="H231" s="432">
        <f>$H$75</f>
        <v>3.2500000000000001E-2</v>
      </c>
      <c r="I231" s="13">
        <f>IF(E231="N/A",0,ROUND((F231/2+G230+J228)*H231/12,2))</f>
        <v>0</v>
      </c>
      <c r="J231" s="13">
        <f>I231+J230</f>
        <v>0</v>
      </c>
      <c r="K231" s="13">
        <f t="shared" si="118"/>
        <v>0</v>
      </c>
      <c r="L231" s="4">
        <f t="shared" si="116"/>
        <v>804</v>
      </c>
    </row>
    <row r="232" spans="1:17">
      <c r="A232" s="4">
        <f t="shared" si="119"/>
        <v>805</v>
      </c>
      <c r="B232" t="s">
        <v>525</v>
      </c>
      <c r="C232" s="21">
        <f>'1-DRR Corrected'!$K$2</f>
        <v>2021</v>
      </c>
      <c r="D232" s="396" t="str">
        <f>IF(E232="N/A","N/A",($F$42*'9-WholesaleRevenues Corrected'!G17))</f>
        <v>N/A</v>
      </c>
      <c r="E232" s="396" t="str">
        <f>IF('9-WholesaleRevenues Corrected'!G51="N/A","N/A",'9-WholesaleRevenues Corrected'!G51)</f>
        <v>N/A</v>
      </c>
      <c r="F232" s="406">
        <f t="shared" si="117"/>
        <v>0</v>
      </c>
      <c r="G232" s="406">
        <f t="shared" si="120"/>
        <v>0</v>
      </c>
      <c r="H232" s="432">
        <f>$H$76</f>
        <v>3.2500000000000001E-2</v>
      </c>
      <c r="I232" s="13">
        <f>IF(E232="N/A",0,ROUND((F232/2+G231+J231)*H232/12,2))</f>
        <v>0</v>
      </c>
      <c r="J232" s="13">
        <f t="shared" ref="J232:J252" si="121">I232+J231</f>
        <v>0</v>
      </c>
      <c r="K232" s="13">
        <f t="shared" si="118"/>
        <v>0</v>
      </c>
      <c r="L232" s="4">
        <f t="shared" si="116"/>
        <v>805</v>
      </c>
    </row>
    <row r="233" spans="1:17">
      <c r="A233" s="4">
        <f t="shared" si="119"/>
        <v>806</v>
      </c>
      <c r="B233" t="s">
        <v>526</v>
      </c>
      <c r="C233" s="21">
        <f>'1-DRR Corrected'!$K$2</f>
        <v>2021</v>
      </c>
      <c r="D233" s="396" t="str">
        <f>IF(E233="N/A","N/A",($F$42*'9-WholesaleRevenues Corrected'!G18))</f>
        <v>N/A</v>
      </c>
      <c r="E233" s="396" t="str">
        <f>IF('9-WholesaleRevenues Corrected'!G52="N/A","N/A",'9-WholesaleRevenues Corrected'!G52)</f>
        <v>N/A</v>
      </c>
      <c r="F233" s="406">
        <f t="shared" si="117"/>
        <v>0</v>
      </c>
      <c r="G233" s="406">
        <f t="shared" si="120"/>
        <v>0</v>
      </c>
      <c r="H233" s="432">
        <f>$H$77</f>
        <v>3.2500000000000001E-2</v>
      </c>
      <c r="I233" s="13">
        <f>IF(E233="N/A",0,ROUND((F233/2+G232+J231)*H233/12,2))</f>
        <v>0</v>
      </c>
      <c r="J233" s="13">
        <f t="shared" si="121"/>
        <v>0</v>
      </c>
      <c r="K233" s="13">
        <f t="shared" si="118"/>
        <v>0</v>
      </c>
      <c r="L233" s="4">
        <f t="shared" si="116"/>
        <v>806</v>
      </c>
    </row>
    <row r="234" spans="1:17">
      <c r="A234" s="4">
        <f t="shared" si="119"/>
        <v>807</v>
      </c>
      <c r="B234" t="s">
        <v>527</v>
      </c>
      <c r="C234" s="21">
        <f>'1-DRR Corrected'!$K$2</f>
        <v>2021</v>
      </c>
      <c r="D234" s="396">
        <f>IF(E234="N/A","N/A",($F$42*'9-WholesaleRevenues Corrected'!G19))</f>
        <v>12631.155976559599</v>
      </c>
      <c r="E234" s="396">
        <f>IF('9-WholesaleRevenues Corrected'!G53="N/A","N/A",'9-WholesaleRevenues Corrected'!G53)</f>
        <v>8060.8000000000011</v>
      </c>
      <c r="F234" s="406">
        <f t="shared" si="117"/>
        <v>4570.3559765595983</v>
      </c>
      <c r="G234" s="406">
        <f t="shared" si="120"/>
        <v>4570.3559765595983</v>
      </c>
      <c r="H234" s="432">
        <f>$H$78</f>
        <v>3.2500000000000001E-2</v>
      </c>
      <c r="I234" s="13">
        <f>IF(E234="N/A",0,ROUND((F234/2+G233+J231)*H234/12,2))</f>
        <v>6.19</v>
      </c>
      <c r="J234" s="13">
        <f t="shared" si="121"/>
        <v>6.19</v>
      </c>
      <c r="K234" s="13">
        <f t="shared" si="118"/>
        <v>4576.55</v>
      </c>
      <c r="L234" s="4">
        <f t="shared" si="116"/>
        <v>807</v>
      </c>
    </row>
    <row r="235" spans="1:17">
      <c r="A235" s="4">
        <f t="shared" si="119"/>
        <v>808</v>
      </c>
      <c r="B235" t="s">
        <v>528</v>
      </c>
      <c r="C235" s="21">
        <f>'1-DRR Corrected'!$K$2</f>
        <v>2021</v>
      </c>
      <c r="D235" s="396">
        <f>IF(E235="N/A","N/A",($F$42*'9-WholesaleRevenues Corrected'!G20))</f>
        <v>13421.752347727084</v>
      </c>
      <c r="E235" s="396">
        <f>IF('9-WholesaleRevenues Corrected'!G54="N/A","N/A",'9-WholesaleRevenues Corrected'!G54)</f>
        <v>8060.8000000000011</v>
      </c>
      <c r="F235" s="406">
        <f t="shared" si="117"/>
        <v>5360.9523477270832</v>
      </c>
      <c r="G235" s="406">
        <f t="shared" si="120"/>
        <v>9931.3083242866815</v>
      </c>
      <c r="H235" s="432">
        <f>$H$79</f>
        <v>3.2500000000000001E-2</v>
      </c>
      <c r="I235" s="13">
        <f>IF(E235="N/A",0,ROUND((F235/2+G234+J234)*H235/12,2))</f>
        <v>19.649999999999999</v>
      </c>
      <c r="J235" s="13">
        <f t="shared" si="121"/>
        <v>25.84</v>
      </c>
      <c r="K235" s="13">
        <f t="shared" si="118"/>
        <v>9957.15</v>
      </c>
      <c r="L235" s="4">
        <f t="shared" si="116"/>
        <v>808</v>
      </c>
    </row>
    <row r="236" spans="1:17">
      <c r="A236" s="4">
        <f t="shared" si="119"/>
        <v>809</v>
      </c>
      <c r="B236" t="s">
        <v>529</v>
      </c>
      <c r="C236" s="21">
        <f>'1-DRR Corrected'!$K$2</f>
        <v>2021</v>
      </c>
      <c r="D236" s="396">
        <f>IF(E236="N/A","N/A",($F$42*'9-WholesaleRevenues Corrected'!G21))</f>
        <v>12428.910393237684</v>
      </c>
      <c r="E236" s="396">
        <f>IF('9-WholesaleRevenues Corrected'!G55="N/A","N/A",'9-WholesaleRevenues Corrected'!G55)</f>
        <v>8060.8000000000011</v>
      </c>
      <c r="F236" s="406">
        <f t="shared" si="117"/>
        <v>4368.1103932376827</v>
      </c>
      <c r="G236" s="406">
        <f t="shared" si="120"/>
        <v>14299.418717524364</v>
      </c>
      <c r="H236" s="432">
        <f>$H$80</f>
        <v>3.2500000000000001E-2</v>
      </c>
      <c r="I236" s="13">
        <f>IF(E236="N/A",0,ROUND((F236/2+G235+J234)*H236/12,2))</f>
        <v>32.83</v>
      </c>
      <c r="J236" s="13">
        <f t="shared" si="121"/>
        <v>58.67</v>
      </c>
      <c r="K236" s="13">
        <f t="shared" si="118"/>
        <v>14358.09</v>
      </c>
      <c r="L236" s="4">
        <f t="shared" si="116"/>
        <v>809</v>
      </c>
    </row>
    <row r="237" spans="1:17">
      <c r="A237" s="4">
        <f t="shared" si="119"/>
        <v>810</v>
      </c>
      <c r="B237" t="s">
        <v>530</v>
      </c>
      <c r="C237" s="21">
        <f>'1-DRR Corrected'!$K$2</f>
        <v>2021</v>
      </c>
      <c r="D237" s="396">
        <f>IF(E237="N/A","N/A",($F$42*'9-WholesaleRevenues Corrected'!G22))</f>
        <v>12906.945408362209</v>
      </c>
      <c r="E237" s="396">
        <f>IF('9-WholesaleRevenues Corrected'!G56="N/A","N/A",'9-WholesaleRevenues Corrected'!G56)</f>
        <v>8060.8000000000011</v>
      </c>
      <c r="F237" s="406">
        <f t="shared" si="117"/>
        <v>4846.1454083622084</v>
      </c>
      <c r="G237" s="406">
        <f t="shared" si="120"/>
        <v>19145.564125886573</v>
      </c>
      <c r="H237" s="432">
        <f>$H$81</f>
        <v>3.2500000000000001E-2</v>
      </c>
      <c r="I237" s="13">
        <f>IF(E237="N/A",0,ROUND((F237/2+G236+J234)*H237/12,2))</f>
        <v>45.31</v>
      </c>
      <c r="J237" s="13">
        <f t="shared" si="121"/>
        <v>103.98</v>
      </c>
      <c r="K237" s="13">
        <f t="shared" si="118"/>
        <v>19249.54</v>
      </c>
      <c r="L237" s="4">
        <f t="shared" si="116"/>
        <v>810</v>
      </c>
    </row>
    <row r="238" spans="1:17">
      <c r="A238" s="4">
        <f t="shared" si="119"/>
        <v>811</v>
      </c>
      <c r="B238" t="s">
        <v>531</v>
      </c>
      <c r="C238" s="21">
        <f>'1-DRR Corrected'!$K$2</f>
        <v>2021</v>
      </c>
      <c r="D238" s="396">
        <f>IF(E238="N/A","N/A",($F$42*'9-WholesaleRevenues Corrected'!G23))</f>
        <v>12410.52443111751</v>
      </c>
      <c r="E238" s="396">
        <f>IF('9-WholesaleRevenues Corrected'!G57="N/A","N/A",'9-WholesaleRevenues Corrected'!G57)</f>
        <v>8060.8000000000011</v>
      </c>
      <c r="F238" s="406">
        <f t="shared" si="117"/>
        <v>4349.7244311175091</v>
      </c>
      <c r="G238" s="406">
        <f t="shared" si="120"/>
        <v>23495.288557004082</v>
      </c>
      <c r="H238" s="432">
        <f>$H$82</f>
        <v>3.2500000000000001E-2</v>
      </c>
      <c r="I238" s="13">
        <f>IF(E238="N/A",0,ROUND((F238/2+G237+J237)*H238/12,2))</f>
        <v>58.02</v>
      </c>
      <c r="J238" s="13">
        <f t="shared" si="121"/>
        <v>162</v>
      </c>
      <c r="K238" s="13">
        <f t="shared" si="118"/>
        <v>23657.29</v>
      </c>
      <c r="L238" s="4">
        <f t="shared" si="116"/>
        <v>811</v>
      </c>
    </row>
    <row r="239" spans="1:17">
      <c r="A239" s="4">
        <f t="shared" si="119"/>
        <v>812</v>
      </c>
      <c r="B239" t="s">
        <v>532</v>
      </c>
      <c r="C239" s="21">
        <f>'1-DRR Corrected'!$K$2</f>
        <v>2021</v>
      </c>
      <c r="D239" s="396">
        <f>IF(E239="N/A","N/A",($F$42*'9-WholesaleRevenues Corrected'!G24))</f>
        <v>14083.646984053352</v>
      </c>
      <c r="E239" s="396">
        <f>IF('9-WholesaleRevenues Corrected'!G58="N/A","N/A",'9-WholesaleRevenues Corrected'!G58)</f>
        <v>8060.8000000000011</v>
      </c>
      <c r="F239" s="406">
        <f t="shared" si="117"/>
        <v>6022.8469840533508</v>
      </c>
      <c r="G239" s="406">
        <f t="shared" si="120"/>
        <v>29518.135541057432</v>
      </c>
      <c r="H239" s="432">
        <f>$H$83</f>
        <v>3.2500000000000001E-2</v>
      </c>
      <c r="I239" s="13">
        <f>IF(E239="N/A",0,ROUND((F239/2+G238+J237)*H239/12,2))</f>
        <v>72.069999999999993</v>
      </c>
      <c r="J239" s="13">
        <f t="shared" si="121"/>
        <v>234.07</v>
      </c>
      <c r="K239" s="13">
        <f t="shared" si="118"/>
        <v>29752.21</v>
      </c>
      <c r="L239" s="4">
        <f t="shared" si="116"/>
        <v>812</v>
      </c>
    </row>
    <row r="240" spans="1:17">
      <c r="A240" s="4">
        <f t="shared" si="119"/>
        <v>813</v>
      </c>
      <c r="B240" t="s">
        <v>520</v>
      </c>
      <c r="C240" s="21">
        <f>'1-DRR Corrected'!$K$2</f>
        <v>2021</v>
      </c>
      <c r="D240" s="396">
        <f>IF(E240="N/A","N/A",($F$42*'9-WholesaleRevenues Corrected'!G25))</f>
        <v>14911.015279461186</v>
      </c>
      <c r="E240" s="396">
        <f>IF('9-WholesaleRevenues Corrected'!G59="N/A","N/A",'9-WholesaleRevenues Corrected'!G59)</f>
        <v>8060.8000000000011</v>
      </c>
      <c r="F240" s="406">
        <f t="shared" si="117"/>
        <v>6850.2152794611848</v>
      </c>
      <c r="G240" s="406">
        <f t="shared" si="120"/>
        <v>36368.350820518615</v>
      </c>
      <c r="H240" s="432">
        <f>$H$84</f>
        <v>3.2500000000000001E-2</v>
      </c>
      <c r="I240" s="13">
        <f>IF(E240="N/A",0,ROUND((F240/2+G239+J237)*H240/12,2))</f>
        <v>89.5</v>
      </c>
      <c r="J240" s="13">
        <f t="shared" si="121"/>
        <v>323.57</v>
      </c>
      <c r="K240" s="13">
        <f t="shared" si="118"/>
        <v>36691.919999999998</v>
      </c>
      <c r="L240" s="4">
        <f t="shared" si="116"/>
        <v>813</v>
      </c>
      <c r="O240" s="651">
        <f>G240-'3-ATA Original'!G240</f>
        <v>-537.94839644667081</v>
      </c>
      <c r="P240" s="651">
        <f>J240-'3-ATA Original'!J240</f>
        <v>-5</v>
      </c>
      <c r="Q240" s="651">
        <f>P240+O240</f>
        <v>-542.94839644667081</v>
      </c>
    </row>
    <row r="241" spans="1:17">
      <c r="A241" s="4">
        <f t="shared" si="119"/>
        <v>814</v>
      </c>
      <c r="B241" t="s">
        <v>522</v>
      </c>
      <c r="C241" s="21">
        <f>C240+1</f>
        <v>2022</v>
      </c>
      <c r="D241" s="81" t="s">
        <v>521</v>
      </c>
      <c r="E241" s="81" t="s">
        <v>521</v>
      </c>
      <c r="F241" s="406">
        <v>0</v>
      </c>
      <c r="G241" s="406">
        <f>F241+G240</f>
        <v>36368.350820518615</v>
      </c>
      <c r="H241" s="432">
        <f>$H$85</f>
        <v>3.2500000000000001E-2</v>
      </c>
      <c r="I241" s="13">
        <f t="shared" ref="I241" si="122">ROUND((F241/2+G240+J240)*H241/12,2)</f>
        <v>99.37</v>
      </c>
      <c r="J241" s="13">
        <f t="shared" si="121"/>
        <v>422.94</v>
      </c>
      <c r="K241" s="13">
        <f t="shared" si="118"/>
        <v>36791.29</v>
      </c>
      <c r="L241" s="4">
        <f t="shared" si="116"/>
        <v>814</v>
      </c>
    </row>
    <row r="242" spans="1:17">
      <c r="A242" s="4">
        <f t="shared" si="119"/>
        <v>815</v>
      </c>
      <c r="B242" t="s">
        <v>523</v>
      </c>
      <c r="C242" s="21">
        <f>C241</f>
        <v>2022</v>
      </c>
      <c r="D242" s="81" t="s">
        <v>521</v>
      </c>
      <c r="E242" s="81" t="s">
        <v>521</v>
      </c>
      <c r="F242" s="406">
        <v>0</v>
      </c>
      <c r="G242" s="406">
        <f t="shared" ref="G242:G252" si="123">F242+G241</f>
        <v>36368.350820518615</v>
      </c>
      <c r="H242" s="432">
        <f>$H$86</f>
        <v>3.2500000000000001E-2</v>
      </c>
      <c r="I242" s="13">
        <f t="shared" ref="I242" si="124">ROUND((F242/2+G241+J240)*H242/12,2)</f>
        <v>99.37</v>
      </c>
      <c r="J242" s="13">
        <f t="shared" si="121"/>
        <v>522.30999999999995</v>
      </c>
      <c r="K242" s="13">
        <f t="shared" si="118"/>
        <v>36890.660000000003</v>
      </c>
      <c r="L242" s="4">
        <f t="shared" si="116"/>
        <v>815</v>
      </c>
    </row>
    <row r="243" spans="1:17">
      <c r="A243" s="4">
        <f t="shared" si="119"/>
        <v>816</v>
      </c>
      <c r="B243" t="s">
        <v>524</v>
      </c>
      <c r="C243" s="21">
        <f t="shared" ref="C243:C252" si="125">C242</f>
        <v>2022</v>
      </c>
      <c r="D243" s="81" t="s">
        <v>521</v>
      </c>
      <c r="E243" s="81" t="s">
        <v>521</v>
      </c>
      <c r="F243" s="406">
        <v>0</v>
      </c>
      <c r="G243" s="406">
        <f t="shared" si="123"/>
        <v>36368.350820518615</v>
      </c>
      <c r="H243" s="432">
        <f>$H$87</f>
        <v>3.2500000000000001E-2</v>
      </c>
      <c r="I243" s="13">
        <f t="shared" ref="I243" si="126">ROUND((F243/2+G242+J240)*H243/12,2)</f>
        <v>99.37</v>
      </c>
      <c r="J243" s="13">
        <f t="shared" si="121"/>
        <v>621.67999999999995</v>
      </c>
      <c r="K243" s="13">
        <f t="shared" si="118"/>
        <v>36990.03</v>
      </c>
      <c r="L243" s="4">
        <f t="shared" si="116"/>
        <v>816</v>
      </c>
    </row>
    <row r="244" spans="1:17">
      <c r="A244" s="4">
        <f t="shared" si="119"/>
        <v>817</v>
      </c>
      <c r="B244" t="s">
        <v>525</v>
      </c>
      <c r="C244" s="21">
        <f t="shared" si="125"/>
        <v>2022</v>
      </c>
      <c r="D244" s="81" t="s">
        <v>521</v>
      </c>
      <c r="E244" s="81" t="s">
        <v>521</v>
      </c>
      <c r="F244" s="406">
        <v>0</v>
      </c>
      <c r="G244" s="406">
        <f t="shared" si="123"/>
        <v>36368.350820518615</v>
      </c>
      <c r="H244" s="432">
        <f>$H$88</f>
        <v>3.2500000000000001E-2</v>
      </c>
      <c r="I244" s="13">
        <f t="shared" ref="I244" si="127">ROUND((F244/2+G243+J243)*H244/12,2)</f>
        <v>100.18</v>
      </c>
      <c r="J244" s="13">
        <f t="shared" si="121"/>
        <v>721.8599999999999</v>
      </c>
      <c r="K244" s="13">
        <f t="shared" si="118"/>
        <v>37090.21</v>
      </c>
      <c r="L244" s="4">
        <f t="shared" si="116"/>
        <v>817</v>
      </c>
    </row>
    <row r="245" spans="1:17">
      <c r="A245" s="4">
        <f t="shared" si="119"/>
        <v>818</v>
      </c>
      <c r="B245" t="s">
        <v>526</v>
      </c>
      <c r="C245" s="21">
        <f t="shared" si="125"/>
        <v>2022</v>
      </c>
      <c r="D245" s="81" t="s">
        <v>521</v>
      </c>
      <c r="E245" s="81" t="s">
        <v>521</v>
      </c>
      <c r="F245" s="406">
        <v>0</v>
      </c>
      <c r="G245" s="406">
        <f t="shared" si="123"/>
        <v>36368.350820518615</v>
      </c>
      <c r="H245" s="432">
        <f>$H$89</f>
        <v>3.2500000000000001E-2</v>
      </c>
      <c r="I245" s="13">
        <f t="shared" ref="I245" si="128">ROUND((F245/2+G244+J243)*H245/12,2)</f>
        <v>100.18</v>
      </c>
      <c r="J245" s="13">
        <f t="shared" si="121"/>
        <v>822.04</v>
      </c>
      <c r="K245" s="13">
        <f t="shared" si="118"/>
        <v>37190.39</v>
      </c>
      <c r="L245" s="4">
        <f t="shared" si="116"/>
        <v>818</v>
      </c>
    </row>
    <row r="246" spans="1:17">
      <c r="A246" s="4">
        <f t="shared" si="119"/>
        <v>819</v>
      </c>
      <c r="B246" t="s">
        <v>527</v>
      </c>
      <c r="C246" s="21">
        <f t="shared" si="125"/>
        <v>2022</v>
      </c>
      <c r="D246" s="81" t="s">
        <v>521</v>
      </c>
      <c r="E246" s="81" t="s">
        <v>521</v>
      </c>
      <c r="F246" s="406">
        <v>0</v>
      </c>
      <c r="G246" s="406">
        <f t="shared" si="123"/>
        <v>36368.350820518615</v>
      </c>
      <c r="H246" s="432">
        <f>$H$90</f>
        <v>3.2500000000000001E-2</v>
      </c>
      <c r="I246" s="13">
        <f t="shared" ref="I246" si="129">ROUND((F246/2+G245+J243)*H246/12,2)</f>
        <v>100.18</v>
      </c>
      <c r="J246" s="13">
        <f t="shared" si="121"/>
        <v>922.22</v>
      </c>
      <c r="K246" s="13">
        <f t="shared" si="118"/>
        <v>37290.57</v>
      </c>
      <c r="L246" s="4">
        <f t="shared" si="116"/>
        <v>819</v>
      </c>
    </row>
    <row r="247" spans="1:17">
      <c r="A247" s="4">
        <f t="shared" si="119"/>
        <v>820</v>
      </c>
      <c r="B247" t="s">
        <v>528</v>
      </c>
      <c r="C247" s="21">
        <f t="shared" si="125"/>
        <v>2022</v>
      </c>
      <c r="D247" s="81" t="s">
        <v>521</v>
      </c>
      <c r="E247" s="81" t="s">
        <v>521</v>
      </c>
      <c r="F247" s="406">
        <v>0</v>
      </c>
      <c r="G247" s="406">
        <f t="shared" si="123"/>
        <v>36368.350820518615</v>
      </c>
      <c r="H247" s="432">
        <f>$H$91</f>
        <v>3.5999999999999997E-2</v>
      </c>
      <c r="I247" s="13">
        <f t="shared" ref="I247" si="130">ROUND((F247/2+G246+J246)*H247/12,2)</f>
        <v>111.87</v>
      </c>
      <c r="J247" s="13">
        <f t="shared" si="121"/>
        <v>1034.0900000000001</v>
      </c>
      <c r="K247" s="13">
        <f t="shared" si="118"/>
        <v>37402.44</v>
      </c>
      <c r="L247" s="4">
        <f t="shared" si="116"/>
        <v>820</v>
      </c>
    </row>
    <row r="248" spans="1:17">
      <c r="A248" s="4">
        <f t="shared" si="119"/>
        <v>821</v>
      </c>
      <c r="B248" t="s">
        <v>529</v>
      </c>
      <c r="C248" s="21">
        <f t="shared" si="125"/>
        <v>2022</v>
      </c>
      <c r="D248" s="81" t="s">
        <v>521</v>
      </c>
      <c r="E248" s="81" t="s">
        <v>521</v>
      </c>
      <c r="F248" s="406">
        <v>0</v>
      </c>
      <c r="G248" s="406">
        <f t="shared" si="123"/>
        <v>36368.350820518615</v>
      </c>
      <c r="H248" s="432">
        <f>$H$92</f>
        <v>3.5999999999999997E-2</v>
      </c>
      <c r="I248" s="13">
        <f t="shared" ref="I248" si="131">ROUND((F248/2+G247+J246)*H248/12,2)</f>
        <v>111.87</v>
      </c>
      <c r="J248" s="13">
        <f t="shared" si="121"/>
        <v>1145.96</v>
      </c>
      <c r="K248" s="13">
        <f t="shared" si="118"/>
        <v>37514.31</v>
      </c>
      <c r="L248" s="4">
        <f t="shared" si="116"/>
        <v>821</v>
      </c>
    </row>
    <row r="249" spans="1:17">
      <c r="A249" s="4">
        <f t="shared" si="119"/>
        <v>822</v>
      </c>
      <c r="B249" t="s">
        <v>530</v>
      </c>
      <c r="C249" s="21">
        <f t="shared" si="125"/>
        <v>2022</v>
      </c>
      <c r="D249" s="81" t="s">
        <v>521</v>
      </c>
      <c r="E249" s="81" t="s">
        <v>521</v>
      </c>
      <c r="F249" s="406">
        <v>0</v>
      </c>
      <c r="G249" s="406">
        <f t="shared" si="123"/>
        <v>36368.350820518615</v>
      </c>
      <c r="H249" s="432">
        <f>$H$93</f>
        <v>3.5999999999999997E-2</v>
      </c>
      <c r="I249" s="13">
        <f t="shared" ref="I249" si="132">ROUND((F249/2+G248+J246)*H249/12,2)</f>
        <v>111.87</v>
      </c>
      <c r="J249" s="13">
        <f t="shared" si="121"/>
        <v>1257.83</v>
      </c>
      <c r="K249" s="13">
        <f t="shared" si="118"/>
        <v>37626.18</v>
      </c>
      <c r="L249" s="4">
        <f t="shared" si="116"/>
        <v>822</v>
      </c>
    </row>
    <row r="250" spans="1:17">
      <c r="A250" s="4">
        <f t="shared" si="119"/>
        <v>823</v>
      </c>
      <c r="B250" t="s">
        <v>531</v>
      </c>
      <c r="C250" s="21">
        <f t="shared" si="125"/>
        <v>2022</v>
      </c>
      <c r="D250" s="81" t="s">
        <v>521</v>
      </c>
      <c r="E250" s="81" t="s">
        <v>521</v>
      </c>
      <c r="F250" s="406">
        <v>0</v>
      </c>
      <c r="G250" s="406">
        <f t="shared" si="123"/>
        <v>36368.350820518615</v>
      </c>
      <c r="H250" s="432">
        <f>$H$94</f>
        <v>4.9099999999999998E-2</v>
      </c>
      <c r="I250" s="13">
        <f t="shared" ref="I250" si="133">ROUND((F250/2+G249+J249)*H250/12,2)</f>
        <v>153.94999999999999</v>
      </c>
      <c r="J250" s="13">
        <f t="shared" si="121"/>
        <v>1411.78</v>
      </c>
      <c r="K250" s="13">
        <f t="shared" si="118"/>
        <v>37780.129999999997</v>
      </c>
      <c r="L250" s="4">
        <f t="shared" si="116"/>
        <v>823</v>
      </c>
    </row>
    <row r="251" spans="1:17">
      <c r="A251" s="4">
        <f t="shared" si="119"/>
        <v>824</v>
      </c>
      <c r="B251" t="s">
        <v>532</v>
      </c>
      <c r="C251" s="21">
        <f t="shared" si="125"/>
        <v>2022</v>
      </c>
      <c r="D251" s="81" t="s">
        <v>521</v>
      </c>
      <c r="E251" s="81" t="s">
        <v>521</v>
      </c>
      <c r="F251" s="406">
        <v>0</v>
      </c>
      <c r="G251" s="406">
        <f t="shared" si="123"/>
        <v>36368.350820518615</v>
      </c>
      <c r="H251" s="432">
        <f>$H$95</f>
        <v>4.9099999999999998E-2</v>
      </c>
      <c r="I251" s="13">
        <f t="shared" ref="I251" si="134">ROUND((F251/2+G250+J249)*H251/12,2)</f>
        <v>153.94999999999999</v>
      </c>
      <c r="J251" s="13">
        <f t="shared" si="121"/>
        <v>1565.73</v>
      </c>
      <c r="K251" s="13">
        <f t="shared" si="118"/>
        <v>37934.080000000002</v>
      </c>
      <c r="L251" s="4">
        <f t="shared" si="116"/>
        <v>824</v>
      </c>
    </row>
    <row r="252" spans="1:17">
      <c r="A252" s="4">
        <f t="shared" si="119"/>
        <v>825</v>
      </c>
      <c r="B252" t="s">
        <v>520</v>
      </c>
      <c r="C252" s="21">
        <f t="shared" si="125"/>
        <v>2022</v>
      </c>
      <c r="D252" s="81" t="s">
        <v>521</v>
      </c>
      <c r="E252" s="81" t="s">
        <v>521</v>
      </c>
      <c r="F252" s="652">
        <v>0</v>
      </c>
      <c r="G252" s="652">
        <f t="shared" si="123"/>
        <v>36368.350820518615</v>
      </c>
      <c r="H252" s="432">
        <f>$H$96</f>
        <v>4.9099999999999998E-2</v>
      </c>
      <c r="I252" s="23">
        <f t="shared" ref="I252" si="135">ROUND((F252/2+G251+J249)*H252/12,2)</f>
        <v>153.94999999999999</v>
      </c>
      <c r="J252" s="23">
        <f t="shared" si="121"/>
        <v>1719.68</v>
      </c>
      <c r="K252" s="23">
        <f t="shared" si="118"/>
        <v>38088.03</v>
      </c>
      <c r="L252" s="4">
        <f t="shared" si="116"/>
        <v>825</v>
      </c>
      <c r="O252" s="24"/>
      <c r="P252" s="24"/>
      <c r="Q252" s="24"/>
    </row>
    <row r="253" spans="1:17">
      <c r="A253" s="3"/>
      <c r="B253" s="2"/>
    </row>
    <row r="254" spans="1:17">
      <c r="A254" s="3" t="s">
        <v>90</v>
      </c>
      <c r="B254" s="417" t="s">
        <v>489</v>
      </c>
      <c r="C254" s="418" t="s">
        <v>122</v>
      </c>
      <c r="D254" s="418" t="s">
        <v>123</v>
      </c>
      <c r="E254" s="418" t="s">
        <v>124</v>
      </c>
      <c r="F254" s="418" t="s">
        <v>125</v>
      </c>
      <c r="G254" s="418" t="s">
        <v>490</v>
      </c>
      <c r="H254" s="418" t="s">
        <v>491</v>
      </c>
      <c r="I254" s="418" t="s">
        <v>492</v>
      </c>
      <c r="J254" s="418" t="s">
        <v>493</v>
      </c>
      <c r="K254" s="419" t="s">
        <v>494</v>
      </c>
      <c r="L254" s="3" t="str">
        <f t="shared" ref="L254:L255" si="136">A254</f>
        <v>Line</v>
      </c>
    </row>
    <row r="255" spans="1:17">
      <c r="A255" s="4">
        <f>A223+100</f>
        <v>900</v>
      </c>
      <c r="B255" s="420" t="s">
        <v>540</v>
      </c>
      <c r="C255" s="4"/>
      <c r="D255" s="18" t="s">
        <v>101</v>
      </c>
      <c r="E255" s="18" t="s">
        <v>496</v>
      </c>
      <c r="F255" s="21" t="str">
        <f>""&amp;D254&amp;" - "&amp;E254&amp;""</f>
        <v>Col 2 - Col 3</v>
      </c>
      <c r="G255" s="21" t="s">
        <v>497</v>
      </c>
      <c r="H255" s="21" t="s">
        <v>498</v>
      </c>
      <c r="I255" s="21" t="s">
        <v>499</v>
      </c>
      <c r="J255" s="21" t="s">
        <v>500</v>
      </c>
      <c r="K255" s="421" t="str">
        <f>""&amp;G254&amp;" + "&amp;J254&amp;""</f>
        <v>Col 5 + Col 8</v>
      </c>
      <c r="L255" s="4">
        <f t="shared" si="136"/>
        <v>900</v>
      </c>
    </row>
    <row r="256" spans="1:17">
      <c r="A256" s="4"/>
      <c r="B256" s="422"/>
      <c r="C256" s="4"/>
      <c r="D256" s="4"/>
      <c r="E256" s="4"/>
      <c r="F256" s="4"/>
      <c r="G256" s="4" t="s">
        <v>501</v>
      </c>
      <c r="H256" s="4"/>
      <c r="I256" s="4"/>
      <c r="J256" s="4"/>
      <c r="K256" s="423" t="s">
        <v>501</v>
      </c>
    </row>
    <row r="257" spans="1:17">
      <c r="B257" s="422"/>
      <c r="C257" s="4"/>
      <c r="D257" s="4" t="s">
        <v>505</v>
      </c>
      <c r="E257" s="4" t="s">
        <v>505</v>
      </c>
      <c r="F257" s="4"/>
      <c r="G257" s="4" t="s">
        <v>504</v>
      </c>
      <c r="H257" s="4"/>
      <c r="I257" s="4"/>
      <c r="J257" s="4"/>
      <c r="K257" s="423" t="s">
        <v>504</v>
      </c>
    </row>
    <row r="258" spans="1:17">
      <c r="A258" s="4"/>
      <c r="B258" s="420"/>
      <c r="C258" s="4"/>
      <c r="D258" s="4" t="s">
        <v>502</v>
      </c>
      <c r="E258" s="4" t="s">
        <v>503</v>
      </c>
      <c r="F258" s="4" t="s">
        <v>506</v>
      </c>
      <c r="G258" s="4" t="s">
        <v>507</v>
      </c>
      <c r="H258" s="4" t="s">
        <v>508</v>
      </c>
      <c r="I258" s="4" t="s">
        <v>502</v>
      </c>
      <c r="J258" s="4" t="s">
        <v>509</v>
      </c>
      <c r="K258" s="423" t="s">
        <v>510</v>
      </c>
    </row>
    <row r="259" spans="1:17">
      <c r="A259" s="4"/>
      <c r="B259" s="424" t="s">
        <v>511</v>
      </c>
      <c r="C259" s="425" t="s">
        <v>512</v>
      </c>
      <c r="D259" s="425" t="s">
        <v>513</v>
      </c>
      <c r="E259" s="425" t="s">
        <v>514</v>
      </c>
      <c r="F259" s="425" t="s">
        <v>515</v>
      </c>
      <c r="G259" s="425" t="s">
        <v>516</v>
      </c>
      <c r="H259" s="425" t="s">
        <v>517</v>
      </c>
      <c r="I259" s="425" t="s">
        <v>518</v>
      </c>
      <c r="J259" s="425" t="s">
        <v>518</v>
      </c>
      <c r="K259" s="426" t="s">
        <v>519</v>
      </c>
    </row>
    <row r="260" spans="1:17">
      <c r="A260" s="4">
        <f>A255+1</f>
        <v>901</v>
      </c>
      <c r="B260" t="s">
        <v>520</v>
      </c>
      <c r="C260" s="21">
        <f>C261-1</f>
        <v>2020</v>
      </c>
      <c r="D260" s="81" t="s">
        <v>521</v>
      </c>
      <c r="E260" s="81" t="s">
        <v>521</v>
      </c>
      <c r="F260" s="21" t="s">
        <v>521</v>
      </c>
      <c r="G260" s="40">
        <v>0</v>
      </c>
      <c r="H260" s="21" t="s">
        <v>521</v>
      </c>
      <c r="I260" s="21" t="s">
        <v>521</v>
      </c>
      <c r="J260" s="40">
        <v>0</v>
      </c>
      <c r="K260" s="13">
        <f>ROUND((G260+J260),2)</f>
        <v>0</v>
      </c>
      <c r="L260" s="4">
        <f t="shared" ref="L260:L284" si="137">A260</f>
        <v>901</v>
      </c>
    </row>
    <row r="261" spans="1:17">
      <c r="A261" s="4">
        <f>A260+1</f>
        <v>902</v>
      </c>
      <c r="B261" t="s">
        <v>522</v>
      </c>
      <c r="C261" s="21">
        <f>'1-DRR Corrected'!$K$2</f>
        <v>2021</v>
      </c>
      <c r="D261" s="396" t="str">
        <f>IF(E261="N/A","N/A",($G$42*'9-WholesaleRevenues Corrected'!H14))</f>
        <v>N/A</v>
      </c>
      <c r="E261" s="396" t="str">
        <f>IF('9-WholesaleRevenues Corrected'!H48="N/A","N/A",'9-WholesaleRevenues Corrected'!H48)</f>
        <v>N/A</v>
      </c>
      <c r="F261" s="406">
        <f t="shared" ref="F261:F272" si="138">IF(E261="N/A",0,D261-E261)</f>
        <v>0</v>
      </c>
      <c r="G261" s="406">
        <f>F261+G260</f>
        <v>0</v>
      </c>
      <c r="H261" s="432">
        <f>$H$73</f>
        <v>3.2500000000000001E-2</v>
      </c>
      <c r="I261" s="13">
        <f>IF(E261="N/A",0,ROUND((F261/2+G260+J260)*H261/12,2))</f>
        <v>0</v>
      </c>
      <c r="J261" s="13">
        <f>I261+J260</f>
        <v>0</v>
      </c>
      <c r="K261" s="13">
        <f t="shared" ref="K261:K284" si="139">ROUND((G261+J261),2)</f>
        <v>0</v>
      </c>
      <c r="L261" s="4">
        <f t="shared" si="137"/>
        <v>902</v>
      </c>
    </row>
    <row r="262" spans="1:17">
      <c r="A262" s="4">
        <f t="shared" ref="A262:A284" si="140">A261+1</f>
        <v>903</v>
      </c>
      <c r="B262" t="s">
        <v>523</v>
      </c>
      <c r="C262" s="21">
        <f>'1-DRR Corrected'!$K$2</f>
        <v>2021</v>
      </c>
      <c r="D262" s="396" t="str">
        <f>IF(E262="N/A","N/A",($G$42*'9-WholesaleRevenues Corrected'!H15))</f>
        <v>N/A</v>
      </c>
      <c r="E262" s="396" t="str">
        <f>IF('9-WholesaleRevenues Corrected'!H49="N/A","N/A",'9-WholesaleRevenues Corrected'!H49)</f>
        <v>N/A</v>
      </c>
      <c r="F262" s="406">
        <f t="shared" si="138"/>
        <v>0</v>
      </c>
      <c r="G262" s="406">
        <f t="shared" ref="G262:G272" si="141">F262+G261</f>
        <v>0</v>
      </c>
      <c r="H262" s="432">
        <f>$H$74</f>
        <v>3.2500000000000001E-2</v>
      </c>
      <c r="I262" s="13">
        <f>IF(E262="N/A",0,ROUND((F262/2+G261+J260)*H262/12,2))</f>
        <v>0</v>
      </c>
      <c r="J262" s="13">
        <f>I262+J261</f>
        <v>0</v>
      </c>
      <c r="K262" s="13">
        <f t="shared" si="139"/>
        <v>0</v>
      </c>
      <c r="L262" s="4">
        <f t="shared" si="137"/>
        <v>903</v>
      </c>
    </row>
    <row r="263" spans="1:17">
      <c r="A263" s="4">
        <f t="shared" si="140"/>
        <v>904</v>
      </c>
      <c r="B263" t="s">
        <v>524</v>
      </c>
      <c r="C263" s="21">
        <f>'1-DRR Corrected'!$K$2</f>
        <v>2021</v>
      </c>
      <c r="D263" s="396" t="str">
        <f>IF(E263="N/A","N/A",($G$42*'9-WholesaleRevenues Corrected'!H16))</f>
        <v>N/A</v>
      </c>
      <c r="E263" s="396" t="str">
        <f>IF('9-WholesaleRevenues Corrected'!H50="N/A","N/A",'9-WholesaleRevenues Corrected'!H50)</f>
        <v>N/A</v>
      </c>
      <c r="F263" s="406">
        <f t="shared" si="138"/>
        <v>0</v>
      </c>
      <c r="G263" s="406">
        <f t="shared" si="141"/>
        <v>0</v>
      </c>
      <c r="H263" s="432">
        <f>$H$75</f>
        <v>3.2500000000000001E-2</v>
      </c>
      <c r="I263" s="13">
        <f>IF(E263="N/A",0,ROUND((F263/2+G262+J260)*H263/12,2))</f>
        <v>0</v>
      </c>
      <c r="J263" s="13">
        <f>I263+J262</f>
        <v>0</v>
      </c>
      <c r="K263" s="13">
        <f t="shared" si="139"/>
        <v>0</v>
      </c>
      <c r="L263" s="4">
        <f t="shared" si="137"/>
        <v>904</v>
      </c>
    </row>
    <row r="264" spans="1:17">
      <c r="A264" s="4">
        <f t="shared" si="140"/>
        <v>905</v>
      </c>
      <c r="B264" t="s">
        <v>525</v>
      </c>
      <c r="C264" s="21">
        <f>'1-DRR Corrected'!$K$2</f>
        <v>2021</v>
      </c>
      <c r="D264" s="396" t="str">
        <f>IF(E264="N/A","N/A",($G$42*'9-WholesaleRevenues Corrected'!H17))</f>
        <v>N/A</v>
      </c>
      <c r="E264" s="396" t="str">
        <f>IF('9-WholesaleRevenues Corrected'!H51="N/A","N/A",'9-WholesaleRevenues Corrected'!H51)</f>
        <v>N/A</v>
      </c>
      <c r="F264" s="406">
        <f t="shared" si="138"/>
        <v>0</v>
      </c>
      <c r="G264" s="406">
        <f t="shared" si="141"/>
        <v>0</v>
      </c>
      <c r="H264" s="432">
        <f>$H$76</f>
        <v>3.2500000000000001E-2</v>
      </c>
      <c r="I264" s="13">
        <f>IF(E264="N/A",0,ROUND((F264/2+G263+J263)*H264/12,2))</f>
        <v>0</v>
      </c>
      <c r="J264" s="13">
        <f t="shared" ref="J264:J284" si="142">I264+J263</f>
        <v>0</v>
      </c>
      <c r="K264" s="13">
        <f t="shared" si="139"/>
        <v>0</v>
      </c>
      <c r="L264" s="4">
        <f t="shared" si="137"/>
        <v>905</v>
      </c>
    </row>
    <row r="265" spans="1:17">
      <c r="A265" s="4">
        <f t="shared" si="140"/>
        <v>906</v>
      </c>
      <c r="B265" t="s">
        <v>526</v>
      </c>
      <c r="C265" s="21">
        <f>'1-DRR Corrected'!$K$2</f>
        <v>2021</v>
      </c>
      <c r="D265" s="396" t="str">
        <f>IF(E265="N/A","N/A",($G$42*'9-WholesaleRevenues Corrected'!H18))</f>
        <v>N/A</v>
      </c>
      <c r="E265" s="396" t="str">
        <f>IF('9-WholesaleRevenues Corrected'!H52="N/A","N/A",'9-WholesaleRevenues Corrected'!H52)</f>
        <v>N/A</v>
      </c>
      <c r="F265" s="406">
        <f t="shared" si="138"/>
        <v>0</v>
      </c>
      <c r="G265" s="406">
        <f t="shared" si="141"/>
        <v>0</v>
      </c>
      <c r="H265" s="432">
        <f>$H$77</f>
        <v>3.2500000000000001E-2</v>
      </c>
      <c r="I265" s="13">
        <f>IF(E265="N/A",0,ROUND((F265/2+G264+J263)*H265/12,2))</f>
        <v>0</v>
      </c>
      <c r="J265" s="13">
        <f t="shared" si="142"/>
        <v>0</v>
      </c>
      <c r="K265" s="13">
        <f t="shared" si="139"/>
        <v>0</v>
      </c>
      <c r="L265" s="4">
        <f t="shared" si="137"/>
        <v>906</v>
      </c>
    </row>
    <row r="266" spans="1:17">
      <c r="A266" s="4">
        <f t="shared" si="140"/>
        <v>907</v>
      </c>
      <c r="B266" t="s">
        <v>527</v>
      </c>
      <c r="C266" s="21">
        <f>'1-DRR Corrected'!$K$2</f>
        <v>2021</v>
      </c>
      <c r="D266" s="396">
        <f>IF(E266="N/A","N/A",($G$42*'9-WholesaleRevenues Corrected'!H19))</f>
        <v>2087143.7855527708</v>
      </c>
      <c r="E266" s="396">
        <f>IF('9-WholesaleRevenues Corrected'!H53="N/A","N/A",'9-WholesaleRevenues Corrected'!H53)</f>
        <v>1010885.31</v>
      </c>
      <c r="F266" s="406">
        <f t="shared" si="138"/>
        <v>1076258.4755527708</v>
      </c>
      <c r="G266" s="406">
        <f t="shared" si="141"/>
        <v>1076258.4755527708</v>
      </c>
      <c r="H266" s="432">
        <f>$H$78</f>
        <v>3.2500000000000001E-2</v>
      </c>
      <c r="I266" s="13">
        <f>IF(E266="N/A",0,ROUND((F266/2+G265+J263)*H266/12,2))</f>
        <v>1457.43</v>
      </c>
      <c r="J266" s="13">
        <f t="shared" si="142"/>
        <v>1457.43</v>
      </c>
      <c r="K266" s="13">
        <f t="shared" si="139"/>
        <v>1077715.9099999999</v>
      </c>
      <c r="L266" s="4">
        <f t="shared" si="137"/>
        <v>907</v>
      </c>
    </row>
    <row r="267" spans="1:17">
      <c r="A267" s="4">
        <f t="shared" si="140"/>
        <v>908</v>
      </c>
      <c r="B267" t="s">
        <v>528</v>
      </c>
      <c r="C267" s="21">
        <f>'1-DRR Corrected'!$K$2</f>
        <v>2021</v>
      </c>
      <c r="D267" s="396">
        <f>IF(E267="N/A","N/A",($G$42*'9-WholesaleRevenues Corrected'!H20))</f>
        <v>2048122.5302406852</v>
      </c>
      <c r="E267" s="396">
        <f>IF('9-WholesaleRevenues Corrected'!H54="N/A","N/A",'9-WholesaleRevenues Corrected'!H54)</f>
        <v>748409.81</v>
      </c>
      <c r="F267" s="406">
        <f t="shared" si="138"/>
        <v>1299712.7202406852</v>
      </c>
      <c r="G267" s="406">
        <f t="shared" si="141"/>
        <v>2375971.1957934559</v>
      </c>
      <c r="H267" s="432">
        <f>$H$79</f>
        <v>3.2500000000000001E-2</v>
      </c>
      <c r="I267" s="13">
        <f>IF(E267="N/A",0,ROUND((F267/2+G266+J266)*H267/12,2))</f>
        <v>4678.84</v>
      </c>
      <c r="J267" s="13">
        <f t="shared" si="142"/>
        <v>6136.27</v>
      </c>
      <c r="K267" s="13">
        <f t="shared" si="139"/>
        <v>2382107.4700000002</v>
      </c>
      <c r="L267" s="4">
        <f t="shared" si="137"/>
        <v>908</v>
      </c>
    </row>
    <row r="268" spans="1:17">
      <c r="A268" s="4">
        <f t="shared" si="140"/>
        <v>909</v>
      </c>
      <c r="B268" t="s">
        <v>529</v>
      </c>
      <c r="C268" s="21">
        <f>'1-DRR Corrected'!$K$2</f>
        <v>2021</v>
      </c>
      <c r="D268" s="396">
        <f>IF(E268="N/A","N/A",($G$42*'9-WholesaleRevenues Corrected'!H21))</f>
        <v>1902372.5959936047</v>
      </c>
      <c r="E268" s="396">
        <f>IF('9-WholesaleRevenues Corrected'!H55="N/A","N/A",'9-WholesaleRevenues Corrected'!H55)</f>
        <v>879647.56</v>
      </c>
      <c r="F268" s="406">
        <f t="shared" si="138"/>
        <v>1022725.0359936047</v>
      </c>
      <c r="G268" s="406">
        <f t="shared" si="141"/>
        <v>3398696.2317870604</v>
      </c>
      <c r="H268" s="432">
        <f>$H$80</f>
        <v>3.2500000000000001E-2</v>
      </c>
      <c r="I268" s="13">
        <f>IF(E268="N/A",0,ROUND((F268/2+G267+J266)*H268/12,2))</f>
        <v>7823.81</v>
      </c>
      <c r="J268" s="13">
        <f t="shared" si="142"/>
        <v>13960.080000000002</v>
      </c>
      <c r="K268" s="13">
        <f t="shared" si="139"/>
        <v>3412656.31</v>
      </c>
      <c r="L268" s="4">
        <f t="shared" si="137"/>
        <v>909</v>
      </c>
    </row>
    <row r="269" spans="1:17">
      <c r="A269" s="4">
        <f t="shared" si="140"/>
        <v>910</v>
      </c>
      <c r="B269" t="s">
        <v>530</v>
      </c>
      <c r="C269" s="21">
        <f>'1-DRR Corrected'!$K$2</f>
        <v>2021</v>
      </c>
      <c r="D269" s="396">
        <f>IF(E269="N/A","N/A",($G$42*'9-WholesaleRevenues Corrected'!H22))</f>
        <v>1730316.6729879244</v>
      </c>
      <c r="E269" s="396">
        <f>IF('9-WholesaleRevenues Corrected'!H56="N/A","N/A",'9-WholesaleRevenues Corrected'!H56)</f>
        <v>879647.56</v>
      </c>
      <c r="F269" s="406">
        <f t="shared" si="138"/>
        <v>850669.11298792437</v>
      </c>
      <c r="G269" s="406">
        <f t="shared" si="141"/>
        <v>4249365.3447749848</v>
      </c>
      <c r="H269" s="432">
        <f>$H$81</f>
        <v>3.2500000000000001E-2</v>
      </c>
      <c r="I269" s="13">
        <f>IF(E269="N/A",0,ROUND((F269/2+G268+J266)*H269/12,2))</f>
        <v>10360.700000000001</v>
      </c>
      <c r="J269" s="13">
        <f t="shared" si="142"/>
        <v>24320.780000000002</v>
      </c>
      <c r="K269" s="13">
        <f t="shared" si="139"/>
        <v>4273686.12</v>
      </c>
      <c r="L269" s="4">
        <f t="shared" si="137"/>
        <v>910</v>
      </c>
    </row>
    <row r="270" spans="1:17">
      <c r="A270" s="4">
        <f t="shared" si="140"/>
        <v>911</v>
      </c>
      <c r="B270" t="s">
        <v>531</v>
      </c>
      <c r="C270" s="21">
        <f>'1-DRR Corrected'!$K$2</f>
        <v>2021</v>
      </c>
      <c r="D270" s="396">
        <f>IF(E270="N/A","N/A",($G$42*'9-WholesaleRevenues Corrected'!H23))</f>
        <v>1645166.4276659284</v>
      </c>
      <c r="E270" s="396">
        <f>IF('9-WholesaleRevenues Corrected'!H57="N/A","N/A",'9-WholesaleRevenues Corrected'!H57)</f>
        <v>879647.50999999989</v>
      </c>
      <c r="F270" s="406">
        <f t="shared" si="138"/>
        <v>765518.91766592849</v>
      </c>
      <c r="G270" s="406">
        <f t="shared" si="141"/>
        <v>5014884.2624409134</v>
      </c>
      <c r="H270" s="432">
        <f>$H$82</f>
        <v>3.2500000000000001E-2</v>
      </c>
      <c r="I270" s="13">
        <f>IF(E270="N/A",0,ROUND((F270/2+G269+J269)*H270/12,2))</f>
        <v>12611.21</v>
      </c>
      <c r="J270" s="13">
        <f t="shared" si="142"/>
        <v>36931.990000000005</v>
      </c>
      <c r="K270" s="13">
        <f t="shared" si="139"/>
        <v>5051816.25</v>
      </c>
      <c r="L270" s="4">
        <f t="shared" si="137"/>
        <v>911</v>
      </c>
    </row>
    <row r="271" spans="1:17">
      <c r="A271" s="4">
        <f t="shared" si="140"/>
        <v>912</v>
      </c>
      <c r="B271" t="s">
        <v>532</v>
      </c>
      <c r="C271" s="21">
        <f>'1-DRR Corrected'!$K$2</f>
        <v>2021</v>
      </c>
      <c r="D271" s="396">
        <f>IF(E271="N/A","N/A",($G$42*'9-WholesaleRevenues Corrected'!H24))</f>
        <v>954858.21228414797</v>
      </c>
      <c r="E271" s="396">
        <f>IF('9-WholesaleRevenues Corrected'!H58="N/A","N/A",'9-WholesaleRevenues Corrected'!H58)</f>
        <v>879647.55</v>
      </c>
      <c r="F271" s="406">
        <f t="shared" si="138"/>
        <v>75210.662284147926</v>
      </c>
      <c r="G271" s="406">
        <f t="shared" si="141"/>
        <v>5090094.9247250613</v>
      </c>
      <c r="H271" s="432">
        <f>$H$83</f>
        <v>3.2500000000000001E-2</v>
      </c>
      <c r="I271" s="13">
        <f>IF(E271="N/A",0,ROUND((F271/2+G270+J269)*H271/12,2))</f>
        <v>13749.69</v>
      </c>
      <c r="J271" s="13">
        <f t="shared" si="142"/>
        <v>50681.680000000008</v>
      </c>
      <c r="K271" s="13">
        <f t="shared" si="139"/>
        <v>5140776.5999999996</v>
      </c>
      <c r="L271" s="4">
        <f t="shared" si="137"/>
        <v>912</v>
      </c>
    </row>
    <row r="272" spans="1:17">
      <c r="A272" s="4">
        <f t="shared" si="140"/>
        <v>913</v>
      </c>
      <c r="B272" t="s">
        <v>520</v>
      </c>
      <c r="C272" s="21">
        <f>'1-DRR Corrected'!$K$2</f>
        <v>2021</v>
      </c>
      <c r="D272" s="396">
        <f>IF(E272="N/A","N/A",($G$42*'9-WholesaleRevenues Corrected'!H25))</f>
        <v>884031.99433057522</v>
      </c>
      <c r="E272" s="396">
        <f>IF('9-WholesaleRevenues Corrected'!H59="N/A","N/A",'9-WholesaleRevenues Corrected'!H59)</f>
        <v>886159.53</v>
      </c>
      <c r="F272" s="406">
        <f t="shared" si="138"/>
        <v>-2127.5356694248039</v>
      </c>
      <c r="G272" s="406">
        <f t="shared" si="141"/>
        <v>5087967.3890556367</v>
      </c>
      <c r="H272" s="432">
        <f>$H$84</f>
        <v>3.2500000000000001E-2</v>
      </c>
      <c r="I272" s="13">
        <f>IF(E272="N/A",0,ROUND((F272/2+G271+J269)*H272/12,2))</f>
        <v>13848.66</v>
      </c>
      <c r="J272" s="13">
        <f t="shared" si="142"/>
        <v>64530.340000000011</v>
      </c>
      <c r="K272" s="13">
        <f t="shared" si="139"/>
        <v>5152497.7300000004</v>
      </c>
      <c r="L272" s="4">
        <f t="shared" si="137"/>
        <v>913</v>
      </c>
      <c r="O272" s="651">
        <f>G272-'3-ATA Original'!G272</f>
        <v>323214.74070741422</v>
      </c>
      <c r="P272" s="651">
        <f>J272-'3-ATA Original'!J272</f>
        <v>3577.5400000000081</v>
      </c>
      <c r="Q272" s="651">
        <f>P272+O272</f>
        <v>326792.28070741426</v>
      </c>
    </row>
    <row r="273" spans="1:17">
      <c r="A273" s="4">
        <f t="shared" si="140"/>
        <v>914</v>
      </c>
      <c r="B273" t="s">
        <v>522</v>
      </c>
      <c r="C273" s="21">
        <f>C272+1</f>
        <v>2022</v>
      </c>
      <c r="D273" s="81" t="s">
        <v>521</v>
      </c>
      <c r="E273" s="81" t="s">
        <v>521</v>
      </c>
      <c r="F273" s="406">
        <v>0</v>
      </c>
      <c r="G273" s="406">
        <f>F273+G272</f>
        <v>5087967.3890556367</v>
      </c>
      <c r="H273" s="432">
        <f>$H$85</f>
        <v>3.2500000000000001E-2</v>
      </c>
      <c r="I273" s="13">
        <f t="shared" ref="I273" si="143">ROUND((F273/2+G272+J272)*H273/12,2)</f>
        <v>13954.68</v>
      </c>
      <c r="J273" s="13">
        <f t="shared" si="142"/>
        <v>78485.020000000019</v>
      </c>
      <c r="K273" s="13">
        <f t="shared" si="139"/>
        <v>5166452.41</v>
      </c>
      <c r="L273" s="4">
        <f t="shared" si="137"/>
        <v>914</v>
      </c>
    </row>
    <row r="274" spans="1:17">
      <c r="A274" s="4">
        <f t="shared" si="140"/>
        <v>915</v>
      </c>
      <c r="B274" t="s">
        <v>523</v>
      </c>
      <c r="C274" s="21">
        <f>C273</f>
        <v>2022</v>
      </c>
      <c r="D274" s="81" t="s">
        <v>521</v>
      </c>
      <c r="E274" s="81" t="s">
        <v>521</v>
      </c>
      <c r="F274" s="406">
        <v>0</v>
      </c>
      <c r="G274" s="406">
        <f t="shared" ref="G274:G284" si="144">F274+G273</f>
        <v>5087967.3890556367</v>
      </c>
      <c r="H274" s="432">
        <f>$H$86</f>
        <v>3.2500000000000001E-2</v>
      </c>
      <c r="I274" s="13">
        <f t="shared" ref="I274" si="145">ROUND((F274/2+G273+J272)*H274/12,2)</f>
        <v>13954.68</v>
      </c>
      <c r="J274" s="13">
        <f t="shared" si="142"/>
        <v>92439.700000000012</v>
      </c>
      <c r="K274" s="13">
        <f t="shared" si="139"/>
        <v>5180407.09</v>
      </c>
      <c r="L274" s="4">
        <f t="shared" si="137"/>
        <v>915</v>
      </c>
    </row>
    <row r="275" spans="1:17">
      <c r="A275" s="4">
        <f t="shared" si="140"/>
        <v>916</v>
      </c>
      <c r="B275" t="s">
        <v>524</v>
      </c>
      <c r="C275" s="21">
        <f t="shared" ref="C275:C284" si="146">C274</f>
        <v>2022</v>
      </c>
      <c r="D275" s="81" t="s">
        <v>521</v>
      </c>
      <c r="E275" s="81" t="s">
        <v>521</v>
      </c>
      <c r="F275" s="406">
        <v>0</v>
      </c>
      <c r="G275" s="406">
        <f t="shared" si="144"/>
        <v>5087967.3890556367</v>
      </c>
      <c r="H275" s="432">
        <f>$H$87</f>
        <v>3.2500000000000001E-2</v>
      </c>
      <c r="I275" s="13">
        <f t="shared" ref="I275" si="147">ROUND((F275/2+G274+J272)*H275/12,2)</f>
        <v>13954.68</v>
      </c>
      <c r="J275" s="13">
        <f t="shared" si="142"/>
        <v>106394.38</v>
      </c>
      <c r="K275" s="13">
        <f t="shared" si="139"/>
        <v>5194361.7699999996</v>
      </c>
      <c r="L275" s="4">
        <f t="shared" si="137"/>
        <v>916</v>
      </c>
    </row>
    <row r="276" spans="1:17">
      <c r="A276" s="4">
        <f t="shared" si="140"/>
        <v>917</v>
      </c>
      <c r="B276" t="s">
        <v>525</v>
      </c>
      <c r="C276" s="21">
        <f t="shared" si="146"/>
        <v>2022</v>
      </c>
      <c r="D276" s="81" t="s">
        <v>521</v>
      </c>
      <c r="E276" s="81" t="s">
        <v>521</v>
      </c>
      <c r="F276" s="406">
        <v>0</v>
      </c>
      <c r="G276" s="406">
        <f t="shared" si="144"/>
        <v>5087967.3890556367</v>
      </c>
      <c r="H276" s="432">
        <f>$H$88</f>
        <v>3.2500000000000001E-2</v>
      </c>
      <c r="I276" s="13">
        <f t="shared" ref="I276" si="148">ROUND((F276/2+G275+J275)*H276/12,2)</f>
        <v>14068.06</v>
      </c>
      <c r="J276" s="13">
        <f t="shared" si="142"/>
        <v>120462.44</v>
      </c>
      <c r="K276" s="13">
        <f t="shared" si="139"/>
        <v>5208429.83</v>
      </c>
      <c r="L276" s="4">
        <f t="shared" si="137"/>
        <v>917</v>
      </c>
    </row>
    <row r="277" spans="1:17">
      <c r="A277" s="4">
        <f t="shared" si="140"/>
        <v>918</v>
      </c>
      <c r="B277" t="s">
        <v>526</v>
      </c>
      <c r="C277" s="21">
        <f t="shared" si="146"/>
        <v>2022</v>
      </c>
      <c r="D277" s="81" t="s">
        <v>521</v>
      </c>
      <c r="E277" s="81" t="s">
        <v>521</v>
      </c>
      <c r="F277" s="406">
        <v>0</v>
      </c>
      <c r="G277" s="406">
        <f t="shared" si="144"/>
        <v>5087967.3890556367</v>
      </c>
      <c r="H277" s="432">
        <f>$H$89</f>
        <v>3.2500000000000001E-2</v>
      </c>
      <c r="I277" s="13">
        <f t="shared" ref="I277" si="149">ROUND((F277/2+G276+J275)*H277/12,2)</f>
        <v>14068.06</v>
      </c>
      <c r="J277" s="13">
        <f t="shared" si="142"/>
        <v>134530.5</v>
      </c>
      <c r="K277" s="13">
        <f t="shared" si="139"/>
        <v>5222497.8899999997</v>
      </c>
      <c r="L277" s="4">
        <f t="shared" si="137"/>
        <v>918</v>
      </c>
    </row>
    <row r="278" spans="1:17">
      <c r="A278" s="4">
        <f t="shared" si="140"/>
        <v>919</v>
      </c>
      <c r="B278" t="s">
        <v>527</v>
      </c>
      <c r="C278" s="21">
        <f t="shared" si="146"/>
        <v>2022</v>
      </c>
      <c r="D278" s="81" t="s">
        <v>521</v>
      </c>
      <c r="E278" s="81" t="s">
        <v>521</v>
      </c>
      <c r="F278" s="406">
        <v>0</v>
      </c>
      <c r="G278" s="406">
        <f t="shared" si="144"/>
        <v>5087967.3890556367</v>
      </c>
      <c r="H278" s="432">
        <f>$H$90</f>
        <v>3.2500000000000001E-2</v>
      </c>
      <c r="I278" s="13">
        <f t="shared" ref="I278" si="150">ROUND((F278/2+G277+J275)*H278/12,2)</f>
        <v>14068.06</v>
      </c>
      <c r="J278" s="13">
        <f t="shared" si="142"/>
        <v>148598.56</v>
      </c>
      <c r="K278" s="13">
        <f t="shared" si="139"/>
        <v>5236565.95</v>
      </c>
      <c r="L278" s="4">
        <f t="shared" si="137"/>
        <v>919</v>
      </c>
    </row>
    <row r="279" spans="1:17">
      <c r="A279" s="4">
        <f t="shared" si="140"/>
        <v>920</v>
      </c>
      <c r="B279" t="s">
        <v>528</v>
      </c>
      <c r="C279" s="21">
        <f t="shared" si="146"/>
        <v>2022</v>
      </c>
      <c r="D279" s="81" t="s">
        <v>521</v>
      </c>
      <c r="E279" s="81" t="s">
        <v>521</v>
      </c>
      <c r="F279" s="406">
        <v>0</v>
      </c>
      <c r="G279" s="406">
        <f t="shared" si="144"/>
        <v>5087967.3890556367</v>
      </c>
      <c r="H279" s="432">
        <f>$H$91</f>
        <v>3.5999999999999997E-2</v>
      </c>
      <c r="I279" s="13">
        <f t="shared" ref="I279" si="151">ROUND((F279/2+G278+J278)*H279/12,2)</f>
        <v>15709.7</v>
      </c>
      <c r="J279" s="13">
        <f t="shared" si="142"/>
        <v>164308.26</v>
      </c>
      <c r="K279" s="13">
        <f t="shared" si="139"/>
        <v>5252275.6500000004</v>
      </c>
      <c r="L279" s="4">
        <f t="shared" si="137"/>
        <v>920</v>
      </c>
    </row>
    <row r="280" spans="1:17">
      <c r="A280" s="4">
        <f t="shared" si="140"/>
        <v>921</v>
      </c>
      <c r="B280" t="s">
        <v>529</v>
      </c>
      <c r="C280" s="21">
        <f t="shared" si="146"/>
        <v>2022</v>
      </c>
      <c r="D280" s="81" t="s">
        <v>521</v>
      </c>
      <c r="E280" s="81" t="s">
        <v>521</v>
      </c>
      <c r="F280" s="406">
        <v>0</v>
      </c>
      <c r="G280" s="406">
        <f t="shared" si="144"/>
        <v>5087967.3890556367</v>
      </c>
      <c r="H280" s="432">
        <f>$H$92</f>
        <v>3.5999999999999997E-2</v>
      </c>
      <c r="I280" s="13">
        <f t="shared" ref="I280" si="152">ROUND((F280/2+G279+J278)*H280/12,2)</f>
        <v>15709.7</v>
      </c>
      <c r="J280" s="13">
        <f t="shared" si="142"/>
        <v>180017.96000000002</v>
      </c>
      <c r="K280" s="13">
        <f t="shared" si="139"/>
        <v>5267985.3499999996</v>
      </c>
      <c r="L280" s="4">
        <f t="shared" si="137"/>
        <v>921</v>
      </c>
    </row>
    <row r="281" spans="1:17">
      <c r="A281" s="4">
        <f t="shared" si="140"/>
        <v>922</v>
      </c>
      <c r="B281" t="s">
        <v>530</v>
      </c>
      <c r="C281" s="21">
        <f t="shared" si="146"/>
        <v>2022</v>
      </c>
      <c r="D281" s="81" t="s">
        <v>521</v>
      </c>
      <c r="E281" s="81" t="s">
        <v>521</v>
      </c>
      <c r="F281" s="406">
        <v>0</v>
      </c>
      <c r="G281" s="406">
        <f t="shared" si="144"/>
        <v>5087967.3890556367</v>
      </c>
      <c r="H281" s="432">
        <f>$H$93</f>
        <v>3.5999999999999997E-2</v>
      </c>
      <c r="I281" s="13">
        <f t="shared" ref="I281" si="153">ROUND((F281/2+G280+J278)*H281/12,2)</f>
        <v>15709.7</v>
      </c>
      <c r="J281" s="13">
        <f t="shared" si="142"/>
        <v>195727.66000000003</v>
      </c>
      <c r="K281" s="13">
        <f t="shared" si="139"/>
        <v>5283695.05</v>
      </c>
      <c r="L281" s="4">
        <f t="shared" si="137"/>
        <v>922</v>
      </c>
    </row>
    <row r="282" spans="1:17">
      <c r="A282" s="4">
        <f t="shared" si="140"/>
        <v>923</v>
      </c>
      <c r="B282" t="s">
        <v>531</v>
      </c>
      <c r="C282" s="21">
        <f t="shared" si="146"/>
        <v>2022</v>
      </c>
      <c r="D282" s="81" t="s">
        <v>521</v>
      </c>
      <c r="E282" s="81" t="s">
        <v>521</v>
      </c>
      <c r="F282" s="406">
        <v>0</v>
      </c>
      <c r="G282" s="406">
        <f t="shared" si="144"/>
        <v>5087967.3890556367</v>
      </c>
      <c r="H282" s="432">
        <f>$H$94</f>
        <v>4.9099999999999998E-2</v>
      </c>
      <c r="I282" s="13">
        <f t="shared" ref="I282" si="154">ROUND((F282/2+G281+J281)*H282/12,2)</f>
        <v>21619.119999999999</v>
      </c>
      <c r="J282" s="13">
        <f t="shared" si="142"/>
        <v>217346.78000000003</v>
      </c>
      <c r="K282" s="13">
        <f t="shared" si="139"/>
        <v>5305314.17</v>
      </c>
      <c r="L282" s="4">
        <f t="shared" si="137"/>
        <v>923</v>
      </c>
    </row>
    <row r="283" spans="1:17">
      <c r="A283" s="4">
        <f t="shared" si="140"/>
        <v>924</v>
      </c>
      <c r="B283" t="s">
        <v>532</v>
      </c>
      <c r="C283" s="21">
        <f t="shared" si="146"/>
        <v>2022</v>
      </c>
      <c r="D283" s="81" t="s">
        <v>521</v>
      </c>
      <c r="E283" s="81" t="s">
        <v>521</v>
      </c>
      <c r="F283" s="406">
        <v>0</v>
      </c>
      <c r="G283" s="406">
        <f t="shared" si="144"/>
        <v>5087967.3890556367</v>
      </c>
      <c r="H283" s="432">
        <f>$H$95</f>
        <v>4.9099999999999998E-2</v>
      </c>
      <c r="I283" s="13">
        <f t="shared" ref="I283" si="155">ROUND((F283/2+G282+J281)*H283/12,2)</f>
        <v>21619.119999999999</v>
      </c>
      <c r="J283" s="13">
        <f t="shared" si="142"/>
        <v>238965.90000000002</v>
      </c>
      <c r="K283" s="13">
        <f t="shared" si="139"/>
        <v>5326933.29</v>
      </c>
      <c r="L283" s="4">
        <f t="shared" si="137"/>
        <v>924</v>
      </c>
    </row>
    <row r="284" spans="1:17">
      <c r="A284" s="4">
        <f t="shared" si="140"/>
        <v>925</v>
      </c>
      <c r="B284" t="s">
        <v>520</v>
      </c>
      <c r="C284" s="21">
        <f t="shared" si="146"/>
        <v>2022</v>
      </c>
      <c r="D284" s="81" t="s">
        <v>521</v>
      </c>
      <c r="E284" s="81" t="s">
        <v>521</v>
      </c>
      <c r="F284" s="652">
        <v>0</v>
      </c>
      <c r="G284" s="652">
        <f t="shared" si="144"/>
        <v>5087967.3890556367</v>
      </c>
      <c r="H284" s="432">
        <f>$H$96</f>
        <v>4.9099999999999998E-2</v>
      </c>
      <c r="I284" s="23">
        <f t="shared" ref="I284" si="156">ROUND((F284/2+G283+J281)*H284/12,2)</f>
        <v>21619.119999999999</v>
      </c>
      <c r="J284" s="23">
        <f t="shared" si="142"/>
        <v>260585.02000000002</v>
      </c>
      <c r="K284" s="23">
        <f t="shared" si="139"/>
        <v>5348552.41</v>
      </c>
      <c r="L284" s="4">
        <f t="shared" si="137"/>
        <v>925</v>
      </c>
      <c r="O284" s="24"/>
      <c r="P284" s="24"/>
      <c r="Q284" s="24"/>
    </row>
    <row r="285" spans="1:17">
      <c r="A285" s="4"/>
      <c r="C285" s="21"/>
      <c r="D285" s="81"/>
      <c r="E285" s="81"/>
      <c r="F285" s="406"/>
      <c r="G285" s="406"/>
      <c r="H285" s="407"/>
      <c r="I285" s="13"/>
      <c r="J285" s="13"/>
      <c r="K285" s="13"/>
      <c r="L285" s="4"/>
    </row>
    <row r="286" spans="1:17">
      <c r="A286" s="4"/>
      <c r="B286" s="417" t="s">
        <v>489</v>
      </c>
      <c r="C286" s="427"/>
      <c r="D286" s="427"/>
      <c r="E286" s="427"/>
      <c r="F286" s="427"/>
      <c r="G286" s="427" t="s">
        <v>501</v>
      </c>
      <c r="H286" s="427"/>
      <c r="I286" s="427"/>
      <c r="J286" s="427"/>
      <c r="K286" s="428" t="s">
        <v>501</v>
      </c>
    </row>
    <row r="287" spans="1:17">
      <c r="B287" s="420" t="str">
        <f>B255</f>
        <v>WAPA (SA No. 17)</v>
      </c>
      <c r="C287" s="4"/>
      <c r="D287" s="4" t="s">
        <v>536</v>
      </c>
      <c r="E287" s="4" t="s">
        <v>536</v>
      </c>
      <c r="F287" s="4"/>
      <c r="G287" s="4" t="s">
        <v>504</v>
      </c>
      <c r="H287" s="4"/>
      <c r="I287" s="4"/>
      <c r="J287" s="4"/>
      <c r="K287" s="423" t="s">
        <v>504</v>
      </c>
    </row>
    <row r="288" spans="1:17">
      <c r="A288" s="4"/>
      <c r="B288" s="420"/>
      <c r="C288" s="4"/>
      <c r="D288" s="4" t="s">
        <v>502</v>
      </c>
      <c r="E288" s="4" t="s">
        <v>503</v>
      </c>
      <c r="F288" s="4" t="s">
        <v>506</v>
      </c>
      <c r="G288" s="4" t="s">
        <v>507</v>
      </c>
      <c r="H288" s="4" t="s">
        <v>508</v>
      </c>
      <c r="I288" s="4" t="s">
        <v>502</v>
      </c>
      <c r="J288" s="4" t="s">
        <v>509</v>
      </c>
      <c r="K288" s="423" t="s">
        <v>510</v>
      </c>
    </row>
    <row r="289" spans="1:17">
      <c r="A289" s="4"/>
      <c r="B289" s="424" t="s">
        <v>511</v>
      </c>
      <c r="C289" s="425" t="s">
        <v>512</v>
      </c>
      <c r="D289" s="425" t="s">
        <v>513</v>
      </c>
      <c r="E289" s="425" t="s">
        <v>514</v>
      </c>
      <c r="F289" s="425" t="s">
        <v>515</v>
      </c>
      <c r="G289" s="425" t="s">
        <v>516</v>
      </c>
      <c r="H289" s="425" t="s">
        <v>517</v>
      </c>
      <c r="I289" s="425" t="s">
        <v>518</v>
      </c>
      <c r="J289" s="425" t="s">
        <v>518</v>
      </c>
      <c r="K289" s="426" t="s">
        <v>519</v>
      </c>
    </row>
    <row r="290" spans="1:17">
      <c r="A290" s="4">
        <f>A284+1</f>
        <v>926</v>
      </c>
      <c r="B290" t="s">
        <v>520</v>
      </c>
      <c r="C290" s="21">
        <f>C291-1</f>
        <v>2020</v>
      </c>
      <c r="D290" s="81" t="s">
        <v>521</v>
      </c>
      <c r="E290" s="81" t="s">
        <v>521</v>
      </c>
      <c r="F290" s="21" t="s">
        <v>521</v>
      </c>
      <c r="G290" s="40">
        <v>0</v>
      </c>
      <c r="H290" s="21" t="s">
        <v>521</v>
      </c>
      <c r="I290" s="21" t="s">
        <v>521</v>
      </c>
      <c r="J290" s="40">
        <v>0</v>
      </c>
      <c r="K290" s="13">
        <f>ROUND((G290+J290),2)</f>
        <v>0</v>
      </c>
      <c r="L290" s="4">
        <f t="shared" ref="L290:L314" si="157">A290</f>
        <v>926</v>
      </c>
    </row>
    <row r="291" spans="1:17">
      <c r="A291" s="4">
        <f>A290+1</f>
        <v>927</v>
      </c>
      <c r="B291" t="s">
        <v>522</v>
      </c>
      <c r="C291" s="21">
        <f>'1-DRR Corrected'!$K$2</f>
        <v>2021</v>
      </c>
      <c r="D291" s="396" t="str">
        <f>IF(E291="N/A","N/A",'3-ATA Corrected'!$E$49*'9-WholesaleRevenues Corrected'!E66)</f>
        <v>N/A</v>
      </c>
      <c r="E291" s="396" t="str">
        <f>IF('9-WholesaleRevenues Corrected'!E99="N/A","N/A",'9-WholesaleRevenues Corrected'!E99)</f>
        <v>N/A</v>
      </c>
      <c r="F291" s="406">
        <f t="shared" ref="F291:F302" si="158">IF(E291="N/A",0,D291-E291)</f>
        <v>0</v>
      </c>
      <c r="G291" s="406">
        <f>F291+G290</f>
        <v>0</v>
      </c>
      <c r="H291" s="432">
        <f>$H$73</f>
        <v>3.2500000000000001E-2</v>
      </c>
      <c r="I291" s="13">
        <f>IF(E291="N/A",0,ROUND((F291/2+G290+J290)*H291/12,2))</f>
        <v>0</v>
      </c>
      <c r="J291" s="13">
        <f>I291+J290</f>
        <v>0</v>
      </c>
      <c r="K291" s="13">
        <f t="shared" ref="K291:K314" si="159">ROUND((G291+J291),2)</f>
        <v>0</v>
      </c>
      <c r="L291" s="4">
        <f t="shared" si="157"/>
        <v>927</v>
      </c>
    </row>
    <row r="292" spans="1:17">
      <c r="A292" s="4">
        <f t="shared" ref="A292:A313" si="160">A291+1</f>
        <v>928</v>
      </c>
      <c r="B292" t="s">
        <v>523</v>
      </c>
      <c r="C292" s="21">
        <f>'1-DRR Corrected'!$K$2</f>
        <v>2021</v>
      </c>
      <c r="D292" s="396" t="str">
        <f>IF(E292="N/A","N/A",'3-ATA Corrected'!$E$49*'9-WholesaleRevenues Corrected'!E67)</f>
        <v>N/A</v>
      </c>
      <c r="E292" s="396" t="str">
        <f>IF('9-WholesaleRevenues Corrected'!E100="N/A","N/A",'9-WholesaleRevenues Corrected'!E100)</f>
        <v>N/A</v>
      </c>
      <c r="F292" s="406">
        <f t="shared" si="158"/>
        <v>0</v>
      </c>
      <c r="G292" s="406">
        <f t="shared" ref="G292:G302" si="161">F292+G291</f>
        <v>0</v>
      </c>
      <c r="H292" s="432">
        <f>$H$74</f>
        <v>3.2500000000000001E-2</v>
      </c>
      <c r="I292" s="13">
        <f>IF(E292="N/A",0,ROUND((F292/2+G291+J290)*H292/12,2))</f>
        <v>0</v>
      </c>
      <c r="J292" s="13">
        <f>I292+J291</f>
        <v>0</v>
      </c>
      <c r="K292" s="13">
        <f t="shared" si="159"/>
        <v>0</v>
      </c>
      <c r="L292" s="4">
        <f t="shared" si="157"/>
        <v>928</v>
      </c>
    </row>
    <row r="293" spans="1:17">
      <c r="A293" s="4">
        <f t="shared" si="160"/>
        <v>929</v>
      </c>
      <c r="B293" t="s">
        <v>524</v>
      </c>
      <c r="C293" s="21">
        <f>'1-DRR Corrected'!$K$2</f>
        <v>2021</v>
      </c>
      <c r="D293" s="396" t="str">
        <f>IF(E293="N/A","N/A",'3-ATA Corrected'!$E$49*'9-WholesaleRevenues Corrected'!E68)</f>
        <v>N/A</v>
      </c>
      <c r="E293" s="396" t="str">
        <f>IF('9-WholesaleRevenues Corrected'!E101="N/A","N/A",'9-WholesaleRevenues Corrected'!E101)</f>
        <v>N/A</v>
      </c>
      <c r="F293" s="406">
        <f t="shared" si="158"/>
        <v>0</v>
      </c>
      <c r="G293" s="406">
        <f t="shared" si="161"/>
        <v>0</v>
      </c>
      <c r="H293" s="432">
        <f>$H$75</f>
        <v>3.2500000000000001E-2</v>
      </c>
      <c r="I293" s="13">
        <f>IF(E293="N/A",0,ROUND((F293/2+G292+J290)*H293/12,2))</f>
        <v>0</v>
      </c>
      <c r="J293" s="13">
        <f>I293+J292</f>
        <v>0</v>
      </c>
      <c r="K293" s="13">
        <f t="shared" si="159"/>
        <v>0</v>
      </c>
      <c r="L293" s="4">
        <f t="shared" si="157"/>
        <v>929</v>
      </c>
    </row>
    <row r="294" spans="1:17">
      <c r="A294" s="4">
        <f t="shared" si="160"/>
        <v>930</v>
      </c>
      <c r="B294" t="s">
        <v>525</v>
      </c>
      <c r="C294" s="21">
        <f>'1-DRR Corrected'!$K$2</f>
        <v>2021</v>
      </c>
      <c r="D294" s="396" t="str">
        <f>IF(E294="N/A","N/A",'3-ATA Corrected'!$E$49*'9-WholesaleRevenues Corrected'!E69)</f>
        <v>N/A</v>
      </c>
      <c r="E294" s="396" t="str">
        <f>IF('9-WholesaleRevenues Corrected'!E102="N/A","N/A",'9-WholesaleRevenues Corrected'!E102)</f>
        <v>N/A</v>
      </c>
      <c r="F294" s="406">
        <f t="shared" si="158"/>
        <v>0</v>
      </c>
      <c r="G294" s="406">
        <f t="shared" si="161"/>
        <v>0</v>
      </c>
      <c r="H294" s="432">
        <f>$H$76</f>
        <v>3.2500000000000001E-2</v>
      </c>
      <c r="I294" s="13">
        <f>IF(E294="N/A",0,ROUND((F294/2+G293+J293)*H294/12,2))</f>
        <v>0</v>
      </c>
      <c r="J294" s="13">
        <f t="shared" ref="J294:J313" si="162">I294+J293</f>
        <v>0</v>
      </c>
      <c r="K294" s="13">
        <f t="shared" si="159"/>
        <v>0</v>
      </c>
      <c r="L294" s="4">
        <f t="shared" si="157"/>
        <v>930</v>
      </c>
    </row>
    <row r="295" spans="1:17">
      <c r="A295" s="4">
        <f t="shared" si="160"/>
        <v>931</v>
      </c>
      <c r="B295" t="s">
        <v>526</v>
      </c>
      <c r="C295" s="21">
        <f>'1-DRR Corrected'!$K$2</f>
        <v>2021</v>
      </c>
      <c r="D295" s="396" t="str">
        <f>IF(E295="N/A","N/A",'3-ATA Corrected'!$E$49*'9-WholesaleRevenues Corrected'!E70)</f>
        <v>N/A</v>
      </c>
      <c r="E295" s="396" t="str">
        <f>IF('9-WholesaleRevenues Corrected'!E103="N/A","N/A",'9-WholesaleRevenues Corrected'!E103)</f>
        <v>N/A</v>
      </c>
      <c r="F295" s="406">
        <f t="shared" si="158"/>
        <v>0</v>
      </c>
      <c r="G295" s="406">
        <f t="shared" si="161"/>
        <v>0</v>
      </c>
      <c r="H295" s="432">
        <f>$H$77</f>
        <v>3.2500000000000001E-2</v>
      </c>
      <c r="I295" s="13">
        <f>IF(E295="N/A",0,ROUND((F295/2+G294+J293)*H295/12,2))</f>
        <v>0</v>
      </c>
      <c r="J295" s="13">
        <f t="shared" si="162"/>
        <v>0</v>
      </c>
      <c r="K295" s="13">
        <f t="shared" si="159"/>
        <v>0</v>
      </c>
      <c r="L295" s="4">
        <f t="shared" si="157"/>
        <v>931</v>
      </c>
    </row>
    <row r="296" spans="1:17">
      <c r="A296" s="4">
        <f t="shared" si="160"/>
        <v>932</v>
      </c>
      <c r="B296" t="s">
        <v>527</v>
      </c>
      <c r="C296" s="21">
        <f>'1-DRR Corrected'!$K$2</f>
        <v>2021</v>
      </c>
      <c r="D296" s="396">
        <f>IF(E296="N/A","N/A",'3-ATA Corrected'!$E$49*'9-WholesaleRevenues Corrected'!E71)</f>
        <v>1194171.1015880702</v>
      </c>
      <c r="E296" s="396">
        <f>IF('9-WholesaleRevenues Corrected'!E104="N/A","N/A",'9-WholesaleRevenues Corrected'!E104)</f>
        <v>572779.28</v>
      </c>
      <c r="F296" s="406">
        <f t="shared" si="158"/>
        <v>621391.82158807013</v>
      </c>
      <c r="G296" s="406">
        <f t="shared" si="161"/>
        <v>621391.82158807013</v>
      </c>
      <c r="H296" s="432">
        <f>$H$78</f>
        <v>3.2500000000000001E-2</v>
      </c>
      <c r="I296" s="13">
        <f>IF(E296="N/A",0,ROUND((F296/2+G295+J293)*H296/12,2))</f>
        <v>841.47</v>
      </c>
      <c r="J296" s="13">
        <f t="shared" si="162"/>
        <v>841.47</v>
      </c>
      <c r="K296" s="13">
        <f t="shared" si="159"/>
        <v>622233.29</v>
      </c>
      <c r="L296" s="4">
        <f t="shared" si="157"/>
        <v>932</v>
      </c>
    </row>
    <row r="297" spans="1:17">
      <c r="A297" s="4">
        <f t="shared" si="160"/>
        <v>933</v>
      </c>
      <c r="B297" t="s">
        <v>528</v>
      </c>
      <c r="C297" s="21">
        <f>'1-DRR Corrected'!$K$2</f>
        <v>2021</v>
      </c>
      <c r="D297" s="396">
        <f>IF(E297="N/A","N/A",'3-ATA Corrected'!$E$49*'9-WholesaleRevenues Corrected'!E72)</f>
        <v>1151301.4847385217</v>
      </c>
      <c r="E297" s="396">
        <f>IF('9-WholesaleRevenues Corrected'!E105="N/A","N/A",'9-WholesaleRevenues Corrected'!E105)</f>
        <v>463514.42000000004</v>
      </c>
      <c r="F297" s="406">
        <f t="shared" si="158"/>
        <v>687787.0647385217</v>
      </c>
      <c r="G297" s="406">
        <f t="shared" si="161"/>
        <v>1309178.8863265919</v>
      </c>
      <c r="H297" s="432">
        <f>$H$79</f>
        <v>3.2500000000000001E-2</v>
      </c>
      <c r="I297" s="13">
        <f>IF(E297="N/A",0,ROUND((F297/2+G296+J296)*H297/12,2))</f>
        <v>2616.59</v>
      </c>
      <c r="J297" s="13">
        <f t="shared" si="162"/>
        <v>3458.0600000000004</v>
      </c>
      <c r="K297" s="13">
        <f t="shared" si="159"/>
        <v>1312636.95</v>
      </c>
      <c r="L297" s="4">
        <f t="shared" si="157"/>
        <v>933</v>
      </c>
    </row>
    <row r="298" spans="1:17">
      <c r="A298" s="4">
        <f t="shared" si="160"/>
        <v>934</v>
      </c>
      <c r="B298" t="s">
        <v>529</v>
      </c>
      <c r="C298" s="21">
        <f>'1-DRR Corrected'!$K$2</f>
        <v>2021</v>
      </c>
      <c r="D298" s="396">
        <f>IF(E298="N/A","N/A",'3-ATA Corrected'!$E$49*'9-WholesaleRevenues Corrected'!E73)</f>
        <v>1085393.9410806119</v>
      </c>
      <c r="E298" s="396">
        <f>IF('9-WholesaleRevenues Corrected'!E106="N/A","N/A",'9-WholesaleRevenues Corrected'!E106)</f>
        <v>518146.85000000003</v>
      </c>
      <c r="F298" s="406">
        <f t="shared" si="158"/>
        <v>567247.0910806118</v>
      </c>
      <c r="G298" s="406">
        <f t="shared" si="161"/>
        <v>1876425.9774072038</v>
      </c>
      <c r="H298" s="432">
        <f>$H$80</f>
        <v>3.2500000000000001E-2</v>
      </c>
      <c r="I298" s="13">
        <f>IF(E298="N/A",0,ROUND((F298/2+G297+J296)*H298/12,2))</f>
        <v>4316.12</v>
      </c>
      <c r="J298" s="13">
        <f t="shared" si="162"/>
        <v>7774.18</v>
      </c>
      <c r="K298" s="13">
        <f t="shared" si="159"/>
        <v>1884200.16</v>
      </c>
      <c r="L298" s="4">
        <f t="shared" si="157"/>
        <v>934</v>
      </c>
    </row>
    <row r="299" spans="1:17">
      <c r="A299" s="4">
        <f t="shared" si="160"/>
        <v>935</v>
      </c>
      <c r="B299" t="s">
        <v>530</v>
      </c>
      <c r="C299" s="21">
        <f>'1-DRR Corrected'!$K$2</f>
        <v>2021</v>
      </c>
      <c r="D299" s="396">
        <f>IF(E299="N/A","N/A",'3-ATA Corrected'!$E$49*'9-WholesaleRevenues Corrected'!E74)</f>
        <v>1043413.1795833547</v>
      </c>
      <c r="E299" s="396">
        <f>IF('9-WholesaleRevenues Corrected'!E107="N/A","N/A",'9-WholesaleRevenues Corrected'!E107)</f>
        <v>517906.53</v>
      </c>
      <c r="F299" s="406">
        <f t="shared" si="158"/>
        <v>525506.64958335471</v>
      </c>
      <c r="G299" s="406">
        <f t="shared" si="161"/>
        <v>2401932.6269905586</v>
      </c>
      <c r="H299" s="432">
        <f>$H$81</f>
        <v>3.2500000000000001E-2</v>
      </c>
      <c r="I299" s="13">
        <f>IF(E299="N/A",0,ROUND((F299/2+G298+J296)*H299/12,2))</f>
        <v>5795.89</v>
      </c>
      <c r="J299" s="13">
        <f t="shared" si="162"/>
        <v>13570.07</v>
      </c>
      <c r="K299" s="13">
        <f t="shared" si="159"/>
        <v>2415502.7000000002</v>
      </c>
      <c r="L299" s="4">
        <f t="shared" si="157"/>
        <v>935</v>
      </c>
    </row>
    <row r="300" spans="1:17">
      <c r="A300" s="4">
        <f t="shared" si="160"/>
        <v>936</v>
      </c>
      <c r="B300" t="s">
        <v>531</v>
      </c>
      <c r="C300" s="21">
        <f>'1-DRR Corrected'!$K$2</f>
        <v>2021</v>
      </c>
      <c r="D300" s="396">
        <f>IF(E300="N/A","N/A",'3-ATA Corrected'!$E$49*'9-WholesaleRevenues Corrected'!E75)</f>
        <v>896770.86081017251</v>
      </c>
      <c r="E300" s="396">
        <f>IF('9-WholesaleRevenues Corrected'!E108="N/A","N/A",'9-WholesaleRevenues Corrected'!E108)</f>
        <v>519651.77000000014</v>
      </c>
      <c r="F300" s="406">
        <f t="shared" si="158"/>
        <v>377119.09081017238</v>
      </c>
      <c r="G300" s="406">
        <f t="shared" si="161"/>
        <v>2779051.7178007308</v>
      </c>
      <c r="H300" s="432">
        <f>$H$82</f>
        <v>3.2500000000000001E-2</v>
      </c>
      <c r="I300" s="13">
        <f>IF(E300="N/A",0,ROUND((F300/2+G299+J299)*H300/12,2))</f>
        <v>7052.67</v>
      </c>
      <c r="J300" s="13">
        <f t="shared" si="162"/>
        <v>20622.739999999998</v>
      </c>
      <c r="K300" s="13">
        <f t="shared" si="159"/>
        <v>2799674.46</v>
      </c>
      <c r="L300" s="4">
        <f t="shared" si="157"/>
        <v>936</v>
      </c>
    </row>
    <row r="301" spans="1:17">
      <c r="A301" s="4">
        <f t="shared" si="160"/>
        <v>937</v>
      </c>
      <c r="B301" t="s">
        <v>532</v>
      </c>
      <c r="C301" s="21">
        <f>'1-DRR Corrected'!$K$2</f>
        <v>2021</v>
      </c>
      <c r="D301" s="396">
        <f>IF(E301="N/A","N/A",'3-ATA Corrected'!$E$49*'9-WholesaleRevenues Corrected'!E76)</f>
        <v>751985.75409242813</v>
      </c>
      <c r="E301" s="396">
        <f>IF('9-WholesaleRevenues Corrected'!E109="N/A","N/A",'9-WholesaleRevenues Corrected'!E109)</f>
        <v>518399.77</v>
      </c>
      <c r="F301" s="406">
        <f t="shared" si="158"/>
        <v>233585.98409242812</v>
      </c>
      <c r="G301" s="406">
        <f t="shared" si="161"/>
        <v>3012637.7018931592</v>
      </c>
      <c r="H301" s="432">
        <f>$H$83</f>
        <v>3.2500000000000001E-2</v>
      </c>
      <c r="I301" s="13">
        <f>IF(E301="N/A",0,ROUND((F301/2+G300+J299)*H301/12,2))</f>
        <v>7879.67</v>
      </c>
      <c r="J301" s="13">
        <f t="shared" si="162"/>
        <v>28502.409999999996</v>
      </c>
      <c r="K301" s="13">
        <f t="shared" si="159"/>
        <v>3041140.11</v>
      </c>
      <c r="L301" s="4">
        <f t="shared" si="157"/>
        <v>937</v>
      </c>
    </row>
    <row r="302" spans="1:17">
      <c r="A302" s="4">
        <f t="shared" si="160"/>
        <v>938</v>
      </c>
      <c r="B302" t="s">
        <v>520</v>
      </c>
      <c r="C302" s="21">
        <f>'1-DRR Corrected'!$K$2</f>
        <v>2021</v>
      </c>
      <c r="D302" s="396">
        <f>IF(E302="N/A","N/A",'3-ATA Corrected'!$E$49*'9-WholesaleRevenues Corrected'!E77)</f>
        <v>767351.27096913091</v>
      </c>
      <c r="E302" s="396">
        <f>IF('9-WholesaleRevenues Corrected'!E110="N/A","N/A",'9-WholesaleRevenues Corrected'!E110)</f>
        <v>518399.77</v>
      </c>
      <c r="F302" s="406">
        <f t="shared" si="158"/>
        <v>248951.5009691309</v>
      </c>
      <c r="G302" s="406">
        <f t="shared" si="161"/>
        <v>3261589.2028622902</v>
      </c>
      <c r="H302" s="432">
        <f>$H$84</f>
        <v>3.2500000000000001E-2</v>
      </c>
      <c r="I302" s="13">
        <f>IF(E302="N/A",0,ROUND((F302/2+G301+J299)*H302/12,2))</f>
        <v>8533.1</v>
      </c>
      <c r="J302" s="13">
        <f t="shared" si="162"/>
        <v>37035.509999999995</v>
      </c>
      <c r="K302" s="13">
        <f t="shared" si="159"/>
        <v>3298624.71</v>
      </c>
      <c r="L302" s="4">
        <f t="shared" si="157"/>
        <v>938</v>
      </c>
      <c r="O302" s="651">
        <f>G302-'3-ATA Original'!G302</f>
        <v>-673259.15329659544</v>
      </c>
      <c r="P302" s="651">
        <f>J302-'3-ATA Original'!J302</f>
        <v>-7412.8600000000151</v>
      </c>
      <c r="Q302" s="651">
        <f>P302+O302</f>
        <v>-680672.01329659543</v>
      </c>
    </row>
    <row r="303" spans="1:17">
      <c r="A303" s="4">
        <f t="shared" si="160"/>
        <v>939</v>
      </c>
      <c r="B303" t="s">
        <v>522</v>
      </c>
      <c r="C303" s="21">
        <f>C302+1</f>
        <v>2022</v>
      </c>
      <c r="D303" s="81" t="s">
        <v>521</v>
      </c>
      <c r="E303" s="81" t="s">
        <v>521</v>
      </c>
      <c r="F303" s="406">
        <v>0</v>
      </c>
      <c r="G303" s="406">
        <f>F303+G302</f>
        <v>3261589.2028622902</v>
      </c>
      <c r="H303" s="432">
        <f>$H$85</f>
        <v>3.2500000000000001E-2</v>
      </c>
      <c r="I303" s="13">
        <f t="shared" ref="I303" si="163">ROUND((F303/2+G302+J302)*H303/12,2)</f>
        <v>8933.7800000000007</v>
      </c>
      <c r="J303" s="13">
        <f t="shared" si="162"/>
        <v>45969.289999999994</v>
      </c>
      <c r="K303" s="13">
        <f t="shared" si="159"/>
        <v>3307558.49</v>
      </c>
      <c r="L303" s="4">
        <f t="shared" si="157"/>
        <v>939</v>
      </c>
    </row>
    <row r="304" spans="1:17">
      <c r="A304" s="4">
        <f t="shared" si="160"/>
        <v>940</v>
      </c>
      <c r="B304" t="s">
        <v>523</v>
      </c>
      <c r="C304" s="21">
        <f>C303</f>
        <v>2022</v>
      </c>
      <c r="D304" s="81" t="s">
        <v>521</v>
      </c>
      <c r="E304" s="81" t="s">
        <v>521</v>
      </c>
      <c r="F304" s="406">
        <v>0</v>
      </c>
      <c r="G304" s="406">
        <f t="shared" ref="G304:G313" si="164">F304+G303</f>
        <v>3261589.2028622902</v>
      </c>
      <c r="H304" s="432">
        <f>$H$86</f>
        <v>3.2500000000000001E-2</v>
      </c>
      <c r="I304" s="13">
        <f t="shared" ref="I304" si="165">ROUND((F304/2+G303+J302)*H304/12,2)</f>
        <v>8933.7800000000007</v>
      </c>
      <c r="J304" s="13">
        <f t="shared" si="162"/>
        <v>54903.069999999992</v>
      </c>
      <c r="K304" s="13">
        <f t="shared" si="159"/>
        <v>3316492.27</v>
      </c>
      <c r="L304" s="4">
        <f t="shared" si="157"/>
        <v>940</v>
      </c>
    </row>
    <row r="305" spans="1:17">
      <c r="A305" s="4">
        <f t="shared" si="160"/>
        <v>941</v>
      </c>
      <c r="B305" t="s">
        <v>524</v>
      </c>
      <c r="C305" s="21">
        <f t="shared" ref="C305:C313" si="166">C304</f>
        <v>2022</v>
      </c>
      <c r="D305" s="81" t="s">
        <v>521</v>
      </c>
      <c r="E305" s="81" t="s">
        <v>521</v>
      </c>
      <c r="F305" s="406">
        <v>0</v>
      </c>
      <c r="G305" s="406">
        <f t="shared" si="164"/>
        <v>3261589.2028622902</v>
      </c>
      <c r="H305" s="432">
        <f>$H$87</f>
        <v>3.2500000000000001E-2</v>
      </c>
      <c r="I305" s="13">
        <f t="shared" ref="I305" si="167">ROUND((F305/2+G304+J302)*H305/12,2)</f>
        <v>8933.7800000000007</v>
      </c>
      <c r="J305" s="13">
        <f t="shared" si="162"/>
        <v>63836.849999999991</v>
      </c>
      <c r="K305" s="13">
        <f t="shared" si="159"/>
        <v>3325426.05</v>
      </c>
      <c r="L305" s="4">
        <f t="shared" si="157"/>
        <v>941</v>
      </c>
    </row>
    <row r="306" spans="1:17">
      <c r="A306" s="4">
        <f t="shared" si="160"/>
        <v>942</v>
      </c>
      <c r="B306" t="s">
        <v>525</v>
      </c>
      <c r="C306" s="21">
        <f t="shared" si="166"/>
        <v>2022</v>
      </c>
      <c r="D306" s="81" t="s">
        <v>521</v>
      </c>
      <c r="E306" s="81" t="s">
        <v>521</v>
      </c>
      <c r="F306" s="406">
        <v>0</v>
      </c>
      <c r="G306" s="406">
        <f t="shared" si="164"/>
        <v>3261589.2028622902</v>
      </c>
      <c r="H306" s="432">
        <f>$H$88</f>
        <v>3.2500000000000001E-2</v>
      </c>
      <c r="I306" s="13">
        <f t="shared" ref="I306" si="168">ROUND((F306/2+G305+J305)*H306/12,2)</f>
        <v>9006.36</v>
      </c>
      <c r="J306" s="13">
        <f t="shared" si="162"/>
        <v>72843.209999999992</v>
      </c>
      <c r="K306" s="13">
        <f t="shared" si="159"/>
        <v>3334432.41</v>
      </c>
      <c r="L306" s="4">
        <f t="shared" si="157"/>
        <v>942</v>
      </c>
    </row>
    <row r="307" spans="1:17">
      <c r="A307" s="4">
        <f t="shared" si="160"/>
        <v>943</v>
      </c>
      <c r="B307" t="s">
        <v>526</v>
      </c>
      <c r="C307" s="21">
        <f t="shared" si="166"/>
        <v>2022</v>
      </c>
      <c r="D307" s="81" t="s">
        <v>521</v>
      </c>
      <c r="E307" s="81" t="s">
        <v>521</v>
      </c>
      <c r="F307" s="406">
        <v>0</v>
      </c>
      <c r="G307" s="406">
        <f t="shared" si="164"/>
        <v>3261589.2028622902</v>
      </c>
      <c r="H307" s="432">
        <f>$H$89</f>
        <v>3.2500000000000001E-2</v>
      </c>
      <c r="I307" s="13">
        <f t="shared" ref="I307" si="169">ROUND((F307/2+G306+J305)*H307/12,2)</f>
        <v>9006.36</v>
      </c>
      <c r="J307" s="13">
        <f t="shared" si="162"/>
        <v>81849.569999999992</v>
      </c>
      <c r="K307" s="13">
        <f t="shared" si="159"/>
        <v>3343438.77</v>
      </c>
      <c r="L307" s="4">
        <f t="shared" si="157"/>
        <v>943</v>
      </c>
    </row>
    <row r="308" spans="1:17">
      <c r="A308" s="4">
        <f t="shared" si="160"/>
        <v>944</v>
      </c>
      <c r="B308" t="s">
        <v>527</v>
      </c>
      <c r="C308" s="21">
        <f t="shared" si="166"/>
        <v>2022</v>
      </c>
      <c r="D308" s="81" t="s">
        <v>521</v>
      </c>
      <c r="E308" s="81" t="s">
        <v>521</v>
      </c>
      <c r="F308" s="406">
        <v>0</v>
      </c>
      <c r="G308" s="406">
        <f t="shared" si="164"/>
        <v>3261589.2028622902</v>
      </c>
      <c r="H308" s="432">
        <f>$H$90</f>
        <v>3.2500000000000001E-2</v>
      </c>
      <c r="I308" s="13">
        <f t="shared" ref="I308" si="170">ROUND((F308/2+G307+J305)*H308/12,2)</f>
        <v>9006.36</v>
      </c>
      <c r="J308" s="13">
        <f t="shared" si="162"/>
        <v>90855.93</v>
      </c>
      <c r="K308" s="13">
        <f t="shared" si="159"/>
        <v>3352445.13</v>
      </c>
      <c r="L308" s="4">
        <f t="shared" si="157"/>
        <v>944</v>
      </c>
    </row>
    <row r="309" spans="1:17">
      <c r="A309" s="4">
        <f t="shared" si="160"/>
        <v>945</v>
      </c>
      <c r="B309" t="s">
        <v>528</v>
      </c>
      <c r="C309" s="21">
        <f t="shared" si="166"/>
        <v>2022</v>
      </c>
      <c r="D309" s="81" t="s">
        <v>521</v>
      </c>
      <c r="E309" s="81" t="s">
        <v>521</v>
      </c>
      <c r="F309" s="406">
        <v>0</v>
      </c>
      <c r="G309" s="406">
        <f t="shared" si="164"/>
        <v>3261589.2028622902</v>
      </c>
      <c r="H309" s="432">
        <f>$H$91</f>
        <v>3.5999999999999997E-2</v>
      </c>
      <c r="I309" s="13">
        <f t="shared" ref="I309" si="171">ROUND((F309/2+G308+J308)*H309/12,2)</f>
        <v>10057.34</v>
      </c>
      <c r="J309" s="13">
        <f t="shared" si="162"/>
        <v>100913.26999999999</v>
      </c>
      <c r="K309" s="13">
        <f t="shared" si="159"/>
        <v>3362502.47</v>
      </c>
      <c r="L309" s="4">
        <f t="shared" si="157"/>
        <v>945</v>
      </c>
    </row>
    <row r="310" spans="1:17">
      <c r="A310" s="4">
        <f t="shared" si="160"/>
        <v>946</v>
      </c>
      <c r="B310" t="s">
        <v>529</v>
      </c>
      <c r="C310" s="21">
        <f t="shared" si="166"/>
        <v>2022</v>
      </c>
      <c r="D310" s="81" t="s">
        <v>521</v>
      </c>
      <c r="E310" s="81" t="s">
        <v>521</v>
      </c>
      <c r="F310" s="406">
        <v>0</v>
      </c>
      <c r="G310" s="406">
        <f t="shared" si="164"/>
        <v>3261589.2028622902</v>
      </c>
      <c r="H310" s="432">
        <f>$H$92</f>
        <v>3.5999999999999997E-2</v>
      </c>
      <c r="I310" s="13">
        <f t="shared" ref="I310" si="172">ROUND((F310/2+G309+J308)*H310/12,2)</f>
        <v>10057.34</v>
      </c>
      <c r="J310" s="13">
        <f t="shared" si="162"/>
        <v>110970.60999999999</v>
      </c>
      <c r="K310" s="13">
        <f t="shared" si="159"/>
        <v>3372559.81</v>
      </c>
      <c r="L310" s="4">
        <f t="shared" si="157"/>
        <v>946</v>
      </c>
    </row>
    <row r="311" spans="1:17">
      <c r="A311" s="4">
        <f t="shared" si="160"/>
        <v>947</v>
      </c>
      <c r="B311" t="s">
        <v>530</v>
      </c>
      <c r="C311" s="21">
        <f t="shared" si="166"/>
        <v>2022</v>
      </c>
      <c r="D311" s="81" t="s">
        <v>521</v>
      </c>
      <c r="E311" s="81" t="s">
        <v>521</v>
      </c>
      <c r="F311" s="406">
        <v>0</v>
      </c>
      <c r="G311" s="406">
        <f t="shared" si="164"/>
        <v>3261589.2028622902</v>
      </c>
      <c r="H311" s="432">
        <f>$H$93</f>
        <v>3.5999999999999997E-2</v>
      </c>
      <c r="I311" s="13">
        <f t="shared" ref="I311" si="173">ROUND((F311/2+G310+J308)*H311/12,2)</f>
        <v>10057.34</v>
      </c>
      <c r="J311" s="13">
        <f t="shared" si="162"/>
        <v>121027.94999999998</v>
      </c>
      <c r="K311" s="13">
        <f t="shared" si="159"/>
        <v>3382617.15</v>
      </c>
      <c r="L311" s="4">
        <f t="shared" si="157"/>
        <v>947</v>
      </c>
    </row>
    <row r="312" spans="1:17">
      <c r="A312" s="4">
        <f t="shared" si="160"/>
        <v>948</v>
      </c>
      <c r="B312" t="s">
        <v>531</v>
      </c>
      <c r="C312" s="21">
        <f t="shared" si="166"/>
        <v>2022</v>
      </c>
      <c r="D312" s="81" t="s">
        <v>521</v>
      </c>
      <c r="E312" s="81" t="s">
        <v>521</v>
      </c>
      <c r="F312" s="406">
        <v>0</v>
      </c>
      <c r="G312" s="406">
        <f t="shared" si="164"/>
        <v>3261589.2028622902</v>
      </c>
      <c r="H312" s="432">
        <f>$H$94</f>
        <v>4.9099999999999998E-2</v>
      </c>
      <c r="I312" s="13">
        <f t="shared" ref="I312" si="174">ROUND((F312/2+G311+J311)*H312/12,2)</f>
        <v>13840.54</v>
      </c>
      <c r="J312" s="13">
        <f t="shared" si="162"/>
        <v>134868.49</v>
      </c>
      <c r="K312" s="13">
        <f t="shared" si="159"/>
        <v>3396457.69</v>
      </c>
      <c r="L312" s="4">
        <f t="shared" si="157"/>
        <v>948</v>
      </c>
    </row>
    <row r="313" spans="1:17">
      <c r="A313" s="4">
        <f t="shared" si="160"/>
        <v>949</v>
      </c>
      <c r="B313" t="s">
        <v>532</v>
      </c>
      <c r="C313" s="21">
        <f t="shared" si="166"/>
        <v>2022</v>
      </c>
      <c r="D313" s="81" t="s">
        <v>521</v>
      </c>
      <c r="E313" s="81" t="s">
        <v>521</v>
      </c>
      <c r="F313" s="406">
        <v>0</v>
      </c>
      <c r="G313" s="406">
        <f t="shared" si="164"/>
        <v>3261589.2028622902</v>
      </c>
      <c r="H313" s="432">
        <f>$H$95</f>
        <v>4.9099999999999998E-2</v>
      </c>
      <c r="I313" s="13">
        <f t="shared" ref="I313" si="175">ROUND((F313/2+G312+J311)*H313/12,2)</f>
        <v>13840.54</v>
      </c>
      <c r="J313" s="13">
        <f t="shared" si="162"/>
        <v>148709.03</v>
      </c>
      <c r="K313" s="13">
        <f t="shared" si="159"/>
        <v>3410298.23</v>
      </c>
      <c r="L313" s="4">
        <f t="shared" si="157"/>
        <v>949</v>
      </c>
    </row>
    <row r="314" spans="1:17">
      <c r="A314" s="4">
        <f>A313+1</f>
        <v>950</v>
      </c>
      <c r="B314" t="s">
        <v>520</v>
      </c>
      <c r="C314" s="21">
        <f>C313</f>
        <v>2022</v>
      </c>
      <c r="D314" s="81" t="s">
        <v>521</v>
      </c>
      <c r="E314" s="81" t="s">
        <v>521</v>
      </c>
      <c r="F314" s="652">
        <v>0</v>
      </c>
      <c r="G314" s="652">
        <f>F314+G313</f>
        <v>3261589.2028622902</v>
      </c>
      <c r="H314" s="432">
        <f>$H$96</f>
        <v>4.9099999999999998E-2</v>
      </c>
      <c r="I314" s="23">
        <f>ROUND((F314/2+G313+J311)*H314/12,2)</f>
        <v>13840.54</v>
      </c>
      <c r="J314" s="23">
        <f>I314+J313</f>
        <v>162549.57</v>
      </c>
      <c r="K314" s="23">
        <f t="shared" si="159"/>
        <v>3424138.77</v>
      </c>
      <c r="L314" s="4">
        <f t="shared" si="157"/>
        <v>950</v>
      </c>
      <c r="O314" s="24"/>
      <c r="P314" s="24"/>
      <c r="Q314" s="24"/>
    </row>
    <row r="315" spans="1:17">
      <c r="A315" s="4"/>
      <c r="C315" s="21"/>
      <c r="D315" s="81"/>
      <c r="E315" s="81"/>
      <c r="F315" s="406"/>
      <c r="G315" s="406"/>
      <c r="H315" s="407"/>
      <c r="I315" s="13"/>
      <c r="J315" s="13"/>
      <c r="K315" s="13"/>
      <c r="L315" s="4"/>
    </row>
    <row r="316" spans="1:17">
      <c r="A316" s="3" t="s">
        <v>90</v>
      </c>
      <c r="B316" s="417" t="s">
        <v>489</v>
      </c>
      <c r="C316" s="418" t="s">
        <v>122</v>
      </c>
      <c r="D316" s="418" t="s">
        <v>123</v>
      </c>
      <c r="E316" s="418" t="s">
        <v>124</v>
      </c>
      <c r="F316" s="418" t="s">
        <v>125</v>
      </c>
      <c r="G316" s="418" t="s">
        <v>490</v>
      </c>
      <c r="H316" s="418" t="s">
        <v>491</v>
      </c>
      <c r="I316" s="418" t="s">
        <v>492</v>
      </c>
      <c r="J316" s="418" t="s">
        <v>493</v>
      </c>
      <c r="K316" s="419" t="s">
        <v>494</v>
      </c>
      <c r="L316" s="3" t="str">
        <f t="shared" ref="L316:L317" si="176">A316</f>
        <v>Line</v>
      </c>
    </row>
    <row r="317" spans="1:17">
      <c r="A317" s="4">
        <f>A255+100</f>
        <v>1000</v>
      </c>
      <c r="B317" s="420" t="s">
        <v>541</v>
      </c>
      <c r="C317" s="4"/>
      <c r="D317" s="18" t="s">
        <v>101</v>
      </c>
      <c r="E317" s="18" t="s">
        <v>496</v>
      </c>
      <c r="F317" s="21" t="str">
        <f>""&amp;D316&amp;" - "&amp;E316&amp;""</f>
        <v>Col 2 - Col 3</v>
      </c>
      <c r="G317" s="21" t="s">
        <v>497</v>
      </c>
      <c r="H317" s="21" t="s">
        <v>498</v>
      </c>
      <c r="I317" s="21" t="s">
        <v>499</v>
      </c>
      <c r="J317" s="21" t="s">
        <v>500</v>
      </c>
      <c r="K317" s="421" t="str">
        <f>""&amp;G316&amp;" + "&amp;J316&amp;""</f>
        <v>Col 5 + Col 8</v>
      </c>
      <c r="L317" s="4">
        <f t="shared" si="176"/>
        <v>1000</v>
      </c>
    </row>
    <row r="318" spans="1:17">
      <c r="A318" s="4"/>
      <c r="B318" s="422"/>
      <c r="C318" s="4"/>
      <c r="D318" s="4"/>
      <c r="E318" s="4"/>
      <c r="F318" s="4"/>
      <c r="G318" s="4" t="s">
        <v>501</v>
      </c>
      <c r="H318" s="4"/>
      <c r="I318" s="4"/>
      <c r="J318" s="4"/>
      <c r="K318" s="423" t="s">
        <v>501</v>
      </c>
    </row>
    <row r="319" spans="1:17">
      <c r="B319" s="422"/>
      <c r="C319" s="4"/>
      <c r="D319" s="4" t="s">
        <v>505</v>
      </c>
      <c r="E319" s="4" t="s">
        <v>505</v>
      </c>
      <c r="F319" s="4"/>
      <c r="G319" s="4" t="s">
        <v>504</v>
      </c>
      <c r="H319" s="4"/>
      <c r="I319" s="4"/>
      <c r="J319" s="4"/>
      <c r="K319" s="423" t="s">
        <v>504</v>
      </c>
    </row>
    <row r="320" spans="1:17">
      <c r="A320" s="4"/>
      <c r="B320" s="420"/>
      <c r="C320" s="4"/>
      <c r="D320" s="4" t="s">
        <v>502</v>
      </c>
      <c r="E320" s="4" t="s">
        <v>503</v>
      </c>
      <c r="F320" s="4" t="s">
        <v>506</v>
      </c>
      <c r="G320" s="4" t="s">
        <v>507</v>
      </c>
      <c r="H320" s="4" t="s">
        <v>508</v>
      </c>
      <c r="I320" s="4" t="s">
        <v>502</v>
      </c>
      <c r="J320" s="4" t="s">
        <v>509</v>
      </c>
      <c r="K320" s="423" t="s">
        <v>510</v>
      </c>
    </row>
    <row r="321" spans="1:17">
      <c r="A321" s="4"/>
      <c r="B321" s="424" t="s">
        <v>511</v>
      </c>
      <c r="C321" s="425" t="s">
        <v>512</v>
      </c>
      <c r="D321" s="425" t="s">
        <v>513</v>
      </c>
      <c r="E321" s="425" t="s">
        <v>514</v>
      </c>
      <c r="F321" s="425" t="s">
        <v>515</v>
      </c>
      <c r="G321" s="425" t="s">
        <v>516</v>
      </c>
      <c r="H321" s="425" t="s">
        <v>517</v>
      </c>
      <c r="I321" s="425" t="s">
        <v>518</v>
      </c>
      <c r="J321" s="425" t="s">
        <v>518</v>
      </c>
      <c r="K321" s="426" t="s">
        <v>519</v>
      </c>
    </row>
    <row r="322" spans="1:17">
      <c r="A322" s="4">
        <f>A317+1</f>
        <v>1001</v>
      </c>
      <c r="B322" t="s">
        <v>520</v>
      </c>
      <c r="C322" s="21">
        <f>C323-1</f>
        <v>2020</v>
      </c>
      <c r="D322" s="81" t="s">
        <v>521</v>
      </c>
      <c r="E322" s="81" t="s">
        <v>521</v>
      </c>
      <c r="F322" s="21" t="s">
        <v>521</v>
      </c>
      <c r="G322" s="40">
        <v>0</v>
      </c>
      <c r="H322" s="21" t="s">
        <v>521</v>
      </c>
      <c r="I322" s="21" t="s">
        <v>521</v>
      </c>
      <c r="J322" s="40">
        <v>0</v>
      </c>
      <c r="K322" s="13">
        <f>ROUND((G322+J322),2)</f>
        <v>0</v>
      </c>
      <c r="L322" s="4">
        <f t="shared" ref="L322:L346" si="177">A322</f>
        <v>1001</v>
      </c>
    </row>
    <row r="323" spans="1:17">
      <c r="A323" s="4">
        <f>A322+1</f>
        <v>1002</v>
      </c>
      <c r="B323" t="s">
        <v>522</v>
      </c>
      <c r="C323" s="21">
        <f>'1-DRR Corrected'!$K$2</f>
        <v>2021</v>
      </c>
      <c r="D323" s="396" t="str">
        <f>IF(E323="N/A","N/A",($H$42*'9-WholesaleRevenues Corrected'!I14))</f>
        <v>N/A</v>
      </c>
      <c r="E323" s="396" t="str">
        <f>IF('9-WholesaleRevenues Corrected'!I48="N/A","N/A",'9-WholesaleRevenues Corrected'!I48)</f>
        <v>N/A</v>
      </c>
      <c r="F323" s="406">
        <f t="shared" ref="F323:F334" si="178">IF(E323="N/A",0,D323-E323)</f>
        <v>0</v>
      </c>
      <c r="G323" s="406">
        <f>F323+G322</f>
        <v>0</v>
      </c>
      <c r="H323" s="432">
        <f>$H$73</f>
        <v>3.2500000000000001E-2</v>
      </c>
      <c r="I323" s="13">
        <f>IF(E323="N/A",0,ROUND((F323/2+G322+J322)*H323/12,2))</f>
        <v>0</v>
      </c>
      <c r="J323" s="13">
        <f>I323+J322</f>
        <v>0</v>
      </c>
      <c r="K323" s="13">
        <f t="shared" ref="K323:K346" si="179">ROUND((G323+J323),2)</f>
        <v>0</v>
      </c>
      <c r="L323" s="4">
        <f t="shared" si="177"/>
        <v>1002</v>
      </c>
    </row>
    <row r="324" spans="1:17">
      <c r="A324" s="4">
        <f t="shared" ref="A324:A346" si="180">A323+1</f>
        <v>1003</v>
      </c>
      <c r="B324" t="s">
        <v>523</v>
      </c>
      <c r="C324" s="21">
        <f>'1-DRR Corrected'!$K$2</f>
        <v>2021</v>
      </c>
      <c r="D324" s="396" t="str">
        <f>IF(E324="N/A","N/A",($H$42*'9-WholesaleRevenues Corrected'!I15))</f>
        <v>N/A</v>
      </c>
      <c r="E324" s="396" t="str">
        <f>IF('9-WholesaleRevenues Corrected'!I49="N/A","N/A",'9-WholesaleRevenues Corrected'!I49)</f>
        <v>N/A</v>
      </c>
      <c r="F324" s="406">
        <f t="shared" si="178"/>
        <v>0</v>
      </c>
      <c r="G324" s="406">
        <f t="shared" ref="G324:G334" si="181">F324+G323</f>
        <v>0</v>
      </c>
      <c r="H324" s="432">
        <f>$H$74</f>
        <v>3.2500000000000001E-2</v>
      </c>
      <c r="I324" s="13">
        <f>IF(E324="N/A",0,ROUND((F324/2+G323+J322)*H324/12,2))</f>
        <v>0</v>
      </c>
      <c r="J324" s="13">
        <f>I324+J323</f>
        <v>0</v>
      </c>
      <c r="K324" s="13">
        <f t="shared" si="179"/>
        <v>0</v>
      </c>
      <c r="L324" s="4">
        <f t="shared" si="177"/>
        <v>1003</v>
      </c>
    </row>
    <row r="325" spans="1:17">
      <c r="A325" s="4">
        <f t="shared" si="180"/>
        <v>1004</v>
      </c>
      <c r="B325" t="s">
        <v>524</v>
      </c>
      <c r="C325" s="21">
        <f>'1-DRR Corrected'!$K$2</f>
        <v>2021</v>
      </c>
      <c r="D325" s="396" t="str">
        <f>IF(E325="N/A","N/A",($H$42*'9-WholesaleRevenues Corrected'!I16))</f>
        <v>N/A</v>
      </c>
      <c r="E325" s="396" t="str">
        <f>IF('9-WholesaleRevenues Corrected'!I50="N/A","N/A",'9-WholesaleRevenues Corrected'!I50)</f>
        <v>N/A</v>
      </c>
      <c r="F325" s="406">
        <f t="shared" si="178"/>
        <v>0</v>
      </c>
      <c r="G325" s="406">
        <f t="shared" si="181"/>
        <v>0</v>
      </c>
      <c r="H325" s="432">
        <f>$H$75</f>
        <v>3.2500000000000001E-2</v>
      </c>
      <c r="I325" s="13">
        <f>IF(E325="N/A",0,ROUND((F325/2+G324+J322)*H325/12,2))</f>
        <v>0</v>
      </c>
      <c r="J325" s="13">
        <f>I325+J324</f>
        <v>0</v>
      </c>
      <c r="K325" s="13">
        <f t="shared" si="179"/>
        <v>0</v>
      </c>
      <c r="L325" s="4">
        <f t="shared" si="177"/>
        <v>1004</v>
      </c>
    </row>
    <row r="326" spans="1:17">
      <c r="A326" s="4">
        <f t="shared" si="180"/>
        <v>1005</v>
      </c>
      <c r="B326" t="s">
        <v>525</v>
      </c>
      <c r="C326" s="21">
        <f>'1-DRR Corrected'!$K$2</f>
        <v>2021</v>
      </c>
      <c r="D326" s="396" t="str">
        <f>IF(E326="N/A","N/A",($H$42*'9-WholesaleRevenues Corrected'!I17))</f>
        <v>N/A</v>
      </c>
      <c r="E326" s="396" t="str">
        <f>IF('9-WholesaleRevenues Corrected'!I51="N/A","N/A",'9-WholesaleRevenues Corrected'!I51)</f>
        <v>N/A</v>
      </c>
      <c r="F326" s="406">
        <f t="shared" si="178"/>
        <v>0</v>
      </c>
      <c r="G326" s="406">
        <f t="shared" si="181"/>
        <v>0</v>
      </c>
      <c r="H326" s="432">
        <f>$H$76</f>
        <v>3.2500000000000001E-2</v>
      </c>
      <c r="I326" s="13">
        <f>IF(E326="N/A",0,ROUND((F326/2+G325+J325)*H326/12,2))</f>
        <v>0</v>
      </c>
      <c r="J326" s="13">
        <f t="shared" ref="J326:J346" si="182">I326+J325</f>
        <v>0</v>
      </c>
      <c r="K326" s="13">
        <f t="shared" si="179"/>
        <v>0</v>
      </c>
      <c r="L326" s="4">
        <f t="shared" si="177"/>
        <v>1005</v>
      </c>
    </row>
    <row r="327" spans="1:17">
      <c r="A327" s="4">
        <f t="shared" si="180"/>
        <v>1006</v>
      </c>
      <c r="B327" t="s">
        <v>526</v>
      </c>
      <c r="C327" s="21">
        <f>'1-DRR Corrected'!$K$2</f>
        <v>2021</v>
      </c>
      <c r="D327" s="396" t="str">
        <f>IF(E327="N/A","N/A",($H$42*'9-WholesaleRevenues Corrected'!I18))</f>
        <v>N/A</v>
      </c>
      <c r="E327" s="396" t="str">
        <f>IF('9-WholesaleRevenues Corrected'!I52="N/A","N/A",'9-WholesaleRevenues Corrected'!I52)</f>
        <v>N/A</v>
      </c>
      <c r="F327" s="406">
        <f t="shared" si="178"/>
        <v>0</v>
      </c>
      <c r="G327" s="406">
        <f t="shared" si="181"/>
        <v>0</v>
      </c>
      <c r="H327" s="432">
        <f>$H$77</f>
        <v>3.2500000000000001E-2</v>
      </c>
      <c r="I327" s="13">
        <f>IF(E327="N/A",0,ROUND((F327/2+G326+J325)*H327/12,2))</f>
        <v>0</v>
      </c>
      <c r="J327" s="13">
        <f t="shared" si="182"/>
        <v>0</v>
      </c>
      <c r="K327" s="13">
        <f t="shared" si="179"/>
        <v>0</v>
      </c>
      <c r="L327" s="4">
        <f t="shared" si="177"/>
        <v>1006</v>
      </c>
    </row>
    <row r="328" spans="1:17">
      <c r="A328" s="4">
        <f t="shared" si="180"/>
        <v>1007</v>
      </c>
      <c r="B328" t="s">
        <v>527</v>
      </c>
      <c r="C328" s="21">
        <f>'1-DRR Corrected'!$K$2</f>
        <v>2021</v>
      </c>
      <c r="D328" s="396">
        <f>IF(E328="N/A","N/A",($H$42*'9-WholesaleRevenues Corrected'!I19))</f>
        <v>1203.1191768275858</v>
      </c>
      <c r="E328" s="396">
        <f>IF('9-WholesaleRevenues Corrected'!I53="N/A","N/A",'9-WholesaleRevenues Corrected'!I53)</f>
        <v>917.09999999999991</v>
      </c>
      <c r="F328" s="406">
        <f t="shared" si="178"/>
        <v>286.01917682758585</v>
      </c>
      <c r="G328" s="406">
        <f t="shared" si="181"/>
        <v>286.01917682758585</v>
      </c>
      <c r="H328" s="432">
        <f>$H$78</f>
        <v>3.2500000000000001E-2</v>
      </c>
      <c r="I328" s="13">
        <f>IF(E328="N/A",0,ROUND((F328/2+G327+J325)*H328/12,2))</f>
        <v>0.39</v>
      </c>
      <c r="J328" s="13">
        <f t="shared" si="182"/>
        <v>0.39</v>
      </c>
      <c r="K328" s="13">
        <f t="shared" si="179"/>
        <v>286.41000000000003</v>
      </c>
      <c r="L328" s="4">
        <f t="shared" si="177"/>
        <v>1007</v>
      </c>
    </row>
    <row r="329" spans="1:17">
      <c r="A329" s="4">
        <f t="shared" si="180"/>
        <v>1008</v>
      </c>
      <c r="B329" t="s">
        <v>528</v>
      </c>
      <c r="C329" s="21">
        <f>'1-DRR Corrected'!$K$2</f>
        <v>2021</v>
      </c>
      <c r="D329" s="396">
        <f>IF(E329="N/A","N/A",($H$42*'9-WholesaleRevenues Corrected'!I20))</f>
        <v>1308.6559467247425</v>
      </c>
      <c r="E329" s="396">
        <f>IF('9-WholesaleRevenues Corrected'!I54="N/A","N/A",'9-WholesaleRevenues Corrected'!I54)</f>
        <v>917.09999999999991</v>
      </c>
      <c r="F329" s="406">
        <f t="shared" si="178"/>
        <v>391.55594672474263</v>
      </c>
      <c r="G329" s="406">
        <f t="shared" si="181"/>
        <v>677.57512355232848</v>
      </c>
      <c r="H329" s="432">
        <f>$H$79</f>
        <v>3.2500000000000001E-2</v>
      </c>
      <c r="I329" s="13">
        <f>IF(E329="N/A",0,ROUND((F329/2+G328+J328)*H329/12,2))</f>
        <v>1.31</v>
      </c>
      <c r="J329" s="13">
        <f t="shared" si="182"/>
        <v>1.7000000000000002</v>
      </c>
      <c r="K329" s="13">
        <f t="shared" si="179"/>
        <v>679.28</v>
      </c>
      <c r="L329" s="4">
        <f t="shared" si="177"/>
        <v>1008</v>
      </c>
    </row>
    <row r="330" spans="1:17">
      <c r="A330" s="4">
        <f t="shared" si="180"/>
        <v>1009</v>
      </c>
      <c r="B330" t="s">
        <v>529</v>
      </c>
      <c r="C330" s="21">
        <f>'1-DRR Corrected'!$K$2</f>
        <v>2021</v>
      </c>
      <c r="D330" s="396">
        <f>IF(E330="N/A","N/A",($H$42*'9-WholesaleRevenues Corrected'!I21))</f>
        <v>1371.9780086630365</v>
      </c>
      <c r="E330" s="396">
        <f>IF('9-WholesaleRevenues Corrected'!I55="N/A","N/A",'9-WholesaleRevenues Corrected'!I55)</f>
        <v>917.09999999999991</v>
      </c>
      <c r="F330" s="406">
        <f t="shared" si="178"/>
        <v>454.87800866303655</v>
      </c>
      <c r="G330" s="406">
        <f t="shared" si="181"/>
        <v>1132.453132215365</v>
      </c>
      <c r="H330" s="432">
        <f>$H$80</f>
        <v>3.2500000000000001E-2</v>
      </c>
      <c r="I330" s="13">
        <f>IF(E330="N/A",0,ROUND((F330/2+G329+J328)*H330/12,2))</f>
        <v>2.4500000000000002</v>
      </c>
      <c r="J330" s="13">
        <f t="shared" si="182"/>
        <v>4.1500000000000004</v>
      </c>
      <c r="K330" s="13">
        <f t="shared" si="179"/>
        <v>1136.5999999999999</v>
      </c>
      <c r="L330" s="4">
        <f t="shared" si="177"/>
        <v>1009</v>
      </c>
    </row>
    <row r="331" spans="1:17">
      <c r="A331" s="4">
        <f t="shared" si="180"/>
        <v>1010</v>
      </c>
      <c r="B331" t="s">
        <v>530</v>
      </c>
      <c r="C331" s="21">
        <f>'1-DRR Corrected'!$K$2</f>
        <v>2021</v>
      </c>
      <c r="D331" s="396">
        <f>IF(E331="N/A","N/A",($H$42*'9-WholesaleRevenues Corrected'!I22))</f>
        <v>1076.4750529509979</v>
      </c>
      <c r="E331" s="396">
        <f>IF('9-WholesaleRevenues Corrected'!I56="N/A","N/A",'9-WholesaleRevenues Corrected'!I56)</f>
        <v>917.09999999999991</v>
      </c>
      <c r="F331" s="406">
        <f t="shared" si="178"/>
        <v>159.375052950998</v>
      </c>
      <c r="G331" s="406">
        <f t="shared" si="181"/>
        <v>1291.828185166363</v>
      </c>
      <c r="H331" s="432">
        <f>$H$81</f>
        <v>3.2500000000000001E-2</v>
      </c>
      <c r="I331" s="13">
        <f>IF(E331="N/A",0,ROUND((F331/2+G330+J328)*H331/12,2))</f>
        <v>3.28</v>
      </c>
      <c r="J331" s="13">
        <f t="shared" si="182"/>
        <v>7.43</v>
      </c>
      <c r="K331" s="13">
        <f t="shared" si="179"/>
        <v>1299.26</v>
      </c>
      <c r="L331" s="4">
        <f t="shared" si="177"/>
        <v>1010</v>
      </c>
    </row>
    <row r="332" spans="1:17">
      <c r="A332" s="4">
        <f t="shared" si="180"/>
        <v>1011</v>
      </c>
      <c r="B332" t="s">
        <v>531</v>
      </c>
      <c r="C332" s="21">
        <f>'1-DRR Corrected'!$K$2</f>
        <v>2021</v>
      </c>
      <c r="D332" s="396">
        <f>IF(E332="N/A","N/A",($H$42*'9-WholesaleRevenues Corrected'!I23))</f>
        <v>1139.7971148892918</v>
      </c>
      <c r="E332" s="396">
        <f>IF('9-WholesaleRevenues Corrected'!I57="N/A","N/A",'9-WholesaleRevenues Corrected'!I57)</f>
        <v>917.09999999999991</v>
      </c>
      <c r="F332" s="406">
        <f t="shared" si="178"/>
        <v>222.69711488929192</v>
      </c>
      <c r="G332" s="406">
        <f t="shared" si="181"/>
        <v>1514.525300055655</v>
      </c>
      <c r="H332" s="432">
        <f>$H$82</f>
        <v>3.2500000000000001E-2</v>
      </c>
      <c r="I332" s="13">
        <f>IF(E332="N/A",0,ROUND((F332/2+G331+J331)*H332/12,2))</f>
        <v>3.82</v>
      </c>
      <c r="J332" s="13">
        <f t="shared" si="182"/>
        <v>11.25</v>
      </c>
      <c r="K332" s="13">
        <f t="shared" si="179"/>
        <v>1525.78</v>
      </c>
      <c r="L332" s="4">
        <f t="shared" si="177"/>
        <v>1011</v>
      </c>
    </row>
    <row r="333" spans="1:17">
      <c r="A333" s="4">
        <f t="shared" si="180"/>
        <v>1012</v>
      </c>
      <c r="B333" t="s">
        <v>532</v>
      </c>
      <c r="C333" s="21">
        <f>'1-DRR Corrected'!$K$2</f>
        <v>2021</v>
      </c>
      <c r="D333" s="396">
        <f>IF(E333="N/A","N/A",($H$42*'9-WholesaleRevenues Corrected'!I24))</f>
        <v>1371.9780086630365</v>
      </c>
      <c r="E333" s="396">
        <f>IF('9-WholesaleRevenues Corrected'!I58="N/A","N/A",'9-WholesaleRevenues Corrected'!I58)</f>
        <v>917.09999999999991</v>
      </c>
      <c r="F333" s="406">
        <f t="shared" si="178"/>
        <v>454.87800866303655</v>
      </c>
      <c r="G333" s="406">
        <f t="shared" si="181"/>
        <v>1969.4033087186915</v>
      </c>
      <c r="H333" s="432">
        <f>$H$83</f>
        <v>3.2500000000000001E-2</v>
      </c>
      <c r="I333" s="13">
        <f>IF(E333="N/A",0,ROUND((F333/2+G332+J331)*H333/12,2))</f>
        <v>4.74</v>
      </c>
      <c r="J333" s="13">
        <f t="shared" si="182"/>
        <v>15.99</v>
      </c>
      <c r="K333" s="13">
        <f t="shared" si="179"/>
        <v>1985.39</v>
      </c>
      <c r="L333" s="4">
        <f t="shared" si="177"/>
        <v>1012</v>
      </c>
    </row>
    <row r="334" spans="1:17">
      <c r="A334" s="4">
        <f t="shared" si="180"/>
        <v>1013</v>
      </c>
      <c r="B334" t="s">
        <v>520</v>
      </c>
      <c r="C334" s="21">
        <f>'1-DRR Corrected'!$K$2</f>
        <v>2021</v>
      </c>
      <c r="D334" s="396">
        <f>IF(E334="N/A","N/A",($H$42*'9-WholesaleRevenues Corrected'!I25))</f>
        <v>1878.5545041693883</v>
      </c>
      <c r="E334" s="396">
        <f>IF('9-WholesaleRevenues Corrected'!I59="N/A","N/A",'9-WholesaleRevenues Corrected'!I59)</f>
        <v>917.09999999999991</v>
      </c>
      <c r="F334" s="406">
        <f t="shared" si="178"/>
        <v>961.45450416938843</v>
      </c>
      <c r="G334" s="406">
        <f t="shared" si="181"/>
        <v>2930.8578128880799</v>
      </c>
      <c r="H334" s="432">
        <f>$H$84</f>
        <v>3.2500000000000001E-2</v>
      </c>
      <c r="I334" s="13">
        <f>IF(E334="N/A",0,ROUND((F334/2+G333+J331)*H334/12,2))</f>
        <v>6.66</v>
      </c>
      <c r="J334" s="13">
        <f t="shared" si="182"/>
        <v>22.65</v>
      </c>
      <c r="K334" s="13">
        <f t="shared" si="179"/>
        <v>2953.51</v>
      </c>
      <c r="L334" s="4">
        <f t="shared" si="177"/>
        <v>1013</v>
      </c>
      <c r="O334" s="651">
        <f>G334-'3-ATA Original'!G334</f>
        <v>-54.207386762248461</v>
      </c>
      <c r="P334" s="651">
        <f>J334-'3-ATA Original'!J334</f>
        <v>-0.48000000000000043</v>
      </c>
      <c r="Q334" s="651">
        <f>P334+O334</f>
        <v>-54.687386762248465</v>
      </c>
    </row>
    <row r="335" spans="1:17">
      <c r="A335" s="4">
        <f t="shared" si="180"/>
        <v>1014</v>
      </c>
      <c r="B335" t="s">
        <v>522</v>
      </c>
      <c r="C335" s="21">
        <f>C334+1</f>
        <v>2022</v>
      </c>
      <c r="D335" s="81" t="s">
        <v>521</v>
      </c>
      <c r="E335" s="81" t="s">
        <v>521</v>
      </c>
      <c r="F335" s="406">
        <v>0</v>
      </c>
      <c r="G335" s="406">
        <f>F335+G334</f>
        <v>2930.8578128880799</v>
      </c>
      <c r="H335" s="432">
        <f>$H$85</f>
        <v>3.2500000000000001E-2</v>
      </c>
      <c r="I335" s="13">
        <f t="shared" ref="I335" si="183">ROUND((F335/2+G334+J334)*H335/12,2)</f>
        <v>8</v>
      </c>
      <c r="J335" s="13">
        <f t="shared" si="182"/>
        <v>30.65</v>
      </c>
      <c r="K335" s="13">
        <f t="shared" si="179"/>
        <v>2961.51</v>
      </c>
      <c r="L335" s="4">
        <f t="shared" si="177"/>
        <v>1014</v>
      </c>
    </row>
    <row r="336" spans="1:17">
      <c r="A336" s="4">
        <f t="shared" si="180"/>
        <v>1015</v>
      </c>
      <c r="B336" t="s">
        <v>523</v>
      </c>
      <c r="C336" s="21">
        <f>C335</f>
        <v>2022</v>
      </c>
      <c r="D336" s="81" t="s">
        <v>521</v>
      </c>
      <c r="E336" s="81" t="s">
        <v>521</v>
      </c>
      <c r="F336" s="406">
        <v>0</v>
      </c>
      <c r="G336" s="406">
        <f t="shared" ref="G336:G346" si="184">F336+G335</f>
        <v>2930.8578128880799</v>
      </c>
      <c r="H336" s="432">
        <f>$H$86</f>
        <v>3.2500000000000001E-2</v>
      </c>
      <c r="I336" s="13">
        <f t="shared" ref="I336" si="185">ROUND((F336/2+G335+J334)*H336/12,2)</f>
        <v>8</v>
      </c>
      <c r="J336" s="13">
        <f t="shared" si="182"/>
        <v>38.65</v>
      </c>
      <c r="K336" s="13">
        <f t="shared" si="179"/>
        <v>2969.51</v>
      </c>
      <c r="L336" s="4">
        <f t="shared" si="177"/>
        <v>1015</v>
      </c>
    </row>
    <row r="337" spans="1:17">
      <c r="A337" s="4">
        <f t="shared" si="180"/>
        <v>1016</v>
      </c>
      <c r="B337" t="s">
        <v>524</v>
      </c>
      <c r="C337" s="21">
        <f t="shared" ref="C337:C346" si="186">C336</f>
        <v>2022</v>
      </c>
      <c r="D337" s="81" t="s">
        <v>521</v>
      </c>
      <c r="E337" s="81" t="s">
        <v>521</v>
      </c>
      <c r="F337" s="406">
        <v>0</v>
      </c>
      <c r="G337" s="406">
        <f t="shared" si="184"/>
        <v>2930.8578128880799</v>
      </c>
      <c r="H337" s="432">
        <f>$H$87</f>
        <v>3.2500000000000001E-2</v>
      </c>
      <c r="I337" s="13">
        <f t="shared" ref="I337" si="187">ROUND((F337/2+G336+J334)*H337/12,2)</f>
        <v>8</v>
      </c>
      <c r="J337" s="13">
        <f t="shared" si="182"/>
        <v>46.65</v>
      </c>
      <c r="K337" s="13">
        <f t="shared" si="179"/>
        <v>2977.51</v>
      </c>
      <c r="L337" s="4">
        <f t="shared" si="177"/>
        <v>1016</v>
      </c>
    </row>
    <row r="338" spans="1:17">
      <c r="A338" s="4">
        <f t="shared" si="180"/>
        <v>1017</v>
      </c>
      <c r="B338" t="s">
        <v>525</v>
      </c>
      <c r="C338" s="21">
        <f t="shared" si="186"/>
        <v>2022</v>
      </c>
      <c r="D338" s="81" t="s">
        <v>521</v>
      </c>
      <c r="E338" s="81" t="s">
        <v>521</v>
      </c>
      <c r="F338" s="406">
        <v>0</v>
      </c>
      <c r="G338" s="406">
        <f t="shared" si="184"/>
        <v>2930.8578128880799</v>
      </c>
      <c r="H338" s="432">
        <f>$H$88</f>
        <v>3.2500000000000001E-2</v>
      </c>
      <c r="I338" s="13">
        <f t="shared" ref="I338" si="188">ROUND((F338/2+G337+J337)*H338/12,2)</f>
        <v>8.06</v>
      </c>
      <c r="J338" s="13">
        <f t="shared" si="182"/>
        <v>54.71</v>
      </c>
      <c r="K338" s="13">
        <f t="shared" si="179"/>
        <v>2985.57</v>
      </c>
      <c r="L338" s="4">
        <f t="shared" si="177"/>
        <v>1017</v>
      </c>
    </row>
    <row r="339" spans="1:17">
      <c r="A339" s="4">
        <f t="shared" si="180"/>
        <v>1018</v>
      </c>
      <c r="B339" t="s">
        <v>526</v>
      </c>
      <c r="C339" s="21">
        <f t="shared" si="186"/>
        <v>2022</v>
      </c>
      <c r="D339" s="81" t="s">
        <v>521</v>
      </c>
      <c r="E339" s="81" t="s">
        <v>521</v>
      </c>
      <c r="F339" s="406">
        <v>0</v>
      </c>
      <c r="G339" s="406">
        <f t="shared" si="184"/>
        <v>2930.8578128880799</v>
      </c>
      <c r="H339" s="432">
        <f>$H$89</f>
        <v>3.2500000000000001E-2</v>
      </c>
      <c r="I339" s="13">
        <f t="shared" ref="I339" si="189">ROUND((F339/2+G338+J337)*H339/12,2)</f>
        <v>8.06</v>
      </c>
      <c r="J339" s="13">
        <f t="shared" si="182"/>
        <v>62.77</v>
      </c>
      <c r="K339" s="13">
        <f t="shared" si="179"/>
        <v>2993.63</v>
      </c>
      <c r="L339" s="4">
        <f t="shared" si="177"/>
        <v>1018</v>
      </c>
    </row>
    <row r="340" spans="1:17">
      <c r="A340" s="4">
        <f t="shared" si="180"/>
        <v>1019</v>
      </c>
      <c r="B340" t="s">
        <v>527</v>
      </c>
      <c r="C340" s="21">
        <f t="shared" si="186"/>
        <v>2022</v>
      </c>
      <c r="D340" s="81" t="s">
        <v>521</v>
      </c>
      <c r="E340" s="81" t="s">
        <v>521</v>
      </c>
      <c r="F340" s="406">
        <v>0</v>
      </c>
      <c r="G340" s="406">
        <f t="shared" si="184"/>
        <v>2930.8578128880799</v>
      </c>
      <c r="H340" s="432">
        <f>$H$90</f>
        <v>3.2500000000000001E-2</v>
      </c>
      <c r="I340" s="13">
        <f t="shared" ref="I340" si="190">ROUND((F340/2+G339+J337)*H340/12,2)</f>
        <v>8.06</v>
      </c>
      <c r="J340" s="13">
        <f t="shared" si="182"/>
        <v>70.83</v>
      </c>
      <c r="K340" s="13">
        <f t="shared" si="179"/>
        <v>3001.69</v>
      </c>
      <c r="L340" s="4">
        <f t="shared" si="177"/>
        <v>1019</v>
      </c>
    </row>
    <row r="341" spans="1:17">
      <c r="A341" s="4">
        <f t="shared" si="180"/>
        <v>1020</v>
      </c>
      <c r="B341" t="s">
        <v>528</v>
      </c>
      <c r="C341" s="21">
        <f t="shared" si="186"/>
        <v>2022</v>
      </c>
      <c r="D341" s="81" t="s">
        <v>521</v>
      </c>
      <c r="E341" s="81" t="s">
        <v>521</v>
      </c>
      <c r="F341" s="406">
        <v>0</v>
      </c>
      <c r="G341" s="406">
        <f t="shared" si="184"/>
        <v>2930.8578128880799</v>
      </c>
      <c r="H341" s="432">
        <f>$H$91</f>
        <v>3.5999999999999997E-2</v>
      </c>
      <c r="I341" s="13">
        <f t="shared" ref="I341" si="191">ROUND((F341/2+G340+J340)*H341/12,2)</f>
        <v>9.01</v>
      </c>
      <c r="J341" s="13">
        <f t="shared" si="182"/>
        <v>79.84</v>
      </c>
      <c r="K341" s="13">
        <f t="shared" si="179"/>
        <v>3010.7</v>
      </c>
      <c r="L341" s="4">
        <f t="shared" si="177"/>
        <v>1020</v>
      </c>
    </row>
    <row r="342" spans="1:17">
      <c r="A342" s="4">
        <f t="shared" si="180"/>
        <v>1021</v>
      </c>
      <c r="B342" t="s">
        <v>529</v>
      </c>
      <c r="C342" s="21">
        <f t="shared" si="186"/>
        <v>2022</v>
      </c>
      <c r="D342" s="81" t="s">
        <v>521</v>
      </c>
      <c r="E342" s="81" t="s">
        <v>521</v>
      </c>
      <c r="F342" s="406">
        <v>0</v>
      </c>
      <c r="G342" s="406">
        <f t="shared" si="184"/>
        <v>2930.8578128880799</v>
      </c>
      <c r="H342" s="432">
        <f>$H$92</f>
        <v>3.5999999999999997E-2</v>
      </c>
      <c r="I342" s="13">
        <f t="shared" ref="I342" si="192">ROUND((F342/2+G341+J340)*H342/12,2)</f>
        <v>9.01</v>
      </c>
      <c r="J342" s="13">
        <f t="shared" si="182"/>
        <v>88.850000000000009</v>
      </c>
      <c r="K342" s="13">
        <f t="shared" si="179"/>
        <v>3019.71</v>
      </c>
      <c r="L342" s="4">
        <f t="shared" si="177"/>
        <v>1021</v>
      </c>
    </row>
    <row r="343" spans="1:17">
      <c r="A343" s="4">
        <f t="shared" si="180"/>
        <v>1022</v>
      </c>
      <c r="B343" t="s">
        <v>530</v>
      </c>
      <c r="C343" s="21">
        <f t="shared" si="186"/>
        <v>2022</v>
      </c>
      <c r="D343" s="81" t="s">
        <v>521</v>
      </c>
      <c r="E343" s="81" t="s">
        <v>521</v>
      </c>
      <c r="F343" s="406">
        <v>0</v>
      </c>
      <c r="G343" s="406">
        <f t="shared" si="184"/>
        <v>2930.8578128880799</v>
      </c>
      <c r="H343" s="432">
        <f>$H$93</f>
        <v>3.5999999999999997E-2</v>
      </c>
      <c r="I343" s="13">
        <f t="shared" ref="I343" si="193">ROUND((F343/2+G342+J340)*H343/12,2)</f>
        <v>9.01</v>
      </c>
      <c r="J343" s="13">
        <f t="shared" si="182"/>
        <v>97.860000000000014</v>
      </c>
      <c r="K343" s="13">
        <f t="shared" si="179"/>
        <v>3028.72</v>
      </c>
      <c r="L343" s="4">
        <f t="shared" si="177"/>
        <v>1022</v>
      </c>
    </row>
    <row r="344" spans="1:17">
      <c r="A344" s="4">
        <f t="shared" si="180"/>
        <v>1023</v>
      </c>
      <c r="B344" t="s">
        <v>531</v>
      </c>
      <c r="C344" s="21">
        <f t="shared" si="186"/>
        <v>2022</v>
      </c>
      <c r="D344" s="81" t="s">
        <v>521</v>
      </c>
      <c r="E344" s="81" t="s">
        <v>521</v>
      </c>
      <c r="F344" s="406">
        <v>0</v>
      </c>
      <c r="G344" s="406">
        <f t="shared" si="184"/>
        <v>2930.8578128880799</v>
      </c>
      <c r="H344" s="432">
        <f>$H$94</f>
        <v>4.9099999999999998E-2</v>
      </c>
      <c r="I344" s="13">
        <f t="shared" ref="I344" si="194">ROUND((F344/2+G343+J343)*H344/12,2)</f>
        <v>12.39</v>
      </c>
      <c r="J344" s="13">
        <f t="shared" si="182"/>
        <v>110.25000000000001</v>
      </c>
      <c r="K344" s="13">
        <f t="shared" si="179"/>
        <v>3041.11</v>
      </c>
      <c r="L344" s="4">
        <f t="shared" si="177"/>
        <v>1023</v>
      </c>
    </row>
    <row r="345" spans="1:17">
      <c r="A345" s="4">
        <f t="shared" si="180"/>
        <v>1024</v>
      </c>
      <c r="B345" t="s">
        <v>532</v>
      </c>
      <c r="C345" s="21">
        <f t="shared" si="186"/>
        <v>2022</v>
      </c>
      <c r="D345" s="81" t="s">
        <v>521</v>
      </c>
      <c r="E345" s="81" t="s">
        <v>521</v>
      </c>
      <c r="F345" s="406">
        <v>0</v>
      </c>
      <c r="G345" s="406">
        <f t="shared" si="184"/>
        <v>2930.8578128880799</v>
      </c>
      <c r="H345" s="432">
        <f>$H$95</f>
        <v>4.9099999999999998E-2</v>
      </c>
      <c r="I345" s="13">
        <f t="shared" ref="I345" si="195">ROUND((F345/2+G344+J343)*H345/12,2)</f>
        <v>12.39</v>
      </c>
      <c r="J345" s="13">
        <f t="shared" si="182"/>
        <v>122.64000000000001</v>
      </c>
      <c r="K345" s="13">
        <f t="shared" si="179"/>
        <v>3053.5</v>
      </c>
      <c r="L345" s="4">
        <f t="shared" si="177"/>
        <v>1024</v>
      </c>
    </row>
    <row r="346" spans="1:17">
      <c r="A346" s="4">
        <f t="shared" si="180"/>
        <v>1025</v>
      </c>
      <c r="B346" t="s">
        <v>520</v>
      </c>
      <c r="C346" s="21">
        <f t="shared" si="186"/>
        <v>2022</v>
      </c>
      <c r="D346" s="81" t="s">
        <v>521</v>
      </c>
      <c r="E346" s="81" t="s">
        <v>521</v>
      </c>
      <c r="F346" s="652">
        <v>0</v>
      </c>
      <c r="G346" s="652">
        <f t="shared" si="184"/>
        <v>2930.8578128880799</v>
      </c>
      <c r="H346" s="432">
        <f>$H$96</f>
        <v>4.9099999999999998E-2</v>
      </c>
      <c r="I346" s="23">
        <f t="shared" ref="I346" si="196">ROUND((F346/2+G345+J343)*H346/12,2)</f>
        <v>12.39</v>
      </c>
      <c r="J346" s="23">
        <f t="shared" si="182"/>
        <v>135.03000000000003</v>
      </c>
      <c r="K346" s="23">
        <f t="shared" si="179"/>
        <v>3065.89</v>
      </c>
      <c r="L346" s="4">
        <f t="shared" si="177"/>
        <v>1025</v>
      </c>
      <c r="O346" s="24"/>
      <c r="P346" s="24"/>
      <c r="Q346" s="24"/>
    </row>
    <row r="347" spans="1:17">
      <c r="A347" s="4"/>
      <c r="C347" s="21"/>
      <c r="D347" s="81"/>
      <c r="E347" s="81"/>
      <c r="F347" s="406"/>
      <c r="G347" s="13"/>
      <c r="H347" s="13"/>
      <c r="I347" s="13"/>
      <c r="J347" s="4"/>
    </row>
    <row r="348" spans="1:17">
      <c r="A348" s="470" t="s">
        <v>117</v>
      </c>
      <c r="B348" s="358" t="s">
        <v>117</v>
      </c>
      <c r="C348" s="21"/>
      <c r="D348" s="81"/>
      <c r="E348" s="81"/>
      <c r="F348" s="406"/>
      <c r="G348" s="13"/>
      <c r="H348" s="13"/>
      <c r="I348" s="13"/>
      <c r="J348" s="4"/>
    </row>
    <row r="350" spans="1:17" ht="15" customHeight="1">
      <c r="B350" t="s">
        <v>542</v>
      </c>
    </row>
    <row r="351" spans="1:17" ht="15" customHeight="1">
      <c r="B351" t="s">
        <v>543</v>
      </c>
    </row>
    <row r="352" spans="1:17">
      <c r="B352" t="s">
        <v>544</v>
      </c>
    </row>
    <row r="353" spans="2:11">
      <c r="B353" t="s">
        <v>545</v>
      </c>
    </row>
    <row r="354" spans="2:11" ht="15" customHeight="1">
      <c r="B354" s="737" t="s">
        <v>546</v>
      </c>
      <c r="C354" s="737"/>
      <c r="D354" s="737"/>
      <c r="E354" s="737"/>
      <c r="F354" s="737"/>
      <c r="G354" s="737"/>
      <c r="H354" s="737"/>
      <c r="I354" s="737"/>
      <c r="J354" s="737"/>
      <c r="K354" s="737"/>
    </row>
    <row r="355" spans="2:11">
      <c r="B355" s="737"/>
      <c r="C355" s="737"/>
      <c r="D355" s="737"/>
      <c r="E355" s="737"/>
      <c r="F355" s="737"/>
      <c r="G355" s="737"/>
      <c r="H355" s="737"/>
      <c r="I355" s="737"/>
      <c r="J355" s="737"/>
      <c r="K355" s="737"/>
    </row>
    <row r="356" spans="2:11" ht="15" customHeight="1">
      <c r="B356" t="s">
        <v>547</v>
      </c>
    </row>
    <row r="357" spans="2:11" s="86" customFormat="1" ht="15" customHeight="1">
      <c r="B357" s="740" t="s">
        <v>548</v>
      </c>
      <c r="C357" s="740"/>
      <c r="D357" s="740"/>
      <c r="E357" s="740"/>
      <c r="F357" s="740"/>
      <c r="G357" s="740"/>
      <c r="H357" s="740"/>
      <c r="I357" s="740"/>
      <c r="J357" s="740"/>
    </row>
    <row r="358" spans="2:11" s="86" customFormat="1">
      <c r="B358" s="739" t="s">
        <v>549</v>
      </c>
      <c r="C358" s="739"/>
      <c r="D358" s="739"/>
      <c r="E358" s="739"/>
      <c r="F358" s="739"/>
      <c r="G358" s="739"/>
      <c r="H358" s="739"/>
      <c r="I358" s="739"/>
      <c r="J358" s="739"/>
    </row>
    <row r="359" spans="2:11" s="86" customFormat="1">
      <c r="B359" s="739"/>
      <c r="C359" s="739"/>
      <c r="D359" s="739"/>
      <c r="E359" s="739"/>
      <c r="F359" s="739"/>
      <c r="G359" s="739"/>
      <c r="H359" s="739"/>
      <c r="I359" s="739"/>
      <c r="J359" s="739"/>
    </row>
    <row r="360" spans="2:11">
      <c r="B360" s="736" t="s">
        <v>550</v>
      </c>
      <c r="C360" s="736"/>
      <c r="D360" s="736"/>
      <c r="E360" s="736"/>
      <c r="F360" s="736"/>
      <c r="G360" s="736"/>
      <c r="H360" s="736"/>
      <c r="I360" s="736"/>
      <c r="J360" s="736"/>
    </row>
    <row r="361" spans="2:11">
      <c r="B361" s="736"/>
      <c r="C361" s="736"/>
      <c r="D361" s="736"/>
      <c r="E361" s="736"/>
      <c r="F361" s="736"/>
      <c r="G361" s="736"/>
      <c r="H361" s="736"/>
      <c r="I361" s="736"/>
      <c r="J361" s="736"/>
    </row>
  </sheetData>
  <mergeCells count="6">
    <mergeCell ref="B360:J361"/>
    <mergeCell ref="B55:K56"/>
    <mergeCell ref="B354:K355"/>
    <mergeCell ref="B57:I57"/>
    <mergeCell ref="B358:J359"/>
    <mergeCell ref="B357:J357"/>
  </mergeCells>
  <phoneticPr fontId="104" type="noConversion"/>
  <printOptions horizontalCentered="1"/>
  <pageMargins left="1" right="1" top="1" bottom="1" header="0.5" footer="0.5"/>
  <pageSetup scale="10" orientation="landscape" r:id="rId1"/>
  <headerFooter>
    <oddHeader>&amp;RDocket No. ER20-2878-000, et al.- Annual Update RY2024
&amp;F</oddHeader>
  </headerFooter>
  <rowBreaks count="7" manualBreakCount="7">
    <brk id="35" max="11" man="1"/>
    <brk id="65" max="11" man="1"/>
    <brk id="126" max="11" man="1"/>
    <brk id="188" max="11" man="1"/>
    <brk id="220" max="11" man="1"/>
    <brk id="252" max="11" man="1"/>
    <brk id="314" max="11" man="1"/>
  </rowBreaks>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5FEF8-558E-4679-B4FF-9F95358C1F13}">
  <sheetPr>
    <tabColor rgb="FFFF0000"/>
    <pageSetUpPr fitToPage="1"/>
  </sheetPr>
  <dimension ref="A1:L361"/>
  <sheetViews>
    <sheetView view="pageBreakPreview" topLeftCell="A236" zoomScale="55" zoomScaleNormal="100" zoomScaleSheetLayoutView="55" zoomScalePageLayoutView="70" workbookViewId="0">
      <selection activeCell="W98" sqref="W98"/>
    </sheetView>
  </sheetViews>
  <sheetFormatPr defaultRowHeight="14.5"/>
  <cols>
    <col min="2" max="2" width="38.1796875" customWidth="1"/>
    <col min="3" max="3" width="20.26953125" customWidth="1"/>
    <col min="4" max="4" width="23.1796875" customWidth="1"/>
    <col min="5" max="5" width="17.1796875" customWidth="1"/>
    <col min="6" max="6" width="18" customWidth="1"/>
    <col min="7" max="7" width="18.453125" customWidth="1"/>
    <col min="8" max="8" width="14.54296875" customWidth="1"/>
    <col min="9" max="9" width="11.81640625" customWidth="1"/>
    <col min="10" max="10" width="23.81640625" customWidth="1"/>
    <col min="11" max="11" width="20.1796875" customWidth="1"/>
  </cols>
  <sheetData>
    <row r="1" spans="1:12">
      <c r="B1" s="2" t="s">
        <v>13</v>
      </c>
      <c r="K1" s="6" t="s">
        <v>384</v>
      </c>
    </row>
    <row r="2" spans="1:12">
      <c r="B2" s="35" t="s">
        <v>120</v>
      </c>
    </row>
    <row r="3" spans="1:12">
      <c r="B3" s="2"/>
    </row>
    <row r="4" spans="1:12">
      <c r="B4" s="41" t="s">
        <v>423</v>
      </c>
      <c r="C4" s="41"/>
      <c r="D4" s="41"/>
      <c r="E4" s="41"/>
      <c r="F4" s="41"/>
      <c r="G4" s="41"/>
      <c r="H4" s="41"/>
      <c r="I4" s="41"/>
      <c r="J4" s="41"/>
      <c r="K4" s="41"/>
    </row>
    <row r="5" spans="1:12">
      <c r="B5" s="5" t="s">
        <v>424</v>
      </c>
      <c r="C5" s="5"/>
      <c r="D5" s="5"/>
      <c r="E5" s="5"/>
      <c r="F5" s="5"/>
      <c r="G5" s="5"/>
      <c r="H5" s="5"/>
      <c r="I5" s="5"/>
      <c r="J5" s="5"/>
      <c r="K5" s="5"/>
    </row>
    <row r="6" spans="1:12">
      <c r="A6" s="3" t="s">
        <v>90</v>
      </c>
      <c r="L6" s="3" t="s">
        <v>90</v>
      </c>
    </row>
    <row r="7" spans="1:12" ht="29">
      <c r="A7" s="4">
        <v>100</v>
      </c>
      <c r="B7" s="295"/>
      <c r="C7" s="398" t="s">
        <v>425</v>
      </c>
      <c r="D7" s="398" t="s">
        <v>426</v>
      </c>
      <c r="E7" s="398" t="s">
        <v>427</v>
      </c>
      <c r="F7" s="398" t="s">
        <v>428</v>
      </c>
      <c r="G7" s="398" t="s">
        <v>429</v>
      </c>
      <c r="H7" s="398" t="s">
        <v>430</v>
      </c>
      <c r="I7" s="399" t="s">
        <v>117</v>
      </c>
      <c r="J7" s="3" t="s">
        <v>126</v>
      </c>
      <c r="L7" s="4">
        <v>100</v>
      </c>
    </row>
    <row r="8" spans="1:12">
      <c r="A8" s="4">
        <v>101</v>
      </c>
      <c r="B8" s="6" t="s">
        <v>431</v>
      </c>
      <c r="C8" s="376">
        <v>5.0557938413394532E-3</v>
      </c>
      <c r="D8" s="376">
        <v>6.21401234191422E-5</v>
      </c>
      <c r="E8" s="376">
        <v>1.9127423380396348E-4</v>
      </c>
      <c r="F8" s="376">
        <v>4.3411099644308858E-5</v>
      </c>
      <c r="G8" s="376">
        <v>6.947094035506491E-3</v>
      </c>
      <c r="H8" s="376">
        <v>4.217890685964507E-6</v>
      </c>
      <c r="I8" s="376">
        <v>0</v>
      </c>
      <c r="J8" t="s">
        <v>432</v>
      </c>
      <c r="L8" s="4">
        <v>101</v>
      </c>
    </row>
    <row r="9" spans="1:12">
      <c r="A9" s="4"/>
      <c r="B9" s="2"/>
      <c r="L9" s="4"/>
    </row>
    <row r="10" spans="1:12" ht="29">
      <c r="A10" s="4">
        <v>102</v>
      </c>
      <c r="B10" s="362"/>
      <c r="C10" s="398" t="s">
        <v>425</v>
      </c>
      <c r="D10" s="398" t="s">
        <v>426</v>
      </c>
      <c r="E10" s="398" t="s">
        <v>429</v>
      </c>
      <c r="F10" s="129" t="s">
        <v>126</v>
      </c>
      <c r="L10" s="4"/>
    </row>
    <row r="11" spans="1:12">
      <c r="A11" s="4">
        <v>103</v>
      </c>
      <c r="B11" s="6" t="s">
        <v>433</v>
      </c>
      <c r="C11" s="376">
        <v>2.1303495221553716E-3</v>
      </c>
      <c r="D11" s="376">
        <v>2.6895070733283996E-5</v>
      </c>
      <c r="E11" s="376">
        <v>1.6305419124263789E-3</v>
      </c>
      <c r="F11" t="s">
        <v>434</v>
      </c>
      <c r="L11" s="4">
        <v>103</v>
      </c>
    </row>
    <row r="12" spans="1:12">
      <c r="A12" s="4"/>
      <c r="L12" s="4"/>
    </row>
    <row r="13" spans="1:12">
      <c r="A13" s="4"/>
      <c r="B13" s="41" t="s">
        <v>435</v>
      </c>
      <c r="C13" s="41"/>
      <c r="D13" s="41"/>
      <c r="E13" s="41"/>
      <c r="F13" s="41"/>
      <c r="G13" s="41"/>
      <c r="H13" s="41"/>
      <c r="I13" s="41"/>
      <c r="J13" s="41"/>
      <c r="K13" s="41"/>
      <c r="L13" s="4"/>
    </row>
    <row r="14" spans="1:12">
      <c r="A14" s="4"/>
      <c r="B14" s="5" t="s">
        <v>436</v>
      </c>
      <c r="C14" s="5"/>
      <c r="D14" s="5"/>
      <c r="E14" s="5"/>
      <c r="F14" s="5"/>
      <c r="G14" s="5"/>
      <c r="H14" s="5"/>
      <c r="I14" s="5"/>
      <c r="J14" s="5"/>
      <c r="K14" s="5"/>
      <c r="L14" s="4"/>
    </row>
    <row r="15" spans="1:12">
      <c r="A15" s="4"/>
      <c r="B15" s="5"/>
      <c r="C15" s="5"/>
      <c r="D15" s="5"/>
      <c r="E15" s="5"/>
      <c r="F15" s="5"/>
      <c r="G15" s="5"/>
      <c r="H15" s="5"/>
      <c r="I15" s="5"/>
      <c r="J15" s="5"/>
      <c r="K15" s="5"/>
      <c r="L15" s="4"/>
    </row>
    <row r="16" spans="1:12" ht="29">
      <c r="A16" s="3" t="s">
        <v>90</v>
      </c>
      <c r="C16" s="110" t="s">
        <v>437</v>
      </c>
      <c r="D16" s="3" t="s">
        <v>126</v>
      </c>
      <c r="L16" s="3" t="s">
        <v>90</v>
      </c>
    </row>
    <row r="17" spans="1:12">
      <c r="A17" s="4">
        <v>200</v>
      </c>
      <c r="C17" s="477">
        <v>4240600152.995832</v>
      </c>
      <c r="D17" s="21" t="s">
        <v>438</v>
      </c>
      <c r="L17" s="4">
        <v>200</v>
      </c>
    </row>
    <row r="18" spans="1:12">
      <c r="A18" s="4"/>
      <c r="C18" s="477"/>
      <c r="D18" s="21"/>
      <c r="L18" s="4"/>
    </row>
    <row r="19" spans="1:12" s="86" customFormat="1" ht="29">
      <c r="A19" s="91"/>
      <c r="B19" s="8"/>
      <c r="C19" s="138" t="s">
        <v>439</v>
      </c>
      <c r="D19" s="80" t="s">
        <v>126</v>
      </c>
      <c r="L19" s="527"/>
    </row>
    <row r="20" spans="1:12" s="86" customFormat="1">
      <c r="A20" s="91" t="s">
        <v>440</v>
      </c>
      <c r="B20" s="8"/>
      <c r="C20" s="561">
        <v>-3500000</v>
      </c>
      <c r="D20" s="18" t="s">
        <v>441</v>
      </c>
      <c r="L20" s="91" t="s">
        <v>440</v>
      </c>
    </row>
    <row r="21" spans="1:12">
      <c r="A21" s="4"/>
      <c r="C21" s="24"/>
      <c r="L21" s="4"/>
    </row>
    <row r="22" spans="1:12" ht="29">
      <c r="A22" s="4">
        <v>201</v>
      </c>
      <c r="B22" s="295"/>
      <c r="C22" s="290" t="s">
        <v>425</v>
      </c>
      <c r="D22" s="290" t="s">
        <v>426</v>
      </c>
      <c r="E22" s="290" t="s">
        <v>427</v>
      </c>
      <c r="F22" s="290" t="s">
        <v>428</v>
      </c>
      <c r="G22" s="290" t="s">
        <v>429</v>
      </c>
      <c r="H22" s="290" t="s">
        <v>430</v>
      </c>
      <c r="I22" s="398" t="s">
        <v>117</v>
      </c>
      <c r="J22" s="3" t="s">
        <v>126</v>
      </c>
      <c r="L22" s="4">
        <v>201</v>
      </c>
    </row>
    <row r="23" spans="1:12">
      <c r="A23" s="4">
        <v>202</v>
      </c>
      <c r="B23" s="6" t="s">
        <v>442</v>
      </c>
      <c r="C23" s="29">
        <v>21439600.137099471</v>
      </c>
      <c r="D23" s="29">
        <v>263511.41687839432</v>
      </c>
      <c r="E23" s="29">
        <v>811117.54513324809</v>
      </c>
      <c r="F23" s="29">
        <v>184089.11579337344</v>
      </c>
      <c r="G23" s="29">
        <v>29459848.029845256</v>
      </c>
      <c r="H23" s="29">
        <v>17886.387888220783</v>
      </c>
      <c r="I23" s="29">
        <v>0</v>
      </c>
      <c r="J23" t="s">
        <v>443</v>
      </c>
      <c r="L23" s="4">
        <v>202</v>
      </c>
    </row>
    <row r="24" spans="1:12" s="86" customFormat="1">
      <c r="A24" s="91" t="s">
        <v>444</v>
      </c>
      <c r="B24" s="90" t="s">
        <v>445</v>
      </c>
      <c r="C24" s="562">
        <v>-1438180.8644701662</v>
      </c>
      <c r="D24" s="562">
        <v>-17676.499323704207</v>
      </c>
      <c r="E24" s="562">
        <v>-54410.237354569996</v>
      </c>
      <c r="F24" s="562">
        <v>-12348.805108222525</v>
      </c>
      <c r="G24" s="562">
        <v>-1976183.7644260535</v>
      </c>
      <c r="H24" s="562">
        <v>-1199.8293172836297</v>
      </c>
      <c r="I24" s="562">
        <v>0</v>
      </c>
      <c r="J24" s="8" t="s">
        <v>446</v>
      </c>
      <c r="L24" s="4" t="s">
        <v>444</v>
      </c>
    </row>
    <row r="25" spans="1:12" ht="29">
      <c r="A25" s="4">
        <v>203</v>
      </c>
      <c r="B25" s="408" t="s">
        <v>447</v>
      </c>
      <c r="C25" s="360">
        <v>0</v>
      </c>
      <c r="D25" s="360">
        <v>0</v>
      </c>
      <c r="E25" s="360">
        <v>0</v>
      </c>
      <c r="F25" s="360">
        <v>0</v>
      </c>
      <c r="G25" s="360">
        <v>0</v>
      </c>
      <c r="H25" s="360">
        <v>0</v>
      </c>
      <c r="I25" s="360"/>
      <c r="J25" s="358"/>
      <c r="L25" s="4">
        <v>203</v>
      </c>
    </row>
    <row r="26" spans="1:12">
      <c r="A26" s="4">
        <v>204</v>
      </c>
      <c r="B26" s="6" t="s">
        <v>448</v>
      </c>
      <c r="C26" s="29">
        <v>20001419.272629306</v>
      </c>
      <c r="D26" s="29">
        <v>245834.9175546901</v>
      </c>
      <c r="E26" s="29">
        <v>756707.30777867814</v>
      </c>
      <c r="F26" s="29">
        <v>171740.31068515091</v>
      </c>
      <c r="G26" s="29">
        <v>27483664.265419204</v>
      </c>
      <c r="H26" s="29">
        <v>16686.558570937152</v>
      </c>
      <c r="I26" s="29">
        <v>0</v>
      </c>
      <c r="J26" s="8" t="s">
        <v>449</v>
      </c>
      <c r="L26" s="4">
        <v>204</v>
      </c>
    </row>
    <row r="27" spans="1:12">
      <c r="A27" s="4"/>
      <c r="B27" s="359"/>
      <c r="C27" s="29"/>
      <c r="D27" s="29"/>
      <c r="E27" s="29"/>
      <c r="F27" s="29"/>
      <c r="G27" s="29"/>
      <c r="H27" s="29"/>
      <c r="I27" s="29"/>
      <c r="L27" s="4"/>
    </row>
    <row r="28" spans="1:12" ht="29">
      <c r="A28" s="4"/>
      <c r="B28" s="357"/>
      <c r="C28" s="110" t="s">
        <v>450</v>
      </c>
      <c r="D28" s="3" t="s">
        <v>126</v>
      </c>
      <c r="E28" s="29"/>
      <c r="F28" s="29"/>
      <c r="G28" s="29"/>
      <c r="L28" s="4"/>
    </row>
    <row r="29" spans="1:12">
      <c r="A29" s="4">
        <v>205</v>
      </c>
      <c r="C29" s="24">
        <v>2560070088.8150949</v>
      </c>
      <c r="D29" t="s">
        <v>451</v>
      </c>
      <c r="L29" s="4">
        <v>205</v>
      </c>
    </row>
    <row r="30" spans="1:12">
      <c r="A30" s="4"/>
      <c r="C30" s="24"/>
      <c r="L30" s="4"/>
    </row>
    <row r="31" spans="1:12" ht="29">
      <c r="A31" s="4">
        <v>206</v>
      </c>
      <c r="B31" s="361"/>
      <c r="C31" s="397" t="s">
        <v>425</v>
      </c>
      <c r="D31" s="397" t="s">
        <v>426</v>
      </c>
      <c r="E31" s="397" t="s">
        <v>429</v>
      </c>
      <c r="F31" s="109" t="s">
        <v>126</v>
      </c>
      <c r="L31" s="4">
        <v>206</v>
      </c>
    </row>
    <row r="32" spans="1:12">
      <c r="A32" s="4">
        <v>207</v>
      </c>
      <c r="B32" s="6" t="s">
        <v>452</v>
      </c>
      <c r="C32" s="29">
        <v>5453844.0903914971</v>
      </c>
      <c r="D32" s="29">
        <v>68853.266120846616</v>
      </c>
      <c r="E32" s="29">
        <v>4174301.5785621349</v>
      </c>
      <c r="F32" t="s">
        <v>453</v>
      </c>
      <c r="L32" s="4">
        <v>207</v>
      </c>
    </row>
    <row r="33" spans="1:12" ht="29">
      <c r="A33" s="4">
        <v>208</v>
      </c>
      <c r="B33" s="408" t="s">
        <v>454</v>
      </c>
      <c r="C33" s="331">
        <v>0</v>
      </c>
      <c r="D33" s="331">
        <v>0</v>
      </c>
      <c r="E33" s="331">
        <v>0</v>
      </c>
      <c r="F33" s="358"/>
      <c r="L33" s="4">
        <v>208</v>
      </c>
    </row>
    <row r="34" spans="1:12">
      <c r="A34" s="4">
        <v>209</v>
      </c>
      <c r="B34" s="6" t="s">
        <v>455</v>
      </c>
      <c r="C34" s="29">
        <v>5453844.0903914971</v>
      </c>
      <c r="D34" s="29">
        <v>68853.266120846616</v>
      </c>
      <c r="E34" s="29">
        <v>4174301.5785621349</v>
      </c>
      <c r="F34" t="s">
        <v>316</v>
      </c>
      <c r="L34" s="4">
        <v>209</v>
      </c>
    </row>
    <row r="35" spans="1:12">
      <c r="A35" s="4"/>
      <c r="B35" s="357"/>
      <c r="L35" s="4"/>
    </row>
    <row r="36" spans="1:12">
      <c r="A36" s="4"/>
      <c r="B36" s="41" t="s">
        <v>456</v>
      </c>
      <c r="C36" s="41"/>
      <c r="D36" s="41"/>
      <c r="E36" s="41"/>
      <c r="F36" s="41"/>
      <c r="G36" s="41"/>
      <c r="H36" s="41"/>
      <c r="I36" s="41"/>
      <c r="J36" s="41"/>
      <c r="K36" s="41"/>
      <c r="L36" s="4"/>
    </row>
    <row r="37" spans="1:12">
      <c r="A37" s="4"/>
      <c r="B37" s="5" t="s">
        <v>457</v>
      </c>
      <c r="C37" s="5"/>
      <c r="D37" s="5"/>
      <c r="E37" s="5"/>
      <c r="F37" s="5"/>
      <c r="G37" s="5"/>
      <c r="H37" s="5"/>
      <c r="I37" s="5"/>
      <c r="J37" s="5"/>
      <c r="K37" s="5"/>
      <c r="L37" s="4"/>
    </row>
    <row r="38" spans="1:12">
      <c r="A38" s="3" t="s">
        <v>90</v>
      </c>
      <c r="L38" s="3" t="s">
        <v>90</v>
      </c>
    </row>
    <row r="39" spans="1:12" ht="29">
      <c r="A39" s="4">
        <v>300</v>
      </c>
      <c r="B39" s="129" t="s">
        <v>458</v>
      </c>
      <c r="C39" s="290" t="s">
        <v>425</v>
      </c>
      <c r="D39" s="290" t="s">
        <v>426</v>
      </c>
      <c r="E39" s="290" t="s">
        <v>427</v>
      </c>
      <c r="F39" s="290" t="s">
        <v>428</v>
      </c>
      <c r="G39" s="290" t="s">
        <v>429</v>
      </c>
      <c r="H39" s="290" t="s">
        <v>430</v>
      </c>
      <c r="I39" s="290" t="s">
        <v>117</v>
      </c>
      <c r="J39" s="110" t="s">
        <v>126</v>
      </c>
      <c r="L39" s="91">
        <v>300</v>
      </c>
    </row>
    <row r="40" spans="1:12">
      <c r="A40" s="4">
        <v>301</v>
      </c>
      <c r="B40" s="81" t="s">
        <v>448</v>
      </c>
      <c r="C40" s="29">
        <v>20001419.272629306</v>
      </c>
      <c r="D40" s="29">
        <v>245834.9175546901</v>
      </c>
      <c r="E40" s="29">
        <v>756707.30777867814</v>
      </c>
      <c r="F40" s="29">
        <v>171740.31068515091</v>
      </c>
      <c r="G40" s="29">
        <v>27483664.265419204</v>
      </c>
      <c r="H40" s="29">
        <v>16686.558570937152</v>
      </c>
      <c r="I40" s="29">
        <v>0</v>
      </c>
      <c r="J40" t="s">
        <v>459</v>
      </c>
      <c r="L40" s="91">
        <v>301</v>
      </c>
    </row>
    <row r="41" spans="1:12" s="86" customFormat="1">
      <c r="A41" s="91">
        <v>302</v>
      </c>
      <c r="B41" s="563" t="s">
        <v>460</v>
      </c>
      <c r="C41" s="535">
        <v>1570118.0102010905</v>
      </c>
      <c r="D41" s="535">
        <v>9968.0300519485354</v>
      </c>
      <c r="E41" s="535">
        <v>39641</v>
      </c>
      <c r="F41" s="535">
        <v>9287</v>
      </c>
      <c r="G41" s="535">
        <v>2081081.0312514673</v>
      </c>
      <c r="H41" s="535">
        <v>786</v>
      </c>
      <c r="I41" s="535">
        <v>0</v>
      </c>
      <c r="J41" s="8" t="s">
        <v>461</v>
      </c>
      <c r="L41" s="91">
        <v>302</v>
      </c>
    </row>
    <row r="42" spans="1:12">
      <c r="A42" s="4">
        <v>303</v>
      </c>
      <c r="B42" s="6" t="s">
        <v>462</v>
      </c>
      <c r="C42" s="543">
        <v>12.738799977249897</v>
      </c>
      <c r="D42" s="543">
        <v>24.662337119121613</v>
      </c>
      <c r="E42" s="543">
        <v>19.08900652805626</v>
      </c>
      <c r="F42" s="543">
        <v>18.492549874572081</v>
      </c>
      <c r="G42" s="543">
        <v>13.206436391807282</v>
      </c>
      <c r="H42" s="543">
        <v>21.229718283635052</v>
      </c>
      <c r="I42" s="543">
        <v>0</v>
      </c>
      <c r="J42" t="s">
        <v>463</v>
      </c>
      <c r="L42" s="91">
        <v>303</v>
      </c>
    </row>
    <row r="43" spans="1:12">
      <c r="A43" s="4"/>
      <c r="L43" s="91"/>
    </row>
    <row r="44" spans="1:12" ht="29">
      <c r="A44" s="4">
        <v>304</v>
      </c>
      <c r="B44" s="129" t="s">
        <v>464</v>
      </c>
      <c r="C44" s="290" t="s">
        <v>425</v>
      </c>
      <c r="D44" s="290" t="s">
        <v>426</v>
      </c>
      <c r="E44" s="290" t="s">
        <v>429</v>
      </c>
      <c r="F44" s="110" t="s">
        <v>126</v>
      </c>
      <c r="L44" s="91">
        <v>304</v>
      </c>
    </row>
    <row r="45" spans="1:12">
      <c r="A45" s="4">
        <v>305</v>
      </c>
      <c r="B45" s="81" t="s">
        <v>455</v>
      </c>
      <c r="C45" s="29">
        <v>5453844.0903914971</v>
      </c>
      <c r="D45" s="29">
        <v>68853.266120846616</v>
      </c>
      <c r="E45" s="29">
        <v>4174301.5785621349</v>
      </c>
      <c r="F45" t="s">
        <v>465</v>
      </c>
      <c r="L45" s="91">
        <v>305</v>
      </c>
    </row>
    <row r="46" spans="1:12">
      <c r="A46" s="4">
        <v>306</v>
      </c>
      <c r="B46" s="81" t="s">
        <v>466</v>
      </c>
      <c r="C46" s="29">
        <v>9759625.7206464298</v>
      </c>
      <c r="D46" s="29">
        <v>157987.67273637891</v>
      </c>
      <c r="E46" s="29">
        <v>8996804.2755970173</v>
      </c>
      <c r="F46" t="s">
        <v>467</v>
      </c>
      <c r="L46" s="91">
        <v>306</v>
      </c>
    </row>
    <row r="47" spans="1:12">
      <c r="A47" s="4">
        <v>307</v>
      </c>
      <c r="B47" s="81" t="s">
        <v>468</v>
      </c>
      <c r="C47" s="29">
        <v>15213469.811037928</v>
      </c>
      <c r="D47" s="29">
        <v>226840.93885722553</v>
      </c>
      <c r="E47" s="29">
        <v>13171105.854159152</v>
      </c>
      <c r="F47" s="29" t="s">
        <v>469</v>
      </c>
      <c r="L47" s="91">
        <v>307</v>
      </c>
    </row>
    <row r="48" spans="1:12" s="86" customFormat="1">
      <c r="A48" s="91">
        <v>308</v>
      </c>
      <c r="B48" s="563" t="s">
        <v>470</v>
      </c>
      <c r="C48" s="535">
        <v>722836.58998429461</v>
      </c>
      <c r="D48" s="535">
        <v>6044</v>
      </c>
      <c r="E48" s="535">
        <v>642744.12044000009</v>
      </c>
      <c r="F48" s="536" t="s">
        <v>471</v>
      </c>
      <c r="G48" s="8"/>
      <c r="L48" s="91">
        <v>308</v>
      </c>
    </row>
    <row r="49" spans="1:12">
      <c r="A49" s="4">
        <v>309</v>
      </c>
      <c r="B49" s="6" t="s">
        <v>472</v>
      </c>
      <c r="C49" s="29">
        <v>21.04690053303538</v>
      </c>
      <c r="D49" s="29">
        <v>37.531591472075696</v>
      </c>
      <c r="E49" s="29">
        <v>20.491989635226339</v>
      </c>
      <c r="F49" t="s">
        <v>473</v>
      </c>
      <c r="L49" s="4">
        <v>309</v>
      </c>
    </row>
    <row r="50" spans="1:12">
      <c r="A50" s="4"/>
      <c r="B50" s="6"/>
      <c r="C50" s="29"/>
      <c r="D50" s="29"/>
      <c r="E50" s="29"/>
      <c r="L50" s="4"/>
    </row>
    <row r="51" spans="1:12">
      <c r="A51" s="4"/>
      <c r="B51" s="6"/>
      <c r="C51" s="29"/>
      <c r="D51" s="29"/>
      <c r="E51" s="29"/>
      <c r="L51" s="4"/>
    </row>
    <row r="52" spans="1:12">
      <c r="A52" s="4"/>
      <c r="B52" s="6"/>
      <c r="C52" s="29"/>
      <c r="D52" s="29"/>
      <c r="E52" s="29"/>
      <c r="L52" s="4"/>
    </row>
    <row r="53" spans="1:12">
      <c r="L53" s="4"/>
    </row>
    <row r="54" spans="1:12">
      <c r="A54" s="2"/>
      <c r="B54" s="41" t="s">
        <v>474</v>
      </c>
      <c r="C54" s="41"/>
      <c r="D54" s="41"/>
      <c r="E54" s="41"/>
      <c r="F54" s="41"/>
      <c r="G54" s="41"/>
      <c r="H54" s="41"/>
      <c r="I54" s="41"/>
      <c r="J54" s="41"/>
      <c r="K54" s="41"/>
      <c r="L54" s="4"/>
    </row>
    <row r="55" spans="1:12">
      <c r="A55" s="2"/>
      <c r="B55" s="737" t="s">
        <v>475</v>
      </c>
      <c r="C55" s="737"/>
      <c r="D55" s="737"/>
      <c r="E55" s="737"/>
      <c r="F55" s="737"/>
      <c r="G55" s="737"/>
      <c r="H55" s="737"/>
      <c r="I55" s="737"/>
      <c r="J55" s="737"/>
      <c r="K55" s="737"/>
      <c r="L55" s="4"/>
    </row>
    <row r="56" spans="1:12">
      <c r="A56" s="2"/>
      <c r="B56" s="737"/>
      <c r="C56" s="737"/>
      <c r="D56" s="737"/>
      <c r="E56" s="737"/>
      <c r="F56" s="737"/>
      <c r="G56" s="737"/>
      <c r="H56" s="737"/>
      <c r="I56" s="737"/>
      <c r="J56" s="737"/>
      <c r="K56" s="737"/>
      <c r="L56" s="4"/>
    </row>
    <row r="57" spans="1:12">
      <c r="A57" s="3" t="s">
        <v>90</v>
      </c>
      <c r="B57" s="738" t="s">
        <v>476</v>
      </c>
      <c r="C57" s="738"/>
      <c r="D57" s="738"/>
      <c r="E57" s="738"/>
      <c r="F57" s="738"/>
      <c r="G57" s="738"/>
      <c r="H57" s="738"/>
      <c r="I57" s="738"/>
      <c r="L57" s="3" t="s">
        <v>90</v>
      </c>
    </row>
    <row r="58" spans="1:12" ht="29">
      <c r="A58" s="4">
        <v>400</v>
      </c>
      <c r="B58" s="409"/>
      <c r="C58" s="415" t="s">
        <v>425</v>
      </c>
      <c r="D58" s="415" t="s">
        <v>426</v>
      </c>
      <c r="E58" s="415" t="s">
        <v>427</v>
      </c>
      <c r="F58" s="415" t="s">
        <v>428</v>
      </c>
      <c r="G58" s="415" t="s">
        <v>429</v>
      </c>
      <c r="H58" s="415" t="s">
        <v>430</v>
      </c>
      <c r="I58" s="471" t="s">
        <v>117</v>
      </c>
      <c r="L58" s="4">
        <v>400</v>
      </c>
    </row>
    <row r="59" spans="1:12">
      <c r="A59" s="4">
        <v>401</v>
      </c>
      <c r="B59" s="410" t="s">
        <v>477</v>
      </c>
      <c r="C59" s="24">
        <v>533224.43999999994</v>
      </c>
      <c r="D59" s="24">
        <v>17771.55</v>
      </c>
      <c r="E59" s="24">
        <v>229305.31</v>
      </c>
      <c r="F59" s="24">
        <v>38651.65</v>
      </c>
      <c r="G59" s="24">
        <v>5009325.58</v>
      </c>
      <c r="H59" s="24">
        <v>3122.65</v>
      </c>
      <c r="I59" s="411"/>
      <c r="L59" s="4">
        <v>401</v>
      </c>
    </row>
    <row r="60" spans="1:12">
      <c r="A60" s="4">
        <v>402</v>
      </c>
      <c r="B60" s="412" t="s">
        <v>478</v>
      </c>
      <c r="C60" s="413" t="s">
        <v>479</v>
      </c>
      <c r="D60" s="413" t="s">
        <v>480</v>
      </c>
      <c r="E60" s="413" t="s">
        <v>481</v>
      </c>
      <c r="F60" s="413" t="s">
        <v>482</v>
      </c>
      <c r="G60" s="413" t="s">
        <v>483</v>
      </c>
      <c r="H60" s="413" t="s">
        <v>484</v>
      </c>
      <c r="I60" s="414"/>
      <c r="L60" s="4">
        <v>402</v>
      </c>
    </row>
    <row r="61" spans="1:12">
      <c r="A61" s="4"/>
      <c r="B61" s="6"/>
      <c r="L61" s="4"/>
    </row>
    <row r="62" spans="1:12" ht="29">
      <c r="A62" s="4">
        <v>403</v>
      </c>
      <c r="B62" s="409"/>
      <c r="C62" s="415" t="s">
        <v>425</v>
      </c>
      <c r="D62" s="415" t="s">
        <v>426</v>
      </c>
      <c r="E62" s="416" t="s">
        <v>429</v>
      </c>
      <c r="L62" s="4">
        <v>403</v>
      </c>
    </row>
    <row r="63" spans="1:12">
      <c r="A63" s="4">
        <v>404</v>
      </c>
      <c r="B63" s="410" t="s">
        <v>485</v>
      </c>
      <c r="C63" s="24">
        <v>3035268.41</v>
      </c>
      <c r="D63" s="24">
        <v>38214.83</v>
      </c>
      <c r="E63" s="475">
        <v>4130710.63</v>
      </c>
      <c r="L63" s="4">
        <v>404</v>
      </c>
    </row>
    <row r="64" spans="1:12">
      <c r="A64" s="4">
        <v>405</v>
      </c>
      <c r="B64" s="412" t="s">
        <v>478</v>
      </c>
      <c r="C64" s="413" t="s">
        <v>486</v>
      </c>
      <c r="D64" s="413" t="s">
        <v>487</v>
      </c>
      <c r="E64" s="476" t="s">
        <v>488</v>
      </c>
      <c r="L64" s="4">
        <v>405</v>
      </c>
    </row>
    <row r="65" spans="1:12">
      <c r="A65" s="3"/>
      <c r="B65" s="2"/>
    </row>
    <row r="66" spans="1:12">
      <c r="A66" s="3" t="s">
        <v>90</v>
      </c>
      <c r="B66" s="417" t="s">
        <v>489</v>
      </c>
      <c r="C66" s="418" t="s">
        <v>122</v>
      </c>
      <c r="D66" s="418" t="s">
        <v>123</v>
      </c>
      <c r="E66" s="418" t="s">
        <v>124</v>
      </c>
      <c r="F66" s="418" t="s">
        <v>125</v>
      </c>
      <c r="G66" s="418" t="s">
        <v>490</v>
      </c>
      <c r="H66" s="418" t="s">
        <v>491</v>
      </c>
      <c r="I66" s="418" t="s">
        <v>492</v>
      </c>
      <c r="J66" s="418" t="s">
        <v>493</v>
      </c>
      <c r="K66" s="419" t="s">
        <v>494</v>
      </c>
      <c r="L66" s="3" t="s">
        <v>90</v>
      </c>
    </row>
    <row r="67" spans="1:12">
      <c r="A67" s="4">
        <v>500</v>
      </c>
      <c r="B67" s="420" t="s">
        <v>495</v>
      </c>
      <c r="C67" s="4"/>
      <c r="D67" s="18" t="s">
        <v>101</v>
      </c>
      <c r="E67" s="18" t="s">
        <v>496</v>
      </c>
      <c r="F67" s="21" t="s">
        <v>551</v>
      </c>
      <c r="G67" s="21" t="s">
        <v>497</v>
      </c>
      <c r="H67" s="21" t="s">
        <v>498</v>
      </c>
      <c r="I67" s="21" t="s">
        <v>499</v>
      </c>
      <c r="J67" s="21" t="s">
        <v>500</v>
      </c>
      <c r="K67" s="421" t="s">
        <v>552</v>
      </c>
      <c r="L67" s="4">
        <v>500</v>
      </c>
    </row>
    <row r="68" spans="1:12">
      <c r="A68" s="4"/>
      <c r="B68" s="422"/>
      <c r="C68" s="4"/>
      <c r="D68" s="4"/>
      <c r="E68" s="4"/>
      <c r="F68" s="4"/>
      <c r="G68" s="4" t="s">
        <v>501</v>
      </c>
      <c r="H68" s="4"/>
      <c r="I68" s="4"/>
      <c r="J68" s="4"/>
      <c r="K68" s="423" t="s">
        <v>501</v>
      </c>
    </row>
    <row r="69" spans="1:12">
      <c r="B69" s="422"/>
      <c r="C69" s="4"/>
      <c r="D69" s="4" t="s">
        <v>502</v>
      </c>
      <c r="E69" s="4" t="s">
        <v>503</v>
      </c>
      <c r="F69" s="4"/>
      <c r="G69" s="4" t="s">
        <v>504</v>
      </c>
      <c r="H69" s="4"/>
      <c r="I69" s="4"/>
      <c r="J69" s="4"/>
      <c r="K69" s="423" t="s">
        <v>504</v>
      </c>
    </row>
    <row r="70" spans="1:12">
      <c r="A70" s="4"/>
      <c r="B70" s="420"/>
      <c r="C70" s="4"/>
      <c r="D70" s="4" t="s">
        <v>505</v>
      </c>
      <c r="E70" s="4" t="s">
        <v>505</v>
      </c>
      <c r="F70" s="4" t="s">
        <v>506</v>
      </c>
      <c r="G70" s="4" t="s">
        <v>507</v>
      </c>
      <c r="H70" s="4" t="s">
        <v>508</v>
      </c>
      <c r="I70" s="4" t="s">
        <v>502</v>
      </c>
      <c r="J70" s="4" t="s">
        <v>509</v>
      </c>
      <c r="K70" s="423" t="s">
        <v>510</v>
      </c>
    </row>
    <row r="71" spans="1:12">
      <c r="A71" s="4"/>
      <c r="B71" s="424" t="s">
        <v>511</v>
      </c>
      <c r="C71" s="425" t="s">
        <v>512</v>
      </c>
      <c r="D71" s="425" t="s">
        <v>513</v>
      </c>
      <c r="E71" s="425" t="s">
        <v>514</v>
      </c>
      <c r="F71" s="425" t="s">
        <v>515</v>
      </c>
      <c r="G71" s="425" t="s">
        <v>516</v>
      </c>
      <c r="H71" s="425" t="s">
        <v>517</v>
      </c>
      <c r="I71" s="425" t="s">
        <v>518</v>
      </c>
      <c r="J71" s="425" t="s">
        <v>518</v>
      </c>
      <c r="K71" s="426" t="s">
        <v>519</v>
      </c>
    </row>
    <row r="72" spans="1:12">
      <c r="A72" s="4">
        <v>501</v>
      </c>
      <c r="B72" t="s">
        <v>520</v>
      </c>
      <c r="C72" s="21">
        <v>2020</v>
      </c>
      <c r="D72" s="81" t="s">
        <v>521</v>
      </c>
      <c r="E72" s="81" t="s">
        <v>521</v>
      </c>
      <c r="F72" s="21" t="s">
        <v>521</v>
      </c>
      <c r="G72" s="40">
        <v>0</v>
      </c>
      <c r="H72" s="21" t="s">
        <v>521</v>
      </c>
      <c r="I72" s="21" t="s">
        <v>521</v>
      </c>
      <c r="J72" s="40">
        <v>0</v>
      </c>
      <c r="K72" s="13">
        <v>0</v>
      </c>
      <c r="L72" s="4">
        <v>501</v>
      </c>
    </row>
    <row r="73" spans="1:12">
      <c r="A73" s="4">
        <v>502</v>
      </c>
      <c r="B73" t="s">
        <v>522</v>
      </c>
      <c r="C73" s="21">
        <v>2021</v>
      </c>
      <c r="D73" s="396" t="s">
        <v>521</v>
      </c>
      <c r="E73" s="396" t="s">
        <v>521</v>
      </c>
      <c r="F73" s="406">
        <v>0</v>
      </c>
      <c r="G73" s="406">
        <v>0</v>
      </c>
      <c r="H73" s="47">
        <v>3.2500000000000001E-2</v>
      </c>
      <c r="I73" s="13">
        <v>0</v>
      </c>
      <c r="J73" s="13">
        <v>0</v>
      </c>
      <c r="K73" s="13">
        <v>0</v>
      </c>
      <c r="L73" s="4">
        <v>502</v>
      </c>
    </row>
    <row r="74" spans="1:12">
      <c r="A74" s="4">
        <v>503</v>
      </c>
      <c r="B74" t="s">
        <v>523</v>
      </c>
      <c r="C74" s="21">
        <v>2021</v>
      </c>
      <c r="D74" s="396" t="s">
        <v>521</v>
      </c>
      <c r="E74" s="396" t="s">
        <v>521</v>
      </c>
      <c r="F74" s="406">
        <v>0</v>
      </c>
      <c r="G74" s="406">
        <v>0</v>
      </c>
      <c r="H74" s="47">
        <v>3.2500000000000001E-2</v>
      </c>
      <c r="I74" s="13">
        <v>0</v>
      </c>
      <c r="J74" s="13">
        <v>0</v>
      </c>
      <c r="K74" s="13">
        <v>0</v>
      </c>
      <c r="L74" s="4">
        <v>503</v>
      </c>
    </row>
    <row r="75" spans="1:12">
      <c r="A75" s="4">
        <v>504</v>
      </c>
      <c r="B75" t="s">
        <v>524</v>
      </c>
      <c r="C75" s="21">
        <v>2021</v>
      </c>
      <c r="D75" s="396" t="s">
        <v>521</v>
      </c>
      <c r="E75" s="396" t="s">
        <v>521</v>
      </c>
      <c r="F75" s="406">
        <v>0</v>
      </c>
      <c r="G75" s="406">
        <v>0</v>
      </c>
      <c r="H75" s="47">
        <v>3.2500000000000001E-2</v>
      </c>
      <c r="I75" s="13">
        <v>0</v>
      </c>
      <c r="J75" s="13">
        <v>0</v>
      </c>
      <c r="K75" s="13">
        <v>0</v>
      </c>
      <c r="L75" s="4">
        <v>504</v>
      </c>
    </row>
    <row r="76" spans="1:12">
      <c r="A76" s="4">
        <v>505</v>
      </c>
      <c r="B76" t="s">
        <v>525</v>
      </c>
      <c r="C76" s="21">
        <v>2021</v>
      </c>
      <c r="D76" s="396" t="s">
        <v>521</v>
      </c>
      <c r="E76" s="396" t="s">
        <v>521</v>
      </c>
      <c r="F76" s="406">
        <v>0</v>
      </c>
      <c r="G76" s="406">
        <v>0</v>
      </c>
      <c r="H76" s="47">
        <v>3.2500000000000001E-2</v>
      </c>
      <c r="I76" s="13">
        <v>0</v>
      </c>
      <c r="J76" s="13">
        <v>0</v>
      </c>
      <c r="K76" s="13">
        <v>0</v>
      </c>
      <c r="L76" s="4">
        <v>505</v>
      </c>
    </row>
    <row r="77" spans="1:12">
      <c r="A77" s="4">
        <v>506</v>
      </c>
      <c r="B77" t="s">
        <v>526</v>
      </c>
      <c r="C77" s="21">
        <v>2021</v>
      </c>
      <c r="D77" s="396" t="s">
        <v>521</v>
      </c>
      <c r="E77" s="396" t="s">
        <v>521</v>
      </c>
      <c r="F77" s="406">
        <v>0</v>
      </c>
      <c r="G77" s="406">
        <v>0</v>
      </c>
      <c r="H77" s="47">
        <v>3.2500000000000001E-2</v>
      </c>
      <c r="I77" s="13">
        <v>0</v>
      </c>
      <c r="J77" s="13">
        <v>0</v>
      </c>
      <c r="K77" s="13">
        <v>0</v>
      </c>
      <c r="L77" s="4">
        <v>506</v>
      </c>
    </row>
    <row r="78" spans="1:12">
      <c r="A78" s="4">
        <v>507</v>
      </c>
      <c r="B78" t="s">
        <v>527</v>
      </c>
      <c r="C78" s="21">
        <v>2021</v>
      </c>
      <c r="D78" s="396">
        <v>823738.19486489368</v>
      </c>
      <c r="E78" s="396">
        <v>869493.94000000006</v>
      </c>
      <c r="F78" s="406">
        <v>-45755.745135106379</v>
      </c>
      <c r="G78" s="406">
        <v>-45755.745135106379</v>
      </c>
      <c r="H78" s="47">
        <v>3.2500000000000001E-2</v>
      </c>
      <c r="I78" s="13">
        <v>-61.96</v>
      </c>
      <c r="J78" s="13">
        <v>-61.96</v>
      </c>
      <c r="K78" s="13">
        <v>-45817.71</v>
      </c>
      <c r="L78" s="4">
        <v>507</v>
      </c>
    </row>
    <row r="79" spans="1:12">
      <c r="A79" s="4">
        <v>508</v>
      </c>
      <c r="B79" t="s">
        <v>528</v>
      </c>
      <c r="C79" s="21">
        <v>2021</v>
      </c>
      <c r="D79" s="396">
        <v>777581.64995212422</v>
      </c>
      <c r="E79" s="396">
        <v>869493.94000000006</v>
      </c>
      <c r="F79" s="406">
        <v>-91912.290047875838</v>
      </c>
      <c r="G79" s="406">
        <v>-137668.03518298222</v>
      </c>
      <c r="H79" s="47">
        <v>3.2500000000000001E-2</v>
      </c>
      <c r="I79" s="13">
        <v>-248.55</v>
      </c>
      <c r="J79" s="13">
        <v>-310.51</v>
      </c>
      <c r="K79" s="13">
        <v>-137978.54999999999</v>
      </c>
      <c r="L79" s="4">
        <v>508</v>
      </c>
    </row>
    <row r="80" spans="1:12">
      <c r="A80" s="4">
        <v>509</v>
      </c>
      <c r="B80" t="s">
        <v>529</v>
      </c>
      <c r="C80" s="21">
        <v>2021</v>
      </c>
      <c r="D80" s="396">
        <v>818364.56139289041</v>
      </c>
      <c r="E80" s="396">
        <v>869493.94000000006</v>
      </c>
      <c r="F80" s="406">
        <v>-51129.378607109655</v>
      </c>
      <c r="G80" s="406">
        <v>-188797.41379009187</v>
      </c>
      <c r="H80" s="47">
        <v>3.2500000000000001E-2</v>
      </c>
      <c r="I80" s="13">
        <v>-442.26</v>
      </c>
      <c r="J80" s="13">
        <v>-752.77</v>
      </c>
      <c r="K80" s="13">
        <v>-189550.18</v>
      </c>
      <c r="L80" s="4">
        <v>509</v>
      </c>
    </row>
    <row r="81" spans="1:12">
      <c r="A81" s="4">
        <v>510</v>
      </c>
      <c r="B81" t="s">
        <v>530</v>
      </c>
      <c r="C81" s="21">
        <v>2021</v>
      </c>
      <c r="D81" s="396">
        <v>839625.97524131986</v>
      </c>
      <c r="E81" s="396">
        <v>869493.94000000006</v>
      </c>
      <c r="F81" s="406">
        <v>-29867.964758680202</v>
      </c>
      <c r="G81" s="406">
        <v>-218665.37854877207</v>
      </c>
      <c r="H81" s="47">
        <v>3.2500000000000001E-2</v>
      </c>
      <c r="I81" s="13">
        <v>-551.94000000000005</v>
      </c>
      <c r="J81" s="13">
        <v>-1304.71</v>
      </c>
      <c r="K81" s="13">
        <v>-219970.09</v>
      </c>
      <c r="L81" s="4">
        <v>510</v>
      </c>
    </row>
    <row r="82" spans="1:12">
      <c r="A82" s="4">
        <v>511</v>
      </c>
      <c r="B82" t="s">
        <v>531</v>
      </c>
      <c r="C82" s="21">
        <v>2021</v>
      </c>
      <c r="D82" s="396">
        <v>1010818.0202571895</v>
      </c>
      <c r="E82" s="396">
        <v>627983.43999999959</v>
      </c>
      <c r="F82" s="406">
        <v>382834.58025718993</v>
      </c>
      <c r="G82" s="406">
        <v>164169.20170841785</v>
      </c>
      <c r="H82" s="47">
        <v>3.2500000000000001E-2</v>
      </c>
      <c r="I82" s="13">
        <v>-77.33</v>
      </c>
      <c r="J82" s="13">
        <v>-1382.04</v>
      </c>
      <c r="K82" s="13">
        <v>162787.16</v>
      </c>
      <c r="L82" s="4">
        <v>511</v>
      </c>
    </row>
    <row r="83" spans="1:12">
      <c r="A83" s="4">
        <v>512</v>
      </c>
      <c r="B83" t="s">
        <v>532</v>
      </c>
      <c r="C83" s="21">
        <v>2021</v>
      </c>
      <c r="D83" s="396">
        <v>981488.41101036919</v>
      </c>
      <c r="E83" s="396">
        <v>821191.84</v>
      </c>
      <c r="F83" s="406">
        <v>160296.57101036923</v>
      </c>
      <c r="G83" s="406">
        <v>324465.77271878708</v>
      </c>
      <c r="H83" s="47">
        <v>3.2500000000000001E-2</v>
      </c>
      <c r="I83" s="13">
        <v>658.16</v>
      </c>
      <c r="J83" s="13">
        <v>-723.88</v>
      </c>
      <c r="K83" s="13">
        <v>323741.89</v>
      </c>
      <c r="L83" s="4">
        <v>512</v>
      </c>
    </row>
    <row r="84" spans="1:12">
      <c r="A84" s="4">
        <v>513</v>
      </c>
      <c r="B84" t="s">
        <v>520</v>
      </c>
      <c r="C84" s="21">
        <v>2021</v>
      </c>
      <c r="D84" s="396">
        <v>1009997.7944042545</v>
      </c>
      <c r="E84" s="396">
        <v>821191.84</v>
      </c>
      <c r="F84" s="406">
        <v>188805.95440425456</v>
      </c>
      <c r="G84" s="406">
        <v>513271.72712304164</v>
      </c>
      <c r="H84" s="47">
        <v>3.2500000000000001E-2</v>
      </c>
      <c r="I84" s="13">
        <v>1130.9000000000001</v>
      </c>
      <c r="J84" s="13">
        <v>407.0200000000001</v>
      </c>
      <c r="K84" s="13">
        <v>513678.75</v>
      </c>
      <c r="L84" s="4">
        <v>513</v>
      </c>
    </row>
    <row r="85" spans="1:12">
      <c r="A85" s="4">
        <v>514</v>
      </c>
      <c r="B85" t="s">
        <v>522</v>
      </c>
      <c r="C85" s="21">
        <v>2022</v>
      </c>
      <c r="D85" s="81" t="s">
        <v>521</v>
      </c>
      <c r="E85" s="81" t="s">
        <v>521</v>
      </c>
      <c r="F85" s="406">
        <v>0</v>
      </c>
      <c r="G85" s="406">
        <v>513271.72712304164</v>
      </c>
      <c r="H85" s="47">
        <v>3.2500000000000001E-2</v>
      </c>
      <c r="I85" s="13">
        <v>1391.21</v>
      </c>
      <c r="J85" s="13">
        <v>1798.23</v>
      </c>
      <c r="K85" s="13">
        <v>515069.96</v>
      </c>
      <c r="L85" s="4">
        <v>514</v>
      </c>
    </row>
    <row r="86" spans="1:12">
      <c r="A86" s="4">
        <v>515</v>
      </c>
      <c r="B86" t="s">
        <v>523</v>
      </c>
      <c r="C86" s="21">
        <v>2022</v>
      </c>
      <c r="D86" s="81" t="s">
        <v>521</v>
      </c>
      <c r="E86" s="81" t="s">
        <v>521</v>
      </c>
      <c r="F86" s="406">
        <v>0</v>
      </c>
      <c r="G86" s="406">
        <v>513271.72712304164</v>
      </c>
      <c r="H86" s="47">
        <v>3.2500000000000001E-2</v>
      </c>
      <c r="I86" s="13">
        <v>1391.21</v>
      </c>
      <c r="J86" s="13">
        <v>3189.44</v>
      </c>
      <c r="K86" s="13">
        <v>516461.17</v>
      </c>
      <c r="L86" s="4">
        <v>515</v>
      </c>
    </row>
    <row r="87" spans="1:12">
      <c r="A87" s="4">
        <v>516</v>
      </c>
      <c r="B87" t="s">
        <v>524</v>
      </c>
      <c r="C87" s="21">
        <v>2022</v>
      </c>
      <c r="D87" s="81" t="s">
        <v>521</v>
      </c>
      <c r="E87" s="81" t="s">
        <v>521</v>
      </c>
      <c r="F87" s="406">
        <v>0</v>
      </c>
      <c r="G87" s="406">
        <v>513271.72712304164</v>
      </c>
      <c r="H87" s="47">
        <v>3.2500000000000001E-2</v>
      </c>
      <c r="I87" s="13">
        <v>1391.21</v>
      </c>
      <c r="J87" s="13">
        <v>4580.6499999999996</v>
      </c>
      <c r="K87" s="13">
        <v>517852.38</v>
      </c>
      <c r="L87" s="4">
        <v>516</v>
      </c>
    </row>
    <row r="88" spans="1:12">
      <c r="A88" s="4">
        <v>517</v>
      </c>
      <c r="B88" t="s">
        <v>525</v>
      </c>
      <c r="C88" s="21">
        <v>2022</v>
      </c>
      <c r="D88" s="81" t="s">
        <v>521</v>
      </c>
      <c r="E88" s="81" t="s">
        <v>521</v>
      </c>
      <c r="F88" s="406">
        <v>0</v>
      </c>
      <c r="G88" s="406">
        <v>513271.72712304164</v>
      </c>
      <c r="H88" s="47">
        <v>3.2500000000000001E-2</v>
      </c>
      <c r="I88" s="13">
        <v>1402.52</v>
      </c>
      <c r="J88" s="13">
        <v>5983.17</v>
      </c>
      <c r="K88" s="13">
        <v>519254.9</v>
      </c>
      <c r="L88" s="4">
        <v>517</v>
      </c>
    </row>
    <row r="89" spans="1:12">
      <c r="A89" s="4">
        <v>518</v>
      </c>
      <c r="B89" t="s">
        <v>526</v>
      </c>
      <c r="C89" s="21">
        <v>2022</v>
      </c>
      <c r="D89" s="81" t="s">
        <v>521</v>
      </c>
      <c r="E89" s="81" t="s">
        <v>521</v>
      </c>
      <c r="F89" s="406">
        <v>0</v>
      </c>
      <c r="G89" s="406">
        <v>513271.72712304164</v>
      </c>
      <c r="H89" s="47">
        <v>3.2500000000000001E-2</v>
      </c>
      <c r="I89" s="13">
        <v>1402.52</v>
      </c>
      <c r="J89" s="13">
        <v>7385.6900000000005</v>
      </c>
      <c r="K89" s="13">
        <v>520657.42</v>
      </c>
      <c r="L89" s="4">
        <v>518</v>
      </c>
    </row>
    <row r="90" spans="1:12">
      <c r="A90" s="4">
        <v>519</v>
      </c>
      <c r="B90" t="s">
        <v>527</v>
      </c>
      <c r="C90" s="21">
        <v>2022</v>
      </c>
      <c r="D90" s="81" t="s">
        <v>521</v>
      </c>
      <c r="E90" s="81" t="s">
        <v>521</v>
      </c>
      <c r="F90" s="406">
        <v>0</v>
      </c>
      <c r="G90" s="406">
        <v>513271.72712304164</v>
      </c>
      <c r="H90" s="47">
        <v>3.2500000000000001E-2</v>
      </c>
      <c r="I90" s="13">
        <v>1402.52</v>
      </c>
      <c r="J90" s="13">
        <v>8788.2100000000009</v>
      </c>
      <c r="K90" s="13">
        <v>522059.94</v>
      </c>
      <c r="L90" s="4">
        <v>519</v>
      </c>
    </row>
    <row r="91" spans="1:12">
      <c r="A91" s="4">
        <v>520</v>
      </c>
      <c r="B91" t="s">
        <v>528</v>
      </c>
      <c r="C91" s="21">
        <v>2022</v>
      </c>
      <c r="D91" s="81" t="s">
        <v>521</v>
      </c>
      <c r="E91" s="81" t="s">
        <v>521</v>
      </c>
      <c r="F91" s="406">
        <v>0</v>
      </c>
      <c r="G91" s="406">
        <v>513271.72712304164</v>
      </c>
      <c r="H91" s="47">
        <v>3.5999999999999997E-2</v>
      </c>
      <c r="I91" s="13">
        <v>1566.18</v>
      </c>
      <c r="J91" s="13">
        <v>10354.390000000001</v>
      </c>
      <c r="K91" s="13">
        <v>523626.12</v>
      </c>
      <c r="L91" s="4">
        <v>520</v>
      </c>
    </row>
    <row r="92" spans="1:12">
      <c r="A92" s="4">
        <v>521</v>
      </c>
      <c r="B92" t="s">
        <v>529</v>
      </c>
      <c r="C92" s="21">
        <v>2022</v>
      </c>
      <c r="D92" s="81" t="s">
        <v>521</v>
      </c>
      <c r="E92" s="81" t="s">
        <v>521</v>
      </c>
      <c r="F92" s="406">
        <v>0</v>
      </c>
      <c r="G92" s="406">
        <v>513271.72712304164</v>
      </c>
      <c r="H92" s="47">
        <v>3.5999999999999997E-2</v>
      </c>
      <c r="I92" s="13">
        <v>1566.18</v>
      </c>
      <c r="J92" s="13">
        <v>11920.570000000002</v>
      </c>
      <c r="K92" s="13">
        <v>525192.30000000005</v>
      </c>
      <c r="L92" s="4">
        <v>521</v>
      </c>
    </row>
    <row r="93" spans="1:12">
      <c r="A93" s="4">
        <v>522</v>
      </c>
      <c r="B93" t="s">
        <v>530</v>
      </c>
      <c r="C93" s="21">
        <v>2022</v>
      </c>
      <c r="D93" s="81" t="s">
        <v>521</v>
      </c>
      <c r="E93" s="81" t="s">
        <v>521</v>
      </c>
      <c r="F93" s="406">
        <v>0</v>
      </c>
      <c r="G93" s="406">
        <v>513271.72712304164</v>
      </c>
      <c r="H93" s="47">
        <v>3.5999999999999997E-2</v>
      </c>
      <c r="I93" s="13">
        <v>1566.18</v>
      </c>
      <c r="J93" s="13">
        <v>13486.750000000002</v>
      </c>
      <c r="K93" s="13">
        <v>526758.48</v>
      </c>
      <c r="L93" s="4">
        <v>522</v>
      </c>
    </row>
    <row r="94" spans="1:12">
      <c r="A94" s="4">
        <v>523</v>
      </c>
      <c r="B94" t="s">
        <v>531</v>
      </c>
      <c r="C94" s="21">
        <v>2022</v>
      </c>
      <c r="D94" s="81" t="s">
        <v>521</v>
      </c>
      <c r="E94" s="81" t="s">
        <v>521</v>
      </c>
      <c r="F94" s="406">
        <v>0</v>
      </c>
      <c r="G94" s="406">
        <v>513271.72712304164</v>
      </c>
      <c r="H94" s="47">
        <v>4.9099999999999998E-2</v>
      </c>
      <c r="I94" s="13">
        <v>2155.3200000000002</v>
      </c>
      <c r="J94" s="13">
        <v>15642.070000000002</v>
      </c>
      <c r="K94" s="13">
        <v>528913.80000000005</v>
      </c>
      <c r="L94" s="4">
        <v>523</v>
      </c>
    </row>
    <row r="95" spans="1:12">
      <c r="A95" s="4">
        <v>524</v>
      </c>
      <c r="B95" t="s">
        <v>532</v>
      </c>
      <c r="C95" s="21">
        <v>2022</v>
      </c>
      <c r="D95" s="81" t="s">
        <v>521</v>
      </c>
      <c r="E95" s="81" t="s">
        <v>521</v>
      </c>
      <c r="F95" s="406">
        <v>0</v>
      </c>
      <c r="G95" s="406">
        <v>513271.72712304164</v>
      </c>
      <c r="H95" s="47">
        <v>4.9099999999999998E-2</v>
      </c>
      <c r="I95" s="13">
        <v>2155.3200000000002</v>
      </c>
      <c r="J95" s="13">
        <v>17797.390000000003</v>
      </c>
      <c r="K95" s="13">
        <v>531069.12</v>
      </c>
      <c r="L95" s="4">
        <v>524</v>
      </c>
    </row>
    <row r="96" spans="1:12">
      <c r="A96" s="4">
        <v>525</v>
      </c>
      <c r="B96" t="s">
        <v>520</v>
      </c>
      <c r="C96" s="21">
        <v>2022</v>
      </c>
      <c r="D96" s="81" t="s">
        <v>521</v>
      </c>
      <c r="E96" s="81" t="s">
        <v>521</v>
      </c>
      <c r="F96" s="406">
        <v>0</v>
      </c>
      <c r="G96" s="406">
        <v>513271.72712304164</v>
      </c>
      <c r="H96" s="47">
        <v>4.9099999999999998E-2</v>
      </c>
      <c r="I96" s="13">
        <v>2155.3200000000002</v>
      </c>
      <c r="J96" s="13">
        <v>19952.710000000003</v>
      </c>
      <c r="K96" s="13">
        <v>533224.43999999994</v>
      </c>
      <c r="L96" s="4">
        <v>525</v>
      </c>
    </row>
    <row r="97" spans="1:12">
      <c r="A97" s="3"/>
      <c r="B97" s="2"/>
    </row>
    <row r="98" spans="1:12">
      <c r="A98" s="4"/>
      <c r="B98" s="417" t="s">
        <v>489</v>
      </c>
      <c r="C98" s="427"/>
      <c r="D98" s="427"/>
      <c r="E98" s="427"/>
      <c r="F98" s="427"/>
      <c r="G98" s="427" t="s">
        <v>501</v>
      </c>
      <c r="H98" s="427"/>
      <c r="I98" s="427"/>
      <c r="J98" s="427"/>
      <c r="K98" s="428" t="s">
        <v>501</v>
      </c>
    </row>
    <row r="99" spans="1:12">
      <c r="B99" s="420" t="s">
        <v>495</v>
      </c>
      <c r="C99" s="4"/>
      <c r="D99" s="4" t="s">
        <v>536</v>
      </c>
      <c r="E99" s="4" t="s">
        <v>536</v>
      </c>
      <c r="F99" s="4"/>
      <c r="G99" s="4" t="s">
        <v>504</v>
      </c>
      <c r="H99" s="4"/>
      <c r="I99" s="4"/>
      <c r="J99" s="4"/>
      <c r="K99" s="423" t="s">
        <v>504</v>
      </c>
    </row>
    <row r="100" spans="1:12">
      <c r="A100" s="4"/>
      <c r="B100" s="420"/>
      <c r="C100" s="4"/>
      <c r="D100" s="4" t="s">
        <v>502</v>
      </c>
      <c r="E100" s="4" t="s">
        <v>503</v>
      </c>
      <c r="F100" s="4" t="s">
        <v>506</v>
      </c>
      <c r="G100" s="4" t="s">
        <v>507</v>
      </c>
      <c r="H100" s="4" t="s">
        <v>508</v>
      </c>
      <c r="I100" s="4" t="s">
        <v>502</v>
      </c>
      <c r="J100" s="4" t="s">
        <v>509</v>
      </c>
      <c r="K100" s="423" t="s">
        <v>510</v>
      </c>
    </row>
    <row r="101" spans="1:12">
      <c r="A101" s="4"/>
      <c r="B101" s="424" t="s">
        <v>511</v>
      </c>
      <c r="C101" s="425" t="s">
        <v>512</v>
      </c>
      <c r="D101" s="425" t="s">
        <v>513</v>
      </c>
      <c r="E101" s="425" t="s">
        <v>514</v>
      </c>
      <c r="F101" s="425" t="s">
        <v>515</v>
      </c>
      <c r="G101" s="425" t="s">
        <v>516</v>
      </c>
      <c r="H101" s="425" t="s">
        <v>517</v>
      </c>
      <c r="I101" s="425" t="s">
        <v>518</v>
      </c>
      <c r="J101" s="425" t="s">
        <v>518</v>
      </c>
      <c r="K101" s="426" t="s">
        <v>519</v>
      </c>
    </row>
    <row r="102" spans="1:12">
      <c r="A102" s="4">
        <v>526</v>
      </c>
      <c r="B102" t="s">
        <v>520</v>
      </c>
      <c r="C102" s="21">
        <v>2020</v>
      </c>
      <c r="D102" s="81" t="s">
        <v>521</v>
      </c>
      <c r="E102" s="81" t="s">
        <v>521</v>
      </c>
      <c r="F102" s="21" t="s">
        <v>521</v>
      </c>
      <c r="G102" s="40">
        <v>0</v>
      </c>
      <c r="H102" s="21" t="s">
        <v>521</v>
      </c>
      <c r="I102" s="21" t="s">
        <v>521</v>
      </c>
      <c r="J102" s="40">
        <v>0</v>
      </c>
      <c r="K102" s="13">
        <v>0</v>
      </c>
      <c r="L102" s="4">
        <v>526</v>
      </c>
    </row>
    <row r="103" spans="1:12">
      <c r="A103" s="4">
        <v>527</v>
      </c>
      <c r="B103" t="s">
        <v>522</v>
      </c>
      <c r="C103" s="21">
        <v>2021</v>
      </c>
      <c r="D103" s="396" t="s">
        <v>521</v>
      </c>
      <c r="E103" s="396" t="s">
        <v>521</v>
      </c>
      <c r="F103" s="406">
        <v>0</v>
      </c>
      <c r="G103" s="406">
        <v>0</v>
      </c>
      <c r="H103" s="432">
        <v>3.2500000000000001E-2</v>
      </c>
      <c r="I103" s="13">
        <v>0</v>
      </c>
      <c r="J103" s="13">
        <v>0</v>
      </c>
      <c r="K103" s="13">
        <v>0</v>
      </c>
      <c r="L103" s="4">
        <v>527</v>
      </c>
    </row>
    <row r="104" spans="1:12">
      <c r="A104" s="4">
        <v>528</v>
      </c>
      <c r="B104" t="s">
        <v>523</v>
      </c>
      <c r="C104" s="21">
        <v>2021</v>
      </c>
      <c r="D104" s="396" t="s">
        <v>521</v>
      </c>
      <c r="E104" s="396" t="s">
        <v>521</v>
      </c>
      <c r="F104" s="406">
        <v>0</v>
      </c>
      <c r="G104" s="406">
        <v>0</v>
      </c>
      <c r="H104" s="432">
        <v>3.2500000000000001E-2</v>
      </c>
      <c r="I104" s="13">
        <v>0</v>
      </c>
      <c r="J104" s="13">
        <v>0</v>
      </c>
      <c r="K104" s="13">
        <v>0</v>
      </c>
      <c r="L104" s="4">
        <v>528</v>
      </c>
    </row>
    <row r="105" spans="1:12">
      <c r="A105" s="4">
        <v>529</v>
      </c>
      <c r="B105" t="s">
        <v>524</v>
      </c>
      <c r="C105" s="21">
        <v>2021</v>
      </c>
      <c r="D105" s="396" t="s">
        <v>521</v>
      </c>
      <c r="E105" s="396" t="s">
        <v>521</v>
      </c>
      <c r="F105" s="406">
        <v>0</v>
      </c>
      <c r="G105" s="406">
        <v>0</v>
      </c>
      <c r="H105" s="432">
        <v>3.2500000000000001E-2</v>
      </c>
      <c r="I105" s="13">
        <v>0</v>
      </c>
      <c r="J105" s="13">
        <v>0</v>
      </c>
      <c r="K105" s="13">
        <v>0</v>
      </c>
      <c r="L105" s="4">
        <v>529</v>
      </c>
    </row>
    <row r="106" spans="1:12">
      <c r="A106" s="4">
        <v>530</v>
      </c>
      <c r="B106" t="s">
        <v>525</v>
      </c>
      <c r="C106" s="21">
        <v>2021</v>
      </c>
      <c r="D106" s="396" t="s">
        <v>521</v>
      </c>
      <c r="E106" s="396" t="s">
        <v>521</v>
      </c>
      <c r="F106" s="406">
        <v>0</v>
      </c>
      <c r="G106" s="406">
        <v>0</v>
      </c>
      <c r="H106" s="432">
        <v>3.2500000000000001E-2</v>
      </c>
      <c r="I106" s="13">
        <v>0</v>
      </c>
      <c r="J106" s="13">
        <v>0</v>
      </c>
      <c r="K106" s="13">
        <v>0</v>
      </c>
      <c r="L106" s="4">
        <v>530</v>
      </c>
    </row>
    <row r="107" spans="1:12">
      <c r="A107" s="4">
        <v>531</v>
      </c>
      <c r="B107" t="s">
        <v>526</v>
      </c>
      <c r="C107" s="21">
        <v>2021</v>
      </c>
      <c r="D107" s="396" t="s">
        <v>521</v>
      </c>
      <c r="E107" s="396" t="s">
        <v>521</v>
      </c>
      <c r="F107" s="406">
        <v>0</v>
      </c>
      <c r="G107" s="406">
        <v>0</v>
      </c>
      <c r="H107" s="432">
        <v>3.2500000000000001E-2</v>
      </c>
      <c r="I107" s="13">
        <v>0</v>
      </c>
      <c r="J107" s="13">
        <v>0</v>
      </c>
      <c r="K107" s="13">
        <v>0</v>
      </c>
      <c r="L107" s="4">
        <v>531</v>
      </c>
    </row>
    <row r="108" spans="1:12">
      <c r="A108" s="4">
        <v>532</v>
      </c>
      <c r="B108" t="s">
        <v>527</v>
      </c>
      <c r="C108" s="21">
        <v>2021</v>
      </c>
      <c r="D108" s="396">
        <v>1139772.3608206289</v>
      </c>
      <c r="E108" s="396">
        <v>821484.41000000015</v>
      </c>
      <c r="F108" s="406">
        <v>318287.95082062879</v>
      </c>
      <c r="G108" s="406">
        <v>318287.95082062879</v>
      </c>
      <c r="H108" s="432">
        <v>3.2500000000000001E-2</v>
      </c>
      <c r="I108" s="13">
        <v>431.01</v>
      </c>
      <c r="J108" s="13">
        <v>431.01</v>
      </c>
      <c r="K108" s="13">
        <v>318718.96000000002</v>
      </c>
      <c r="L108" s="4">
        <v>532</v>
      </c>
    </row>
    <row r="109" spans="1:12">
      <c r="A109" s="4">
        <v>533</v>
      </c>
      <c r="B109" t="s">
        <v>528</v>
      </c>
      <c r="C109" s="21">
        <v>2021</v>
      </c>
      <c r="D109" s="396">
        <v>1111167.3200050259</v>
      </c>
      <c r="E109" s="396">
        <v>821491.66000000015</v>
      </c>
      <c r="F109" s="406">
        <v>289675.6600050258</v>
      </c>
      <c r="G109" s="406">
        <v>607963.61082565458</v>
      </c>
      <c r="H109" s="432">
        <v>3.2500000000000001E-2</v>
      </c>
      <c r="I109" s="13">
        <v>1255.47</v>
      </c>
      <c r="J109" s="13">
        <v>1686.48</v>
      </c>
      <c r="K109" s="13">
        <v>609650.09</v>
      </c>
      <c r="L109" s="4">
        <v>533</v>
      </c>
    </row>
    <row r="110" spans="1:12">
      <c r="A110" s="4">
        <v>534</v>
      </c>
      <c r="B110" t="s">
        <v>529</v>
      </c>
      <c r="C110" s="21">
        <v>2021</v>
      </c>
      <c r="D110" s="396">
        <v>1213686.450023412</v>
      </c>
      <c r="E110" s="396">
        <v>820717.92</v>
      </c>
      <c r="F110" s="406">
        <v>392968.53002341196</v>
      </c>
      <c r="G110" s="406">
        <v>1000932.1408490665</v>
      </c>
      <c r="H110" s="432">
        <v>3.2500000000000001E-2</v>
      </c>
      <c r="I110" s="13">
        <v>2179.88</v>
      </c>
      <c r="J110" s="13">
        <v>3866.36</v>
      </c>
      <c r="K110" s="13">
        <v>1004798.5</v>
      </c>
      <c r="L110" s="4">
        <v>534</v>
      </c>
    </row>
    <row r="111" spans="1:12">
      <c r="A111" s="4">
        <v>535</v>
      </c>
      <c r="B111" t="s">
        <v>530</v>
      </c>
      <c r="C111" s="21">
        <v>2021</v>
      </c>
      <c r="D111" s="396">
        <v>1254046.8099533101</v>
      </c>
      <c r="E111" s="396">
        <v>905647.46000000008</v>
      </c>
      <c r="F111" s="406">
        <v>348399.34995330998</v>
      </c>
      <c r="G111" s="406">
        <v>1349331.4908023765</v>
      </c>
      <c r="H111" s="432">
        <v>3.2500000000000001E-2</v>
      </c>
      <c r="I111" s="13">
        <v>3183.82</v>
      </c>
      <c r="J111" s="13">
        <v>7050.18</v>
      </c>
      <c r="K111" s="13">
        <v>1356381.67</v>
      </c>
      <c r="L111" s="4">
        <v>535</v>
      </c>
    </row>
    <row r="112" spans="1:12">
      <c r="A112" s="4">
        <v>536</v>
      </c>
      <c r="B112" t="s">
        <v>531</v>
      </c>
      <c r="C112" s="21">
        <v>2021</v>
      </c>
      <c r="D112" s="396">
        <v>1311466.3858207441</v>
      </c>
      <c r="E112" s="396">
        <v>757649.72</v>
      </c>
      <c r="F112" s="406">
        <v>553816.66582074412</v>
      </c>
      <c r="G112" s="406">
        <v>1903148.1566231207</v>
      </c>
      <c r="H112" s="432">
        <v>3.2500000000000001E-2</v>
      </c>
      <c r="I112" s="13">
        <v>4423.49</v>
      </c>
      <c r="J112" s="13">
        <v>11473.67</v>
      </c>
      <c r="K112" s="13">
        <v>1914621.83</v>
      </c>
      <c r="L112" s="4">
        <v>536</v>
      </c>
    </row>
    <row r="113" spans="1:12">
      <c r="A113" s="4">
        <v>537</v>
      </c>
      <c r="B113" t="s">
        <v>532</v>
      </c>
      <c r="C113" s="21">
        <v>2021</v>
      </c>
      <c r="D113" s="396">
        <v>1290884.0554292442</v>
      </c>
      <c r="E113" s="396">
        <v>825251.91999999993</v>
      </c>
      <c r="F113" s="406">
        <v>465632.13542924426</v>
      </c>
      <c r="G113" s="406">
        <v>2368780.2920523649</v>
      </c>
      <c r="H113" s="432">
        <v>3.2500000000000001E-2</v>
      </c>
      <c r="I113" s="13">
        <v>5804</v>
      </c>
      <c r="J113" s="13">
        <v>17277.669999999998</v>
      </c>
      <c r="K113" s="13">
        <v>2386057.96</v>
      </c>
      <c r="L113" s="4">
        <v>537</v>
      </c>
    </row>
    <row r="114" spans="1:12">
      <c r="A114" s="4">
        <v>538</v>
      </c>
      <c r="B114" t="s">
        <v>520</v>
      </c>
      <c r="C114" s="21">
        <v>2021</v>
      </c>
      <c r="D114" s="396">
        <v>1354119.6989729174</v>
      </c>
      <c r="E114" s="396">
        <v>823322.31999999983</v>
      </c>
      <c r="F114" s="406">
        <v>530797.37897291756</v>
      </c>
      <c r="G114" s="406">
        <v>2899577.6710252827</v>
      </c>
      <c r="H114" s="432">
        <v>3.2500000000000001E-2</v>
      </c>
      <c r="I114" s="13">
        <v>7153.33</v>
      </c>
      <c r="J114" s="13">
        <v>24431</v>
      </c>
      <c r="K114" s="13">
        <v>2924008.67</v>
      </c>
      <c r="L114" s="4">
        <v>538</v>
      </c>
    </row>
    <row r="115" spans="1:12">
      <c r="A115" s="4">
        <v>539</v>
      </c>
      <c r="B115" t="s">
        <v>522</v>
      </c>
      <c r="C115" s="21">
        <v>2022</v>
      </c>
      <c r="D115" s="81" t="s">
        <v>521</v>
      </c>
      <c r="E115" s="81" t="s">
        <v>521</v>
      </c>
      <c r="F115" s="406">
        <v>0</v>
      </c>
      <c r="G115" s="406">
        <v>2899577.6710252827</v>
      </c>
      <c r="H115" s="432">
        <v>3.2500000000000001E-2</v>
      </c>
      <c r="I115" s="13">
        <v>7919.19</v>
      </c>
      <c r="J115" s="13">
        <v>32350.19</v>
      </c>
      <c r="K115" s="13">
        <v>2931927.86</v>
      </c>
      <c r="L115" s="4">
        <v>539</v>
      </c>
    </row>
    <row r="116" spans="1:12">
      <c r="A116" s="4">
        <v>540</v>
      </c>
      <c r="B116" t="s">
        <v>523</v>
      </c>
      <c r="C116" s="21">
        <v>2022</v>
      </c>
      <c r="D116" s="81" t="s">
        <v>521</v>
      </c>
      <c r="E116" s="81" t="s">
        <v>521</v>
      </c>
      <c r="F116" s="406">
        <v>0</v>
      </c>
      <c r="G116" s="406">
        <v>2899577.6710252827</v>
      </c>
      <c r="H116" s="432">
        <v>3.2500000000000001E-2</v>
      </c>
      <c r="I116" s="13">
        <v>7919.19</v>
      </c>
      <c r="J116" s="13">
        <v>40269.379999999997</v>
      </c>
      <c r="K116" s="13">
        <v>2939847.05</v>
      </c>
      <c r="L116" s="4">
        <v>540</v>
      </c>
    </row>
    <row r="117" spans="1:12">
      <c r="A117" s="4">
        <v>541</v>
      </c>
      <c r="B117" t="s">
        <v>524</v>
      </c>
      <c r="C117" s="21">
        <v>2022</v>
      </c>
      <c r="D117" s="81" t="s">
        <v>521</v>
      </c>
      <c r="E117" s="81" t="s">
        <v>521</v>
      </c>
      <c r="F117" s="406">
        <v>0</v>
      </c>
      <c r="G117" s="406">
        <v>2899577.6710252827</v>
      </c>
      <c r="H117" s="432">
        <v>3.2500000000000001E-2</v>
      </c>
      <c r="I117" s="13">
        <v>7919.19</v>
      </c>
      <c r="J117" s="13">
        <v>48188.57</v>
      </c>
      <c r="K117" s="13">
        <v>2947766.24</v>
      </c>
      <c r="L117" s="4">
        <v>541</v>
      </c>
    </row>
    <row r="118" spans="1:12">
      <c r="A118" s="4">
        <v>542</v>
      </c>
      <c r="B118" t="s">
        <v>525</v>
      </c>
      <c r="C118" s="21">
        <v>2022</v>
      </c>
      <c r="D118" s="81" t="s">
        <v>521</v>
      </c>
      <c r="E118" s="81" t="s">
        <v>521</v>
      </c>
      <c r="F118" s="406">
        <v>0</v>
      </c>
      <c r="G118" s="406">
        <v>2899577.6710252827</v>
      </c>
      <c r="H118" s="432">
        <v>3.2500000000000001E-2</v>
      </c>
      <c r="I118" s="13">
        <v>7983.53</v>
      </c>
      <c r="J118" s="13">
        <v>56172.1</v>
      </c>
      <c r="K118" s="13">
        <v>2955749.77</v>
      </c>
      <c r="L118" s="4">
        <v>542</v>
      </c>
    </row>
    <row r="119" spans="1:12">
      <c r="A119" s="4">
        <v>543</v>
      </c>
      <c r="B119" t="s">
        <v>526</v>
      </c>
      <c r="C119" s="21">
        <v>2022</v>
      </c>
      <c r="D119" s="81" t="s">
        <v>521</v>
      </c>
      <c r="E119" s="81" t="s">
        <v>521</v>
      </c>
      <c r="F119" s="406">
        <v>0</v>
      </c>
      <c r="G119" s="406">
        <v>2899577.6710252827</v>
      </c>
      <c r="H119" s="432">
        <v>3.2500000000000001E-2</v>
      </c>
      <c r="I119" s="13">
        <v>7983.53</v>
      </c>
      <c r="J119" s="13">
        <v>64155.63</v>
      </c>
      <c r="K119" s="13">
        <v>2963733.3</v>
      </c>
      <c r="L119" s="4">
        <v>543</v>
      </c>
    </row>
    <row r="120" spans="1:12">
      <c r="A120" s="4">
        <v>544</v>
      </c>
      <c r="B120" t="s">
        <v>527</v>
      </c>
      <c r="C120" s="21">
        <v>2022</v>
      </c>
      <c r="D120" s="81" t="s">
        <v>521</v>
      </c>
      <c r="E120" s="81" t="s">
        <v>521</v>
      </c>
      <c r="F120" s="406">
        <v>0</v>
      </c>
      <c r="G120" s="406">
        <v>2899577.6710252827</v>
      </c>
      <c r="H120" s="432">
        <v>3.2500000000000001E-2</v>
      </c>
      <c r="I120" s="13">
        <v>7983.53</v>
      </c>
      <c r="J120" s="13">
        <v>72139.16</v>
      </c>
      <c r="K120" s="13">
        <v>2971716.83</v>
      </c>
      <c r="L120" s="4">
        <v>544</v>
      </c>
    </row>
    <row r="121" spans="1:12">
      <c r="A121" s="4">
        <v>545</v>
      </c>
      <c r="B121" t="s">
        <v>528</v>
      </c>
      <c r="C121" s="21">
        <v>2022</v>
      </c>
      <c r="D121" s="81" t="s">
        <v>521</v>
      </c>
      <c r="E121" s="81" t="s">
        <v>521</v>
      </c>
      <c r="F121" s="406">
        <v>0</v>
      </c>
      <c r="G121" s="406">
        <v>2899577.6710252827</v>
      </c>
      <c r="H121" s="432">
        <v>3.5999999999999997E-2</v>
      </c>
      <c r="I121" s="13">
        <v>8915.15</v>
      </c>
      <c r="J121" s="13">
        <v>81054.31</v>
      </c>
      <c r="K121" s="13">
        <v>2980631.98</v>
      </c>
      <c r="L121" s="4">
        <v>545</v>
      </c>
    </row>
    <row r="122" spans="1:12">
      <c r="A122" s="4">
        <v>546</v>
      </c>
      <c r="B122" t="s">
        <v>529</v>
      </c>
      <c r="C122" s="21">
        <v>2022</v>
      </c>
      <c r="D122" s="81" t="s">
        <v>521</v>
      </c>
      <c r="E122" s="81" t="s">
        <v>521</v>
      </c>
      <c r="F122" s="406">
        <v>0</v>
      </c>
      <c r="G122" s="406">
        <v>2899577.6710252827</v>
      </c>
      <c r="H122" s="432">
        <v>3.5999999999999997E-2</v>
      </c>
      <c r="I122" s="13">
        <v>8915.15</v>
      </c>
      <c r="J122" s="13">
        <v>89969.459999999992</v>
      </c>
      <c r="K122" s="13">
        <v>2989547.13</v>
      </c>
      <c r="L122" s="4">
        <v>546</v>
      </c>
    </row>
    <row r="123" spans="1:12">
      <c r="A123" s="4">
        <v>547</v>
      </c>
      <c r="B123" t="s">
        <v>530</v>
      </c>
      <c r="C123" s="21">
        <v>2022</v>
      </c>
      <c r="D123" s="81" t="s">
        <v>521</v>
      </c>
      <c r="E123" s="81" t="s">
        <v>521</v>
      </c>
      <c r="F123" s="406">
        <v>0</v>
      </c>
      <c r="G123" s="406">
        <v>2899577.6710252827</v>
      </c>
      <c r="H123" s="432">
        <v>3.5999999999999997E-2</v>
      </c>
      <c r="I123" s="13">
        <v>8915.15</v>
      </c>
      <c r="J123" s="13">
        <v>98884.609999999986</v>
      </c>
      <c r="K123" s="13">
        <v>2998462.28</v>
      </c>
      <c r="L123" s="4">
        <v>547</v>
      </c>
    </row>
    <row r="124" spans="1:12">
      <c r="A124" s="4">
        <v>548</v>
      </c>
      <c r="B124" t="s">
        <v>531</v>
      </c>
      <c r="C124" s="21">
        <v>2022</v>
      </c>
      <c r="D124" s="81" t="s">
        <v>521</v>
      </c>
      <c r="E124" s="81" t="s">
        <v>521</v>
      </c>
      <c r="F124" s="406">
        <v>0</v>
      </c>
      <c r="G124" s="406">
        <v>2899577.6710252827</v>
      </c>
      <c r="H124" s="432">
        <v>4.9099999999999998E-2</v>
      </c>
      <c r="I124" s="13">
        <v>12268.71</v>
      </c>
      <c r="J124" s="13">
        <v>111153.31999999998</v>
      </c>
      <c r="K124" s="13">
        <v>3010730.99</v>
      </c>
      <c r="L124" s="4">
        <v>548</v>
      </c>
    </row>
    <row r="125" spans="1:12">
      <c r="A125" s="4">
        <v>549</v>
      </c>
      <c r="B125" t="s">
        <v>532</v>
      </c>
      <c r="C125" s="21">
        <v>2022</v>
      </c>
      <c r="D125" s="81" t="s">
        <v>521</v>
      </c>
      <c r="E125" s="81" t="s">
        <v>521</v>
      </c>
      <c r="F125" s="406">
        <v>0</v>
      </c>
      <c r="G125" s="406">
        <v>2899577.6710252827</v>
      </c>
      <c r="H125" s="432">
        <v>4.9099999999999998E-2</v>
      </c>
      <c r="I125" s="13">
        <v>12268.71</v>
      </c>
      <c r="J125" s="13">
        <v>123422.02999999997</v>
      </c>
      <c r="K125" s="13">
        <v>3022999.7</v>
      </c>
      <c r="L125" s="4">
        <v>549</v>
      </c>
    </row>
    <row r="126" spans="1:12">
      <c r="A126" s="4">
        <v>550</v>
      </c>
      <c r="B126" t="s">
        <v>520</v>
      </c>
      <c r="C126" s="21">
        <v>2022</v>
      </c>
      <c r="D126" s="81" t="s">
        <v>521</v>
      </c>
      <c r="E126" s="81" t="s">
        <v>521</v>
      </c>
      <c r="F126" s="406">
        <v>0</v>
      </c>
      <c r="G126" s="406">
        <v>2899577.6710252827</v>
      </c>
      <c r="H126" s="432">
        <v>4.9099999999999998E-2</v>
      </c>
      <c r="I126" s="13">
        <v>12268.71</v>
      </c>
      <c r="J126" s="13">
        <v>135690.73999999996</v>
      </c>
      <c r="K126" s="13">
        <v>3035268.41</v>
      </c>
      <c r="L126" s="4">
        <v>550</v>
      </c>
    </row>
    <row r="127" spans="1:12">
      <c r="A127" s="4"/>
      <c r="C127" s="21"/>
      <c r="D127" s="81"/>
      <c r="E127" s="81"/>
      <c r="F127" s="406"/>
      <c r="G127" s="406"/>
      <c r="H127" s="407"/>
      <c r="I127" s="13"/>
      <c r="J127" s="13"/>
      <c r="K127" s="13"/>
      <c r="L127" s="4"/>
    </row>
    <row r="128" spans="1:12">
      <c r="A128" s="3" t="s">
        <v>90</v>
      </c>
      <c r="B128" s="417" t="s">
        <v>489</v>
      </c>
      <c r="C128" s="418" t="s">
        <v>122</v>
      </c>
      <c r="D128" s="418" t="s">
        <v>123</v>
      </c>
      <c r="E128" s="418" t="s">
        <v>124</v>
      </c>
      <c r="F128" s="418" t="s">
        <v>125</v>
      </c>
      <c r="G128" s="418" t="s">
        <v>490</v>
      </c>
      <c r="H128" s="418" t="s">
        <v>491</v>
      </c>
      <c r="I128" s="418" t="s">
        <v>492</v>
      </c>
      <c r="J128" s="418" t="s">
        <v>493</v>
      </c>
      <c r="K128" s="419" t="s">
        <v>494</v>
      </c>
      <c r="L128" s="3" t="s">
        <v>90</v>
      </c>
    </row>
    <row r="129" spans="1:12">
      <c r="A129" s="4">
        <v>600</v>
      </c>
      <c r="B129" s="420" t="s">
        <v>537</v>
      </c>
      <c r="C129" s="4"/>
      <c r="D129" s="18" t="s">
        <v>101</v>
      </c>
      <c r="E129" s="18" t="s">
        <v>496</v>
      </c>
      <c r="F129" s="21" t="s">
        <v>551</v>
      </c>
      <c r="G129" s="21" t="s">
        <v>497</v>
      </c>
      <c r="H129" s="21" t="s">
        <v>498</v>
      </c>
      <c r="I129" s="21" t="s">
        <v>499</v>
      </c>
      <c r="J129" s="21" t="s">
        <v>500</v>
      </c>
      <c r="K129" s="421" t="s">
        <v>552</v>
      </c>
      <c r="L129" s="4">
        <v>600</v>
      </c>
    </row>
    <row r="130" spans="1:12">
      <c r="A130" s="4"/>
      <c r="B130" s="422"/>
      <c r="C130" s="4"/>
      <c r="D130" s="4"/>
      <c r="E130" s="4"/>
      <c r="F130" s="4"/>
      <c r="G130" s="4" t="s">
        <v>501</v>
      </c>
      <c r="H130" s="4"/>
      <c r="I130" s="4"/>
      <c r="J130" s="4"/>
      <c r="K130" s="423" t="s">
        <v>501</v>
      </c>
    </row>
    <row r="131" spans="1:12">
      <c r="B131" s="422"/>
      <c r="C131" s="4"/>
      <c r="D131" s="4" t="s">
        <v>505</v>
      </c>
      <c r="E131" s="4" t="s">
        <v>505</v>
      </c>
      <c r="F131" s="4"/>
      <c r="G131" s="4" t="s">
        <v>504</v>
      </c>
      <c r="H131" s="4"/>
      <c r="I131" s="4"/>
      <c r="J131" s="4"/>
      <c r="K131" s="423" t="s">
        <v>504</v>
      </c>
    </row>
    <row r="132" spans="1:12">
      <c r="A132" s="4"/>
      <c r="B132" s="420"/>
      <c r="C132" s="4"/>
      <c r="D132" s="4" t="s">
        <v>502</v>
      </c>
      <c r="E132" s="4" t="s">
        <v>503</v>
      </c>
      <c r="F132" s="4" t="s">
        <v>506</v>
      </c>
      <c r="G132" s="4" t="s">
        <v>507</v>
      </c>
      <c r="H132" s="4" t="s">
        <v>508</v>
      </c>
      <c r="I132" s="4" t="s">
        <v>502</v>
      </c>
      <c r="J132" s="4" t="s">
        <v>509</v>
      </c>
      <c r="K132" s="423" t="s">
        <v>510</v>
      </c>
    </row>
    <row r="133" spans="1:12">
      <c r="A133" s="4"/>
      <c r="B133" s="424" t="s">
        <v>511</v>
      </c>
      <c r="C133" s="425" t="s">
        <v>512</v>
      </c>
      <c r="D133" s="425" t="s">
        <v>513</v>
      </c>
      <c r="E133" s="425" t="s">
        <v>514</v>
      </c>
      <c r="F133" s="425" t="s">
        <v>515</v>
      </c>
      <c r="G133" s="425" t="s">
        <v>516</v>
      </c>
      <c r="H133" s="425" t="s">
        <v>517</v>
      </c>
      <c r="I133" s="425" t="s">
        <v>518</v>
      </c>
      <c r="J133" s="425" t="s">
        <v>518</v>
      </c>
      <c r="K133" s="426" t="s">
        <v>519</v>
      </c>
    </row>
    <row r="134" spans="1:12">
      <c r="A134" s="4">
        <v>601</v>
      </c>
      <c r="B134" t="s">
        <v>520</v>
      </c>
      <c r="C134" s="21">
        <v>2020</v>
      </c>
      <c r="D134" s="81" t="s">
        <v>521</v>
      </c>
      <c r="E134" s="81" t="s">
        <v>521</v>
      </c>
      <c r="F134" s="21" t="s">
        <v>521</v>
      </c>
      <c r="G134" s="40">
        <v>0</v>
      </c>
      <c r="H134" s="21" t="s">
        <v>521</v>
      </c>
      <c r="I134" s="21" t="s">
        <v>521</v>
      </c>
      <c r="J134" s="40">
        <v>0</v>
      </c>
      <c r="K134" s="13">
        <v>0</v>
      </c>
      <c r="L134" s="4">
        <v>601</v>
      </c>
    </row>
    <row r="135" spans="1:12">
      <c r="A135" s="4">
        <v>602</v>
      </c>
      <c r="B135" t="s">
        <v>522</v>
      </c>
      <c r="C135" s="21">
        <v>2021</v>
      </c>
      <c r="D135" s="396" t="s">
        <v>521</v>
      </c>
      <c r="E135" s="396" t="s">
        <v>521</v>
      </c>
      <c r="F135" s="406">
        <v>0</v>
      </c>
      <c r="G135" s="406">
        <v>0</v>
      </c>
      <c r="H135" s="432">
        <v>3.2500000000000001E-2</v>
      </c>
      <c r="I135" s="13">
        <v>0</v>
      </c>
      <c r="J135" s="13">
        <v>0</v>
      </c>
      <c r="K135" s="13">
        <v>0</v>
      </c>
      <c r="L135" s="4">
        <v>602</v>
      </c>
    </row>
    <row r="136" spans="1:12">
      <c r="A136" s="4">
        <v>603</v>
      </c>
      <c r="B136" t="s">
        <v>523</v>
      </c>
      <c r="C136" s="21">
        <v>2021</v>
      </c>
      <c r="D136" s="396" t="s">
        <v>521</v>
      </c>
      <c r="E136" s="396" t="s">
        <v>521</v>
      </c>
      <c r="F136" s="406">
        <v>0</v>
      </c>
      <c r="G136" s="406">
        <v>0</v>
      </c>
      <c r="H136" s="432">
        <v>3.2500000000000001E-2</v>
      </c>
      <c r="I136" s="13">
        <v>0</v>
      </c>
      <c r="J136" s="13">
        <v>0</v>
      </c>
      <c r="K136" s="13">
        <v>0</v>
      </c>
      <c r="L136" s="4">
        <v>603</v>
      </c>
    </row>
    <row r="137" spans="1:12">
      <c r="A137" s="4">
        <v>604</v>
      </c>
      <c r="B137" t="s">
        <v>524</v>
      </c>
      <c r="C137" s="21">
        <v>2021</v>
      </c>
      <c r="D137" s="396" t="s">
        <v>521</v>
      </c>
      <c r="E137" s="396" t="s">
        <v>521</v>
      </c>
      <c r="F137" s="406">
        <v>0</v>
      </c>
      <c r="G137" s="406">
        <v>0</v>
      </c>
      <c r="H137" s="432">
        <v>3.2500000000000001E-2</v>
      </c>
      <c r="I137" s="13">
        <v>0</v>
      </c>
      <c r="J137" s="13">
        <v>0</v>
      </c>
      <c r="K137" s="13">
        <v>0</v>
      </c>
      <c r="L137" s="4">
        <v>604</v>
      </c>
    </row>
    <row r="138" spans="1:12">
      <c r="A138" s="4">
        <v>605</v>
      </c>
      <c r="B138" t="s">
        <v>525</v>
      </c>
      <c r="C138" s="21">
        <v>2021</v>
      </c>
      <c r="D138" s="396" t="s">
        <v>521</v>
      </c>
      <c r="E138" s="396" t="s">
        <v>521</v>
      </c>
      <c r="F138" s="406">
        <v>0</v>
      </c>
      <c r="G138" s="406">
        <v>0</v>
      </c>
      <c r="H138" s="432">
        <v>3.2500000000000001E-2</v>
      </c>
      <c r="I138" s="13">
        <v>0</v>
      </c>
      <c r="J138" s="13">
        <v>0</v>
      </c>
      <c r="K138" s="13">
        <v>0</v>
      </c>
      <c r="L138" s="4">
        <v>605</v>
      </c>
    </row>
    <row r="139" spans="1:12">
      <c r="A139" s="4">
        <v>606</v>
      </c>
      <c r="B139" t="s">
        <v>526</v>
      </c>
      <c r="C139" s="21">
        <v>2021</v>
      </c>
      <c r="D139" s="396" t="s">
        <v>521</v>
      </c>
      <c r="E139" s="396" t="s">
        <v>521</v>
      </c>
      <c r="F139" s="406">
        <v>0</v>
      </c>
      <c r="G139" s="406">
        <v>0</v>
      </c>
      <c r="H139" s="432">
        <v>3.2500000000000001E-2</v>
      </c>
      <c r="I139" s="13">
        <v>0</v>
      </c>
      <c r="J139" s="13">
        <v>0</v>
      </c>
      <c r="K139" s="13">
        <v>0</v>
      </c>
      <c r="L139" s="4">
        <v>606</v>
      </c>
    </row>
    <row r="140" spans="1:12">
      <c r="A140" s="4">
        <v>607</v>
      </c>
      <c r="B140" t="s">
        <v>527</v>
      </c>
      <c r="C140" s="21">
        <v>2021</v>
      </c>
      <c r="D140" s="396">
        <v>12380.49323379905</v>
      </c>
      <c r="E140" s="396">
        <v>5612.7199999999993</v>
      </c>
      <c r="F140" s="406">
        <v>6767.773233799051</v>
      </c>
      <c r="G140" s="406">
        <v>6767.773233799051</v>
      </c>
      <c r="H140" s="432">
        <v>3.2500000000000001E-2</v>
      </c>
      <c r="I140" s="13">
        <v>9.16</v>
      </c>
      <c r="J140" s="13">
        <v>9.16</v>
      </c>
      <c r="K140" s="13">
        <v>6776.93</v>
      </c>
      <c r="L140" s="4">
        <v>607</v>
      </c>
    </row>
    <row r="141" spans="1:12">
      <c r="A141" s="4">
        <v>608</v>
      </c>
      <c r="B141" t="s">
        <v>528</v>
      </c>
      <c r="C141" s="21">
        <v>2021</v>
      </c>
      <c r="D141" s="396">
        <v>10900.753006651754</v>
      </c>
      <c r="E141" s="396">
        <v>5612.7199999999993</v>
      </c>
      <c r="F141" s="406">
        <v>5288.0330066517545</v>
      </c>
      <c r="G141" s="406">
        <v>12055.806240450805</v>
      </c>
      <c r="H141" s="432">
        <v>3.2500000000000001E-2</v>
      </c>
      <c r="I141" s="13">
        <v>25.52</v>
      </c>
      <c r="J141" s="13">
        <v>34.68</v>
      </c>
      <c r="K141" s="13">
        <v>12090.49</v>
      </c>
      <c r="L141" s="4">
        <v>608</v>
      </c>
    </row>
    <row r="142" spans="1:12">
      <c r="A142" s="4">
        <v>609</v>
      </c>
      <c r="B142" t="s">
        <v>529</v>
      </c>
      <c r="C142" s="21">
        <v>2021</v>
      </c>
      <c r="D142" s="396">
        <v>9914.2595218868883</v>
      </c>
      <c r="E142" s="396">
        <v>5612.7199999999993</v>
      </c>
      <c r="F142" s="406">
        <v>4301.5395218868889</v>
      </c>
      <c r="G142" s="406">
        <v>16357.345762337694</v>
      </c>
      <c r="H142" s="432">
        <v>3.2500000000000001E-2</v>
      </c>
      <c r="I142" s="13">
        <v>38.5</v>
      </c>
      <c r="J142" s="13">
        <v>73.180000000000007</v>
      </c>
      <c r="K142" s="13">
        <v>16430.53</v>
      </c>
      <c r="L142" s="4">
        <v>609</v>
      </c>
    </row>
    <row r="143" spans="1:12">
      <c r="A143" s="4">
        <v>610</v>
      </c>
      <c r="B143" t="s">
        <v>530</v>
      </c>
      <c r="C143" s="21">
        <v>2021</v>
      </c>
      <c r="D143" s="396">
        <v>7226.0647759026324</v>
      </c>
      <c r="E143" s="396">
        <v>5612.7199999999993</v>
      </c>
      <c r="F143" s="406">
        <v>1613.344775902633</v>
      </c>
      <c r="G143" s="406">
        <v>17970.690538240327</v>
      </c>
      <c r="H143" s="432">
        <v>3.2500000000000001E-2</v>
      </c>
      <c r="I143" s="13">
        <v>46.51</v>
      </c>
      <c r="J143" s="13">
        <v>119.69</v>
      </c>
      <c r="K143" s="13">
        <v>18090.38</v>
      </c>
      <c r="L143" s="4">
        <v>610</v>
      </c>
    </row>
    <row r="144" spans="1:12">
      <c r="A144" s="4">
        <v>611</v>
      </c>
      <c r="B144" t="s">
        <v>531</v>
      </c>
      <c r="C144" s="21">
        <v>2021</v>
      </c>
      <c r="D144" s="396">
        <v>6042.2725941847948</v>
      </c>
      <c r="E144" s="396">
        <v>5612.7199999999993</v>
      </c>
      <c r="F144" s="406">
        <v>429.55259418479545</v>
      </c>
      <c r="G144" s="406">
        <v>18400.243132425123</v>
      </c>
      <c r="H144" s="432">
        <v>3.2500000000000001E-2</v>
      </c>
      <c r="I144" s="13">
        <v>49.58</v>
      </c>
      <c r="J144" s="13">
        <v>169.26999999999998</v>
      </c>
      <c r="K144" s="13">
        <v>18569.509999999998</v>
      </c>
      <c r="L144" s="4">
        <v>611</v>
      </c>
    </row>
    <row r="145" spans="1:12">
      <c r="A145" s="4">
        <v>612</v>
      </c>
      <c r="B145" t="s">
        <v>532</v>
      </c>
      <c r="C145" s="21">
        <v>2021</v>
      </c>
      <c r="D145" s="396">
        <v>4069.2856246550659</v>
      </c>
      <c r="E145" s="396">
        <v>5612.7199999999993</v>
      </c>
      <c r="F145" s="406">
        <v>-1543.4343753449334</v>
      </c>
      <c r="G145" s="406">
        <v>16856.808757080191</v>
      </c>
      <c r="H145" s="432">
        <v>3.2500000000000001E-2</v>
      </c>
      <c r="I145" s="13">
        <v>48.07</v>
      </c>
      <c r="J145" s="13">
        <v>217.33999999999997</v>
      </c>
      <c r="K145" s="13">
        <v>17074.150000000001</v>
      </c>
      <c r="L145" s="4">
        <v>612</v>
      </c>
    </row>
    <row r="146" spans="1:12">
      <c r="A146" s="4">
        <v>613</v>
      </c>
      <c r="B146" t="s">
        <v>520</v>
      </c>
      <c r="C146" s="21">
        <v>2021</v>
      </c>
      <c r="D146" s="396">
        <v>0</v>
      </c>
      <c r="E146" s="396">
        <v>0</v>
      </c>
      <c r="F146" s="406">
        <v>0</v>
      </c>
      <c r="G146" s="406">
        <v>16856.808757080191</v>
      </c>
      <c r="H146" s="432">
        <v>3.2500000000000001E-2</v>
      </c>
      <c r="I146" s="13">
        <v>45.98</v>
      </c>
      <c r="J146" s="13">
        <v>263.32</v>
      </c>
      <c r="K146" s="13">
        <v>17120.13</v>
      </c>
      <c r="L146" s="4">
        <v>613</v>
      </c>
    </row>
    <row r="147" spans="1:12">
      <c r="A147" s="4">
        <v>614</v>
      </c>
      <c r="B147" t="s">
        <v>522</v>
      </c>
      <c r="C147" s="21">
        <v>2022</v>
      </c>
      <c r="D147" s="81" t="s">
        <v>521</v>
      </c>
      <c r="E147" s="81" t="s">
        <v>521</v>
      </c>
      <c r="F147" s="406">
        <v>0</v>
      </c>
      <c r="G147" s="406">
        <v>16856.808757080191</v>
      </c>
      <c r="H147" s="432">
        <v>3.2500000000000001E-2</v>
      </c>
      <c r="I147" s="13">
        <v>46.37</v>
      </c>
      <c r="J147" s="13">
        <v>309.69</v>
      </c>
      <c r="K147" s="13">
        <v>17166.5</v>
      </c>
      <c r="L147" s="4">
        <v>614</v>
      </c>
    </row>
    <row r="148" spans="1:12">
      <c r="A148" s="4">
        <v>615</v>
      </c>
      <c r="B148" t="s">
        <v>523</v>
      </c>
      <c r="C148" s="21">
        <v>2022</v>
      </c>
      <c r="D148" s="81" t="s">
        <v>521</v>
      </c>
      <c r="E148" s="81" t="s">
        <v>521</v>
      </c>
      <c r="F148" s="406">
        <v>0</v>
      </c>
      <c r="G148" s="406">
        <v>16856.808757080191</v>
      </c>
      <c r="H148" s="432">
        <v>3.2500000000000001E-2</v>
      </c>
      <c r="I148" s="13">
        <v>46.37</v>
      </c>
      <c r="J148" s="13">
        <v>356.06</v>
      </c>
      <c r="K148" s="13">
        <v>17212.87</v>
      </c>
      <c r="L148" s="4">
        <v>615</v>
      </c>
    </row>
    <row r="149" spans="1:12">
      <c r="A149" s="4">
        <v>616</v>
      </c>
      <c r="B149" t="s">
        <v>524</v>
      </c>
      <c r="C149" s="21">
        <v>2022</v>
      </c>
      <c r="D149" s="81" t="s">
        <v>521</v>
      </c>
      <c r="E149" s="81" t="s">
        <v>521</v>
      </c>
      <c r="F149" s="406">
        <v>0</v>
      </c>
      <c r="G149" s="406">
        <v>16856.808757080191</v>
      </c>
      <c r="H149" s="432">
        <v>3.2500000000000001E-2</v>
      </c>
      <c r="I149" s="13">
        <v>46.37</v>
      </c>
      <c r="J149" s="13">
        <v>402.43</v>
      </c>
      <c r="K149" s="13">
        <v>17259.240000000002</v>
      </c>
      <c r="L149" s="4">
        <v>616</v>
      </c>
    </row>
    <row r="150" spans="1:12">
      <c r="A150" s="4">
        <v>617</v>
      </c>
      <c r="B150" t="s">
        <v>525</v>
      </c>
      <c r="C150" s="21">
        <v>2022</v>
      </c>
      <c r="D150" s="81" t="s">
        <v>521</v>
      </c>
      <c r="E150" s="81" t="s">
        <v>521</v>
      </c>
      <c r="F150" s="406">
        <v>0</v>
      </c>
      <c r="G150" s="406">
        <v>16856.808757080191</v>
      </c>
      <c r="H150" s="432">
        <v>3.2500000000000001E-2</v>
      </c>
      <c r="I150" s="13">
        <v>46.74</v>
      </c>
      <c r="J150" s="13">
        <v>449.17</v>
      </c>
      <c r="K150" s="13">
        <v>17305.98</v>
      </c>
      <c r="L150" s="4">
        <v>617</v>
      </c>
    </row>
    <row r="151" spans="1:12">
      <c r="A151" s="4">
        <v>618</v>
      </c>
      <c r="B151" t="s">
        <v>526</v>
      </c>
      <c r="C151" s="21">
        <v>2022</v>
      </c>
      <c r="D151" s="81" t="s">
        <v>521</v>
      </c>
      <c r="E151" s="81" t="s">
        <v>521</v>
      </c>
      <c r="F151" s="406">
        <v>0</v>
      </c>
      <c r="G151" s="406">
        <v>16856.808757080191</v>
      </c>
      <c r="H151" s="432">
        <v>3.2500000000000001E-2</v>
      </c>
      <c r="I151" s="13">
        <v>46.74</v>
      </c>
      <c r="J151" s="13">
        <v>495.91</v>
      </c>
      <c r="K151" s="13">
        <v>17352.72</v>
      </c>
      <c r="L151" s="4">
        <v>618</v>
      </c>
    </row>
    <row r="152" spans="1:12">
      <c r="A152" s="4">
        <v>619</v>
      </c>
      <c r="B152" t="s">
        <v>527</v>
      </c>
      <c r="C152" s="21">
        <v>2022</v>
      </c>
      <c r="D152" s="81" t="s">
        <v>521</v>
      </c>
      <c r="E152" s="81" t="s">
        <v>521</v>
      </c>
      <c r="F152" s="406">
        <v>0</v>
      </c>
      <c r="G152" s="406">
        <v>16856.808757080191</v>
      </c>
      <c r="H152" s="432">
        <v>3.2500000000000001E-2</v>
      </c>
      <c r="I152" s="13">
        <v>46.74</v>
      </c>
      <c r="J152" s="13">
        <v>542.65</v>
      </c>
      <c r="K152" s="13">
        <v>17399.46</v>
      </c>
      <c r="L152" s="4">
        <v>619</v>
      </c>
    </row>
    <row r="153" spans="1:12">
      <c r="A153" s="4">
        <v>620</v>
      </c>
      <c r="B153" t="s">
        <v>528</v>
      </c>
      <c r="C153" s="21">
        <v>2022</v>
      </c>
      <c r="D153" s="81" t="s">
        <v>521</v>
      </c>
      <c r="E153" s="81" t="s">
        <v>521</v>
      </c>
      <c r="F153" s="406">
        <v>0</v>
      </c>
      <c r="G153" s="406">
        <v>16856.808757080191</v>
      </c>
      <c r="H153" s="432">
        <v>3.5999999999999997E-2</v>
      </c>
      <c r="I153" s="13">
        <v>52.2</v>
      </c>
      <c r="J153" s="13">
        <v>594.85</v>
      </c>
      <c r="K153" s="13">
        <v>17451.66</v>
      </c>
      <c r="L153" s="4">
        <v>620</v>
      </c>
    </row>
    <row r="154" spans="1:12">
      <c r="A154" s="4">
        <v>621</v>
      </c>
      <c r="B154" t="s">
        <v>529</v>
      </c>
      <c r="C154" s="21">
        <v>2022</v>
      </c>
      <c r="D154" s="81" t="s">
        <v>521</v>
      </c>
      <c r="E154" s="81" t="s">
        <v>521</v>
      </c>
      <c r="F154" s="406">
        <v>0</v>
      </c>
      <c r="G154" s="406">
        <v>16856.808757080191</v>
      </c>
      <c r="H154" s="432">
        <v>3.5999999999999997E-2</v>
      </c>
      <c r="I154" s="13">
        <v>52.2</v>
      </c>
      <c r="J154" s="13">
        <v>647.05000000000007</v>
      </c>
      <c r="K154" s="13">
        <v>17503.86</v>
      </c>
      <c r="L154" s="4">
        <v>621</v>
      </c>
    </row>
    <row r="155" spans="1:12">
      <c r="A155" s="4">
        <v>622</v>
      </c>
      <c r="B155" t="s">
        <v>530</v>
      </c>
      <c r="C155" s="21">
        <v>2022</v>
      </c>
      <c r="D155" s="81" t="s">
        <v>521</v>
      </c>
      <c r="E155" s="81" t="s">
        <v>521</v>
      </c>
      <c r="F155" s="406">
        <v>0</v>
      </c>
      <c r="G155" s="406">
        <v>16856.808757080191</v>
      </c>
      <c r="H155" s="432">
        <v>3.5999999999999997E-2</v>
      </c>
      <c r="I155" s="13">
        <v>52.2</v>
      </c>
      <c r="J155" s="13">
        <v>699.25000000000011</v>
      </c>
      <c r="K155" s="13">
        <v>17556.060000000001</v>
      </c>
      <c r="L155" s="4">
        <v>622</v>
      </c>
    </row>
    <row r="156" spans="1:12">
      <c r="A156" s="4">
        <v>623</v>
      </c>
      <c r="B156" t="s">
        <v>531</v>
      </c>
      <c r="C156" s="21">
        <v>2022</v>
      </c>
      <c r="D156" s="81" t="s">
        <v>521</v>
      </c>
      <c r="E156" s="81" t="s">
        <v>521</v>
      </c>
      <c r="F156" s="406">
        <v>0</v>
      </c>
      <c r="G156" s="406">
        <v>16856.808757080191</v>
      </c>
      <c r="H156" s="432">
        <v>4.9099999999999998E-2</v>
      </c>
      <c r="I156" s="13">
        <v>71.83</v>
      </c>
      <c r="J156" s="13">
        <v>771.08000000000015</v>
      </c>
      <c r="K156" s="13">
        <v>17627.89</v>
      </c>
      <c r="L156" s="4">
        <v>623</v>
      </c>
    </row>
    <row r="157" spans="1:12">
      <c r="A157" s="4">
        <v>624</v>
      </c>
      <c r="B157" t="s">
        <v>532</v>
      </c>
      <c r="C157" s="21">
        <v>2022</v>
      </c>
      <c r="D157" s="81" t="s">
        <v>521</v>
      </c>
      <c r="E157" s="81" t="s">
        <v>521</v>
      </c>
      <c r="F157" s="406">
        <v>0</v>
      </c>
      <c r="G157" s="406">
        <v>16856.808757080191</v>
      </c>
      <c r="H157" s="432">
        <v>4.9099999999999998E-2</v>
      </c>
      <c r="I157" s="13">
        <v>71.83</v>
      </c>
      <c r="J157" s="13">
        <v>842.9100000000002</v>
      </c>
      <c r="K157" s="13">
        <v>17699.72</v>
      </c>
      <c r="L157" s="4">
        <v>624</v>
      </c>
    </row>
    <row r="158" spans="1:12">
      <c r="A158" s="4">
        <v>625</v>
      </c>
      <c r="B158" t="s">
        <v>520</v>
      </c>
      <c r="C158" s="21">
        <v>2022</v>
      </c>
      <c r="D158" s="81" t="s">
        <v>521</v>
      </c>
      <c r="E158" s="81" t="s">
        <v>521</v>
      </c>
      <c r="F158" s="406">
        <v>0</v>
      </c>
      <c r="G158" s="406">
        <v>16856.808757080191</v>
      </c>
      <c r="H158" s="432">
        <v>4.9099999999999998E-2</v>
      </c>
      <c r="I158" s="13">
        <v>71.83</v>
      </c>
      <c r="J158" s="13">
        <v>914.74000000000024</v>
      </c>
      <c r="K158" s="13">
        <v>17771.55</v>
      </c>
      <c r="L158" s="4">
        <v>625</v>
      </c>
    </row>
    <row r="159" spans="1:12">
      <c r="A159" s="4"/>
      <c r="C159" s="21"/>
      <c r="D159" s="81"/>
      <c r="E159" s="81"/>
      <c r="F159" s="406"/>
      <c r="G159" s="406"/>
      <c r="H159" s="407"/>
      <c r="I159" s="13"/>
      <c r="J159" s="13"/>
      <c r="K159" s="13"/>
      <c r="L159" s="4"/>
    </row>
    <row r="160" spans="1:12">
      <c r="A160" s="4"/>
      <c r="B160" s="417" t="s">
        <v>489</v>
      </c>
      <c r="C160" s="427"/>
      <c r="D160" s="427"/>
      <c r="E160" s="427"/>
      <c r="F160" s="427"/>
      <c r="G160" s="427" t="s">
        <v>501</v>
      </c>
      <c r="H160" s="427"/>
      <c r="I160" s="427"/>
      <c r="J160" s="427"/>
      <c r="K160" s="428" t="s">
        <v>501</v>
      </c>
    </row>
    <row r="161" spans="1:12">
      <c r="B161" s="420" t="s">
        <v>537</v>
      </c>
      <c r="C161" s="4"/>
      <c r="D161" s="4" t="s">
        <v>536</v>
      </c>
      <c r="E161" s="4" t="s">
        <v>536</v>
      </c>
      <c r="F161" s="4"/>
      <c r="G161" s="4" t="s">
        <v>504</v>
      </c>
      <c r="H161" s="4"/>
      <c r="I161" s="4"/>
      <c r="J161" s="4"/>
      <c r="K161" s="423" t="s">
        <v>504</v>
      </c>
    </row>
    <row r="162" spans="1:12">
      <c r="A162" s="4"/>
      <c r="B162" s="420"/>
      <c r="C162" s="4"/>
      <c r="D162" s="4" t="s">
        <v>502</v>
      </c>
      <c r="E162" s="4" t="s">
        <v>503</v>
      </c>
      <c r="F162" s="4" t="s">
        <v>506</v>
      </c>
      <c r="G162" s="4" t="s">
        <v>507</v>
      </c>
      <c r="H162" s="4" t="s">
        <v>508</v>
      </c>
      <c r="I162" s="4" t="s">
        <v>502</v>
      </c>
      <c r="J162" s="4" t="s">
        <v>509</v>
      </c>
      <c r="K162" s="423" t="s">
        <v>510</v>
      </c>
    </row>
    <row r="163" spans="1:12">
      <c r="A163" s="4"/>
      <c r="B163" s="424" t="s">
        <v>511</v>
      </c>
      <c r="C163" s="425" t="s">
        <v>512</v>
      </c>
      <c r="D163" s="425" t="s">
        <v>513</v>
      </c>
      <c r="E163" s="425" t="s">
        <v>514</v>
      </c>
      <c r="F163" s="425" t="s">
        <v>515</v>
      </c>
      <c r="G163" s="425" t="s">
        <v>516</v>
      </c>
      <c r="H163" s="425" t="s">
        <v>517</v>
      </c>
      <c r="I163" s="425" t="s">
        <v>518</v>
      </c>
      <c r="J163" s="425" t="s">
        <v>518</v>
      </c>
      <c r="K163" s="426" t="s">
        <v>519</v>
      </c>
    </row>
    <row r="164" spans="1:12">
      <c r="A164" s="4">
        <v>626</v>
      </c>
      <c r="B164" t="s">
        <v>520</v>
      </c>
      <c r="C164" s="21">
        <v>2020</v>
      </c>
      <c r="D164" s="81" t="s">
        <v>521</v>
      </c>
      <c r="E164" s="81" t="s">
        <v>521</v>
      </c>
      <c r="F164" s="21" t="s">
        <v>521</v>
      </c>
      <c r="G164" s="40">
        <v>0</v>
      </c>
      <c r="H164" s="21" t="s">
        <v>521</v>
      </c>
      <c r="I164" s="21" t="s">
        <v>521</v>
      </c>
      <c r="J164" s="40">
        <v>0</v>
      </c>
      <c r="K164" s="13">
        <v>0</v>
      </c>
      <c r="L164" s="4">
        <v>626</v>
      </c>
    </row>
    <row r="165" spans="1:12">
      <c r="A165" s="4">
        <v>627</v>
      </c>
      <c r="B165" t="s">
        <v>522</v>
      </c>
      <c r="C165" s="21">
        <v>2021</v>
      </c>
      <c r="D165" s="396" t="s">
        <v>521</v>
      </c>
      <c r="E165" s="396" t="s">
        <v>521</v>
      </c>
      <c r="F165" s="406">
        <v>0</v>
      </c>
      <c r="G165" s="406">
        <v>0</v>
      </c>
      <c r="H165" s="432">
        <v>3.2500000000000001E-2</v>
      </c>
      <c r="I165" s="13">
        <v>0</v>
      </c>
      <c r="J165" s="13">
        <v>0</v>
      </c>
      <c r="K165" s="13">
        <v>0</v>
      </c>
      <c r="L165" s="4">
        <v>627</v>
      </c>
    </row>
    <row r="166" spans="1:12">
      <c r="A166" s="4">
        <v>628</v>
      </c>
      <c r="B166" t="s">
        <v>523</v>
      </c>
      <c r="C166" s="21">
        <v>2021</v>
      </c>
      <c r="D166" s="396" t="s">
        <v>521</v>
      </c>
      <c r="E166" s="396" t="s">
        <v>521</v>
      </c>
      <c r="F166" s="406">
        <v>0</v>
      </c>
      <c r="G166" s="406">
        <v>0</v>
      </c>
      <c r="H166" s="432">
        <v>3.2500000000000001E-2</v>
      </c>
      <c r="I166" s="13">
        <v>0</v>
      </c>
      <c r="J166" s="13">
        <v>0</v>
      </c>
      <c r="K166" s="13">
        <v>0</v>
      </c>
      <c r="L166" s="4">
        <v>628</v>
      </c>
    </row>
    <row r="167" spans="1:12">
      <c r="A167" s="4">
        <v>629</v>
      </c>
      <c r="B167" t="s">
        <v>524</v>
      </c>
      <c r="C167" s="21">
        <v>2021</v>
      </c>
      <c r="D167" s="396" t="s">
        <v>521</v>
      </c>
      <c r="E167" s="396" t="s">
        <v>521</v>
      </c>
      <c r="F167" s="406">
        <v>0</v>
      </c>
      <c r="G167" s="406">
        <v>0</v>
      </c>
      <c r="H167" s="432">
        <v>3.2500000000000001E-2</v>
      </c>
      <c r="I167" s="13">
        <v>0</v>
      </c>
      <c r="J167" s="13">
        <v>0</v>
      </c>
      <c r="K167" s="13">
        <v>0</v>
      </c>
      <c r="L167" s="4">
        <v>629</v>
      </c>
    </row>
    <row r="168" spans="1:12">
      <c r="A168" s="4">
        <v>630</v>
      </c>
      <c r="B168" t="s">
        <v>525</v>
      </c>
      <c r="C168" s="21">
        <v>2021</v>
      </c>
      <c r="D168" s="396" t="s">
        <v>521</v>
      </c>
      <c r="E168" s="396" t="s">
        <v>521</v>
      </c>
      <c r="F168" s="406">
        <v>0</v>
      </c>
      <c r="G168" s="406">
        <v>0</v>
      </c>
      <c r="H168" s="432">
        <v>3.2500000000000001E-2</v>
      </c>
      <c r="I168" s="13">
        <v>0</v>
      </c>
      <c r="J168" s="13">
        <v>0</v>
      </c>
      <c r="K168" s="13">
        <v>0</v>
      </c>
      <c r="L168" s="4">
        <v>630</v>
      </c>
    </row>
    <row r="169" spans="1:12">
      <c r="A169" s="4">
        <v>631</v>
      </c>
      <c r="B169" t="s">
        <v>526</v>
      </c>
      <c r="C169" s="21">
        <v>2021</v>
      </c>
      <c r="D169" s="396" t="s">
        <v>521</v>
      </c>
      <c r="E169" s="396" t="s">
        <v>521</v>
      </c>
      <c r="F169" s="406">
        <v>0</v>
      </c>
      <c r="G169" s="406">
        <v>0</v>
      </c>
      <c r="H169" s="432">
        <v>3.2500000000000001E-2</v>
      </c>
      <c r="I169" s="13">
        <v>0</v>
      </c>
      <c r="J169" s="13">
        <v>0</v>
      </c>
      <c r="K169" s="13">
        <v>0</v>
      </c>
      <c r="L169" s="4">
        <v>631</v>
      </c>
    </row>
    <row r="170" spans="1:12">
      <c r="A170" s="4">
        <v>632</v>
      </c>
      <c r="B170" t="s">
        <v>527</v>
      </c>
      <c r="C170" s="21">
        <v>2021</v>
      </c>
      <c r="D170" s="396">
        <v>26159.519256036761</v>
      </c>
      <c r="E170" s="396">
        <v>8751.8340000000007</v>
      </c>
      <c r="F170" s="406">
        <v>17407.685256036762</v>
      </c>
      <c r="G170" s="406">
        <v>17407.685256036762</v>
      </c>
      <c r="H170" s="432">
        <v>3.2500000000000001E-2</v>
      </c>
      <c r="I170" s="13">
        <v>23.57</v>
      </c>
      <c r="J170" s="13">
        <v>23.57</v>
      </c>
      <c r="K170" s="13">
        <v>17431.259999999998</v>
      </c>
      <c r="L170" s="4">
        <v>632</v>
      </c>
    </row>
    <row r="171" spans="1:12">
      <c r="A171" s="4">
        <v>633</v>
      </c>
      <c r="B171" t="s">
        <v>528</v>
      </c>
      <c r="C171" s="21">
        <v>2021</v>
      </c>
      <c r="D171" s="396">
        <v>21468.070322027299</v>
      </c>
      <c r="E171" s="396">
        <v>8751.8340000000007</v>
      </c>
      <c r="F171" s="406">
        <v>12716.236322027298</v>
      </c>
      <c r="G171" s="406">
        <v>30123.921578064059</v>
      </c>
      <c r="H171" s="432">
        <v>3.2500000000000001E-2</v>
      </c>
      <c r="I171" s="13">
        <v>64.430000000000007</v>
      </c>
      <c r="J171" s="13">
        <v>88</v>
      </c>
      <c r="K171" s="13">
        <v>30211.919999999998</v>
      </c>
      <c r="L171" s="4">
        <v>633</v>
      </c>
    </row>
    <row r="172" spans="1:12">
      <c r="A172" s="4">
        <v>634</v>
      </c>
      <c r="B172" t="s">
        <v>529</v>
      </c>
      <c r="C172" s="21">
        <v>2021</v>
      </c>
      <c r="D172" s="396">
        <v>17189.46889421067</v>
      </c>
      <c r="E172" s="396">
        <v>8751.8340000000007</v>
      </c>
      <c r="F172" s="406">
        <v>8437.6348942106688</v>
      </c>
      <c r="G172" s="406">
        <v>38561.556472274729</v>
      </c>
      <c r="H172" s="432">
        <v>3.2500000000000001E-2</v>
      </c>
      <c r="I172" s="13">
        <v>93.08</v>
      </c>
      <c r="J172" s="13">
        <v>181.07999999999998</v>
      </c>
      <c r="K172" s="13">
        <v>38742.639999999999</v>
      </c>
      <c r="L172" s="4">
        <v>634</v>
      </c>
    </row>
    <row r="173" spans="1:12">
      <c r="A173" s="4">
        <v>635</v>
      </c>
      <c r="B173" t="s">
        <v>530</v>
      </c>
      <c r="C173" s="21">
        <v>2021</v>
      </c>
      <c r="D173" s="396">
        <v>5216.8912146185221</v>
      </c>
      <c r="E173" s="396">
        <v>8751.8340000000007</v>
      </c>
      <c r="F173" s="406">
        <v>-3534.9427853814786</v>
      </c>
      <c r="G173" s="406">
        <v>35026.613686893252</v>
      </c>
      <c r="H173" s="432">
        <v>3.2500000000000001E-2</v>
      </c>
      <c r="I173" s="13">
        <v>99.71</v>
      </c>
      <c r="J173" s="13">
        <v>280.78999999999996</v>
      </c>
      <c r="K173" s="13">
        <v>35307.4</v>
      </c>
      <c r="L173" s="4">
        <v>635</v>
      </c>
    </row>
    <row r="174" spans="1:12">
      <c r="A174" s="4">
        <v>636</v>
      </c>
      <c r="B174" t="s">
        <v>531</v>
      </c>
      <c r="C174" s="21">
        <v>2021</v>
      </c>
      <c r="D174" s="396">
        <v>5141.8280316743703</v>
      </c>
      <c r="E174" s="396">
        <v>8751.8340000000007</v>
      </c>
      <c r="F174" s="406">
        <v>-3610.0059683256304</v>
      </c>
      <c r="G174" s="406">
        <v>31416.607718567622</v>
      </c>
      <c r="H174" s="432">
        <v>3.2500000000000001E-2</v>
      </c>
      <c r="I174" s="13">
        <v>90.74</v>
      </c>
      <c r="J174" s="13">
        <v>371.53</v>
      </c>
      <c r="K174" s="13">
        <v>31788.14</v>
      </c>
      <c r="L174" s="4">
        <v>636</v>
      </c>
    </row>
    <row r="175" spans="1:12">
      <c r="A175" s="4">
        <v>637</v>
      </c>
      <c r="B175" t="s">
        <v>532</v>
      </c>
      <c r="C175" s="21">
        <v>2021</v>
      </c>
      <c r="D175" s="396">
        <v>13586.436112891402</v>
      </c>
      <c r="E175" s="396">
        <v>8751.8340000000007</v>
      </c>
      <c r="F175" s="406">
        <v>4834.6021128914017</v>
      </c>
      <c r="G175" s="406">
        <v>36251.209831459026</v>
      </c>
      <c r="H175" s="432">
        <v>3.2500000000000001E-2</v>
      </c>
      <c r="I175" s="13">
        <v>92.39</v>
      </c>
      <c r="J175" s="13">
        <v>463.91999999999996</v>
      </c>
      <c r="K175" s="13">
        <v>36715.129999999997</v>
      </c>
      <c r="L175" s="4">
        <v>637</v>
      </c>
    </row>
    <row r="176" spans="1:12">
      <c r="A176" s="4">
        <v>638</v>
      </c>
      <c r="B176" t="s">
        <v>520</v>
      </c>
      <c r="C176" s="21">
        <v>2021</v>
      </c>
      <c r="D176" s="396">
        <v>0</v>
      </c>
      <c r="E176" s="396">
        <v>0</v>
      </c>
      <c r="F176" s="406">
        <v>0</v>
      </c>
      <c r="G176" s="406">
        <v>36251.209831459026</v>
      </c>
      <c r="H176" s="432">
        <v>3.2500000000000001E-2</v>
      </c>
      <c r="I176" s="13">
        <v>98.94</v>
      </c>
      <c r="J176" s="13">
        <v>562.8599999999999</v>
      </c>
      <c r="K176" s="13">
        <v>36814.07</v>
      </c>
      <c r="L176" s="4">
        <v>638</v>
      </c>
    </row>
    <row r="177" spans="1:12">
      <c r="A177" s="4">
        <v>639</v>
      </c>
      <c r="B177" t="s">
        <v>522</v>
      </c>
      <c r="C177" s="21">
        <v>2022</v>
      </c>
      <c r="D177" s="81" t="s">
        <v>521</v>
      </c>
      <c r="E177" s="81" t="s">
        <v>521</v>
      </c>
      <c r="F177" s="406">
        <v>0</v>
      </c>
      <c r="G177" s="406">
        <v>36251.209831459026</v>
      </c>
      <c r="H177" s="432">
        <v>3.2500000000000001E-2</v>
      </c>
      <c r="I177" s="13">
        <v>99.7</v>
      </c>
      <c r="J177" s="13">
        <v>662.56</v>
      </c>
      <c r="K177" s="13">
        <v>36913.769999999997</v>
      </c>
      <c r="L177" s="4">
        <v>639</v>
      </c>
    </row>
    <row r="178" spans="1:12">
      <c r="A178" s="4">
        <v>640</v>
      </c>
      <c r="B178" t="s">
        <v>523</v>
      </c>
      <c r="C178" s="21">
        <v>2022</v>
      </c>
      <c r="D178" s="81" t="s">
        <v>521</v>
      </c>
      <c r="E178" s="81" t="s">
        <v>521</v>
      </c>
      <c r="F178" s="406">
        <v>0</v>
      </c>
      <c r="G178" s="406">
        <v>36251.209831459026</v>
      </c>
      <c r="H178" s="432">
        <v>3.2500000000000001E-2</v>
      </c>
      <c r="I178" s="13">
        <v>99.7</v>
      </c>
      <c r="J178" s="13">
        <v>762.26</v>
      </c>
      <c r="K178" s="13">
        <v>37013.47</v>
      </c>
      <c r="L178" s="4">
        <v>640</v>
      </c>
    </row>
    <row r="179" spans="1:12">
      <c r="A179" s="4">
        <v>641</v>
      </c>
      <c r="B179" t="s">
        <v>524</v>
      </c>
      <c r="C179" s="21">
        <v>2022</v>
      </c>
      <c r="D179" s="81" t="s">
        <v>521</v>
      </c>
      <c r="E179" s="81" t="s">
        <v>521</v>
      </c>
      <c r="F179" s="406">
        <v>0</v>
      </c>
      <c r="G179" s="406">
        <v>36251.209831459026</v>
      </c>
      <c r="H179" s="432">
        <v>3.2500000000000001E-2</v>
      </c>
      <c r="I179" s="13">
        <v>99.7</v>
      </c>
      <c r="J179" s="13">
        <v>861.96</v>
      </c>
      <c r="K179" s="13">
        <v>37113.17</v>
      </c>
      <c r="L179" s="4">
        <v>641</v>
      </c>
    </row>
    <row r="180" spans="1:12">
      <c r="A180" s="4">
        <v>642</v>
      </c>
      <c r="B180" t="s">
        <v>525</v>
      </c>
      <c r="C180" s="21">
        <v>2022</v>
      </c>
      <c r="D180" s="81" t="s">
        <v>521</v>
      </c>
      <c r="E180" s="81" t="s">
        <v>521</v>
      </c>
      <c r="F180" s="406">
        <v>0</v>
      </c>
      <c r="G180" s="406">
        <v>36251.209831459026</v>
      </c>
      <c r="H180" s="432">
        <v>3.2500000000000001E-2</v>
      </c>
      <c r="I180" s="13">
        <v>100.51</v>
      </c>
      <c r="J180" s="13">
        <v>962.47</v>
      </c>
      <c r="K180" s="13">
        <v>37213.68</v>
      </c>
      <c r="L180" s="4">
        <v>642</v>
      </c>
    </row>
    <row r="181" spans="1:12">
      <c r="A181" s="4">
        <v>643</v>
      </c>
      <c r="B181" t="s">
        <v>526</v>
      </c>
      <c r="C181" s="21">
        <v>2022</v>
      </c>
      <c r="D181" s="81" t="s">
        <v>521</v>
      </c>
      <c r="E181" s="81" t="s">
        <v>521</v>
      </c>
      <c r="F181" s="406">
        <v>0</v>
      </c>
      <c r="G181" s="406">
        <v>36251.209831459026</v>
      </c>
      <c r="H181" s="432">
        <v>3.2500000000000001E-2</v>
      </c>
      <c r="I181" s="13">
        <v>100.51</v>
      </c>
      <c r="J181" s="13">
        <v>1062.98</v>
      </c>
      <c r="K181" s="13">
        <v>37314.19</v>
      </c>
      <c r="L181" s="4">
        <v>643</v>
      </c>
    </row>
    <row r="182" spans="1:12">
      <c r="A182" s="4">
        <v>644</v>
      </c>
      <c r="B182" t="s">
        <v>527</v>
      </c>
      <c r="C182" s="21">
        <v>2022</v>
      </c>
      <c r="D182" s="81" t="s">
        <v>521</v>
      </c>
      <c r="E182" s="81" t="s">
        <v>521</v>
      </c>
      <c r="F182" s="406">
        <v>0</v>
      </c>
      <c r="G182" s="406">
        <v>36251.209831459026</v>
      </c>
      <c r="H182" s="432">
        <v>3.2500000000000001E-2</v>
      </c>
      <c r="I182" s="13">
        <v>100.51</v>
      </c>
      <c r="J182" s="13">
        <v>1163.49</v>
      </c>
      <c r="K182" s="13">
        <v>37414.699999999997</v>
      </c>
      <c r="L182" s="4">
        <v>644</v>
      </c>
    </row>
    <row r="183" spans="1:12">
      <c r="A183" s="4">
        <v>645</v>
      </c>
      <c r="B183" t="s">
        <v>528</v>
      </c>
      <c r="C183" s="21">
        <v>2022</v>
      </c>
      <c r="D183" s="81" t="s">
        <v>521</v>
      </c>
      <c r="E183" s="81" t="s">
        <v>521</v>
      </c>
      <c r="F183" s="406">
        <v>0</v>
      </c>
      <c r="G183" s="406">
        <v>36251.209831459026</v>
      </c>
      <c r="H183" s="432">
        <v>3.5999999999999997E-2</v>
      </c>
      <c r="I183" s="13">
        <v>112.24</v>
      </c>
      <c r="J183" s="13">
        <v>1275.73</v>
      </c>
      <c r="K183" s="13">
        <v>37526.94</v>
      </c>
      <c r="L183" s="4">
        <v>645</v>
      </c>
    </row>
    <row r="184" spans="1:12">
      <c r="A184" s="4">
        <v>646</v>
      </c>
      <c r="B184" t="s">
        <v>529</v>
      </c>
      <c r="C184" s="21">
        <v>2022</v>
      </c>
      <c r="D184" s="81" t="s">
        <v>521</v>
      </c>
      <c r="E184" s="81" t="s">
        <v>521</v>
      </c>
      <c r="F184" s="406">
        <v>0</v>
      </c>
      <c r="G184" s="406">
        <v>36251.209831459026</v>
      </c>
      <c r="H184" s="432">
        <v>3.5999999999999997E-2</v>
      </c>
      <c r="I184" s="13">
        <v>112.24</v>
      </c>
      <c r="J184" s="13">
        <v>1387.97</v>
      </c>
      <c r="K184" s="13">
        <v>37639.18</v>
      </c>
      <c r="L184" s="4">
        <v>646</v>
      </c>
    </row>
    <row r="185" spans="1:12">
      <c r="A185" s="4">
        <v>647</v>
      </c>
      <c r="B185" t="s">
        <v>530</v>
      </c>
      <c r="C185" s="21">
        <v>2022</v>
      </c>
      <c r="D185" s="81" t="s">
        <v>521</v>
      </c>
      <c r="E185" s="81" t="s">
        <v>521</v>
      </c>
      <c r="F185" s="406">
        <v>0</v>
      </c>
      <c r="G185" s="406">
        <v>36251.209831459026</v>
      </c>
      <c r="H185" s="432">
        <v>3.5999999999999997E-2</v>
      </c>
      <c r="I185" s="13">
        <v>112.24</v>
      </c>
      <c r="J185" s="13">
        <v>1500.21</v>
      </c>
      <c r="K185" s="13">
        <v>37751.42</v>
      </c>
      <c r="L185" s="4">
        <v>647</v>
      </c>
    </row>
    <row r="186" spans="1:12">
      <c r="A186" s="4">
        <v>648</v>
      </c>
      <c r="B186" t="s">
        <v>531</v>
      </c>
      <c r="C186" s="21">
        <v>2022</v>
      </c>
      <c r="D186" s="81" t="s">
        <v>521</v>
      </c>
      <c r="E186" s="81" t="s">
        <v>521</v>
      </c>
      <c r="F186" s="406">
        <v>0</v>
      </c>
      <c r="G186" s="406">
        <v>36251.209831459026</v>
      </c>
      <c r="H186" s="432">
        <v>4.9099999999999998E-2</v>
      </c>
      <c r="I186" s="13">
        <v>154.47</v>
      </c>
      <c r="J186" s="13">
        <v>1654.68</v>
      </c>
      <c r="K186" s="13">
        <v>37905.89</v>
      </c>
      <c r="L186" s="4">
        <v>648</v>
      </c>
    </row>
    <row r="187" spans="1:12">
      <c r="A187" s="4">
        <v>649</v>
      </c>
      <c r="B187" t="s">
        <v>532</v>
      </c>
      <c r="C187" s="21">
        <v>2022</v>
      </c>
      <c r="D187" s="81" t="s">
        <v>521</v>
      </c>
      <c r="E187" s="81" t="s">
        <v>521</v>
      </c>
      <c r="F187" s="406">
        <v>0</v>
      </c>
      <c r="G187" s="406">
        <v>36251.209831459026</v>
      </c>
      <c r="H187" s="432">
        <v>4.9099999999999998E-2</v>
      </c>
      <c r="I187" s="13">
        <v>154.47</v>
      </c>
      <c r="J187" s="13">
        <v>1809.15</v>
      </c>
      <c r="K187" s="13">
        <v>38060.36</v>
      </c>
      <c r="L187" s="4">
        <v>649</v>
      </c>
    </row>
    <row r="188" spans="1:12">
      <c r="A188" s="4">
        <v>650</v>
      </c>
      <c r="B188" t="s">
        <v>520</v>
      </c>
      <c r="C188" s="21">
        <v>2022</v>
      </c>
      <c r="D188" s="81" t="s">
        <v>521</v>
      </c>
      <c r="E188" s="81" t="s">
        <v>521</v>
      </c>
      <c r="F188" s="406">
        <v>0</v>
      </c>
      <c r="G188" s="406">
        <v>36251.209831459026</v>
      </c>
      <c r="H188" s="432">
        <v>4.9099999999999998E-2</v>
      </c>
      <c r="I188" s="13">
        <v>154.47</v>
      </c>
      <c r="J188" s="13">
        <v>1963.6200000000001</v>
      </c>
      <c r="K188" s="13">
        <v>38214.83</v>
      </c>
      <c r="L188" s="4">
        <v>650</v>
      </c>
    </row>
    <row r="189" spans="1:12">
      <c r="A189" s="3"/>
      <c r="B189" s="2"/>
    </row>
    <row r="190" spans="1:12">
      <c r="A190" s="3" t="s">
        <v>90</v>
      </c>
      <c r="B190" s="417" t="s">
        <v>489</v>
      </c>
      <c r="C190" s="418" t="s">
        <v>122</v>
      </c>
      <c r="D190" s="418" t="s">
        <v>123</v>
      </c>
      <c r="E190" s="418" t="s">
        <v>124</v>
      </c>
      <c r="F190" s="418" t="s">
        <v>125</v>
      </c>
      <c r="G190" s="418" t="s">
        <v>490</v>
      </c>
      <c r="H190" s="418" t="s">
        <v>491</v>
      </c>
      <c r="I190" s="418" t="s">
        <v>492</v>
      </c>
      <c r="J190" s="418" t="s">
        <v>493</v>
      </c>
      <c r="K190" s="419" t="s">
        <v>494</v>
      </c>
      <c r="L190" s="3" t="s">
        <v>90</v>
      </c>
    </row>
    <row r="191" spans="1:12">
      <c r="A191" s="4">
        <v>700</v>
      </c>
      <c r="B191" s="420" t="s">
        <v>538</v>
      </c>
      <c r="C191" s="4"/>
      <c r="D191" s="18" t="s">
        <v>101</v>
      </c>
      <c r="E191" s="18" t="s">
        <v>496</v>
      </c>
      <c r="F191" s="21" t="s">
        <v>551</v>
      </c>
      <c r="G191" s="21" t="s">
        <v>497</v>
      </c>
      <c r="H191" s="21" t="s">
        <v>498</v>
      </c>
      <c r="I191" s="21" t="s">
        <v>499</v>
      </c>
      <c r="J191" s="21" t="s">
        <v>500</v>
      </c>
      <c r="K191" s="421" t="s">
        <v>552</v>
      </c>
      <c r="L191" s="4">
        <v>700</v>
      </c>
    </row>
    <row r="192" spans="1:12">
      <c r="A192" s="4"/>
      <c r="B192" s="422"/>
      <c r="C192" s="4"/>
      <c r="D192" s="4"/>
      <c r="E192" s="4"/>
      <c r="F192" s="4"/>
      <c r="G192" s="4" t="s">
        <v>501</v>
      </c>
      <c r="H192" s="4"/>
      <c r="I192" s="4"/>
      <c r="J192" s="4"/>
      <c r="K192" s="423" t="s">
        <v>501</v>
      </c>
    </row>
    <row r="193" spans="1:12">
      <c r="B193" s="422"/>
      <c r="C193" s="4"/>
      <c r="D193" s="4" t="s">
        <v>505</v>
      </c>
      <c r="E193" s="4" t="s">
        <v>505</v>
      </c>
      <c r="F193" s="4"/>
      <c r="G193" s="4" t="s">
        <v>504</v>
      </c>
      <c r="H193" s="4"/>
      <c r="I193" s="4"/>
      <c r="J193" s="4"/>
      <c r="K193" s="423" t="s">
        <v>504</v>
      </c>
    </row>
    <row r="194" spans="1:12">
      <c r="A194" s="4"/>
      <c r="B194" s="420"/>
      <c r="C194" s="4"/>
      <c r="D194" s="4" t="s">
        <v>502</v>
      </c>
      <c r="E194" s="4" t="s">
        <v>503</v>
      </c>
      <c r="F194" s="4" t="s">
        <v>506</v>
      </c>
      <c r="G194" s="4" t="s">
        <v>507</v>
      </c>
      <c r="H194" s="4" t="s">
        <v>508</v>
      </c>
      <c r="I194" s="4" t="s">
        <v>502</v>
      </c>
      <c r="J194" s="4" t="s">
        <v>509</v>
      </c>
      <c r="K194" s="423" t="s">
        <v>510</v>
      </c>
    </row>
    <row r="195" spans="1:12">
      <c r="A195" s="4"/>
      <c r="B195" s="424" t="s">
        <v>511</v>
      </c>
      <c r="C195" s="425" t="s">
        <v>512</v>
      </c>
      <c r="D195" s="425" t="s">
        <v>513</v>
      </c>
      <c r="E195" s="425" t="s">
        <v>514</v>
      </c>
      <c r="F195" s="425" t="s">
        <v>515</v>
      </c>
      <c r="G195" s="425" t="s">
        <v>516</v>
      </c>
      <c r="H195" s="425" t="s">
        <v>517</v>
      </c>
      <c r="I195" s="425" t="s">
        <v>518</v>
      </c>
      <c r="J195" s="425" t="s">
        <v>518</v>
      </c>
      <c r="K195" s="426" t="s">
        <v>519</v>
      </c>
    </row>
    <row r="196" spans="1:12">
      <c r="A196" s="4">
        <v>701</v>
      </c>
      <c r="B196" t="s">
        <v>520</v>
      </c>
      <c r="C196" s="21">
        <v>2020</v>
      </c>
      <c r="D196" s="81" t="s">
        <v>521</v>
      </c>
      <c r="E196" s="81" t="s">
        <v>521</v>
      </c>
      <c r="F196" s="21" t="s">
        <v>521</v>
      </c>
      <c r="G196" s="40">
        <v>0</v>
      </c>
      <c r="H196" s="21" t="s">
        <v>521</v>
      </c>
      <c r="I196" s="21" t="s">
        <v>521</v>
      </c>
      <c r="J196" s="40">
        <v>0</v>
      </c>
      <c r="K196" s="13">
        <v>0</v>
      </c>
      <c r="L196" s="4">
        <v>701</v>
      </c>
    </row>
    <row r="197" spans="1:12">
      <c r="A197" s="4">
        <v>702</v>
      </c>
      <c r="B197" t="s">
        <v>522</v>
      </c>
      <c r="C197" s="21">
        <v>2021</v>
      </c>
      <c r="D197" s="396" t="s">
        <v>521</v>
      </c>
      <c r="E197" s="396" t="s">
        <v>521</v>
      </c>
      <c r="F197" s="406">
        <v>0</v>
      </c>
      <c r="G197" s="406">
        <v>0</v>
      </c>
      <c r="H197" s="432">
        <v>3.2500000000000001E-2</v>
      </c>
      <c r="I197" s="13">
        <v>0</v>
      </c>
      <c r="J197" s="13">
        <v>0</v>
      </c>
      <c r="K197" s="13">
        <v>0</v>
      </c>
      <c r="L197" s="4">
        <v>702</v>
      </c>
    </row>
    <row r="198" spans="1:12">
      <c r="A198" s="4">
        <v>703</v>
      </c>
      <c r="B198" t="s">
        <v>523</v>
      </c>
      <c r="C198" s="21">
        <v>2021</v>
      </c>
      <c r="D198" s="396" t="s">
        <v>521</v>
      </c>
      <c r="E198" s="396" t="s">
        <v>521</v>
      </c>
      <c r="F198" s="406">
        <v>0</v>
      </c>
      <c r="G198" s="406">
        <v>0</v>
      </c>
      <c r="H198" s="432">
        <v>3.2500000000000001E-2</v>
      </c>
      <c r="I198" s="13">
        <v>0</v>
      </c>
      <c r="J198" s="13">
        <v>0</v>
      </c>
      <c r="K198" s="13">
        <v>0</v>
      </c>
      <c r="L198" s="4">
        <v>703</v>
      </c>
    </row>
    <row r="199" spans="1:12">
      <c r="A199" s="4">
        <v>704</v>
      </c>
      <c r="B199" t="s">
        <v>524</v>
      </c>
      <c r="C199" s="21">
        <v>2021</v>
      </c>
      <c r="D199" s="396" t="s">
        <v>521</v>
      </c>
      <c r="E199" s="396" t="s">
        <v>521</v>
      </c>
      <c r="F199" s="406">
        <v>0</v>
      </c>
      <c r="G199" s="406">
        <v>0</v>
      </c>
      <c r="H199" s="432">
        <v>3.2500000000000001E-2</v>
      </c>
      <c r="I199" s="13">
        <v>0</v>
      </c>
      <c r="J199" s="13">
        <v>0</v>
      </c>
      <c r="K199" s="13">
        <v>0</v>
      </c>
      <c r="L199" s="4">
        <v>704</v>
      </c>
    </row>
    <row r="200" spans="1:12">
      <c r="A200" s="4">
        <v>705</v>
      </c>
      <c r="B200" t="s">
        <v>525</v>
      </c>
      <c r="C200" s="21">
        <v>2021</v>
      </c>
      <c r="D200" s="396" t="s">
        <v>521</v>
      </c>
      <c r="E200" s="396" t="s">
        <v>521</v>
      </c>
      <c r="F200" s="406">
        <v>0</v>
      </c>
      <c r="G200" s="406">
        <v>0</v>
      </c>
      <c r="H200" s="432">
        <v>3.2500000000000001E-2</v>
      </c>
      <c r="I200" s="13">
        <v>0</v>
      </c>
      <c r="J200" s="13">
        <v>0</v>
      </c>
      <c r="K200" s="13">
        <v>0</v>
      </c>
      <c r="L200" s="4">
        <v>705</v>
      </c>
    </row>
    <row r="201" spans="1:12">
      <c r="A201" s="4">
        <v>706</v>
      </c>
      <c r="B201" t="s">
        <v>526</v>
      </c>
      <c r="C201" s="21">
        <v>2021</v>
      </c>
      <c r="D201" s="396" t="s">
        <v>521</v>
      </c>
      <c r="E201" s="396" t="s">
        <v>521</v>
      </c>
      <c r="F201" s="406">
        <v>0</v>
      </c>
      <c r="G201" s="406">
        <v>0</v>
      </c>
      <c r="H201" s="432">
        <v>3.2500000000000001E-2</v>
      </c>
      <c r="I201" s="13">
        <v>0</v>
      </c>
      <c r="J201" s="13">
        <v>0</v>
      </c>
      <c r="K201" s="13">
        <v>0</v>
      </c>
      <c r="L201" s="4">
        <v>706</v>
      </c>
    </row>
    <row r="202" spans="1:12">
      <c r="A202" s="4">
        <v>707</v>
      </c>
      <c r="B202" t="s">
        <v>527</v>
      </c>
      <c r="C202" s="21">
        <v>2021</v>
      </c>
      <c r="D202" s="396">
        <v>88592.079296709097</v>
      </c>
      <c r="E202" s="396">
        <v>37639.89</v>
      </c>
      <c r="F202" s="406">
        <v>50952.189296709097</v>
      </c>
      <c r="G202" s="406">
        <v>50952.189296709097</v>
      </c>
      <c r="H202" s="432">
        <v>3.2500000000000001E-2</v>
      </c>
      <c r="I202" s="13">
        <v>69</v>
      </c>
      <c r="J202" s="13">
        <v>69</v>
      </c>
      <c r="K202" s="13">
        <v>51021.19</v>
      </c>
      <c r="L202" s="4">
        <v>707</v>
      </c>
    </row>
    <row r="203" spans="1:12">
      <c r="A203" s="4">
        <v>708</v>
      </c>
      <c r="B203" t="s">
        <v>528</v>
      </c>
      <c r="C203" s="21">
        <v>2021</v>
      </c>
      <c r="D203" s="396">
        <v>83247.157468853344</v>
      </c>
      <c r="E203" s="396">
        <v>37639.89</v>
      </c>
      <c r="F203" s="406">
        <v>45607.267468853344</v>
      </c>
      <c r="G203" s="406">
        <v>96559.456765562441</v>
      </c>
      <c r="H203" s="432">
        <v>3.2500000000000001E-2</v>
      </c>
      <c r="I203" s="13">
        <v>199.94</v>
      </c>
      <c r="J203" s="13">
        <v>268.94</v>
      </c>
      <c r="K203" s="13">
        <v>96828.4</v>
      </c>
      <c r="L203" s="4">
        <v>708</v>
      </c>
    </row>
    <row r="204" spans="1:12">
      <c r="A204" s="4">
        <v>709</v>
      </c>
      <c r="B204" t="s">
        <v>529</v>
      </c>
      <c r="C204" s="21">
        <v>2021</v>
      </c>
      <c r="D204" s="396">
        <v>88706.613335877439</v>
      </c>
      <c r="E204" s="396">
        <v>37639.89</v>
      </c>
      <c r="F204" s="406">
        <v>51066.723335877439</v>
      </c>
      <c r="G204" s="406">
        <v>147626.18010143988</v>
      </c>
      <c r="H204" s="432">
        <v>3.2500000000000001E-2</v>
      </c>
      <c r="I204" s="13">
        <v>330.85</v>
      </c>
      <c r="J204" s="13">
        <v>599.79</v>
      </c>
      <c r="K204" s="13">
        <v>148225.97</v>
      </c>
      <c r="L204" s="4">
        <v>709</v>
      </c>
    </row>
    <row r="205" spans="1:12">
      <c r="A205" s="4">
        <v>710</v>
      </c>
      <c r="B205" t="s">
        <v>530</v>
      </c>
      <c r="C205" s="21">
        <v>2021</v>
      </c>
      <c r="D205" s="396">
        <v>63394.590679674839</v>
      </c>
      <c r="E205" s="396">
        <v>37639.89</v>
      </c>
      <c r="F205" s="406">
        <v>25754.700679674839</v>
      </c>
      <c r="G205" s="406">
        <v>173380.88078111471</v>
      </c>
      <c r="H205" s="432">
        <v>3.2500000000000001E-2</v>
      </c>
      <c r="I205" s="13">
        <v>434.88</v>
      </c>
      <c r="J205" s="13">
        <v>1034.67</v>
      </c>
      <c r="K205" s="13">
        <v>174415.55</v>
      </c>
      <c r="L205" s="4">
        <v>710</v>
      </c>
    </row>
    <row r="206" spans="1:12">
      <c r="A206" s="4">
        <v>711</v>
      </c>
      <c r="B206" t="s">
        <v>531</v>
      </c>
      <c r="C206" s="21">
        <v>2021</v>
      </c>
      <c r="D206" s="396">
        <v>63604.569751483454</v>
      </c>
      <c r="E206" s="396">
        <v>37639.89</v>
      </c>
      <c r="F206" s="406">
        <v>25964.679751483454</v>
      </c>
      <c r="G206" s="406">
        <v>199345.56053259817</v>
      </c>
      <c r="H206" s="432">
        <v>3.2500000000000001E-2</v>
      </c>
      <c r="I206" s="13">
        <v>507.54</v>
      </c>
      <c r="J206" s="13">
        <v>1542.21</v>
      </c>
      <c r="K206" s="13">
        <v>200887.77</v>
      </c>
      <c r="L206" s="4">
        <v>711</v>
      </c>
    </row>
    <row r="207" spans="1:12">
      <c r="A207" s="4">
        <v>712</v>
      </c>
      <c r="B207" t="s">
        <v>532</v>
      </c>
      <c r="C207" s="21">
        <v>2021</v>
      </c>
      <c r="D207" s="396">
        <v>50223.176175316017</v>
      </c>
      <c r="E207" s="396">
        <v>37639.89</v>
      </c>
      <c r="F207" s="406">
        <v>12583.286175316018</v>
      </c>
      <c r="G207" s="406">
        <v>211928.8467079142</v>
      </c>
      <c r="H207" s="432">
        <v>3.2500000000000001E-2</v>
      </c>
      <c r="I207" s="13">
        <v>559.74</v>
      </c>
      <c r="J207" s="13">
        <v>2101.9499999999998</v>
      </c>
      <c r="K207" s="13">
        <v>214030.8</v>
      </c>
      <c r="L207" s="4">
        <v>712</v>
      </c>
    </row>
    <row r="208" spans="1:12">
      <c r="A208" s="4">
        <v>713</v>
      </c>
      <c r="B208" t="s">
        <v>520</v>
      </c>
      <c r="C208" s="21">
        <v>2021</v>
      </c>
      <c r="D208" s="396">
        <v>43923.804021057455</v>
      </c>
      <c r="E208" s="396">
        <v>37639.89</v>
      </c>
      <c r="F208" s="406">
        <v>6283.9140210574551</v>
      </c>
      <c r="G208" s="406">
        <v>218212.76072897165</v>
      </c>
      <c r="H208" s="432">
        <v>3.2500000000000001E-2</v>
      </c>
      <c r="I208" s="13">
        <v>585.29</v>
      </c>
      <c r="J208" s="13">
        <v>2687.24</v>
      </c>
      <c r="K208" s="13">
        <v>220900</v>
      </c>
      <c r="L208" s="4">
        <v>713</v>
      </c>
    </row>
    <row r="209" spans="1:12">
      <c r="A209" s="4">
        <v>714</v>
      </c>
      <c r="B209" t="s">
        <v>522</v>
      </c>
      <c r="C209" s="21">
        <v>2022</v>
      </c>
      <c r="D209" s="81" t="s">
        <v>521</v>
      </c>
      <c r="E209" s="81" t="s">
        <v>521</v>
      </c>
      <c r="F209" s="406">
        <v>0</v>
      </c>
      <c r="G209" s="406">
        <v>218212.76072897165</v>
      </c>
      <c r="H209" s="432">
        <v>3.2500000000000001E-2</v>
      </c>
      <c r="I209" s="13">
        <v>598.27</v>
      </c>
      <c r="J209" s="13">
        <v>3285.5099999999998</v>
      </c>
      <c r="K209" s="13">
        <v>221498.27</v>
      </c>
      <c r="L209" s="4">
        <v>714</v>
      </c>
    </row>
    <row r="210" spans="1:12">
      <c r="A210" s="4">
        <v>715</v>
      </c>
      <c r="B210" t="s">
        <v>523</v>
      </c>
      <c r="C210" s="21">
        <v>2022</v>
      </c>
      <c r="D210" s="81" t="s">
        <v>521</v>
      </c>
      <c r="E210" s="81" t="s">
        <v>521</v>
      </c>
      <c r="F210" s="406">
        <v>0</v>
      </c>
      <c r="G210" s="406">
        <v>218212.76072897165</v>
      </c>
      <c r="H210" s="432">
        <v>3.2500000000000001E-2</v>
      </c>
      <c r="I210" s="13">
        <v>598.27</v>
      </c>
      <c r="J210" s="13">
        <v>3883.7799999999997</v>
      </c>
      <c r="K210" s="13">
        <v>222096.54</v>
      </c>
      <c r="L210" s="4">
        <v>715</v>
      </c>
    </row>
    <row r="211" spans="1:12">
      <c r="A211" s="4">
        <v>716</v>
      </c>
      <c r="B211" t="s">
        <v>524</v>
      </c>
      <c r="C211" s="21">
        <v>2022</v>
      </c>
      <c r="D211" s="81" t="s">
        <v>521</v>
      </c>
      <c r="E211" s="81" t="s">
        <v>521</v>
      </c>
      <c r="F211" s="406">
        <v>0</v>
      </c>
      <c r="G211" s="406">
        <v>218212.76072897165</v>
      </c>
      <c r="H211" s="432">
        <v>3.2500000000000001E-2</v>
      </c>
      <c r="I211" s="13">
        <v>598.27</v>
      </c>
      <c r="J211" s="13">
        <v>4482.0499999999993</v>
      </c>
      <c r="K211" s="13">
        <v>222694.81</v>
      </c>
      <c r="L211" s="4">
        <v>716</v>
      </c>
    </row>
    <row r="212" spans="1:12">
      <c r="A212" s="4">
        <v>717</v>
      </c>
      <c r="B212" t="s">
        <v>525</v>
      </c>
      <c r="C212" s="21">
        <v>2022</v>
      </c>
      <c r="D212" s="81" t="s">
        <v>521</v>
      </c>
      <c r="E212" s="81" t="s">
        <v>521</v>
      </c>
      <c r="F212" s="406">
        <v>0</v>
      </c>
      <c r="G212" s="406">
        <v>218212.76072897165</v>
      </c>
      <c r="H212" s="432">
        <v>3.2500000000000001E-2</v>
      </c>
      <c r="I212" s="13">
        <v>603.13</v>
      </c>
      <c r="J212" s="13">
        <v>5085.1799999999994</v>
      </c>
      <c r="K212" s="13">
        <v>223297.94</v>
      </c>
      <c r="L212" s="4">
        <v>717</v>
      </c>
    </row>
    <row r="213" spans="1:12">
      <c r="A213" s="4">
        <v>718</v>
      </c>
      <c r="B213" t="s">
        <v>526</v>
      </c>
      <c r="C213" s="21">
        <v>2022</v>
      </c>
      <c r="D213" s="81" t="s">
        <v>521</v>
      </c>
      <c r="E213" s="81" t="s">
        <v>521</v>
      </c>
      <c r="F213" s="406">
        <v>0</v>
      </c>
      <c r="G213" s="406">
        <v>218212.76072897165</v>
      </c>
      <c r="H213" s="432">
        <v>3.2500000000000001E-2</v>
      </c>
      <c r="I213" s="13">
        <v>603.13</v>
      </c>
      <c r="J213" s="13">
        <v>5688.3099999999995</v>
      </c>
      <c r="K213" s="13">
        <v>223901.07</v>
      </c>
      <c r="L213" s="4">
        <v>718</v>
      </c>
    </row>
    <row r="214" spans="1:12">
      <c r="A214" s="4">
        <v>719</v>
      </c>
      <c r="B214" t="s">
        <v>527</v>
      </c>
      <c r="C214" s="21">
        <v>2022</v>
      </c>
      <c r="D214" s="81" t="s">
        <v>521</v>
      </c>
      <c r="E214" s="81" t="s">
        <v>521</v>
      </c>
      <c r="F214" s="406">
        <v>0</v>
      </c>
      <c r="G214" s="406">
        <v>218212.76072897165</v>
      </c>
      <c r="H214" s="432">
        <v>3.2500000000000001E-2</v>
      </c>
      <c r="I214" s="13">
        <v>603.13</v>
      </c>
      <c r="J214" s="13">
        <v>6291.44</v>
      </c>
      <c r="K214" s="13">
        <v>224504.2</v>
      </c>
      <c r="L214" s="4">
        <v>719</v>
      </c>
    </row>
    <row r="215" spans="1:12">
      <c r="A215" s="4">
        <v>720</v>
      </c>
      <c r="B215" t="s">
        <v>528</v>
      </c>
      <c r="C215" s="21">
        <v>2022</v>
      </c>
      <c r="D215" s="81" t="s">
        <v>521</v>
      </c>
      <c r="E215" s="81" t="s">
        <v>521</v>
      </c>
      <c r="F215" s="406">
        <v>0</v>
      </c>
      <c r="G215" s="406">
        <v>218212.76072897165</v>
      </c>
      <c r="H215" s="432">
        <v>3.5999999999999997E-2</v>
      </c>
      <c r="I215" s="13">
        <v>673.51</v>
      </c>
      <c r="J215" s="13">
        <v>6964.95</v>
      </c>
      <c r="K215" s="13">
        <v>225177.71</v>
      </c>
      <c r="L215" s="4">
        <v>720</v>
      </c>
    </row>
    <row r="216" spans="1:12">
      <c r="A216" s="4">
        <v>721</v>
      </c>
      <c r="B216" t="s">
        <v>529</v>
      </c>
      <c r="C216" s="21">
        <v>2022</v>
      </c>
      <c r="D216" s="81" t="s">
        <v>521</v>
      </c>
      <c r="E216" s="81" t="s">
        <v>521</v>
      </c>
      <c r="F216" s="406">
        <v>0</v>
      </c>
      <c r="G216" s="406">
        <v>218212.76072897165</v>
      </c>
      <c r="H216" s="432">
        <v>3.5999999999999997E-2</v>
      </c>
      <c r="I216" s="13">
        <v>673.51</v>
      </c>
      <c r="J216" s="13">
        <v>7638.46</v>
      </c>
      <c r="K216" s="13">
        <v>225851.22</v>
      </c>
      <c r="L216" s="4">
        <v>721</v>
      </c>
    </row>
    <row r="217" spans="1:12">
      <c r="A217" s="4">
        <v>722</v>
      </c>
      <c r="B217" t="s">
        <v>530</v>
      </c>
      <c r="C217" s="21">
        <v>2022</v>
      </c>
      <c r="D217" s="81" t="s">
        <v>521</v>
      </c>
      <c r="E217" s="81" t="s">
        <v>521</v>
      </c>
      <c r="F217" s="406">
        <v>0</v>
      </c>
      <c r="G217" s="406">
        <v>218212.76072897165</v>
      </c>
      <c r="H217" s="432">
        <v>3.5999999999999997E-2</v>
      </c>
      <c r="I217" s="13">
        <v>673.51</v>
      </c>
      <c r="J217" s="13">
        <v>8311.9699999999993</v>
      </c>
      <c r="K217" s="13">
        <v>226524.73</v>
      </c>
      <c r="L217" s="4">
        <v>722</v>
      </c>
    </row>
    <row r="218" spans="1:12">
      <c r="A218" s="4">
        <v>723</v>
      </c>
      <c r="B218" t="s">
        <v>531</v>
      </c>
      <c r="C218" s="21">
        <v>2022</v>
      </c>
      <c r="D218" s="81" t="s">
        <v>521</v>
      </c>
      <c r="E218" s="81" t="s">
        <v>521</v>
      </c>
      <c r="F218" s="406">
        <v>0</v>
      </c>
      <c r="G218" s="406">
        <v>218212.76072897165</v>
      </c>
      <c r="H218" s="432">
        <v>4.9099999999999998E-2</v>
      </c>
      <c r="I218" s="13">
        <v>926.86</v>
      </c>
      <c r="J218" s="13">
        <v>9238.83</v>
      </c>
      <c r="K218" s="13">
        <v>227451.59</v>
      </c>
      <c r="L218" s="4">
        <v>723</v>
      </c>
    </row>
    <row r="219" spans="1:12">
      <c r="A219" s="4">
        <v>724</v>
      </c>
      <c r="B219" t="s">
        <v>532</v>
      </c>
      <c r="C219" s="21">
        <v>2022</v>
      </c>
      <c r="D219" s="81" t="s">
        <v>521</v>
      </c>
      <c r="E219" s="81" t="s">
        <v>521</v>
      </c>
      <c r="F219" s="406">
        <v>0</v>
      </c>
      <c r="G219" s="406">
        <v>218212.76072897165</v>
      </c>
      <c r="H219" s="432">
        <v>4.9099999999999998E-2</v>
      </c>
      <c r="I219" s="13">
        <v>926.86</v>
      </c>
      <c r="J219" s="13">
        <v>10165.69</v>
      </c>
      <c r="K219" s="13">
        <v>228378.45</v>
      </c>
      <c r="L219" s="4">
        <v>724</v>
      </c>
    </row>
    <row r="220" spans="1:12">
      <c r="A220" s="4">
        <v>725</v>
      </c>
      <c r="B220" t="s">
        <v>520</v>
      </c>
      <c r="C220" s="21">
        <v>2022</v>
      </c>
      <c r="D220" s="81" t="s">
        <v>521</v>
      </c>
      <c r="E220" s="81" t="s">
        <v>521</v>
      </c>
      <c r="F220" s="406">
        <v>0</v>
      </c>
      <c r="G220" s="406">
        <v>218212.76072897165</v>
      </c>
      <c r="H220" s="432">
        <v>4.9099999999999998E-2</v>
      </c>
      <c r="I220" s="13">
        <v>926.86</v>
      </c>
      <c r="J220" s="13">
        <v>11092.550000000001</v>
      </c>
      <c r="K220" s="13">
        <v>229305.31</v>
      </c>
      <c r="L220" s="4">
        <v>725</v>
      </c>
    </row>
    <row r="221" spans="1:12">
      <c r="A221" s="3"/>
      <c r="B221" s="2"/>
    </row>
    <row r="222" spans="1:12">
      <c r="A222" s="3" t="s">
        <v>90</v>
      </c>
      <c r="B222" s="417" t="s">
        <v>489</v>
      </c>
      <c r="C222" s="418" t="s">
        <v>122</v>
      </c>
      <c r="D222" s="418" t="s">
        <v>123</v>
      </c>
      <c r="E222" s="418" t="s">
        <v>124</v>
      </c>
      <c r="F222" s="418" t="s">
        <v>125</v>
      </c>
      <c r="G222" s="418" t="s">
        <v>490</v>
      </c>
      <c r="H222" s="418" t="s">
        <v>491</v>
      </c>
      <c r="I222" s="418" t="s">
        <v>492</v>
      </c>
      <c r="J222" s="418" t="s">
        <v>493</v>
      </c>
      <c r="K222" s="419" t="s">
        <v>494</v>
      </c>
      <c r="L222" s="3" t="s">
        <v>90</v>
      </c>
    </row>
    <row r="223" spans="1:12">
      <c r="A223" s="4">
        <v>800</v>
      </c>
      <c r="B223" s="420" t="s">
        <v>539</v>
      </c>
      <c r="C223" s="4"/>
      <c r="D223" s="18" t="s">
        <v>101</v>
      </c>
      <c r="E223" s="18" t="s">
        <v>496</v>
      </c>
      <c r="F223" s="21" t="s">
        <v>551</v>
      </c>
      <c r="G223" s="21" t="s">
        <v>497</v>
      </c>
      <c r="H223" s="21" t="s">
        <v>498</v>
      </c>
      <c r="I223" s="21" t="s">
        <v>499</v>
      </c>
      <c r="J223" s="21" t="s">
        <v>500</v>
      </c>
      <c r="K223" s="421" t="s">
        <v>552</v>
      </c>
      <c r="L223" s="4">
        <v>800</v>
      </c>
    </row>
    <row r="224" spans="1:12">
      <c r="A224" s="4"/>
      <c r="B224" s="422"/>
      <c r="C224" s="4"/>
      <c r="D224" s="4"/>
      <c r="E224" s="4"/>
      <c r="F224" s="4"/>
      <c r="G224" s="4" t="s">
        <v>501</v>
      </c>
      <c r="H224" s="4"/>
      <c r="I224" s="4"/>
      <c r="J224" s="4"/>
      <c r="K224" s="423" t="s">
        <v>501</v>
      </c>
    </row>
    <row r="225" spans="1:12">
      <c r="B225" s="422"/>
      <c r="C225" s="4"/>
      <c r="D225" s="4" t="s">
        <v>505</v>
      </c>
      <c r="E225" s="4" t="s">
        <v>505</v>
      </c>
      <c r="F225" s="4"/>
      <c r="G225" s="4" t="s">
        <v>504</v>
      </c>
      <c r="H225" s="4"/>
      <c r="I225" s="4"/>
      <c r="J225" s="4"/>
      <c r="K225" s="423" t="s">
        <v>504</v>
      </c>
    </row>
    <row r="226" spans="1:12">
      <c r="A226" s="4"/>
      <c r="B226" s="420"/>
      <c r="C226" s="4"/>
      <c r="D226" s="4" t="s">
        <v>502</v>
      </c>
      <c r="E226" s="4" t="s">
        <v>503</v>
      </c>
      <c r="F226" s="4" t="s">
        <v>506</v>
      </c>
      <c r="G226" s="4" t="s">
        <v>507</v>
      </c>
      <c r="H226" s="4" t="s">
        <v>508</v>
      </c>
      <c r="I226" s="4" t="s">
        <v>502</v>
      </c>
      <c r="J226" s="4" t="s">
        <v>509</v>
      </c>
      <c r="K226" s="423" t="s">
        <v>510</v>
      </c>
    </row>
    <row r="227" spans="1:12">
      <c r="A227" s="4"/>
      <c r="B227" s="424" t="s">
        <v>511</v>
      </c>
      <c r="C227" s="425" t="s">
        <v>512</v>
      </c>
      <c r="D227" s="425" t="s">
        <v>513</v>
      </c>
      <c r="E227" s="425" t="s">
        <v>514</v>
      </c>
      <c r="F227" s="425" t="s">
        <v>515</v>
      </c>
      <c r="G227" s="425" t="s">
        <v>516</v>
      </c>
      <c r="H227" s="425" t="s">
        <v>517</v>
      </c>
      <c r="I227" s="425" t="s">
        <v>518</v>
      </c>
      <c r="J227" s="425" t="s">
        <v>518</v>
      </c>
      <c r="K227" s="426" t="s">
        <v>519</v>
      </c>
    </row>
    <row r="228" spans="1:12">
      <c r="A228" s="4">
        <v>801</v>
      </c>
      <c r="B228" t="s">
        <v>520</v>
      </c>
      <c r="C228" s="21">
        <v>2020</v>
      </c>
      <c r="D228" s="81" t="s">
        <v>521</v>
      </c>
      <c r="E228" s="81" t="s">
        <v>521</v>
      </c>
      <c r="F228" s="21" t="s">
        <v>521</v>
      </c>
      <c r="G228" s="40">
        <v>0</v>
      </c>
      <c r="H228" s="21" t="s">
        <v>521</v>
      </c>
      <c r="I228" s="21" t="s">
        <v>521</v>
      </c>
      <c r="J228" s="40">
        <v>0</v>
      </c>
      <c r="K228" s="13">
        <v>0</v>
      </c>
      <c r="L228" s="4">
        <v>801</v>
      </c>
    </row>
    <row r="229" spans="1:12">
      <c r="A229" s="4">
        <v>802</v>
      </c>
      <c r="B229" t="s">
        <v>522</v>
      </c>
      <c r="C229" s="21">
        <v>2021</v>
      </c>
      <c r="D229" s="396" t="s">
        <v>521</v>
      </c>
      <c r="E229" s="396" t="s">
        <v>521</v>
      </c>
      <c r="F229" s="406">
        <v>0</v>
      </c>
      <c r="G229" s="406">
        <v>0</v>
      </c>
      <c r="H229" s="432">
        <v>3.2500000000000001E-2</v>
      </c>
      <c r="I229" s="13">
        <v>0</v>
      </c>
      <c r="J229" s="13">
        <v>0</v>
      </c>
      <c r="K229" s="13">
        <v>0</v>
      </c>
      <c r="L229" s="4">
        <v>802</v>
      </c>
    </row>
    <row r="230" spans="1:12">
      <c r="A230" s="4">
        <v>803</v>
      </c>
      <c r="B230" t="s">
        <v>523</v>
      </c>
      <c r="C230" s="21">
        <v>2021</v>
      </c>
      <c r="D230" s="396" t="s">
        <v>521</v>
      </c>
      <c r="E230" s="396" t="s">
        <v>521</v>
      </c>
      <c r="F230" s="406">
        <v>0</v>
      </c>
      <c r="G230" s="406">
        <v>0</v>
      </c>
      <c r="H230" s="432">
        <v>3.2500000000000001E-2</v>
      </c>
      <c r="I230" s="13">
        <v>0</v>
      </c>
      <c r="J230" s="13">
        <v>0</v>
      </c>
      <c r="K230" s="13">
        <v>0</v>
      </c>
      <c r="L230" s="4">
        <v>803</v>
      </c>
    </row>
    <row r="231" spans="1:12">
      <c r="A231" s="4">
        <v>804</v>
      </c>
      <c r="B231" t="s">
        <v>524</v>
      </c>
      <c r="C231" s="21">
        <v>2021</v>
      </c>
      <c r="D231" s="396" t="s">
        <v>521</v>
      </c>
      <c r="E231" s="396" t="s">
        <v>521</v>
      </c>
      <c r="F231" s="406">
        <v>0</v>
      </c>
      <c r="G231" s="406">
        <v>0</v>
      </c>
      <c r="H231" s="432">
        <v>3.2500000000000001E-2</v>
      </c>
      <c r="I231" s="13">
        <v>0</v>
      </c>
      <c r="J231" s="13">
        <v>0</v>
      </c>
      <c r="K231" s="13">
        <v>0</v>
      </c>
      <c r="L231" s="4">
        <v>804</v>
      </c>
    </row>
    <row r="232" spans="1:12">
      <c r="A232" s="4">
        <v>805</v>
      </c>
      <c r="B232" t="s">
        <v>525</v>
      </c>
      <c r="C232" s="21">
        <v>2021</v>
      </c>
      <c r="D232" s="396" t="s">
        <v>521</v>
      </c>
      <c r="E232" s="396" t="s">
        <v>521</v>
      </c>
      <c r="F232" s="406">
        <v>0</v>
      </c>
      <c r="G232" s="406">
        <v>0</v>
      </c>
      <c r="H232" s="432">
        <v>3.2500000000000001E-2</v>
      </c>
      <c r="I232" s="13">
        <v>0</v>
      </c>
      <c r="J232" s="13">
        <v>0</v>
      </c>
      <c r="K232" s="13">
        <v>0</v>
      </c>
      <c r="L232" s="4">
        <v>805</v>
      </c>
    </row>
    <row r="233" spans="1:12">
      <c r="A233" s="4">
        <v>806</v>
      </c>
      <c r="B233" t="s">
        <v>526</v>
      </c>
      <c r="C233" s="21">
        <v>2021</v>
      </c>
      <c r="D233" s="396" t="s">
        <v>521</v>
      </c>
      <c r="E233" s="396" t="s">
        <v>521</v>
      </c>
      <c r="F233" s="406">
        <v>0</v>
      </c>
      <c r="G233" s="406">
        <v>0</v>
      </c>
      <c r="H233" s="432">
        <v>3.2500000000000001E-2</v>
      </c>
      <c r="I233" s="13">
        <v>0</v>
      </c>
      <c r="J233" s="13">
        <v>0</v>
      </c>
      <c r="K233" s="13">
        <v>0</v>
      </c>
      <c r="L233" s="4">
        <v>806</v>
      </c>
    </row>
    <row r="234" spans="1:12">
      <c r="A234" s="4">
        <v>807</v>
      </c>
      <c r="B234" t="s">
        <v>527</v>
      </c>
      <c r="C234" s="21">
        <v>2021</v>
      </c>
      <c r="D234" s="396">
        <v>12704.381763831019</v>
      </c>
      <c r="E234" s="396">
        <v>8060.8000000000011</v>
      </c>
      <c r="F234" s="406">
        <v>4643.5817638310182</v>
      </c>
      <c r="G234" s="406">
        <v>4643.5817638310182</v>
      </c>
      <c r="H234" s="432">
        <v>3.2500000000000001E-2</v>
      </c>
      <c r="I234" s="13">
        <v>6.29</v>
      </c>
      <c r="J234" s="13">
        <v>6.29</v>
      </c>
      <c r="K234" s="13">
        <v>4649.87</v>
      </c>
      <c r="L234" s="4">
        <v>807</v>
      </c>
    </row>
    <row r="235" spans="1:12">
      <c r="A235" s="4">
        <v>808</v>
      </c>
      <c r="B235" t="s">
        <v>528</v>
      </c>
      <c r="C235" s="21">
        <v>2021</v>
      </c>
      <c r="D235" s="396">
        <v>13499.561408437619</v>
      </c>
      <c r="E235" s="396">
        <v>8060.8000000000011</v>
      </c>
      <c r="F235" s="406">
        <v>5438.7614084376182</v>
      </c>
      <c r="G235" s="406">
        <v>10082.343172268636</v>
      </c>
      <c r="H235" s="432">
        <v>3.2500000000000001E-2</v>
      </c>
      <c r="I235" s="13">
        <v>19.96</v>
      </c>
      <c r="J235" s="13">
        <v>26.25</v>
      </c>
      <c r="K235" s="13">
        <v>10108.59</v>
      </c>
      <c r="L235" s="4">
        <v>808</v>
      </c>
    </row>
    <row r="236" spans="1:12">
      <c r="A236" s="4">
        <v>809</v>
      </c>
      <c r="B236" t="s">
        <v>529</v>
      </c>
      <c r="C236" s="21">
        <v>2021</v>
      </c>
      <c r="D236" s="396">
        <v>12500.963715210726</v>
      </c>
      <c r="E236" s="396">
        <v>8060.8000000000011</v>
      </c>
      <c r="F236" s="406">
        <v>4440.1637152107251</v>
      </c>
      <c r="G236" s="406">
        <v>14522.506887479361</v>
      </c>
      <c r="H236" s="432">
        <v>3.2500000000000001E-2</v>
      </c>
      <c r="I236" s="13">
        <v>33.340000000000003</v>
      </c>
      <c r="J236" s="13">
        <v>59.59</v>
      </c>
      <c r="K236" s="13">
        <v>14582.1</v>
      </c>
      <c r="L236" s="4">
        <v>809</v>
      </c>
    </row>
    <row r="237" spans="1:12">
      <c r="A237" s="4">
        <v>810</v>
      </c>
      <c r="B237" t="s">
        <v>530</v>
      </c>
      <c r="C237" s="21">
        <v>2021</v>
      </c>
      <c r="D237" s="396">
        <v>12981.7700119496</v>
      </c>
      <c r="E237" s="396">
        <v>8060.8000000000011</v>
      </c>
      <c r="F237" s="406">
        <v>4920.9700119495992</v>
      </c>
      <c r="G237" s="406">
        <v>19443.476899428962</v>
      </c>
      <c r="H237" s="432">
        <v>3.2500000000000001E-2</v>
      </c>
      <c r="I237" s="13">
        <v>46.01</v>
      </c>
      <c r="J237" s="13">
        <v>105.6</v>
      </c>
      <c r="K237" s="13">
        <v>19549.080000000002</v>
      </c>
      <c r="L237" s="4">
        <v>810</v>
      </c>
    </row>
    <row r="238" spans="1:12">
      <c r="A238" s="4">
        <v>811</v>
      </c>
      <c r="B238" t="s">
        <v>531</v>
      </c>
      <c r="C238" s="21">
        <v>2021</v>
      </c>
      <c r="D238" s="396">
        <v>12482.471165336154</v>
      </c>
      <c r="E238" s="396">
        <v>8060.8000000000011</v>
      </c>
      <c r="F238" s="406">
        <v>4421.6711653361526</v>
      </c>
      <c r="G238" s="406">
        <v>23865.148064765115</v>
      </c>
      <c r="H238" s="432">
        <v>3.2500000000000001E-2</v>
      </c>
      <c r="I238" s="13">
        <v>58.93</v>
      </c>
      <c r="J238" s="13">
        <v>164.53</v>
      </c>
      <c r="K238" s="13">
        <v>24029.68</v>
      </c>
      <c r="L238" s="4">
        <v>811</v>
      </c>
    </row>
    <row r="239" spans="1:12">
      <c r="A239" s="4">
        <v>812</v>
      </c>
      <c r="B239" t="s">
        <v>532</v>
      </c>
      <c r="C239" s="21">
        <v>2021</v>
      </c>
      <c r="D239" s="396">
        <v>14165.293203922214</v>
      </c>
      <c r="E239" s="396">
        <v>8060.8000000000011</v>
      </c>
      <c r="F239" s="406">
        <v>6104.4932039222131</v>
      </c>
      <c r="G239" s="406">
        <v>29969.64126868733</v>
      </c>
      <c r="H239" s="432">
        <v>3.2500000000000001E-2</v>
      </c>
      <c r="I239" s="13">
        <v>73.19</v>
      </c>
      <c r="J239" s="13">
        <v>237.72</v>
      </c>
      <c r="K239" s="13">
        <v>30207.360000000001</v>
      </c>
      <c r="L239" s="4">
        <v>812</v>
      </c>
    </row>
    <row r="240" spans="1:12">
      <c r="A240" s="4">
        <v>813</v>
      </c>
      <c r="B240" t="s">
        <v>520</v>
      </c>
      <c r="C240" s="21">
        <v>2021</v>
      </c>
      <c r="D240" s="396">
        <v>14997.457948277957</v>
      </c>
      <c r="E240" s="396">
        <v>8060.8000000000011</v>
      </c>
      <c r="F240" s="406">
        <v>6936.6579482779562</v>
      </c>
      <c r="G240" s="406">
        <v>36906.299216965286</v>
      </c>
      <c r="H240" s="432">
        <v>3.2500000000000001E-2</v>
      </c>
      <c r="I240" s="13">
        <v>90.85</v>
      </c>
      <c r="J240" s="13">
        <v>328.57</v>
      </c>
      <c r="K240" s="13">
        <v>37234.870000000003</v>
      </c>
      <c r="L240" s="4">
        <v>813</v>
      </c>
    </row>
    <row r="241" spans="1:12">
      <c r="A241" s="4">
        <v>814</v>
      </c>
      <c r="B241" t="s">
        <v>522</v>
      </c>
      <c r="C241" s="21">
        <v>2022</v>
      </c>
      <c r="D241" s="81" t="s">
        <v>521</v>
      </c>
      <c r="E241" s="81" t="s">
        <v>521</v>
      </c>
      <c r="F241" s="406">
        <v>0</v>
      </c>
      <c r="G241" s="406">
        <v>36906.299216965286</v>
      </c>
      <c r="H241" s="432">
        <v>3.2500000000000001E-2</v>
      </c>
      <c r="I241" s="13">
        <v>100.84</v>
      </c>
      <c r="J241" s="13">
        <v>429.40999999999997</v>
      </c>
      <c r="K241" s="13">
        <v>37335.71</v>
      </c>
      <c r="L241" s="4">
        <v>814</v>
      </c>
    </row>
    <row r="242" spans="1:12">
      <c r="A242" s="4">
        <v>815</v>
      </c>
      <c r="B242" t="s">
        <v>523</v>
      </c>
      <c r="C242" s="21">
        <v>2022</v>
      </c>
      <c r="D242" s="81" t="s">
        <v>521</v>
      </c>
      <c r="E242" s="81" t="s">
        <v>521</v>
      </c>
      <c r="F242" s="406">
        <v>0</v>
      </c>
      <c r="G242" s="406">
        <v>36906.299216965286</v>
      </c>
      <c r="H242" s="432">
        <v>3.2500000000000001E-2</v>
      </c>
      <c r="I242" s="13">
        <v>100.84</v>
      </c>
      <c r="J242" s="13">
        <v>530.25</v>
      </c>
      <c r="K242" s="13">
        <v>37436.550000000003</v>
      </c>
      <c r="L242" s="4">
        <v>815</v>
      </c>
    </row>
    <row r="243" spans="1:12">
      <c r="A243" s="4">
        <v>816</v>
      </c>
      <c r="B243" t="s">
        <v>524</v>
      </c>
      <c r="C243" s="21">
        <v>2022</v>
      </c>
      <c r="D243" s="81" t="s">
        <v>521</v>
      </c>
      <c r="E243" s="81" t="s">
        <v>521</v>
      </c>
      <c r="F243" s="406">
        <v>0</v>
      </c>
      <c r="G243" s="406">
        <v>36906.299216965286</v>
      </c>
      <c r="H243" s="432">
        <v>3.2500000000000001E-2</v>
      </c>
      <c r="I243" s="13">
        <v>100.84</v>
      </c>
      <c r="J243" s="13">
        <v>631.09</v>
      </c>
      <c r="K243" s="13">
        <v>37537.39</v>
      </c>
      <c r="L243" s="4">
        <v>816</v>
      </c>
    </row>
    <row r="244" spans="1:12">
      <c r="A244" s="4">
        <v>817</v>
      </c>
      <c r="B244" t="s">
        <v>525</v>
      </c>
      <c r="C244" s="21">
        <v>2022</v>
      </c>
      <c r="D244" s="81" t="s">
        <v>521</v>
      </c>
      <c r="E244" s="81" t="s">
        <v>521</v>
      </c>
      <c r="F244" s="406">
        <v>0</v>
      </c>
      <c r="G244" s="406">
        <v>36906.299216965286</v>
      </c>
      <c r="H244" s="432">
        <v>3.2500000000000001E-2</v>
      </c>
      <c r="I244" s="13">
        <v>101.66</v>
      </c>
      <c r="J244" s="13">
        <v>732.75</v>
      </c>
      <c r="K244" s="13">
        <v>37639.050000000003</v>
      </c>
      <c r="L244" s="4">
        <v>817</v>
      </c>
    </row>
    <row r="245" spans="1:12">
      <c r="A245" s="4">
        <v>818</v>
      </c>
      <c r="B245" t="s">
        <v>526</v>
      </c>
      <c r="C245" s="21">
        <v>2022</v>
      </c>
      <c r="D245" s="81" t="s">
        <v>521</v>
      </c>
      <c r="E245" s="81" t="s">
        <v>521</v>
      </c>
      <c r="F245" s="406">
        <v>0</v>
      </c>
      <c r="G245" s="406">
        <v>36906.299216965286</v>
      </c>
      <c r="H245" s="432">
        <v>3.2500000000000001E-2</v>
      </c>
      <c r="I245" s="13">
        <v>101.66</v>
      </c>
      <c r="J245" s="13">
        <v>834.41</v>
      </c>
      <c r="K245" s="13">
        <v>37740.71</v>
      </c>
      <c r="L245" s="4">
        <v>818</v>
      </c>
    </row>
    <row r="246" spans="1:12">
      <c r="A246" s="4">
        <v>819</v>
      </c>
      <c r="B246" t="s">
        <v>527</v>
      </c>
      <c r="C246" s="21">
        <v>2022</v>
      </c>
      <c r="D246" s="81" t="s">
        <v>521</v>
      </c>
      <c r="E246" s="81" t="s">
        <v>521</v>
      </c>
      <c r="F246" s="406">
        <v>0</v>
      </c>
      <c r="G246" s="406">
        <v>36906.299216965286</v>
      </c>
      <c r="H246" s="432">
        <v>3.2500000000000001E-2</v>
      </c>
      <c r="I246" s="13">
        <v>101.66</v>
      </c>
      <c r="J246" s="13">
        <v>936.06999999999994</v>
      </c>
      <c r="K246" s="13">
        <v>37842.370000000003</v>
      </c>
      <c r="L246" s="4">
        <v>819</v>
      </c>
    </row>
    <row r="247" spans="1:12">
      <c r="A247" s="4">
        <v>820</v>
      </c>
      <c r="B247" t="s">
        <v>528</v>
      </c>
      <c r="C247" s="21">
        <v>2022</v>
      </c>
      <c r="D247" s="81" t="s">
        <v>521</v>
      </c>
      <c r="E247" s="81" t="s">
        <v>521</v>
      </c>
      <c r="F247" s="406">
        <v>0</v>
      </c>
      <c r="G247" s="406">
        <v>36906.299216965286</v>
      </c>
      <c r="H247" s="432">
        <v>3.5999999999999997E-2</v>
      </c>
      <c r="I247" s="13">
        <v>113.53</v>
      </c>
      <c r="J247" s="13">
        <v>1049.5999999999999</v>
      </c>
      <c r="K247" s="13">
        <v>37955.9</v>
      </c>
      <c r="L247" s="4">
        <v>820</v>
      </c>
    </row>
    <row r="248" spans="1:12">
      <c r="A248" s="4">
        <v>821</v>
      </c>
      <c r="B248" t="s">
        <v>529</v>
      </c>
      <c r="C248" s="21">
        <v>2022</v>
      </c>
      <c r="D248" s="81" t="s">
        <v>521</v>
      </c>
      <c r="E248" s="81" t="s">
        <v>521</v>
      </c>
      <c r="F248" s="406">
        <v>0</v>
      </c>
      <c r="G248" s="406">
        <v>36906.299216965286</v>
      </c>
      <c r="H248" s="432">
        <v>3.5999999999999997E-2</v>
      </c>
      <c r="I248" s="13">
        <v>113.53</v>
      </c>
      <c r="J248" s="13">
        <v>1163.1299999999999</v>
      </c>
      <c r="K248" s="13">
        <v>38069.43</v>
      </c>
      <c r="L248" s="4">
        <v>821</v>
      </c>
    </row>
    <row r="249" spans="1:12">
      <c r="A249" s="4">
        <v>822</v>
      </c>
      <c r="B249" t="s">
        <v>530</v>
      </c>
      <c r="C249" s="21">
        <v>2022</v>
      </c>
      <c r="D249" s="81" t="s">
        <v>521</v>
      </c>
      <c r="E249" s="81" t="s">
        <v>521</v>
      </c>
      <c r="F249" s="406">
        <v>0</v>
      </c>
      <c r="G249" s="406">
        <v>36906.299216965286</v>
      </c>
      <c r="H249" s="432">
        <v>3.5999999999999997E-2</v>
      </c>
      <c r="I249" s="13">
        <v>113.53</v>
      </c>
      <c r="J249" s="13">
        <v>1276.6599999999999</v>
      </c>
      <c r="K249" s="13">
        <v>38182.959999999999</v>
      </c>
      <c r="L249" s="4">
        <v>822</v>
      </c>
    </row>
    <row r="250" spans="1:12">
      <c r="A250" s="4">
        <v>823</v>
      </c>
      <c r="B250" t="s">
        <v>531</v>
      </c>
      <c r="C250" s="21">
        <v>2022</v>
      </c>
      <c r="D250" s="81" t="s">
        <v>521</v>
      </c>
      <c r="E250" s="81" t="s">
        <v>521</v>
      </c>
      <c r="F250" s="406">
        <v>0</v>
      </c>
      <c r="G250" s="406">
        <v>36906.299216965286</v>
      </c>
      <c r="H250" s="432">
        <v>4.9099999999999998E-2</v>
      </c>
      <c r="I250" s="13">
        <v>156.22999999999999</v>
      </c>
      <c r="J250" s="13">
        <v>1432.8899999999999</v>
      </c>
      <c r="K250" s="13">
        <v>38339.19</v>
      </c>
      <c r="L250" s="4">
        <v>823</v>
      </c>
    </row>
    <row r="251" spans="1:12">
      <c r="A251" s="4">
        <v>824</v>
      </c>
      <c r="B251" t="s">
        <v>532</v>
      </c>
      <c r="C251" s="21">
        <v>2022</v>
      </c>
      <c r="D251" s="81" t="s">
        <v>521</v>
      </c>
      <c r="E251" s="81" t="s">
        <v>521</v>
      </c>
      <c r="F251" s="406">
        <v>0</v>
      </c>
      <c r="G251" s="406">
        <v>36906.299216965286</v>
      </c>
      <c r="H251" s="432">
        <v>4.9099999999999998E-2</v>
      </c>
      <c r="I251" s="13">
        <v>156.22999999999999</v>
      </c>
      <c r="J251" s="13">
        <v>1589.12</v>
      </c>
      <c r="K251" s="13">
        <v>38495.42</v>
      </c>
      <c r="L251" s="4">
        <v>824</v>
      </c>
    </row>
    <row r="252" spans="1:12">
      <c r="A252" s="4">
        <v>825</v>
      </c>
      <c r="B252" t="s">
        <v>520</v>
      </c>
      <c r="C252" s="21">
        <v>2022</v>
      </c>
      <c r="D252" s="81" t="s">
        <v>521</v>
      </c>
      <c r="E252" s="81" t="s">
        <v>521</v>
      </c>
      <c r="F252" s="406">
        <v>0</v>
      </c>
      <c r="G252" s="406">
        <v>36906.299216965286</v>
      </c>
      <c r="H252" s="432">
        <v>4.9099999999999998E-2</v>
      </c>
      <c r="I252" s="13">
        <v>156.22999999999999</v>
      </c>
      <c r="J252" s="13">
        <v>1745.35</v>
      </c>
      <c r="K252" s="13">
        <v>38651.65</v>
      </c>
      <c r="L252" s="4">
        <v>825</v>
      </c>
    </row>
    <row r="253" spans="1:12">
      <c r="A253" s="3"/>
      <c r="B253" s="2"/>
    </row>
    <row r="254" spans="1:12">
      <c r="A254" s="3" t="s">
        <v>90</v>
      </c>
      <c r="B254" s="417" t="s">
        <v>489</v>
      </c>
      <c r="C254" s="418" t="s">
        <v>122</v>
      </c>
      <c r="D254" s="418" t="s">
        <v>123</v>
      </c>
      <c r="E254" s="418" t="s">
        <v>124</v>
      </c>
      <c r="F254" s="418" t="s">
        <v>125</v>
      </c>
      <c r="G254" s="418" t="s">
        <v>490</v>
      </c>
      <c r="H254" s="418" t="s">
        <v>491</v>
      </c>
      <c r="I254" s="418" t="s">
        <v>492</v>
      </c>
      <c r="J254" s="418" t="s">
        <v>493</v>
      </c>
      <c r="K254" s="419" t="s">
        <v>494</v>
      </c>
      <c r="L254" s="3" t="s">
        <v>90</v>
      </c>
    </row>
    <row r="255" spans="1:12">
      <c r="A255" s="4">
        <v>900</v>
      </c>
      <c r="B255" s="420" t="s">
        <v>540</v>
      </c>
      <c r="C255" s="4"/>
      <c r="D255" s="18" t="s">
        <v>101</v>
      </c>
      <c r="E255" s="18" t="s">
        <v>496</v>
      </c>
      <c r="F255" s="21" t="s">
        <v>551</v>
      </c>
      <c r="G255" s="21" t="s">
        <v>497</v>
      </c>
      <c r="H255" s="21" t="s">
        <v>498</v>
      </c>
      <c r="I255" s="21" t="s">
        <v>499</v>
      </c>
      <c r="J255" s="21" t="s">
        <v>500</v>
      </c>
      <c r="K255" s="421" t="s">
        <v>552</v>
      </c>
      <c r="L255" s="4">
        <v>900</v>
      </c>
    </row>
    <row r="256" spans="1:12">
      <c r="A256" s="4"/>
      <c r="B256" s="422"/>
      <c r="C256" s="4"/>
      <c r="D256" s="4"/>
      <c r="E256" s="4"/>
      <c r="F256" s="4"/>
      <c r="G256" s="4" t="s">
        <v>501</v>
      </c>
      <c r="H256" s="4"/>
      <c r="I256" s="4"/>
      <c r="J256" s="4"/>
      <c r="K256" s="423" t="s">
        <v>501</v>
      </c>
    </row>
    <row r="257" spans="1:12">
      <c r="B257" s="422"/>
      <c r="C257" s="4"/>
      <c r="D257" s="4" t="s">
        <v>505</v>
      </c>
      <c r="E257" s="4" t="s">
        <v>505</v>
      </c>
      <c r="F257" s="4"/>
      <c r="G257" s="4" t="s">
        <v>504</v>
      </c>
      <c r="H257" s="4"/>
      <c r="I257" s="4"/>
      <c r="J257" s="4"/>
      <c r="K257" s="423" t="s">
        <v>504</v>
      </c>
    </row>
    <row r="258" spans="1:12">
      <c r="A258" s="4"/>
      <c r="B258" s="420"/>
      <c r="C258" s="4"/>
      <c r="D258" s="4" t="s">
        <v>502</v>
      </c>
      <c r="E258" s="4" t="s">
        <v>503</v>
      </c>
      <c r="F258" s="4" t="s">
        <v>506</v>
      </c>
      <c r="G258" s="4" t="s">
        <v>507</v>
      </c>
      <c r="H258" s="4" t="s">
        <v>508</v>
      </c>
      <c r="I258" s="4" t="s">
        <v>502</v>
      </c>
      <c r="J258" s="4" t="s">
        <v>509</v>
      </c>
      <c r="K258" s="423" t="s">
        <v>510</v>
      </c>
    </row>
    <row r="259" spans="1:12">
      <c r="A259" s="4"/>
      <c r="B259" s="424" t="s">
        <v>511</v>
      </c>
      <c r="C259" s="425" t="s">
        <v>512</v>
      </c>
      <c r="D259" s="425" t="s">
        <v>513</v>
      </c>
      <c r="E259" s="425" t="s">
        <v>514</v>
      </c>
      <c r="F259" s="425" t="s">
        <v>515</v>
      </c>
      <c r="G259" s="425" t="s">
        <v>516</v>
      </c>
      <c r="H259" s="425" t="s">
        <v>517</v>
      </c>
      <c r="I259" s="425" t="s">
        <v>518</v>
      </c>
      <c r="J259" s="425" t="s">
        <v>518</v>
      </c>
      <c r="K259" s="426" t="s">
        <v>519</v>
      </c>
    </row>
    <row r="260" spans="1:12">
      <c r="A260" s="4">
        <v>901</v>
      </c>
      <c r="B260" t="s">
        <v>520</v>
      </c>
      <c r="C260" s="21">
        <v>2020</v>
      </c>
      <c r="D260" s="81" t="s">
        <v>521</v>
      </c>
      <c r="E260" s="81" t="s">
        <v>521</v>
      </c>
      <c r="F260" s="21" t="s">
        <v>521</v>
      </c>
      <c r="G260" s="40">
        <v>0</v>
      </c>
      <c r="H260" s="21" t="s">
        <v>521</v>
      </c>
      <c r="I260" s="21" t="s">
        <v>521</v>
      </c>
      <c r="J260" s="40">
        <v>0</v>
      </c>
      <c r="K260" s="13">
        <v>0</v>
      </c>
      <c r="L260" s="4">
        <v>901</v>
      </c>
    </row>
    <row r="261" spans="1:12">
      <c r="A261" s="4">
        <v>902</v>
      </c>
      <c r="B261" t="s">
        <v>522</v>
      </c>
      <c r="C261" s="21">
        <v>2021</v>
      </c>
      <c r="D261" s="396" t="s">
        <v>521</v>
      </c>
      <c r="E261" s="396" t="s">
        <v>521</v>
      </c>
      <c r="F261" s="406">
        <v>0</v>
      </c>
      <c r="G261" s="406">
        <v>0</v>
      </c>
      <c r="H261" s="432">
        <v>3.2500000000000001E-2</v>
      </c>
      <c r="I261" s="13">
        <v>0</v>
      </c>
      <c r="J261" s="13">
        <v>0</v>
      </c>
      <c r="K261" s="13">
        <v>0</v>
      </c>
      <c r="L261" s="4">
        <v>902</v>
      </c>
    </row>
    <row r="262" spans="1:12">
      <c r="A262" s="4">
        <v>903</v>
      </c>
      <c r="B262" t="s">
        <v>523</v>
      </c>
      <c r="C262" s="21">
        <v>2021</v>
      </c>
      <c r="D262" s="396" t="s">
        <v>521</v>
      </c>
      <c r="E262" s="396" t="s">
        <v>521</v>
      </c>
      <c r="F262" s="406">
        <v>0</v>
      </c>
      <c r="G262" s="406">
        <v>0</v>
      </c>
      <c r="H262" s="432">
        <v>3.2500000000000001E-2</v>
      </c>
      <c r="I262" s="13">
        <v>0</v>
      </c>
      <c r="J262" s="13">
        <v>0</v>
      </c>
      <c r="K262" s="13">
        <v>0</v>
      </c>
      <c r="L262" s="4">
        <v>903</v>
      </c>
    </row>
    <row r="263" spans="1:12">
      <c r="A263" s="4">
        <v>904</v>
      </c>
      <c r="B263" t="s">
        <v>524</v>
      </c>
      <c r="C263" s="21">
        <v>2021</v>
      </c>
      <c r="D263" s="396" t="s">
        <v>521</v>
      </c>
      <c r="E263" s="396" t="s">
        <v>521</v>
      </c>
      <c r="F263" s="406">
        <v>0</v>
      </c>
      <c r="G263" s="406">
        <v>0</v>
      </c>
      <c r="H263" s="432">
        <v>3.2500000000000001E-2</v>
      </c>
      <c r="I263" s="13">
        <v>0</v>
      </c>
      <c r="J263" s="13">
        <v>0</v>
      </c>
      <c r="K263" s="13">
        <v>0</v>
      </c>
      <c r="L263" s="4">
        <v>904</v>
      </c>
    </row>
    <row r="264" spans="1:12">
      <c r="A264" s="4">
        <v>905</v>
      </c>
      <c r="B264" t="s">
        <v>525</v>
      </c>
      <c r="C264" s="21">
        <v>2021</v>
      </c>
      <c r="D264" s="396" t="s">
        <v>521</v>
      </c>
      <c r="E264" s="396" t="s">
        <v>521</v>
      </c>
      <c r="F264" s="406">
        <v>0</v>
      </c>
      <c r="G264" s="406">
        <v>0</v>
      </c>
      <c r="H264" s="432">
        <v>3.2500000000000001E-2</v>
      </c>
      <c r="I264" s="13">
        <v>0</v>
      </c>
      <c r="J264" s="13">
        <v>0</v>
      </c>
      <c r="K264" s="13">
        <v>0</v>
      </c>
      <c r="L264" s="4">
        <v>905</v>
      </c>
    </row>
    <row r="265" spans="1:12">
      <c r="A265" s="4">
        <v>906</v>
      </c>
      <c r="B265" t="s">
        <v>526</v>
      </c>
      <c r="C265" s="21">
        <v>2021</v>
      </c>
      <c r="D265" s="396" t="s">
        <v>521</v>
      </c>
      <c r="E265" s="396" t="s">
        <v>521</v>
      </c>
      <c r="F265" s="406">
        <v>0</v>
      </c>
      <c r="G265" s="406">
        <v>0</v>
      </c>
      <c r="H265" s="432">
        <v>3.2500000000000001E-2</v>
      </c>
      <c r="I265" s="13">
        <v>0</v>
      </c>
      <c r="J265" s="13">
        <v>0</v>
      </c>
      <c r="K265" s="13">
        <v>0</v>
      </c>
      <c r="L265" s="4">
        <v>906</v>
      </c>
    </row>
    <row r="266" spans="1:12">
      <c r="A266" s="4">
        <v>907</v>
      </c>
      <c r="B266" t="s">
        <v>527</v>
      </c>
      <c r="C266" s="21">
        <v>2021</v>
      </c>
      <c r="D266" s="396">
        <v>2029331.7077232813</v>
      </c>
      <c r="E266" s="396">
        <v>1010885.31</v>
      </c>
      <c r="F266" s="406">
        <v>1018446.3977232813</v>
      </c>
      <c r="G266" s="406">
        <v>1018446.3977232813</v>
      </c>
      <c r="H266" s="432">
        <v>3.2500000000000001E-2</v>
      </c>
      <c r="I266" s="13">
        <v>1379.15</v>
      </c>
      <c r="J266" s="13">
        <v>1379.15</v>
      </c>
      <c r="K266" s="13">
        <v>1019825.55</v>
      </c>
      <c r="L266" s="4">
        <v>907</v>
      </c>
    </row>
    <row r="267" spans="1:12">
      <c r="A267" s="4">
        <v>908</v>
      </c>
      <c r="B267" t="s">
        <v>528</v>
      </c>
      <c r="C267" s="21">
        <v>2021</v>
      </c>
      <c r="D267" s="396">
        <v>1986890.1302651851</v>
      </c>
      <c r="E267" s="396">
        <v>748409.81</v>
      </c>
      <c r="F267" s="406">
        <v>1238480.3202651851</v>
      </c>
      <c r="G267" s="406">
        <v>2256926.7179884664</v>
      </c>
      <c r="H267" s="432">
        <v>3.2500000000000001E-2</v>
      </c>
      <c r="I267" s="13">
        <v>4439.1400000000003</v>
      </c>
      <c r="J267" s="13">
        <v>5818.2900000000009</v>
      </c>
      <c r="K267" s="13">
        <v>2262745.0099999998</v>
      </c>
      <c r="L267" s="4">
        <v>908</v>
      </c>
    </row>
    <row r="268" spans="1:12">
      <c r="A268" s="4">
        <v>909</v>
      </c>
      <c r="B268" t="s">
        <v>529</v>
      </c>
      <c r="C268" s="21">
        <v>2021</v>
      </c>
      <c r="D268" s="396">
        <v>1849374.7304877748</v>
      </c>
      <c r="E268" s="396">
        <v>879647.56</v>
      </c>
      <c r="F268" s="406">
        <v>969727.17048777477</v>
      </c>
      <c r="G268" s="406">
        <v>3226653.8884762414</v>
      </c>
      <c r="H268" s="432">
        <v>3.2500000000000001E-2</v>
      </c>
      <c r="I268" s="13">
        <v>7429.42</v>
      </c>
      <c r="J268" s="13">
        <v>13247.710000000001</v>
      </c>
      <c r="K268" s="13">
        <v>3239901.6</v>
      </c>
      <c r="L268" s="4">
        <v>909</v>
      </c>
    </row>
    <row r="269" spans="1:12">
      <c r="A269" s="4">
        <v>910</v>
      </c>
      <c r="B269" t="s">
        <v>530</v>
      </c>
      <c r="C269" s="21">
        <v>2021</v>
      </c>
      <c r="D269" s="396">
        <v>1676509.1341629589</v>
      </c>
      <c r="E269" s="396">
        <v>879647.56</v>
      </c>
      <c r="F269" s="406">
        <v>796861.57416295889</v>
      </c>
      <c r="G269" s="406">
        <v>4023515.4626392005</v>
      </c>
      <c r="H269" s="432">
        <v>3.2500000000000001E-2</v>
      </c>
      <c r="I269" s="13">
        <v>9821.67</v>
      </c>
      <c r="J269" s="13">
        <v>23069.38</v>
      </c>
      <c r="K269" s="13">
        <v>4046584.84</v>
      </c>
      <c r="L269" s="4">
        <v>910</v>
      </c>
    </row>
    <row r="270" spans="1:12">
      <c r="A270" s="4">
        <v>911</v>
      </c>
      <c r="B270" t="s">
        <v>531</v>
      </c>
      <c r="C270" s="21">
        <v>2021</v>
      </c>
      <c r="D270" s="396">
        <v>1592607.5344251508</v>
      </c>
      <c r="E270" s="396">
        <v>879647.50999999989</v>
      </c>
      <c r="F270" s="406">
        <v>712960.02442515094</v>
      </c>
      <c r="G270" s="406">
        <v>4736475.4870643513</v>
      </c>
      <c r="H270" s="432">
        <v>3.2500000000000001E-2</v>
      </c>
      <c r="I270" s="13">
        <v>11924.97</v>
      </c>
      <c r="J270" s="13">
        <v>34994.35</v>
      </c>
      <c r="K270" s="13">
        <v>4771469.84</v>
      </c>
      <c r="L270" s="4">
        <v>911</v>
      </c>
    </row>
    <row r="271" spans="1:12">
      <c r="A271" s="4">
        <v>912</v>
      </c>
      <c r="B271" t="s">
        <v>532</v>
      </c>
      <c r="C271" s="21">
        <v>2021</v>
      </c>
      <c r="D271" s="396">
        <v>931074.79026914923</v>
      </c>
      <c r="E271" s="396">
        <v>879647.55</v>
      </c>
      <c r="F271" s="406">
        <v>51427.240269149188</v>
      </c>
      <c r="G271" s="406">
        <v>4787902.727333501</v>
      </c>
      <c r="H271" s="432">
        <v>3.2500000000000001E-2</v>
      </c>
      <c r="I271" s="13">
        <v>12960.08</v>
      </c>
      <c r="J271" s="13">
        <v>47954.43</v>
      </c>
      <c r="K271" s="13">
        <v>4835857.16</v>
      </c>
      <c r="L271" s="4">
        <v>912</v>
      </c>
    </row>
    <row r="272" spans="1:12">
      <c r="A272" s="4">
        <v>913</v>
      </c>
      <c r="B272" t="s">
        <v>520</v>
      </c>
      <c r="C272" s="21">
        <v>2021</v>
      </c>
      <c r="D272" s="396">
        <v>863009.4510147213</v>
      </c>
      <c r="E272" s="396">
        <v>886159.53</v>
      </c>
      <c r="F272" s="406">
        <v>-23150.078985278727</v>
      </c>
      <c r="G272" s="406">
        <v>4764752.6483482225</v>
      </c>
      <c r="H272" s="432">
        <v>3.2500000000000001E-2</v>
      </c>
      <c r="I272" s="13">
        <v>12998.37</v>
      </c>
      <c r="J272" s="13">
        <v>60952.800000000003</v>
      </c>
      <c r="K272" s="13">
        <v>4825705.45</v>
      </c>
      <c r="L272" s="4">
        <v>913</v>
      </c>
    </row>
    <row r="273" spans="1:12">
      <c r="A273" s="4">
        <v>914</v>
      </c>
      <c r="B273" t="s">
        <v>522</v>
      </c>
      <c r="C273" s="21">
        <v>2022</v>
      </c>
      <c r="D273" s="81" t="s">
        <v>521</v>
      </c>
      <c r="E273" s="81" t="s">
        <v>521</v>
      </c>
      <c r="F273" s="406">
        <v>0</v>
      </c>
      <c r="G273" s="406">
        <v>4764752.6483482225</v>
      </c>
      <c r="H273" s="432">
        <v>3.2500000000000001E-2</v>
      </c>
      <c r="I273" s="13">
        <v>13069.62</v>
      </c>
      <c r="J273" s="13">
        <v>74022.42</v>
      </c>
      <c r="K273" s="13">
        <v>4838775.07</v>
      </c>
      <c r="L273" s="4">
        <v>914</v>
      </c>
    </row>
    <row r="274" spans="1:12">
      <c r="A274" s="4">
        <v>915</v>
      </c>
      <c r="B274" t="s">
        <v>523</v>
      </c>
      <c r="C274" s="21">
        <v>2022</v>
      </c>
      <c r="D274" s="81" t="s">
        <v>521</v>
      </c>
      <c r="E274" s="81" t="s">
        <v>521</v>
      </c>
      <c r="F274" s="406">
        <v>0</v>
      </c>
      <c r="G274" s="406">
        <v>4764752.6483482225</v>
      </c>
      <c r="H274" s="432">
        <v>3.2500000000000001E-2</v>
      </c>
      <c r="I274" s="13">
        <v>13069.62</v>
      </c>
      <c r="J274" s="13">
        <v>87092.04</v>
      </c>
      <c r="K274" s="13">
        <v>4851844.6900000004</v>
      </c>
      <c r="L274" s="4">
        <v>915</v>
      </c>
    </row>
    <row r="275" spans="1:12">
      <c r="A275" s="4">
        <v>916</v>
      </c>
      <c r="B275" t="s">
        <v>524</v>
      </c>
      <c r="C275" s="21">
        <v>2022</v>
      </c>
      <c r="D275" s="81" t="s">
        <v>521</v>
      </c>
      <c r="E275" s="81" t="s">
        <v>521</v>
      </c>
      <c r="F275" s="406">
        <v>0</v>
      </c>
      <c r="G275" s="406">
        <v>4764752.6483482225</v>
      </c>
      <c r="H275" s="432">
        <v>3.2500000000000001E-2</v>
      </c>
      <c r="I275" s="13">
        <v>13069.62</v>
      </c>
      <c r="J275" s="13">
        <v>100161.65999999999</v>
      </c>
      <c r="K275" s="13">
        <v>4864914.3099999996</v>
      </c>
      <c r="L275" s="4">
        <v>916</v>
      </c>
    </row>
    <row r="276" spans="1:12">
      <c r="A276" s="4">
        <v>917</v>
      </c>
      <c r="B276" t="s">
        <v>525</v>
      </c>
      <c r="C276" s="21">
        <v>2022</v>
      </c>
      <c r="D276" s="81" t="s">
        <v>521</v>
      </c>
      <c r="E276" s="81" t="s">
        <v>521</v>
      </c>
      <c r="F276" s="406">
        <v>0</v>
      </c>
      <c r="G276" s="406">
        <v>4764752.6483482225</v>
      </c>
      <c r="H276" s="432">
        <v>3.2500000000000001E-2</v>
      </c>
      <c r="I276" s="13">
        <v>13175.81</v>
      </c>
      <c r="J276" s="13">
        <v>113337.46999999999</v>
      </c>
      <c r="K276" s="13">
        <v>4878090.12</v>
      </c>
      <c r="L276" s="4">
        <v>917</v>
      </c>
    </row>
    <row r="277" spans="1:12">
      <c r="A277" s="4">
        <v>918</v>
      </c>
      <c r="B277" t="s">
        <v>526</v>
      </c>
      <c r="C277" s="21">
        <v>2022</v>
      </c>
      <c r="D277" s="81" t="s">
        <v>521</v>
      </c>
      <c r="E277" s="81" t="s">
        <v>521</v>
      </c>
      <c r="F277" s="406">
        <v>0</v>
      </c>
      <c r="G277" s="406">
        <v>4764752.6483482225</v>
      </c>
      <c r="H277" s="432">
        <v>3.2500000000000001E-2</v>
      </c>
      <c r="I277" s="13">
        <v>13175.81</v>
      </c>
      <c r="J277" s="13">
        <v>126513.27999999998</v>
      </c>
      <c r="K277" s="13">
        <v>4891265.93</v>
      </c>
      <c r="L277" s="4">
        <v>918</v>
      </c>
    </row>
    <row r="278" spans="1:12">
      <c r="A278" s="4">
        <v>919</v>
      </c>
      <c r="B278" t="s">
        <v>527</v>
      </c>
      <c r="C278" s="21">
        <v>2022</v>
      </c>
      <c r="D278" s="81" t="s">
        <v>521</v>
      </c>
      <c r="E278" s="81" t="s">
        <v>521</v>
      </c>
      <c r="F278" s="406">
        <v>0</v>
      </c>
      <c r="G278" s="406">
        <v>4764752.6483482225</v>
      </c>
      <c r="H278" s="432">
        <v>3.2500000000000001E-2</v>
      </c>
      <c r="I278" s="13">
        <v>13175.81</v>
      </c>
      <c r="J278" s="13">
        <v>139689.09</v>
      </c>
      <c r="K278" s="13">
        <v>4904441.74</v>
      </c>
      <c r="L278" s="4">
        <v>919</v>
      </c>
    </row>
    <row r="279" spans="1:12">
      <c r="A279" s="4">
        <v>920</v>
      </c>
      <c r="B279" t="s">
        <v>528</v>
      </c>
      <c r="C279" s="21">
        <v>2022</v>
      </c>
      <c r="D279" s="81" t="s">
        <v>521</v>
      </c>
      <c r="E279" s="81" t="s">
        <v>521</v>
      </c>
      <c r="F279" s="406">
        <v>0</v>
      </c>
      <c r="G279" s="406">
        <v>4764752.6483482225</v>
      </c>
      <c r="H279" s="432">
        <v>3.5999999999999997E-2</v>
      </c>
      <c r="I279" s="13">
        <v>14713.33</v>
      </c>
      <c r="J279" s="13">
        <v>154402.41999999998</v>
      </c>
      <c r="K279" s="13">
        <v>4919155.07</v>
      </c>
      <c r="L279" s="4">
        <v>920</v>
      </c>
    </row>
    <row r="280" spans="1:12">
      <c r="A280" s="4">
        <v>921</v>
      </c>
      <c r="B280" t="s">
        <v>529</v>
      </c>
      <c r="C280" s="21">
        <v>2022</v>
      </c>
      <c r="D280" s="81" t="s">
        <v>521</v>
      </c>
      <c r="E280" s="81" t="s">
        <v>521</v>
      </c>
      <c r="F280" s="406">
        <v>0</v>
      </c>
      <c r="G280" s="406">
        <v>4764752.6483482225</v>
      </c>
      <c r="H280" s="432">
        <v>3.5999999999999997E-2</v>
      </c>
      <c r="I280" s="13">
        <v>14713.33</v>
      </c>
      <c r="J280" s="13">
        <v>169115.74999999997</v>
      </c>
      <c r="K280" s="13">
        <v>4933868.4000000004</v>
      </c>
      <c r="L280" s="4">
        <v>921</v>
      </c>
    </row>
    <row r="281" spans="1:12">
      <c r="A281" s="4">
        <v>922</v>
      </c>
      <c r="B281" t="s">
        <v>530</v>
      </c>
      <c r="C281" s="21">
        <v>2022</v>
      </c>
      <c r="D281" s="81" t="s">
        <v>521</v>
      </c>
      <c r="E281" s="81" t="s">
        <v>521</v>
      </c>
      <c r="F281" s="406">
        <v>0</v>
      </c>
      <c r="G281" s="406">
        <v>4764752.6483482225</v>
      </c>
      <c r="H281" s="432">
        <v>3.5999999999999997E-2</v>
      </c>
      <c r="I281" s="13">
        <v>14713.33</v>
      </c>
      <c r="J281" s="13">
        <v>183829.07999999996</v>
      </c>
      <c r="K281" s="13">
        <v>4948581.7300000004</v>
      </c>
      <c r="L281" s="4">
        <v>922</v>
      </c>
    </row>
    <row r="282" spans="1:12">
      <c r="A282" s="4">
        <v>923</v>
      </c>
      <c r="B282" t="s">
        <v>531</v>
      </c>
      <c r="C282" s="21">
        <v>2022</v>
      </c>
      <c r="D282" s="81" t="s">
        <v>521</v>
      </c>
      <c r="E282" s="81" t="s">
        <v>521</v>
      </c>
      <c r="F282" s="406">
        <v>0</v>
      </c>
      <c r="G282" s="406">
        <v>4764752.6483482225</v>
      </c>
      <c r="H282" s="432">
        <v>4.9099999999999998E-2</v>
      </c>
      <c r="I282" s="13">
        <v>20247.95</v>
      </c>
      <c r="J282" s="13">
        <v>204077.02999999997</v>
      </c>
      <c r="K282" s="13">
        <v>4968829.68</v>
      </c>
      <c r="L282" s="4">
        <v>923</v>
      </c>
    </row>
    <row r="283" spans="1:12">
      <c r="A283" s="4">
        <v>924</v>
      </c>
      <c r="B283" t="s">
        <v>532</v>
      </c>
      <c r="C283" s="21">
        <v>2022</v>
      </c>
      <c r="D283" s="81" t="s">
        <v>521</v>
      </c>
      <c r="E283" s="81" t="s">
        <v>521</v>
      </c>
      <c r="F283" s="406">
        <v>0</v>
      </c>
      <c r="G283" s="406">
        <v>4764752.6483482225</v>
      </c>
      <c r="H283" s="432">
        <v>4.9099999999999998E-2</v>
      </c>
      <c r="I283" s="13">
        <v>20247.95</v>
      </c>
      <c r="J283" s="13">
        <v>224324.97999999998</v>
      </c>
      <c r="K283" s="13">
        <v>4989077.63</v>
      </c>
      <c r="L283" s="4">
        <v>924</v>
      </c>
    </row>
    <row r="284" spans="1:12">
      <c r="A284" s="4">
        <v>925</v>
      </c>
      <c r="B284" t="s">
        <v>520</v>
      </c>
      <c r="C284" s="21">
        <v>2022</v>
      </c>
      <c r="D284" s="81" t="s">
        <v>521</v>
      </c>
      <c r="E284" s="81" t="s">
        <v>521</v>
      </c>
      <c r="F284" s="406">
        <v>0</v>
      </c>
      <c r="G284" s="406">
        <v>4764752.6483482225</v>
      </c>
      <c r="H284" s="432">
        <v>4.9099999999999998E-2</v>
      </c>
      <c r="I284" s="13">
        <v>20247.95</v>
      </c>
      <c r="J284" s="13">
        <v>244572.93</v>
      </c>
      <c r="K284" s="13">
        <v>5009325.58</v>
      </c>
      <c r="L284" s="4">
        <v>925</v>
      </c>
    </row>
    <row r="285" spans="1:12">
      <c r="A285" s="4"/>
      <c r="C285" s="21"/>
      <c r="D285" s="81"/>
      <c r="E285" s="81"/>
      <c r="F285" s="406"/>
      <c r="G285" s="406"/>
      <c r="H285" s="407"/>
      <c r="I285" s="13"/>
      <c r="J285" s="13"/>
      <c r="K285" s="13"/>
      <c r="L285" s="4"/>
    </row>
    <row r="286" spans="1:12">
      <c r="A286" s="4"/>
      <c r="B286" s="417" t="s">
        <v>489</v>
      </c>
      <c r="C286" s="427"/>
      <c r="D286" s="427"/>
      <c r="E286" s="427"/>
      <c r="F286" s="427"/>
      <c r="G286" s="427" t="s">
        <v>501</v>
      </c>
      <c r="H286" s="427"/>
      <c r="I286" s="427"/>
      <c r="J286" s="427"/>
      <c r="K286" s="428" t="s">
        <v>501</v>
      </c>
    </row>
    <row r="287" spans="1:12">
      <c r="B287" s="420" t="s">
        <v>540</v>
      </c>
      <c r="C287" s="4"/>
      <c r="D287" s="4" t="s">
        <v>536</v>
      </c>
      <c r="E287" s="4" t="s">
        <v>536</v>
      </c>
      <c r="F287" s="4"/>
      <c r="G287" s="4" t="s">
        <v>504</v>
      </c>
      <c r="H287" s="4"/>
      <c r="I287" s="4"/>
      <c r="J287" s="4"/>
      <c r="K287" s="423" t="s">
        <v>504</v>
      </c>
    </row>
    <row r="288" spans="1:12">
      <c r="A288" s="4"/>
      <c r="B288" s="420"/>
      <c r="C288" s="4"/>
      <c r="D288" s="4" t="s">
        <v>502</v>
      </c>
      <c r="E288" s="4" t="s">
        <v>503</v>
      </c>
      <c r="F288" s="4" t="s">
        <v>506</v>
      </c>
      <c r="G288" s="4" t="s">
        <v>507</v>
      </c>
      <c r="H288" s="4" t="s">
        <v>508</v>
      </c>
      <c r="I288" s="4" t="s">
        <v>502</v>
      </c>
      <c r="J288" s="4" t="s">
        <v>509</v>
      </c>
      <c r="K288" s="423" t="s">
        <v>510</v>
      </c>
    </row>
    <row r="289" spans="1:12">
      <c r="A289" s="4"/>
      <c r="B289" s="424" t="s">
        <v>511</v>
      </c>
      <c r="C289" s="425" t="s">
        <v>512</v>
      </c>
      <c r="D289" s="425" t="s">
        <v>513</v>
      </c>
      <c r="E289" s="425" t="s">
        <v>514</v>
      </c>
      <c r="F289" s="425" t="s">
        <v>515</v>
      </c>
      <c r="G289" s="425" t="s">
        <v>516</v>
      </c>
      <c r="H289" s="425" t="s">
        <v>517</v>
      </c>
      <c r="I289" s="425" t="s">
        <v>518</v>
      </c>
      <c r="J289" s="425" t="s">
        <v>518</v>
      </c>
      <c r="K289" s="426" t="s">
        <v>519</v>
      </c>
    </row>
    <row r="290" spans="1:12">
      <c r="A290" s="4">
        <v>926</v>
      </c>
      <c r="B290" t="s">
        <v>520</v>
      </c>
      <c r="C290" s="21">
        <v>2020</v>
      </c>
      <c r="D290" s="81" t="s">
        <v>521</v>
      </c>
      <c r="E290" s="81" t="s">
        <v>521</v>
      </c>
      <c r="F290" s="21" t="s">
        <v>521</v>
      </c>
      <c r="G290" s="40">
        <v>0</v>
      </c>
      <c r="H290" s="21" t="s">
        <v>521</v>
      </c>
      <c r="I290" s="21" t="s">
        <v>521</v>
      </c>
      <c r="J290" s="40">
        <v>0</v>
      </c>
      <c r="K290" s="13">
        <v>0</v>
      </c>
      <c r="L290" s="4">
        <v>926</v>
      </c>
    </row>
    <row r="291" spans="1:12">
      <c r="A291" s="4">
        <v>927</v>
      </c>
      <c r="B291" t="s">
        <v>522</v>
      </c>
      <c r="C291" s="21">
        <v>2021</v>
      </c>
      <c r="D291" s="396" t="s">
        <v>521</v>
      </c>
      <c r="E291" s="396" t="s">
        <v>521</v>
      </c>
      <c r="F291" s="406">
        <v>0</v>
      </c>
      <c r="G291" s="406">
        <v>0</v>
      </c>
      <c r="H291" s="432">
        <v>3.2500000000000001E-2</v>
      </c>
      <c r="I291" s="13">
        <v>0</v>
      </c>
      <c r="J291" s="13">
        <v>0</v>
      </c>
      <c r="K291" s="13">
        <v>0</v>
      </c>
      <c r="L291" s="4">
        <v>927</v>
      </c>
    </row>
    <row r="292" spans="1:12">
      <c r="A292" s="4">
        <v>928</v>
      </c>
      <c r="B292" t="s">
        <v>523</v>
      </c>
      <c r="C292" s="21">
        <v>2021</v>
      </c>
      <c r="D292" s="396" t="s">
        <v>521</v>
      </c>
      <c r="E292" s="396" t="s">
        <v>521</v>
      </c>
      <c r="F292" s="406">
        <v>0</v>
      </c>
      <c r="G292" s="406">
        <v>0</v>
      </c>
      <c r="H292" s="432">
        <v>3.2500000000000001E-2</v>
      </c>
      <c r="I292" s="13">
        <v>0</v>
      </c>
      <c r="J292" s="13">
        <v>0</v>
      </c>
      <c r="K292" s="13">
        <v>0</v>
      </c>
      <c r="L292" s="4">
        <v>928</v>
      </c>
    </row>
    <row r="293" spans="1:12">
      <c r="A293" s="4">
        <v>929</v>
      </c>
      <c r="B293" t="s">
        <v>524</v>
      </c>
      <c r="C293" s="21">
        <v>2021</v>
      </c>
      <c r="D293" s="396" t="s">
        <v>521</v>
      </c>
      <c r="E293" s="396" t="s">
        <v>521</v>
      </c>
      <c r="F293" s="406">
        <v>0</v>
      </c>
      <c r="G293" s="406">
        <v>0</v>
      </c>
      <c r="H293" s="432">
        <v>3.2500000000000001E-2</v>
      </c>
      <c r="I293" s="13">
        <v>0</v>
      </c>
      <c r="J293" s="13">
        <v>0</v>
      </c>
      <c r="K293" s="13">
        <v>0</v>
      </c>
      <c r="L293" s="4">
        <v>929</v>
      </c>
    </row>
    <row r="294" spans="1:12">
      <c r="A294" s="4">
        <v>930</v>
      </c>
      <c r="B294" t="s">
        <v>525</v>
      </c>
      <c r="C294" s="21">
        <v>2021</v>
      </c>
      <c r="D294" s="396" t="s">
        <v>521</v>
      </c>
      <c r="E294" s="396" t="s">
        <v>521</v>
      </c>
      <c r="F294" s="406">
        <v>0</v>
      </c>
      <c r="G294" s="406">
        <v>0</v>
      </c>
      <c r="H294" s="432">
        <v>3.2500000000000001E-2</v>
      </c>
      <c r="I294" s="13">
        <v>0</v>
      </c>
      <c r="J294" s="13">
        <v>0</v>
      </c>
      <c r="K294" s="13">
        <v>0</v>
      </c>
      <c r="L294" s="4">
        <v>930</v>
      </c>
    </row>
    <row r="295" spans="1:12">
      <c r="A295" s="4">
        <v>931</v>
      </c>
      <c r="B295" t="s">
        <v>526</v>
      </c>
      <c r="C295" s="21">
        <v>2021</v>
      </c>
      <c r="D295" s="396" t="s">
        <v>521</v>
      </c>
      <c r="E295" s="396" t="s">
        <v>521</v>
      </c>
      <c r="F295" s="406">
        <v>0</v>
      </c>
      <c r="G295" s="406">
        <v>0</v>
      </c>
      <c r="H295" s="432">
        <v>3.2500000000000001E-2</v>
      </c>
      <c r="I295" s="13">
        <v>0</v>
      </c>
      <c r="J295" s="13">
        <v>0</v>
      </c>
      <c r="K295" s="13">
        <v>0</v>
      </c>
      <c r="L295" s="4">
        <v>931</v>
      </c>
    </row>
    <row r="296" spans="1:12">
      <c r="A296" s="4">
        <v>932</v>
      </c>
      <c r="B296" t="s">
        <v>527</v>
      </c>
      <c r="C296" s="21">
        <v>2021</v>
      </c>
      <c r="D296" s="396">
        <v>1315646.9507120079</v>
      </c>
      <c r="E296" s="396">
        <v>572779.28</v>
      </c>
      <c r="F296" s="406">
        <v>742867.67071200791</v>
      </c>
      <c r="G296" s="406">
        <v>742867.67071200791</v>
      </c>
      <c r="H296" s="432">
        <v>3.2500000000000001E-2</v>
      </c>
      <c r="I296" s="13">
        <v>1005.97</v>
      </c>
      <c r="J296" s="13">
        <v>1005.97</v>
      </c>
      <c r="K296" s="13">
        <v>743873.64</v>
      </c>
      <c r="L296" s="4">
        <v>932</v>
      </c>
    </row>
    <row r="297" spans="1:12">
      <c r="A297" s="4">
        <v>933</v>
      </c>
      <c r="B297" t="s">
        <v>528</v>
      </c>
      <c r="C297" s="21">
        <v>2021</v>
      </c>
      <c r="D297" s="396">
        <v>1276894.3458322941</v>
      </c>
      <c r="E297" s="396">
        <v>463514.42000000004</v>
      </c>
      <c r="F297" s="406">
        <v>813379.92583229404</v>
      </c>
      <c r="G297" s="406">
        <v>1556247.5965443021</v>
      </c>
      <c r="H297" s="432">
        <v>3.2500000000000001E-2</v>
      </c>
      <c r="I297" s="13">
        <v>3116.11</v>
      </c>
      <c r="J297" s="13">
        <v>4122.08</v>
      </c>
      <c r="K297" s="13">
        <v>1560369.68</v>
      </c>
      <c r="L297" s="4">
        <v>933</v>
      </c>
    </row>
    <row r="298" spans="1:12">
      <c r="A298" s="4">
        <v>934</v>
      </c>
      <c r="B298" t="s">
        <v>529</v>
      </c>
      <c r="C298" s="21">
        <v>2021</v>
      </c>
      <c r="D298" s="396">
        <v>1196026.579263876</v>
      </c>
      <c r="E298" s="396">
        <v>518146.85000000003</v>
      </c>
      <c r="F298" s="406">
        <v>677879.72926387587</v>
      </c>
      <c r="G298" s="406">
        <v>2234127.3258081777</v>
      </c>
      <c r="H298" s="432">
        <v>3.2500000000000001E-2</v>
      </c>
      <c r="I298" s="13">
        <v>5135.5200000000004</v>
      </c>
      <c r="J298" s="13">
        <v>9257.6</v>
      </c>
      <c r="K298" s="13">
        <v>2243384.9300000002</v>
      </c>
      <c r="L298" s="4">
        <v>934</v>
      </c>
    </row>
    <row r="299" spans="1:12">
      <c r="A299" s="4">
        <v>935</v>
      </c>
      <c r="B299" t="s">
        <v>530</v>
      </c>
      <c r="C299" s="21">
        <v>2021</v>
      </c>
      <c r="D299" s="396">
        <v>1153147.0048858083</v>
      </c>
      <c r="E299" s="396">
        <v>517906.53</v>
      </c>
      <c r="F299" s="406">
        <v>635240.4748858083</v>
      </c>
      <c r="G299" s="406">
        <v>2869367.800693986</v>
      </c>
      <c r="H299" s="432">
        <v>3.2500000000000001E-2</v>
      </c>
      <c r="I299" s="13">
        <v>6913.71</v>
      </c>
      <c r="J299" s="13">
        <v>16171.310000000001</v>
      </c>
      <c r="K299" s="13">
        <v>2885539.11</v>
      </c>
      <c r="L299" s="4">
        <v>935</v>
      </c>
    </row>
    <row r="300" spans="1:12">
      <c r="A300" s="4">
        <v>936</v>
      </c>
      <c r="B300" t="s">
        <v>531</v>
      </c>
      <c r="C300" s="21">
        <v>2021</v>
      </c>
      <c r="D300" s="396">
        <v>1002182.0910097113</v>
      </c>
      <c r="E300" s="396">
        <v>519651.77000000014</v>
      </c>
      <c r="F300" s="406">
        <v>482530.32100971113</v>
      </c>
      <c r="G300" s="406">
        <v>3351898.1217036974</v>
      </c>
      <c r="H300" s="432">
        <v>3.2500000000000001E-2</v>
      </c>
      <c r="I300" s="13">
        <v>8468.43</v>
      </c>
      <c r="J300" s="13">
        <v>24639.74</v>
      </c>
      <c r="K300" s="13">
        <v>3376537.86</v>
      </c>
      <c r="L300" s="4">
        <v>936</v>
      </c>
    </row>
    <row r="301" spans="1:12">
      <c r="A301" s="4">
        <v>937</v>
      </c>
      <c r="B301" t="s">
        <v>532</v>
      </c>
      <c r="C301" s="21">
        <v>2021</v>
      </c>
      <c r="D301" s="396">
        <v>804743.63236664422</v>
      </c>
      <c r="E301" s="396">
        <v>518399.77</v>
      </c>
      <c r="F301" s="406">
        <v>286343.8623666442</v>
      </c>
      <c r="G301" s="406">
        <v>3638241.9840703416</v>
      </c>
      <c r="H301" s="432">
        <v>3.2500000000000001E-2</v>
      </c>
      <c r="I301" s="13">
        <v>9509.61</v>
      </c>
      <c r="J301" s="13">
        <v>34149.350000000006</v>
      </c>
      <c r="K301" s="13">
        <v>3672391.33</v>
      </c>
      <c r="L301" s="4">
        <v>937</v>
      </c>
    </row>
    <row r="302" spans="1:12">
      <c r="A302" s="4">
        <v>938</v>
      </c>
      <c r="B302" t="s">
        <v>520</v>
      </c>
      <c r="C302" s="21">
        <v>2021</v>
      </c>
      <c r="D302" s="396">
        <v>815006.14208854409</v>
      </c>
      <c r="E302" s="396">
        <v>518399.77</v>
      </c>
      <c r="F302" s="406">
        <v>296606.37208854407</v>
      </c>
      <c r="G302" s="406">
        <v>3934848.3561588856</v>
      </c>
      <c r="H302" s="432">
        <v>3.2500000000000001E-2</v>
      </c>
      <c r="I302" s="13">
        <v>10299.02</v>
      </c>
      <c r="J302" s="13">
        <v>44448.37000000001</v>
      </c>
      <c r="K302" s="13">
        <v>3979296.73</v>
      </c>
      <c r="L302" s="4">
        <v>938</v>
      </c>
    </row>
    <row r="303" spans="1:12">
      <c r="A303" s="4">
        <v>939</v>
      </c>
      <c r="B303" t="s">
        <v>522</v>
      </c>
      <c r="C303" s="21">
        <v>2022</v>
      </c>
      <c r="D303" s="81" t="s">
        <v>521</v>
      </c>
      <c r="E303" s="81" t="s">
        <v>521</v>
      </c>
      <c r="F303" s="406">
        <v>0</v>
      </c>
      <c r="G303" s="406">
        <v>3934848.3561588856</v>
      </c>
      <c r="H303" s="432">
        <v>3.2500000000000001E-2</v>
      </c>
      <c r="I303" s="13">
        <v>10777.26</v>
      </c>
      <c r="J303" s="13">
        <v>55225.630000000012</v>
      </c>
      <c r="K303" s="13">
        <v>3990073.99</v>
      </c>
      <c r="L303" s="4">
        <v>939</v>
      </c>
    </row>
    <row r="304" spans="1:12">
      <c r="A304" s="4">
        <v>940</v>
      </c>
      <c r="B304" t="s">
        <v>523</v>
      </c>
      <c r="C304" s="21">
        <v>2022</v>
      </c>
      <c r="D304" s="81" t="s">
        <v>521</v>
      </c>
      <c r="E304" s="81" t="s">
        <v>521</v>
      </c>
      <c r="F304" s="406">
        <v>0</v>
      </c>
      <c r="G304" s="406">
        <v>3934848.3561588856</v>
      </c>
      <c r="H304" s="432">
        <v>3.2500000000000001E-2</v>
      </c>
      <c r="I304" s="13">
        <v>10777.26</v>
      </c>
      <c r="J304" s="13">
        <v>66002.890000000014</v>
      </c>
      <c r="K304" s="13">
        <v>4000851.25</v>
      </c>
      <c r="L304" s="4">
        <v>940</v>
      </c>
    </row>
    <row r="305" spans="1:12">
      <c r="A305" s="4">
        <v>941</v>
      </c>
      <c r="B305" t="s">
        <v>524</v>
      </c>
      <c r="C305" s="21">
        <v>2022</v>
      </c>
      <c r="D305" s="81" t="s">
        <v>521</v>
      </c>
      <c r="E305" s="81" t="s">
        <v>521</v>
      </c>
      <c r="F305" s="406">
        <v>0</v>
      </c>
      <c r="G305" s="406">
        <v>3934848.3561588856</v>
      </c>
      <c r="H305" s="432">
        <v>3.2500000000000001E-2</v>
      </c>
      <c r="I305" s="13">
        <v>10777.26</v>
      </c>
      <c r="J305" s="13">
        <v>76780.150000000009</v>
      </c>
      <c r="K305" s="13">
        <v>4011628.51</v>
      </c>
      <c r="L305" s="4">
        <v>941</v>
      </c>
    </row>
    <row r="306" spans="1:12">
      <c r="A306" s="4">
        <v>942</v>
      </c>
      <c r="B306" t="s">
        <v>525</v>
      </c>
      <c r="C306" s="21">
        <v>2022</v>
      </c>
      <c r="D306" s="81" t="s">
        <v>521</v>
      </c>
      <c r="E306" s="81" t="s">
        <v>521</v>
      </c>
      <c r="F306" s="406">
        <v>0</v>
      </c>
      <c r="G306" s="406">
        <v>3934848.3561588856</v>
      </c>
      <c r="H306" s="432">
        <v>3.2500000000000001E-2</v>
      </c>
      <c r="I306" s="13">
        <v>10864.83</v>
      </c>
      <c r="J306" s="13">
        <v>87644.98000000001</v>
      </c>
      <c r="K306" s="13">
        <v>4022493.34</v>
      </c>
      <c r="L306" s="4">
        <v>942</v>
      </c>
    </row>
    <row r="307" spans="1:12">
      <c r="A307" s="4">
        <v>943</v>
      </c>
      <c r="B307" t="s">
        <v>526</v>
      </c>
      <c r="C307" s="21">
        <v>2022</v>
      </c>
      <c r="D307" s="81" t="s">
        <v>521</v>
      </c>
      <c r="E307" s="81" t="s">
        <v>521</v>
      </c>
      <c r="F307" s="406">
        <v>0</v>
      </c>
      <c r="G307" s="406">
        <v>3934848.3561588856</v>
      </c>
      <c r="H307" s="432">
        <v>3.2500000000000001E-2</v>
      </c>
      <c r="I307" s="13">
        <v>10864.83</v>
      </c>
      <c r="J307" s="13">
        <v>98509.810000000012</v>
      </c>
      <c r="K307" s="13">
        <v>4033358.17</v>
      </c>
      <c r="L307" s="4">
        <v>943</v>
      </c>
    </row>
    <row r="308" spans="1:12">
      <c r="A308" s="4">
        <v>944</v>
      </c>
      <c r="B308" t="s">
        <v>527</v>
      </c>
      <c r="C308" s="21">
        <v>2022</v>
      </c>
      <c r="D308" s="81" t="s">
        <v>521</v>
      </c>
      <c r="E308" s="81" t="s">
        <v>521</v>
      </c>
      <c r="F308" s="406">
        <v>0</v>
      </c>
      <c r="G308" s="406">
        <v>3934848.3561588856</v>
      </c>
      <c r="H308" s="432">
        <v>3.2500000000000001E-2</v>
      </c>
      <c r="I308" s="13">
        <v>10864.83</v>
      </c>
      <c r="J308" s="13">
        <v>109374.64000000001</v>
      </c>
      <c r="K308" s="13">
        <v>4044223</v>
      </c>
      <c r="L308" s="4">
        <v>944</v>
      </c>
    </row>
    <row r="309" spans="1:12">
      <c r="A309" s="4">
        <v>945</v>
      </c>
      <c r="B309" t="s">
        <v>528</v>
      </c>
      <c r="C309" s="21">
        <v>2022</v>
      </c>
      <c r="D309" s="81" t="s">
        <v>521</v>
      </c>
      <c r="E309" s="81" t="s">
        <v>521</v>
      </c>
      <c r="F309" s="406">
        <v>0</v>
      </c>
      <c r="G309" s="406">
        <v>3934848.3561588856</v>
      </c>
      <c r="H309" s="432">
        <v>3.5999999999999997E-2</v>
      </c>
      <c r="I309" s="13">
        <v>12132.67</v>
      </c>
      <c r="J309" s="13">
        <v>121507.31000000001</v>
      </c>
      <c r="K309" s="13">
        <v>4056355.67</v>
      </c>
      <c r="L309" s="4">
        <v>945</v>
      </c>
    </row>
    <row r="310" spans="1:12">
      <c r="A310" s="4">
        <v>946</v>
      </c>
      <c r="B310" t="s">
        <v>529</v>
      </c>
      <c r="C310" s="21">
        <v>2022</v>
      </c>
      <c r="D310" s="81" t="s">
        <v>521</v>
      </c>
      <c r="E310" s="81" t="s">
        <v>521</v>
      </c>
      <c r="F310" s="406">
        <v>0</v>
      </c>
      <c r="G310" s="406">
        <v>3934848.3561588856</v>
      </c>
      <c r="H310" s="432">
        <v>3.5999999999999997E-2</v>
      </c>
      <c r="I310" s="13">
        <v>12132.67</v>
      </c>
      <c r="J310" s="13">
        <v>133639.98000000001</v>
      </c>
      <c r="K310" s="13">
        <v>4068488.34</v>
      </c>
      <c r="L310" s="4">
        <v>946</v>
      </c>
    </row>
    <row r="311" spans="1:12">
      <c r="A311" s="4">
        <v>947</v>
      </c>
      <c r="B311" t="s">
        <v>530</v>
      </c>
      <c r="C311" s="21">
        <v>2022</v>
      </c>
      <c r="D311" s="81" t="s">
        <v>521</v>
      </c>
      <c r="E311" s="81" t="s">
        <v>521</v>
      </c>
      <c r="F311" s="406">
        <v>0</v>
      </c>
      <c r="G311" s="406">
        <v>3934848.3561588856</v>
      </c>
      <c r="H311" s="432">
        <v>3.5999999999999997E-2</v>
      </c>
      <c r="I311" s="13">
        <v>12132.67</v>
      </c>
      <c r="J311" s="13">
        <v>145772.65000000002</v>
      </c>
      <c r="K311" s="13">
        <v>4080621.01</v>
      </c>
      <c r="L311" s="4">
        <v>947</v>
      </c>
    </row>
    <row r="312" spans="1:12">
      <c r="A312" s="4">
        <v>948</v>
      </c>
      <c r="B312" t="s">
        <v>531</v>
      </c>
      <c r="C312" s="21">
        <v>2022</v>
      </c>
      <c r="D312" s="81" t="s">
        <v>521</v>
      </c>
      <c r="E312" s="81" t="s">
        <v>521</v>
      </c>
      <c r="F312" s="406">
        <v>0</v>
      </c>
      <c r="G312" s="406">
        <v>3934848.3561588856</v>
      </c>
      <c r="H312" s="432">
        <v>4.9099999999999998E-2</v>
      </c>
      <c r="I312" s="13">
        <v>16696.54</v>
      </c>
      <c r="J312" s="13">
        <v>162469.19000000003</v>
      </c>
      <c r="K312" s="13">
        <v>4097317.55</v>
      </c>
      <c r="L312" s="4">
        <v>948</v>
      </c>
    </row>
    <row r="313" spans="1:12">
      <c r="A313" s="4">
        <v>949</v>
      </c>
      <c r="B313" t="s">
        <v>532</v>
      </c>
      <c r="C313" s="21">
        <v>2022</v>
      </c>
      <c r="D313" s="81" t="s">
        <v>521</v>
      </c>
      <c r="E313" s="81" t="s">
        <v>521</v>
      </c>
      <c r="F313" s="406">
        <v>0</v>
      </c>
      <c r="G313" s="406">
        <v>3934848.3561588856</v>
      </c>
      <c r="H313" s="432">
        <v>4.9099999999999998E-2</v>
      </c>
      <c r="I313" s="13">
        <v>16696.54</v>
      </c>
      <c r="J313" s="13">
        <v>179165.73000000004</v>
      </c>
      <c r="K313" s="13">
        <v>4114014.09</v>
      </c>
      <c r="L313" s="4">
        <v>949</v>
      </c>
    </row>
    <row r="314" spans="1:12">
      <c r="A314" s="4">
        <v>950</v>
      </c>
      <c r="B314" t="s">
        <v>520</v>
      </c>
      <c r="C314" s="21">
        <v>2022</v>
      </c>
      <c r="D314" s="81" t="s">
        <v>521</v>
      </c>
      <c r="E314" s="81" t="s">
        <v>521</v>
      </c>
      <c r="F314" s="406">
        <v>0</v>
      </c>
      <c r="G314" s="406">
        <v>3934848.3561588856</v>
      </c>
      <c r="H314" s="432">
        <v>4.9099999999999998E-2</v>
      </c>
      <c r="I314" s="13">
        <v>16696.54</v>
      </c>
      <c r="J314" s="13">
        <v>195862.27000000005</v>
      </c>
      <c r="K314" s="13">
        <v>4130710.63</v>
      </c>
      <c r="L314" s="4">
        <v>950</v>
      </c>
    </row>
    <row r="315" spans="1:12">
      <c r="A315" s="4"/>
      <c r="C315" s="21"/>
      <c r="D315" s="81"/>
      <c r="E315" s="81"/>
      <c r="F315" s="406"/>
      <c r="G315" s="406"/>
      <c r="H315" s="407"/>
      <c r="I315" s="13"/>
      <c r="J315" s="13"/>
      <c r="K315" s="13"/>
      <c r="L315" s="4"/>
    </row>
    <row r="316" spans="1:12">
      <c r="A316" s="3" t="s">
        <v>90</v>
      </c>
      <c r="B316" s="417" t="s">
        <v>489</v>
      </c>
      <c r="C316" s="418" t="s">
        <v>122</v>
      </c>
      <c r="D316" s="418" t="s">
        <v>123</v>
      </c>
      <c r="E316" s="418" t="s">
        <v>124</v>
      </c>
      <c r="F316" s="418" t="s">
        <v>125</v>
      </c>
      <c r="G316" s="418" t="s">
        <v>490</v>
      </c>
      <c r="H316" s="418" t="s">
        <v>491</v>
      </c>
      <c r="I316" s="418" t="s">
        <v>492</v>
      </c>
      <c r="J316" s="418" t="s">
        <v>493</v>
      </c>
      <c r="K316" s="419" t="s">
        <v>494</v>
      </c>
      <c r="L316" s="3" t="s">
        <v>90</v>
      </c>
    </row>
    <row r="317" spans="1:12">
      <c r="A317" s="4">
        <v>1000</v>
      </c>
      <c r="B317" s="420" t="s">
        <v>541</v>
      </c>
      <c r="C317" s="4"/>
      <c r="D317" s="18" t="s">
        <v>101</v>
      </c>
      <c r="E317" s="18" t="s">
        <v>496</v>
      </c>
      <c r="F317" s="21" t="s">
        <v>551</v>
      </c>
      <c r="G317" s="21" t="s">
        <v>497</v>
      </c>
      <c r="H317" s="21" t="s">
        <v>498</v>
      </c>
      <c r="I317" s="21" t="s">
        <v>499</v>
      </c>
      <c r="J317" s="21" t="s">
        <v>500</v>
      </c>
      <c r="K317" s="421" t="s">
        <v>552</v>
      </c>
      <c r="L317" s="4">
        <v>1000</v>
      </c>
    </row>
    <row r="318" spans="1:12">
      <c r="A318" s="4"/>
      <c r="B318" s="422"/>
      <c r="C318" s="4"/>
      <c r="D318" s="4"/>
      <c r="E318" s="4"/>
      <c r="F318" s="4"/>
      <c r="G318" s="4" t="s">
        <v>501</v>
      </c>
      <c r="H318" s="4"/>
      <c r="I318" s="4"/>
      <c r="J318" s="4"/>
      <c r="K318" s="423" t="s">
        <v>501</v>
      </c>
    </row>
    <row r="319" spans="1:12">
      <c r="B319" s="422"/>
      <c r="C319" s="4"/>
      <c r="D319" s="4" t="s">
        <v>505</v>
      </c>
      <c r="E319" s="4" t="s">
        <v>505</v>
      </c>
      <c r="F319" s="4"/>
      <c r="G319" s="4" t="s">
        <v>504</v>
      </c>
      <c r="H319" s="4"/>
      <c r="I319" s="4"/>
      <c r="J319" s="4"/>
      <c r="K319" s="423" t="s">
        <v>504</v>
      </c>
    </row>
    <row r="320" spans="1:12">
      <c r="A320" s="4"/>
      <c r="B320" s="420"/>
      <c r="C320" s="4"/>
      <c r="D320" s="4" t="s">
        <v>502</v>
      </c>
      <c r="E320" s="4" t="s">
        <v>503</v>
      </c>
      <c r="F320" s="4" t="s">
        <v>506</v>
      </c>
      <c r="G320" s="4" t="s">
        <v>507</v>
      </c>
      <c r="H320" s="4" t="s">
        <v>508</v>
      </c>
      <c r="I320" s="4" t="s">
        <v>502</v>
      </c>
      <c r="J320" s="4" t="s">
        <v>509</v>
      </c>
      <c r="K320" s="423" t="s">
        <v>510</v>
      </c>
    </row>
    <row r="321" spans="1:12">
      <c r="A321" s="4"/>
      <c r="B321" s="424" t="s">
        <v>511</v>
      </c>
      <c r="C321" s="425" t="s">
        <v>512</v>
      </c>
      <c r="D321" s="425" t="s">
        <v>513</v>
      </c>
      <c r="E321" s="425" t="s">
        <v>514</v>
      </c>
      <c r="F321" s="425" t="s">
        <v>515</v>
      </c>
      <c r="G321" s="425" t="s">
        <v>516</v>
      </c>
      <c r="H321" s="425" t="s">
        <v>517</v>
      </c>
      <c r="I321" s="425" t="s">
        <v>518</v>
      </c>
      <c r="J321" s="425" t="s">
        <v>518</v>
      </c>
      <c r="K321" s="426" t="s">
        <v>519</v>
      </c>
    </row>
    <row r="322" spans="1:12">
      <c r="A322" s="4">
        <v>1001</v>
      </c>
      <c r="B322" t="s">
        <v>520</v>
      </c>
      <c r="C322" s="21">
        <v>2020</v>
      </c>
      <c r="D322" s="81" t="s">
        <v>521</v>
      </c>
      <c r="E322" s="81" t="s">
        <v>521</v>
      </c>
      <c r="F322" s="21" t="s">
        <v>521</v>
      </c>
      <c r="G322" s="40">
        <v>0</v>
      </c>
      <c r="H322" s="21" t="s">
        <v>521</v>
      </c>
      <c r="I322" s="21" t="s">
        <v>521</v>
      </c>
      <c r="J322" s="40">
        <v>0</v>
      </c>
      <c r="K322" s="13">
        <v>0</v>
      </c>
      <c r="L322" s="4">
        <v>1001</v>
      </c>
    </row>
    <row r="323" spans="1:12">
      <c r="A323" s="4">
        <v>1002</v>
      </c>
      <c r="B323" t="s">
        <v>522</v>
      </c>
      <c r="C323" s="21">
        <v>2021</v>
      </c>
      <c r="D323" s="396" t="s">
        <v>521</v>
      </c>
      <c r="E323" s="396" t="s">
        <v>521</v>
      </c>
      <c r="F323" s="406">
        <v>0</v>
      </c>
      <c r="G323" s="406">
        <v>0</v>
      </c>
      <c r="H323" s="432">
        <v>3.2500000000000001E-2</v>
      </c>
      <c r="I323" s="13">
        <v>0</v>
      </c>
      <c r="J323" s="13">
        <v>0</v>
      </c>
      <c r="K323" s="13">
        <v>0</v>
      </c>
      <c r="L323" s="4">
        <v>1002</v>
      </c>
    </row>
    <row r="324" spans="1:12">
      <c r="A324" s="4">
        <v>1003</v>
      </c>
      <c r="B324" t="s">
        <v>523</v>
      </c>
      <c r="C324" s="21">
        <v>2021</v>
      </c>
      <c r="D324" s="396" t="s">
        <v>521</v>
      </c>
      <c r="E324" s="396" t="s">
        <v>521</v>
      </c>
      <c r="F324" s="406">
        <v>0</v>
      </c>
      <c r="G324" s="406">
        <v>0</v>
      </c>
      <c r="H324" s="432">
        <v>3.2500000000000001E-2</v>
      </c>
      <c r="I324" s="13">
        <v>0</v>
      </c>
      <c r="J324" s="13">
        <v>0</v>
      </c>
      <c r="K324" s="13">
        <v>0</v>
      </c>
      <c r="L324" s="4">
        <v>1003</v>
      </c>
    </row>
    <row r="325" spans="1:12">
      <c r="A325" s="4">
        <v>1004</v>
      </c>
      <c r="B325" t="s">
        <v>524</v>
      </c>
      <c r="C325" s="21">
        <v>2021</v>
      </c>
      <c r="D325" s="396" t="s">
        <v>521</v>
      </c>
      <c r="E325" s="396" t="s">
        <v>521</v>
      </c>
      <c r="F325" s="406">
        <v>0</v>
      </c>
      <c r="G325" s="406">
        <v>0</v>
      </c>
      <c r="H325" s="432">
        <v>3.2500000000000001E-2</v>
      </c>
      <c r="I325" s="13">
        <v>0</v>
      </c>
      <c r="J325" s="13">
        <v>0</v>
      </c>
      <c r="K325" s="13">
        <v>0</v>
      </c>
      <c r="L325" s="4">
        <v>1004</v>
      </c>
    </row>
    <row r="326" spans="1:12">
      <c r="A326" s="4">
        <v>1005</v>
      </c>
      <c r="B326" t="s">
        <v>525</v>
      </c>
      <c r="C326" s="21">
        <v>2021</v>
      </c>
      <c r="D326" s="396" t="s">
        <v>521</v>
      </c>
      <c r="E326" s="396" t="s">
        <v>521</v>
      </c>
      <c r="F326" s="406">
        <v>0</v>
      </c>
      <c r="G326" s="406">
        <v>0</v>
      </c>
      <c r="H326" s="432">
        <v>3.2500000000000001E-2</v>
      </c>
      <c r="I326" s="13">
        <v>0</v>
      </c>
      <c r="J326" s="13">
        <v>0</v>
      </c>
      <c r="K326" s="13">
        <v>0</v>
      </c>
      <c r="L326" s="4">
        <v>1005</v>
      </c>
    </row>
    <row r="327" spans="1:12">
      <c r="A327" s="4">
        <v>1006</v>
      </c>
      <c r="B327" t="s">
        <v>526</v>
      </c>
      <c r="C327" s="21">
        <v>2021</v>
      </c>
      <c r="D327" s="396" t="s">
        <v>521</v>
      </c>
      <c r="E327" s="396" t="s">
        <v>521</v>
      </c>
      <c r="F327" s="406">
        <v>0</v>
      </c>
      <c r="G327" s="406">
        <v>0</v>
      </c>
      <c r="H327" s="432">
        <v>3.2500000000000001E-2</v>
      </c>
      <c r="I327" s="13">
        <v>0</v>
      </c>
      <c r="J327" s="13">
        <v>0</v>
      </c>
      <c r="K327" s="13">
        <v>0</v>
      </c>
      <c r="L327" s="4">
        <v>1006</v>
      </c>
    </row>
    <row r="328" spans="1:12">
      <c r="A328" s="4">
        <v>1007</v>
      </c>
      <c r="B328" t="s">
        <v>527</v>
      </c>
      <c r="C328" s="21">
        <v>2021</v>
      </c>
      <c r="D328" s="396">
        <v>1210.0939421671978</v>
      </c>
      <c r="E328" s="396">
        <v>917.09999999999991</v>
      </c>
      <c r="F328" s="406">
        <v>292.99394216719793</v>
      </c>
      <c r="G328" s="406">
        <v>292.99394216719793</v>
      </c>
      <c r="H328" s="432">
        <v>3.2500000000000001E-2</v>
      </c>
      <c r="I328" s="13">
        <v>0.4</v>
      </c>
      <c r="J328" s="13">
        <v>0.4</v>
      </c>
      <c r="K328" s="13">
        <v>293.39</v>
      </c>
      <c r="L328" s="4">
        <v>1007</v>
      </c>
    </row>
    <row r="329" spans="1:12">
      <c r="A329" s="4">
        <v>1008</v>
      </c>
      <c r="B329" t="s">
        <v>528</v>
      </c>
      <c r="C329" s="21">
        <v>2021</v>
      </c>
      <c r="D329" s="396">
        <v>1316.2425335853732</v>
      </c>
      <c r="E329" s="396">
        <v>917.09999999999991</v>
      </c>
      <c r="F329" s="406">
        <v>399.14253358537326</v>
      </c>
      <c r="G329" s="406">
        <v>692.13647575257119</v>
      </c>
      <c r="H329" s="432">
        <v>3.2500000000000001E-2</v>
      </c>
      <c r="I329" s="13">
        <v>1.34</v>
      </c>
      <c r="J329" s="13">
        <v>1.7400000000000002</v>
      </c>
      <c r="K329" s="13">
        <v>693.88</v>
      </c>
      <c r="L329" s="4">
        <v>1008</v>
      </c>
    </row>
    <row r="330" spans="1:12">
      <c r="A330" s="4">
        <v>1009</v>
      </c>
      <c r="B330" t="s">
        <v>529</v>
      </c>
      <c r="C330" s="21">
        <v>2021</v>
      </c>
      <c r="D330" s="396">
        <v>1379.9316884362784</v>
      </c>
      <c r="E330" s="396">
        <v>917.09999999999991</v>
      </c>
      <c r="F330" s="406">
        <v>462.83168843627845</v>
      </c>
      <c r="G330" s="406">
        <v>1154.9681641888496</v>
      </c>
      <c r="H330" s="432">
        <v>3.2500000000000001E-2</v>
      </c>
      <c r="I330" s="13">
        <v>2.5</v>
      </c>
      <c r="J330" s="13">
        <v>4.24</v>
      </c>
      <c r="K330" s="13">
        <v>1159.21</v>
      </c>
      <c r="L330" s="4">
        <v>1009</v>
      </c>
    </row>
    <row r="331" spans="1:12">
      <c r="A331" s="4">
        <v>1010</v>
      </c>
      <c r="B331" t="s">
        <v>530</v>
      </c>
      <c r="C331" s="21">
        <v>2021</v>
      </c>
      <c r="D331" s="396">
        <v>1082.7156324653877</v>
      </c>
      <c r="E331" s="396">
        <v>917.09999999999991</v>
      </c>
      <c r="F331" s="406">
        <v>165.61563246538776</v>
      </c>
      <c r="G331" s="406">
        <v>1320.5837966542374</v>
      </c>
      <c r="H331" s="432">
        <v>3.2500000000000001E-2</v>
      </c>
      <c r="I331" s="13">
        <v>3.35</v>
      </c>
      <c r="J331" s="13">
        <v>7.59</v>
      </c>
      <c r="K331" s="13">
        <v>1328.17</v>
      </c>
      <c r="L331" s="4">
        <v>1010</v>
      </c>
    </row>
    <row r="332" spans="1:12">
      <c r="A332" s="4">
        <v>1011</v>
      </c>
      <c r="B332" t="s">
        <v>531</v>
      </c>
      <c r="C332" s="21">
        <v>2021</v>
      </c>
      <c r="D332" s="396">
        <v>1146.4047873162929</v>
      </c>
      <c r="E332" s="396">
        <v>917.09999999999991</v>
      </c>
      <c r="F332" s="406">
        <v>229.30478731629296</v>
      </c>
      <c r="G332" s="406">
        <v>1549.8885839705304</v>
      </c>
      <c r="H332" s="432">
        <v>3.2500000000000001E-2</v>
      </c>
      <c r="I332" s="13">
        <v>3.91</v>
      </c>
      <c r="J332" s="13">
        <v>11.5</v>
      </c>
      <c r="K332" s="13">
        <v>1561.39</v>
      </c>
      <c r="L332" s="4">
        <v>1011</v>
      </c>
    </row>
    <row r="333" spans="1:12">
      <c r="A333" s="4">
        <v>1012</v>
      </c>
      <c r="B333" t="s">
        <v>532</v>
      </c>
      <c r="C333" s="21">
        <v>2021</v>
      </c>
      <c r="D333" s="396">
        <v>1379.9316884362784</v>
      </c>
      <c r="E333" s="396">
        <v>917.09999999999991</v>
      </c>
      <c r="F333" s="406">
        <v>462.83168843627845</v>
      </c>
      <c r="G333" s="406">
        <v>2012.7202724068088</v>
      </c>
      <c r="H333" s="432">
        <v>3.2500000000000001E-2</v>
      </c>
      <c r="I333" s="13">
        <v>4.84</v>
      </c>
      <c r="J333" s="13">
        <v>16.34</v>
      </c>
      <c r="K333" s="13">
        <v>2029.06</v>
      </c>
      <c r="L333" s="4">
        <v>1012</v>
      </c>
    </row>
    <row r="334" spans="1:12">
      <c r="A334" s="4">
        <v>1013</v>
      </c>
      <c r="B334" t="s">
        <v>520</v>
      </c>
      <c r="C334" s="21">
        <v>2021</v>
      </c>
      <c r="D334" s="396">
        <v>1889.4449272435195</v>
      </c>
      <c r="E334" s="396">
        <v>917.09999999999991</v>
      </c>
      <c r="F334" s="406">
        <v>972.34492724351958</v>
      </c>
      <c r="G334" s="406">
        <v>2985.0651996503284</v>
      </c>
      <c r="H334" s="432">
        <v>3.2500000000000001E-2</v>
      </c>
      <c r="I334" s="13">
        <v>6.79</v>
      </c>
      <c r="J334" s="13">
        <v>23.13</v>
      </c>
      <c r="K334" s="13">
        <v>3008.2</v>
      </c>
      <c r="L334" s="4">
        <v>1013</v>
      </c>
    </row>
    <row r="335" spans="1:12">
      <c r="A335" s="4">
        <v>1014</v>
      </c>
      <c r="B335" t="s">
        <v>522</v>
      </c>
      <c r="C335" s="21">
        <v>2022</v>
      </c>
      <c r="D335" s="81" t="s">
        <v>521</v>
      </c>
      <c r="E335" s="81" t="s">
        <v>521</v>
      </c>
      <c r="F335" s="406">
        <v>0</v>
      </c>
      <c r="G335" s="406">
        <v>2985.0651996503284</v>
      </c>
      <c r="H335" s="432">
        <v>3.2500000000000001E-2</v>
      </c>
      <c r="I335" s="13">
        <v>8.15</v>
      </c>
      <c r="J335" s="13">
        <v>31.28</v>
      </c>
      <c r="K335" s="13">
        <v>3016.35</v>
      </c>
      <c r="L335" s="4">
        <v>1014</v>
      </c>
    </row>
    <row r="336" spans="1:12">
      <c r="A336" s="4">
        <v>1015</v>
      </c>
      <c r="B336" t="s">
        <v>523</v>
      </c>
      <c r="C336" s="21">
        <v>2022</v>
      </c>
      <c r="D336" s="81" t="s">
        <v>521</v>
      </c>
      <c r="E336" s="81" t="s">
        <v>521</v>
      </c>
      <c r="F336" s="406">
        <v>0</v>
      </c>
      <c r="G336" s="406">
        <v>2985.0651996503284</v>
      </c>
      <c r="H336" s="432">
        <v>3.2500000000000001E-2</v>
      </c>
      <c r="I336" s="13">
        <v>8.15</v>
      </c>
      <c r="J336" s="13">
        <v>39.43</v>
      </c>
      <c r="K336" s="13">
        <v>3024.5</v>
      </c>
      <c r="L336" s="4">
        <v>1015</v>
      </c>
    </row>
    <row r="337" spans="1:12">
      <c r="A337" s="4">
        <v>1016</v>
      </c>
      <c r="B337" t="s">
        <v>524</v>
      </c>
      <c r="C337" s="21">
        <v>2022</v>
      </c>
      <c r="D337" s="81" t="s">
        <v>521</v>
      </c>
      <c r="E337" s="81" t="s">
        <v>521</v>
      </c>
      <c r="F337" s="406">
        <v>0</v>
      </c>
      <c r="G337" s="406">
        <v>2985.0651996503284</v>
      </c>
      <c r="H337" s="432">
        <v>3.2500000000000001E-2</v>
      </c>
      <c r="I337" s="13">
        <v>8.15</v>
      </c>
      <c r="J337" s="13">
        <v>47.58</v>
      </c>
      <c r="K337" s="13">
        <v>3032.65</v>
      </c>
      <c r="L337" s="4">
        <v>1016</v>
      </c>
    </row>
    <row r="338" spans="1:12">
      <c r="A338" s="4">
        <v>1017</v>
      </c>
      <c r="B338" t="s">
        <v>525</v>
      </c>
      <c r="C338" s="21">
        <v>2022</v>
      </c>
      <c r="D338" s="81" t="s">
        <v>521</v>
      </c>
      <c r="E338" s="81" t="s">
        <v>521</v>
      </c>
      <c r="F338" s="406">
        <v>0</v>
      </c>
      <c r="G338" s="406">
        <v>2985.0651996503284</v>
      </c>
      <c r="H338" s="432">
        <v>3.2500000000000001E-2</v>
      </c>
      <c r="I338" s="13">
        <v>8.2100000000000009</v>
      </c>
      <c r="J338" s="13">
        <v>55.79</v>
      </c>
      <c r="K338" s="13">
        <v>3040.86</v>
      </c>
      <c r="L338" s="4">
        <v>1017</v>
      </c>
    </row>
    <row r="339" spans="1:12">
      <c r="A339" s="4">
        <v>1018</v>
      </c>
      <c r="B339" t="s">
        <v>526</v>
      </c>
      <c r="C339" s="21">
        <v>2022</v>
      </c>
      <c r="D339" s="81" t="s">
        <v>521</v>
      </c>
      <c r="E339" s="81" t="s">
        <v>521</v>
      </c>
      <c r="F339" s="406">
        <v>0</v>
      </c>
      <c r="G339" s="406">
        <v>2985.0651996503284</v>
      </c>
      <c r="H339" s="432">
        <v>3.2500000000000001E-2</v>
      </c>
      <c r="I339" s="13">
        <v>8.2100000000000009</v>
      </c>
      <c r="J339" s="13">
        <v>64</v>
      </c>
      <c r="K339" s="13">
        <v>3049.07</v>
      </c>
      <c r="L339" s="4">
        <v>1018</v>
      </c>
    </row>
    <row r="340" spans="1:12">
      <c r="A340" s="4">
        <v>1019</v>
      </c>
      <c r="B340" t="s">
        <v>527</v>
      </c>
      <c r="C340" s="21">
        <v>2022</v>
      </c>
      <c r="D340" s="81" t="s">
        <v>521</v>
      </c>
      <c r="E340" s="81" t="s">
        <v>521</v>
      </c>
      <c r="F340" s="406">
        <v>0</v>
      </c>
      <c r="G340" s="406">
        <v>2985.0651996503284</v>
      </c>
      <c r="H340" s="432">
        <v>3.2500000000000001E-2</v>
      </c>
      <c r="I340" s="13">
        <v>8.2100000000000009</v>
      </c>
      <c r="J340" s="13">
        <v>72.210000000000008</v>
      </c>
      <c r="K340" s="13">
        <v>3057.28</v>
      </c>
      <c r="L340" s="4">
        <v>1019</v>
      </c>
    </row>
    <row r="341" spans="1:12">
      <c r="A341" s="4">
        <v>1020</v>
      </c>
      <c r="B341" t="s">
        <v>528</v>
      </c>
      <c r="C341" s="21">
        <v>2022</v>
      </c>
      <c r="D341" s="81" t="s">
        <v>521</v>
      </c>
      <c r="E341" s="81" t="s">
        <v>521</v>
      </c>
      <c r="F341" s="406">
        <v>0</v>
      </c>
      <c r="G341" s="406">
        <v>2985.0651996503284</v>
      </c>
      <c r="H341" s="432">
        <v>3.5999999999999997E-2</v>
      </c>
      <c r="I341" s="13">
        <v>9.17</v>
      </c>
      <c r="J341" s="13">
        <v>81.38000000000001</v>
      </c>
      <c r="K341" s="13">
        <v>3066.45</v>
      </c>
      <c r="L341" s="4">
        <v>1020</v>
      </c>
    </row>
    <row r="342" spans="1:12">
      <c r="A342" s="4">
        <v>1021</v>
      </c>
      <c r="B342" t="s">
        <v>529</v>
      </c>
      <c r="C342" s="21">
        <v>2022</v>
      </c>
      <c r="D342" s="81" t="s">
        <v>521</v>
      </c>
      <c r="E342" s="81" t="s">
        <v>521</v>
      </c>
      <c r="F342" s="406">
        <v>0</v>
      </c>
      <c r="G342" s="406">
        <v>2985.0651996503284</v>
      </c>
      <c r="H342" s="432">
        <v>3.5999999999999997E-2</v>
      </c>
      <c r="I342" s="13">
        <v>9.17</v>
      </c>
      <c r="J342" s="13">
        <v>90.550000000000011</v>
      </c>
      <c r="K342" s="13">
        <v>3075.62</v>
      </c>
      <c r="L342" s="4">
        <v>1021</v>
      </c>
    </row>
    <row r="343" spans="1:12">
      <c r="A343" s="4">
        <v>1022</v>
      </c>
      <c r="B343" t="s">
        <v>530</v>
      </c>
      <c r="C343" s="21">
        <v>2022</v>
      </c>
      <c r="D343" s="81" t="s">
        <v>521</v>
      </c>
      <c r="E343" s="81" t="s">
        <v>521</v>
      </c>
      <c r="F343" s="406">
        <v>0</v>
      </c>
      <c r="G343" s="406">
        <v>2985.0651996503284</v>
      </c>
      <c r="H343" s="432">
        <v>3.5999999999999997E-2</v>
      </c>
      <c r="I343" s="13">
        <v>9.17</v>
      </c>
      <c r="J343" s="13">
        <v>99.720000000000013</v>
      </c>
      <c r="K343" s="13">
        <v>3084.79</v>
      </c>
      <c r="L343" s="4">
        <v>1022</v>
      </c>
    </row>
    <row r="344" spans="1:12">
      <c r="A344" s="4">
        <v>1023</v>
      </c>
      <c r="B344" t="s">
        <v>531</v>
      </c>
      <c r="C344" s="21">
        <v>2022</v>
      </c>
      <c r="D344" s="81" t="s">
        <v>521</v>
      </c>
      <c r="E344" s="81" t="s">
        <v>521</v>
      </c>
      <c r="F344" s="406">
        <v>0</v>
      </c>
      <c r="G344" s="406">
        <v>2985.0651996503284</v>
      </c>
      <c r="H344" s="432">
        <v>4.9099999999999998E-2</v>
      </c>
      <c r="I344" s="13">
        <v>12.62</v>
      </c>
      <c r="J344" s="13">
        <v>112.34000000000002</v>
      </c>
      <c r="K344" s="13">
        <v>3097.41</v>
      </c>
      <c r="L344" s="4">
        <v>1023</v>
      </c>
    </row>
    <row r="345" spans="1:12">
      <c r="A345" s="4">
        <v>1024</v>
      </c>
      <c r="B345" t="s">
        <v>532</v>
      </c>
      <c r="C345" s="21">
        <v>2022</v>
      </c>
      <c r="D345" s="81" t="s">
        <v>521</v>
      </c>
      <c r="E345" s="81" t="s">
        <v>521</v>
      </c>
      <c r="F345" s="406">
        <v>0</v>
      </c>
      <c r="G345" s="406">
        <v>2985.0651996503284</v>
      </c>
      <c r="H345" s="432">
        <v>4.9099999999999998E-2</v>
      </c>
      <c r="I345" s="13">
        <v>12.62</v>
      </c>
      <c r="J345" s="13">
        <v>124.96000000000002</v>
      </c>
      <c r="K345" s="13">
        <v>3110.03</v>
      </c>
      <c r="L345" s="4">
        <v>1024</v>
      </c>
    </row>
    <row r="346" spans="1:12">
      <c r="A346" s="4">
        <v>1025</v>
      </c>
      <c r="B346" t="s">
        <v>520</v>
      </c>
      <c r="C346" s="21">
        <v>2022</v>
      </c>
      <c r="D346" s="81" t="s">
        <v>521</v>
      </c>
      <c r="E346" s="81" t="s">
        <v>521</v>
      </c>
      <c r="F346" s="406">
        <v>0</v>
      </c>
      <c r="G346" s="406">
        <v>2985.0651996503284</v>
      </c>
      <c r="H346" s="432">
        <v>4.9099999999999998E-2</v>
      </c>
      <c r="I346" s="13">
        <v>12.62</v>
      </c>
      <c r="J346" s="13">
        <v>137.58000000000001</v>
      </c>
      <c r="K346" s="13">
        <v>3122.65</v>
      </c>
      <c r="L346" s="4">
        <v>1025</v>
      </c>
    </row>
    <row r="347" spans="1:12">
      <c r="A347" s="4"/>
      <c r="C347" s="21"/>
      <c r="D347" s="81"/>
      <c r="E347" s="81"/>
      <c r="F347" s="406"/>
      <c r="G347" s="13"/>
      <c r="H347" s="13"/>
      <c r="I347" s="13"/>
      <c r="J347" s="4"/>
    </row>
    <row r="348" spans="1:12">
      <c r="A348" s="470" t="s">
        <v>117</v>
      </c>
      <c r="B348" s="358" t="s">
        <v>117</v>
      </c>
      <c r="C348" s="21"/>
      <c r="D348" s="81"/>
      <c r="E348" s="81"/>
      <c r="F348" s="406"/>
      <c r="G348" s="13"/>
      <c r="H348" s="13"/>
      <c r="I348" s="13"/>
      <c r="J348" s="4"/>
    </row>
    <row r="350" spans="1:12" ht="15" customHeight="1">
      <c r="B350" t="s">
        <v>542</v>
      </c>
    </row>
    <row r="351" spans="1:12" ht="15" customHeight="1">
      <c r="B351" t="s">
        <v>543</v>
      </c>
    </row>
    <row r="352" spans="1:12">
      <c r="B352" t="s">
        <v>544</v>
      </c>
    </row>
    <row r="353" spans="2:11">
      <c r="B353" t="s">
        <v>545</v>
      </c>
    </row>
    <row r="354" spans="2:11" ht="15" customHeight="1">
      <c r="B354" s="737" t="s">
        <v>546</v>
      </c>
      <c r="C354" s="737"/>
      <c r="D354" s="737"/>
      <c r="E354" s="737"/>
      <c r="F354" s="737"/>
      <c r="G354" s="737"/>
      <c r="H354" s="737"/>
      <c r="I354" s="737"/>
      <c r="J354" s="737"/>
      <c r="K354" s="737"/>
    </row>
    <row r="355" spans="2:11">
      <c r="B355" s="737"/>
      <c r="C355" s="737"/>
      <c r="D355" s="737"/>
      <c r="E355" s="737"/>
      <c r="F355" s="737"/>
      <c r="G355" s="737"/>
      <c r="H355" s="737"/>
      <c r="I355" s="737"/>
      <c r="J355" s="737"/>
      <c r="K355" s="737"/>
    </row>
    <row r="356" spans="2:11" ht="15" customHeight="1">
      <c r="B356" t="s">
        <v>547</v>
      </c>
    </row>
    <row r="357" spans="2:11" s="86" customFormat="1" ht="15" customHeight="1">
      <c r="B357" s="740" t="s">
        <v>548</v>
      </c>
      <c r="C357" s="740"/>
      <c r="D357" s="740"/>
      <c r="E357" s="740"/>
      <c r="F357" s="740"/>
      <c r="G357" s="740"/>
      <c r="H357" s="740"/>
      <c r="I357" s="740"/>
      <c r="J357" s="740"/>
    </row>
    <row r="358" spans="2:11" s="86" customFormat="1">
      <c r="B358" s="739" t="s">
        <v>549</v>
      </c>
      <c r="C358" s="739"/>
      <c r="D358" s="739"/>
      <c r="E358" s="739"/>
      <c r="F358" s="739"/>
      <c r="G358" s="739"/>
      <c r="H358" s="739"/>
      <c r="I358" s="739"/>
      <c r="J358" s="739"/>
    </row>
    <row r="359" spans="2:11" s="86" customFormat="1">
      <c r="B359" s="739"/>
      <c r="C359" s="739"/>
      <c r="D359" s="739"/>
      <c r="E359" s="739"/>
      <c r="F359" s="739"/>
      <c r="G359" s="739"/>
      <c r="H359" s="739"/>
      <c r="I359" s="739"/>
      <c r="J359" s="739"/>
    </row>
    <row r="360" spans="2:11">
      <c r="B360" s="736" t="s">
        <v>550</v>
      </c>
      <c r="C360" s="736"/>
      <c r="D360" s="736"/>
      <c r="E360" s="736"/>
      <c r="F360" s="736"/>
      <c r="G360" s="736"/>
      <c r="H360" s="736"/>
      <c r="I360" s="736"/>
      <c r="J360" s="736"/>
    </row>
    <row r="361" spans="2:11">
      <c r="B361" s="736"/>
      <c r="C361" s="736"/>
      <c r="D361" s="736"/>
      <c r="E361" s="736"/>
      <c r="F361" s="736"/>
      <c r="G361" s="736"/>
      <c r="H361" s="736"/>
      <c r="I361" s="736"/>
      <c r="J361" s="736"/>
    </row>
  </sheetData>
  <mergeCells count="6">
    <mergeCell ref="B360:J361"/>
    <mergeCell ref="B55:K56"/>
    <mergeCell ref="B57:I57"/>
    <mergeCell ref="B354:K355"/>
    <mergeCell ref="B357:J357"/>
    <mergeCell ref="B358:J359"/>
  </mergeCells>
  <printOptions horizontalCentered="1"/>
  <pageMargins left="1" right="1" top="1" bottom="1" header="0.5" footer="0.5"/>
  <pageSetup scale="10" orientation="landscape" r:id="rId1"/>
  <headerFooter>
    <oddHeader>&amp;RDocket No. ER20-2878-000, et al.- Annual Update RY2024
&amp;F</oddHeader>
  </headerFooter>
  <rowBreaks count="7" manualBreakCount="7">
    <brk id="35" max="11" man="1"/>
    <brk id="65" max="11" man="1"/>
    <brk id="126" max="11" man="1"/>
    <brk id="188" max="11" man="1"/>
    <brk id="220" max="11" man="1"/>
    <brk id="252" max="11" man="1"/>
    <brk id="314" max="1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b06c99b3-cd83-43e5-b4c1-d62f316c1e37" ContentTypeId="0x0101" PreviousValue="false" LastSyncTimeStamp="2020-01-27T23:41:31.003Z"/>
</file>

<file path=customXml/item2.xml><?xml version="1.0" encoding="utf-8"?>
<p:properties xmlns:p="http://schemas.microsoft.com/office/2006/metadata/properties" xmlns:xsi="http://www.w3.org/2001/XMLSchema-instance" xmlns:pc="http://schemas.microsoft.com/office/infopath/2007/PartnerControls">
  <documentManagement>
    <pgeRetentionTriggerDate xmlns="97e57212-3e02-407f-8b2d-05f7d7f19b15" xsi:nil="true"/>
    <pgeInformationSecurityClassification xmlns="97e57212-3e02-407f-8b2d-05f7d7f19b15" xsi:nil="true"/>
    <mca9ac2a47d44219b4ff213ace4480ec xmlns="97e57212-3e02-407f-8b2d-05f7d7f19b15">
      <Terms xmlns="http://schemas.microsoft.com/office/infopath/2007/PartnerControls"/>
    </mca9ac2a47d44219b4ff213ace4480ec>
    <TaxCatchAll xmlns="97e57212-3e02-407f-8b2d-05f7d7f19b1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4E3609C5199AE40B0C8A1B9586D8961" ma:contentTypeVersion="17" ma:contentTypeDescription="Create a new document." ma:contentTypeScope="" ma:versionID="2c9672caac81e3695069e593100cd45d">
  <xsd:schema xmlns:xsd="http://www.w3.org/2001/XMLSchema" xmlns:xs="http://www.w3.org/2001/XMLSchema" xmlns:p="http://schemas.microsoft.com/office/2006/metadata/properties" xmlns:ns2="97e57212-3e02-407f-8b2d-05f7d7f19b15" xmlns:ns3="54d2ddc9-e9d1-4372-9b24-6a2b5c99b697" xmlns:ns4="e88bc686-2a5a-4a8c-98ae-cb9429efaf58" targetNamespace="http://schemas.microsoft.com/office/2006/metadata/properties" ma:root="true" ma:fieldsID="3e8df36792ddf9a89cfb384edeabdc99" ns2:_="" ns3:_="" ns4:_="">
    <xsd:import namespace="97e57212-3e02-407f-8b2d-05f7d7f19b15"/>
    <xsd:import namespace="54d2ddc9-e9d1-4372-9b24-6a2b5c99b697"/>
    <xsd:import namespace="e88bc686-2a5a-4a8c-98ae-cb9429efaf58"/>
    <xsd:element name="properties">
      <xsd:complexType>
        <xsd:sequence>
          <xsd:element name="documentManagement">
            <xsd:complexType>
              <xsd:all>
                <xsd:element ref="ns2:pgeInformationSecurityClassification" minOccurs="0"/>
                <xsd:element ref="ns2:mca9ac2a47d44219b4ff213ace4480ec" minOccurs="0"/>
                <xsd:element ref="ns2:TaxCatchAll" minOccurs="0"/>
                <xsd:element ref="ns2:TaxCatchAllLabel" minOccurs="0"/>
                <xsd:element ref="ns2:pgeRetentionTriggerDate" minOccurs="0"/>
                <xsd:element ref="ns3:MediaServiceMetadata" minOccurs="0"/>
                <xsd:element ref="ns3:MediaServiceFastMetadata" minOccurs="0"/>
                <xsd:element ref="ns3:MediaServiceAutoKeyPoints" minOccurs="0"/>
                <xsd:element ref="ns3:MediaServiceKeyPoints" minOccurs="0"/>
                <xsd:element ref="ns3:MediaServiceSearchProperties" minOccurs="0"/>
                <xsd:element ref="ns4:SharedWithUsers" minOccurs="0"/>
                <xsd:element ref="ns4:SharedWithDetail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pgeInformationSecurityClassification" ma:index="8" nillable="true" ma:displayName="PGE Information Security Classification" ma:description="Confidentiality of the Item (i.e. who can access it.) PG&amp;E uses the following four levels of confidentiality:&#10;• Public: Information available to anyone inside or outside PG&amp;E without restriction. &#10;• Internal: Information intended primarily for use within PG&amp;E.&#10;• Confidential: Information intended for use within PG&amp;E on a “business-need-to-know basis.” &#10;• Restricted: Information that is the most sensitive due to its significant value to the company and requires the maximum level of handling and protection from unauthorized collection, access, use or disclosure&#10;" ma:format="Dropdown" ma:internalName="pgeInformationSecurityClassification" ma:readOnly="false">
      <xsd:simpleType>
        <xsd:restriction base="dms:Choice">
          <xsd:enumeration value="Public"/>
          <xsd:enumeration value="Internal"/>
          <xsd:enumeration value="Confidential"/>
          <xsd:enumeration value="Restricted"/>
        </xsd:restriction>
      </xsd:simpleType>
    </xsd:element>
    <xsd:element name="mca9ac2a47d44219b4ff213ace4480ec" ma:index="9"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855729ee-09ea-4683-9021-30fabac2bab5}" ma:internalName="TaxCatchAll" ma:showField="CatchAllData" ma:web="e88bc686-2a5a-4a8c-98ae-cb9429efaf58">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855729ee-09ea-4683-9021-30fabac2bab5}" ma:internalName="TaxCatchAllLabel" ma:readOnly="true" ma:showField="CatchAllDataLabel" ma:web="e88bc686-2a5a-4a8c-98ae-cb9429efaf58">
      <xsd:complexType>
        <xsd:complexContent>
          <xsd:extension base="dms:MultiChoiceLookup">
            <xsd:sequence>
              <xsd:element name="Value" type="dms:Lookup" maxOccurs="unbounded" minOccurs="0" nillable="true"/>
            </xsd:sequence>
          </xsd:extension>
        </xsd:complexContent>
      </xsd:complexType>
    </xsd:element>
    <xsd:element name="pgeRetentionTriggerDate" ma:index="13"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4d2ddc9-e9d1-4372-9b24-6a2b5c99b697"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8bc686-2a5a-4a8c-98ae-cb9429efaf58"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C7709D-23EF-407B-A2EF-BF619D06526B}">
  <ds:schemaRefs>
    <ds:schemaRef ds:uri="Microsoft.SharePoint.Taxonomy.ContentTypeSync"/>
  </ds:schemaRefs>
</ds:datastoreItem>
</file>

<file path=customXml/itemProps2.xml><?xml version="1.0" encoding="utf-8"?>
<ds:datastoreItem xmlns:ds="http://schemas.openxmlformats.org/officeDocument/2006/customXml" ds:itemID="{BE8CDF2E-51A9-4EE3-9FB5-853DE92D28AB}">
  <ds:schemaRefs>
    <ds:schemaRef ds:uri="http://schemas.microsoft.com/office/infopath/2007/PartnerControls"/>
    <ds:schemaRef ds:uri="http://purl.org/dc/elements/1.1/"/>
    <ds:schemaRef ds:uri="http://schemas.microsoft.com/office/2006/metadata/properties"/>
    <ds:schemaRef ds:uri="http://purl.org/dc/terms/"/>
    <ds:schemaRef ds:uri="http://schemas.microsoft.com/office/2006/documentManagement/types"/>
    <ds:schemaRef ds:uri="54d2ddc9-e9d1-4372-9b24-6a2b5c99b697"/>
    <ds:schemaRef ds:uri="http://purl.org/dc/dcmitype/"/>
    <ds:schemaRef ds:uri="http://schemas.openxmlformats.org/package/2006/metadata/core-properties"/>
    <ds:schemaRef ds:uri="e88bc686-2a5a-4a8c-98ae-cb9429efaf58"/>
    <ds:schemaRef ds:uri="97e57212-3e02-407f-8b2d-05f7d7f19b15"/>
    <ds:schemaRef ds:uri="http://www.w3.org/XML/1998/namespace"/>
  </ds:schemaRefs>
</ds:datastoreItem>
</file>

<file path=customXml/itemProps3.xml><?xml version="1.0" encoding="utf-8"?>
<ds:datastoreItem xmlns:ds="http://schemas.openxmlformats.org/officeDocument/2006/customXml" ds:itemID="{1FD4CBE4-58C8-40B6-AB6E-602FB3E1C042}">
  <ds:schemaRefs>
    <ds:schemaRef ds:uri="http://schemas.microsoft.com/sharepoint/v3/contenttype/forms"/>
  </ds:schemaRefs>
</ds:datastoreItem>
</file>

<file path=customXml/itemProps4.xml><?xml version="1.0" encoding="utf-8"?>
<ds:datastoreItem xmlns:ds="http://schemas.openxmlformats.org/officeDocument/2006/customXml" ds:itemID="{68CF3072-1760-4638-B1E5-30624A474A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e57212-3e02-407f-8b2d-05f7d7f19b15"/>
    <ds:schemaRef ds:uri="54d2ddc9-e9d1-4372-9b24-6a2b5c99b697"/>
    <ds:schemaRef ds:uri="e88bc686-2a5a-4a8c-98ae-cb9429efaf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53</vt:i4>
      </vt:variant>
    </vt:vector>
  </HeadingPairs>
  <TitlesOfParts>
    <vt:vector size="100" baseType="lpstr">
      <vt:lpstr>Cover Page</vt:lpstr>
      <vt:lpstr>ToC</vt:lpstr>
      <vt:lpstr>Formatting and References</vt:lpstr>
      <vt:lpstr>1-DRR Corrected</vt:lpstr>
      <vt:lpstr>1-DRR Original</vt:lpstr>
      <vt:lpstr>2-True-upDRR Corrected</vt:lpstr>
      <vt:lpstr>2-True-upDRR Original</vt:lpstr>
      <vt:lpstr>3-ATA Corrected</vt:lpstr>
      <vt:lpstr>3-ATA Original</vt:lpstr>
      <vt:lpstr>4-WholesaleRates</vt:lpstr>
      <vt:lpstr>5-CostofCap-3</vt:lpstr>
      <vt:lpstr>5-CostofCap-4</vt:lpstr>
      <vt:lpstr>6-PlantJurisdiction</vt:lpstr>
      <vt:lpstr>6-PlantJurisdiction_Original</vt:lpstr>
      <vt:lpstr>7-PlantInService Corrected</vt:lpstr>
      <vt:lpstr>7-PlantInService Original</vt:lpstr>
      <vt:lpstr>8-DemandForAllocation Corrected</vt:lpstr>
      <vt:lpstr>8-DemandForAllocation Original</vt:lpstr>
      <vt:lpstr>9-WholesaleRevenues Corrected</vt:lpstr>
      <vt:lpstr>9-WholesaleRevenues Original</vt:lpstr>
      <vt:lpstr>10-AccDep Corrected</vt:lpstr>
      <vt:lpstr>10-AccDep Original</vt:lpstr>
      <vt:lpstr>11-Depreciation Updated</vt:lpstr>
      <vt:lpstr>11-Depreciation Original</vt:lpstr>
      <vt:lpstr>12-DepRates</vt:lpstr>
      <vt:lpstr>13-WorkCap</vt:lpstr>
      <vt:lpstr>13-WorkCap Original</vt:lpstr>
      <vt:lpstr>14-ADIT</vt:lpstr>
      <vt:lpstr>14-ADIT Original</vt:lpstr>
      <vt:lpstr>15-LossFactors</vt:lpstr>
      <vt:lpstr>16-UnfundedReserves</vt:lpstr>
      <vt:lpstr>16-UnfundedReserves_Original</vt:lpstr>
      <vt:lpstr>17-RegAssets-1</vt:lpstr>
      <vt:lpstr>17-RegAssets-1 Original</vt:lpstr>
      <vt:lpstr>17-RegAssets-2</vt:lpstr>
      <vt:lpstr>17-RegAssets-2 Original</vt:lpstr>
      <vt:lpstr>17-RegAssets-3</vt:lpstr>
      <vt:lpstr>18-OandM</vt:lpstr>
      <vt:lpstr>19-AandG_Original</vt:lpstr>
      <vt:lpstr>19-AandG</vt:lpstr>
      <vt:lpstr>20-RevenueCredits</vt:lpstr>
      <vt:lpstr>21-CoO</vt:lpstr>
      <vt:lpstr>22-TaxRates</vt:lpstr>
      <vt:lpstr>23-CustServCharge</vt:lpstr>
      <vt:lpstr>24-Allocators</vt:lpstr>
      <vt:lpstr>24-Allocators Original</vt:lpstr>
      <vt:lpstr>25-RevenueFeeFactors</vt:lpstr>
      <vt:lpstr>'10-AccDep Corrected'!Print_Area</vt:lpstr>
      <vt:lpstr>'10-AccDep Original'!Print_Area</vt:lpstr>
      <vt:lpstr>'13-WorkCap'!Print_Area</vt:lpstr>
      <vt:lpstr>'13-WorkCap Original'!Print_Area</vt:lpstr>
      <vt:lpstr>'14-ADIT'!Print_Area</vt:lpstr>
      <vt:lpstr>'14-ADIT Original'!Print_Area</vt:lpstr>
      <vt:lpstr>'15-LossFactors'!Print_Area</vt:lpstr>
      <vt:lpstr>'16-UnfundedReserves'!Print_Area</vt:lpstr>
      <vt:lpstr>'16-UnfundedReserves_Original'!Print_Area</vt:lpstr>
      <vt:lpstr>'17-RegAssets-1'!Print_Area</vt:lpstr>
      <vt:lpstr>'17-RegAssets-1 Original'!Print_Area</vt:lpstr>
      <vt:lpstr>'17-RegAssets-2'!Print_Area</vt:lpstr>
      <vt:lpstr>'17-RegAssets-2 Original'!Print_Area</vt:lpstr>
      <vt:lpstr>'18-OandM'!Print_Area</vt:lpstr>
      <vt:lpstr>'19-AandG'!Print_Area</vt:lpstr>
      <vt:lpstr>'19-AandG_Original'!Print_Area</vt:lpstr>
      <vt:lpstr>'1-DRR Corrected'!Print_Area</vt:lpstr>
      <vt:lpstr>'1-DRR Original'!Print_Area</vt:lpstr>
      <vt:lpstr>'20-RevenueCredits'!Print_Area</vt:lpstr>
      <vt:lpstr>'22-TaxRates'!Print_Area</vt:lpstr>
      <vt:lpstr>'23-CustServCharge'!Print_Area</vt:lpstr>
      <vt:lpstr>'24-Allocators'!Print_Area</vt:lpstr>
      <vt:lpstr>'24-Allocators Original'!Print_Area</vt:lpstr>
      <vt:lpstr>'25-RevenueFeeFactors'!Print_Area</vt:lpstr>
      <vt:lpstr>'2-True-upDRR Corrected'!Print_Area</vt:lpstr>
      <vt:lpstr>'2-True-upDRR Original'!Print_Area</vt:lpstr>
      <vt:lpstr>'3-ATA Corrected'!Print_Area</vt:lpstr>
      <vt:lpstr>'3-ATA Original'!Print_Area</vt:lpstr>
      <vt:lpstr>'5-CostofCap-3'!Print_Area</vt:lpstr>
      <vt:lpstr>'5-CostofCap-4'!Print_Area</vt:lpstr>
      <vt:lpstr>'6-PlantJurisdiction'!Print_Area</vt:lpstr>
      <vt:lpstr>'6-PlantJurisdiction_Original'!Print_Area</vt:lpstr>
      <vt:lpstr>'7-PlantInService Corrected'!Print_Area</vt:lpstr>
      <vt:lpstr>'7-PlantInService Original'!Print_Area</vt:lpstr>
      <vt:lpstr>'8-DemandForAllocation Corrected'!Print_Area</vt:lpstr>
      <vt:lpstr>'8-DemandForAllocation Original'!Print_Area</vt:lpstr>
      <vt:lpstr>'9-WholesaleRevenues Corrected'!Print_Area</vt:lpstr>
      <vt:lpstr>'9-WholesaleRevenues Original'!Print_Area</vt:lpstr>
      <vt:lpstr>'Cover Page'!Print_Area</vt:lpstr>
      <vt:lpstr>'10-AccDep Corrected'!Print_Titles</vt:lpstr>
      <vt:lpstr>'10-AccDep Original'!Print_Titles</vt:lpstr>
      <vt:lpstr>'11-Depreciation Original'!Print_Titles</vt:lpstr>
      <vt:lpstr>'11-Depreciation Updated'!Print_Titles</vt:lpstr>
      <vt:lpstr>'13-WorkCap'!Print_Titles</vt:lpstr>
      <vt:lpstr>'13-WorkCap Original'!Print_Titles</vt:lpstr>
      <vt:lpstr>'14-ADIT'!Print_Titles</vt:lpstr>
      <vt:lpstr>'14-ADIT Original'!Print_Titles</vt:lpstr>
      <vt:lpstr>'1-DRR Corrected'!Print_Titles</vt:lpstr>
      <vt:lpstr>'1-DRR Original'!Print_Titles</vt:lpstr>
      <vt:lpstr>'2-True-upDRR Corrected'!Print_Titles</vt:lpstr>
      <vt:lpstr>'2-True-upDRR Original'!Print_Titles</vt:lpstr>
      <vt:lpstr>'7-PlantInService Corrected'!Print_Titles</vt:lpstr>
      <vt:lpstr>'7-PlantInService Original'!Print_Titles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2020-03-09T20:11:41Z</dcterms:created>
  <dcterms:modified xsi:type="dcterms:W3CDTF">2023-11-29T18:08:49Z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0x01010074E3609C5199AE40B0C8A1B9586D8961</vt:lpwstr>
  </property>
  <property fmtid="{D5CDD505-2E9C-101B-9397-08002B2CF9AE}" pid="3" name="pgeRecordCategory">
    <vt:lpwstr/>
  </property>
  <property fmtid="{D5CDD505-2E9C-101B-9397-08002B2CF9AE}" pid="4" name="MSIP_Label_746d2a3f-4d51-44da-b226-f025675a294d_Enabled">
    <vt:lpwstr>true</vt:lpwstr>
  </property>
  <property fmtid="{D5CDD505-2E9C-101B-9397-08002B2CF9AE}" pid="5" name="MSIP_Label_746d2a3f-4d51-44da-b226-f025675a294d_SetDate">
    <vt:lpwstr>2023-11-28T22:43:11Z</vt:lpwstr>
  </property>
  <property fmtid="{D5CDD505-2E9C-101B-9397-08002B2CF9AE}" pid="6" name="MSIP_Label_746d2a3f-4d51-44da-b226-f025675a294d_Method">
    <vt:lpwstr>Privileged</vt:lpwstr>
  </property>
  <property fmtid="{D5CDD505-2E9C-101B-9397-08002B2CF9AE}" pid="7" name="MSIP_Label_746d2a3f-4d51-44da-b226-f025675a294d_Name">
    <vt:lpwstr>Public (No Markings)</vt:lpwstr>
  </property>
  <property fmtid="{D5CDD505-2E9C-101B-9397-08002B2CF9AE}" pid="8" name="MSIP_Label_746d2a3f-4d51-44da-b226-f025675a294d_SiteId">
    <vt:lpwstr>44ae661a-ece6-41aa-bc96-7c2c85a08941</vt:lpwstr>
  </property>
  <property fmtid="{D5CDD505-2E9C-101B-9397-08002B2CF9AE}" pid="9" name="MSIP_Label_746d2a3f-4d51-44da-b226-f025675a294d_ActionId">
    <vt:lpwstr>69acde3d-835f-4178-be13-adc469b86b8d</vt:lpwstr>
  </property>
  <property fmtid="{D5CDD505-2E9C-101B-9397-08002B2CF9AE}" pid="10" name="MSIP_Label_746d2a3f-4d51-44da-b226-f025675a294d_ContentBits">
    <vt:lpwstr>0</vt:lpwstr>
  </property>
</Properties>
</file>